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pivotTables/pivotTable11.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0" yWindow="0" windowWidth="19200" windowHeight="3288" firstSheet="1" activeTab="1"/>
  </bookViews>
  <sheets>
    <sheet name="Plano_V1" sheetId="19" state="hidden" r:id="rId1"/>
    <sheet name="1. Status Resumo FY24" sheetId="15" r:id="rId2"/>
    <sheet name="Auxiliar" sheetId="3" state="hidden" r:id="rId3"/>
    <sheet name="Aux - Pivots2" sheetId="18" state="hidden" r:id="rId4"/>
    <sheet name="2. Status Detalhe Campos FY24" sheetId="17" r:id="rId5"/>
    <sheet name="Sheet1" sheetId="23" state="hidden" r:id="rId6"/>
    <sheet name="Aux - pivots1" sheetId="14" state="hidden" r:id="rId7"/>
    <sheet name="Caderno Testes FY24" sheetId="1" r:id="rId8"/>
    <sheet name="2. Controlos Corporativos - GD" sheetId="4" state="hidden" r:id="rId9"/>
    <sheet name="Plano Campos" sheetId="21" state="hidden" r:id="rId10"/>
    <sheet name="Plano_V3" sheetId="20" r:id="rId11"/>
    <sheet name="Plano de Testes" sheetId="22" state="hidden" r:id="rId12"/>
  </sheets>
  <definedNames>
    <definedName name="_xlnm._FilterDatabase" localSheetId="8" hidden="1">'2. Controlos Corporativos - GD'!$A$1:$K$222</definedName>
    <definedName name="_xlnm._FilterDatabase" localSheetId="4" hidden="1">'2. Status Detalhe Campos FY24'!$V$6:$V$269</definedName>
    <definedName name="_xlnm._FilterDatabase" localSheetId="7" hidden="1">'Caderno Testes FY24'!$B$925:$M$1148</definedName>
    <definedName name="_xlnm._FilterDatabase" localSheetId="9" hidden="1">'Plano Campos'!$A$16:$CO$257</definedName>
    <definedName name="_xlnm._FilterDatabase" localSheetId="11" hidden="1">'Plano de Testes'!$B$11:$BB$37</definedName>
    <definedName name="_xlnm._FilterDatabase" localSheetId="0" hidden="1">Plano_V1!$B$13:$K$636</definedName>
    <definedName name="_xlnm._FilterDatabase" localSheetId="10" hidden="1">Plano_V3!$13:$13</definedName>
    <definedName name="_xlcn.WorksheetConnection_2.StatusDetalheCamposB6G6051" hidden="1">'2. Status Detalhe Campos FY24'!$B$6:$G$741</definedName>
    <definedName name="_xlcn.WorksheetConnection_Sheet2B2G5451" hidden="1">'2. Status Detalhe Campos FY24'!$B$6:$G$704</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340" r:id="rId13"/>
    <pivotCache cacheId="343" r:id="rId14"/>
    <pivotCache cacheId="346" r:id="rId15"/>
    <pivotCache cacheId="349" r:id="rId16"/>
    <pivotCache cacheId="352" r:id="rId17"/>
    <pivotCache cacheId="355" r:id="rId18"/>
    <pivotCache cacheId="358" r:id="rId19"/>
    <pivotCache cacheId="365" r:id="rId2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J22" i="15" l="1"/>
  <c r="I22" i="15"/>
  <c r="A490" i="17" l="1"/>
  <c r="A489" i="17"/>
  <c r="A488" i="17"/>
  <c r="H526" i="20"/>
  <c r="G526" i="20" s="1"/>
  <c r="H525" i="20"/>
  <c r="G525" i="20" s="1"/>
  <c r="A526" i="20"/>
  <c r="A525" i="20"/>
  <c r="A524" i="20"/>
  <c r="H734" i="1"/>
  <c r="J734" i="1"/>
  <c r="O734" i="1"/>
  <c r="W734" i="1" s="1"/>
  <c r="K525" i="20" s="1"/>
  <c r="L525" i="20" s="1"/>
  <c r="H735" i="1"/>
  <c r="J735" i="1"/>
  <c r="O735" i="1"/>
  <c r="W735" i="1" s="1"/>
  <c r="K526" i="20" s="1"/>
  <c r="L526" i="20" s="1"/>
  <c r="A220" i="17"/>
  <c r="A219" i="17"/>
  <c r="A218" i="17"/>
  <c r="H416" i="1"/>
  <c r="J416" i="1"/>
  <c r="O416" i="1"/>
  <c r="I240" i="20" s="1"/>
  <c r="J240" i="20" s="1"/>
  <c r="H417" i="1"/>
  <c r="J417" i="1"/>
  <c r="O417" i="1"/>
  <c r="W417" i="1" s="1"/>
  <c r="K241" i="20" s="1"/>
  <c r="A242" i="20"/>
  <c r="A241" i="20"/>
  <c r="A240" i="20"/>
  <c r="H240" i="20" s="1"/>
  <c r="G240" i="20" s="1"/>
  <c r="A239" i="20"/>
  <c r="H241" i="20"/>
  <c r="G241" i="20" s="1"/>
  <c r="I525" i="20" l="1"/>
  <c r="J525" i="20" s="1"/>
  <c r="I526" i="20"/>
  <c r="J526" i="20" s="1"/>
  <c r="W416" i="1"/>
  <c r="K240" i="20" s="1"/>
  <c r="I241" i="20"/>
  <c r="J241" i="20" s="1"/>
  <c r="A93" i="20" l="1"/>
  <c r="H93" i="20" s="1"/>
  <c r="G93" i="20" s="1"/>
  <c r="A71" i="17"/>
  <c r="H464" i="1"/>
  <c r="J464" i="1"/>
  <c r="O464" i="1"/>
  <c r="W464" i="1" s="1"/>
  <c r="K93" i="20" s="1"/>
  <c r="L93" i="20" s="1"/>
  <c r="I93" i="20"/>
  <c r="J93" i="20" s="1"/>
  <c r="M17" i="15"/>
  <c r="A741" i="17" l="1"/>
  <c r="A740" i="17"/>
  <c r="A739" i="17"/>
  <c r="A738" i="17"/>
  <c r="A737" i="17"/>
  <c r="A736" i="17"/>
  <c r="A735" i="17"/>
  <c r="A734" i="17"/>
  <c r="A733" i="17"/>
  <c r="A732" i="17"/>
  <c r="A731" i="17"/>
  <c r="A730" i="17"/>
  <c r="A729" i="17"/>
  <c r="A728" i="17"/>
  <c r="A727" i="17"/>
  <c r="A726" i="17"/>
  <c r="A725" i="17"/>
  <c r="A724" i="17"/>
  <c r="A723" i="17"/>
  <c r="A722" i="17"/>
  <c r="A721" i="17"/>
  <c r="A720" i="17"/>
  <c r="A719" i="17"/>
  <c r="A718" i="17"/>
  <c r="A717" i="17"/>
  <c r="A716" i="17"/>
  <c r="A715" i="17"/>
  <c r="A714" i="17"/>
  <c r="A713" i="17"/>
  <c r="A712" i="17"/>
  <c r="A711" i="17"/>
  <c r="A710" i="17"/>
  <c r="A709" i="17"/>
  <c r="A708" i="17"/>
  <c r="A707" i="17"/>
  <c r="A706" i="17"/>
  <c r="A705" i="17"/>
  <c r="A704" i="17"/>
  <c r="A703" i="17"/>
  <c r="A702" i="17"/>
  <c r="A701" i="17"/>
  <c r="A700" i="17"/>
  <c r="A699" i="17"/>
  <c r="A698" i="17"/>
  <c r="A697" i="17"/>
  <c r="A696" i="17"/>
  <c r="A695" i="17"/>
  <c r="A694" i="17"/>
  <c r="A693" i="17"/>
  <c r="A692" i="17"/>
  <c r="A691" i="17"/>
  <c r="A690" i="17"/>
  <c r="A689" i="17"/>
  <c r="A688" i="17"/>
  <c r="A687" i="17"/>
  <c r="A686" i="17"/>
  <c r="A685" i="17"/>
  <c r="A684" i="17"/>
  <c r="A683" i="17"/>
  <c r="A682" i="17"/>
  <c r="A681" i="17"/>
  <c r="A680" i="17"/>
  <c r="A679" i="17"/>
  <c r="A678" i="17"/>
  <c r="A677" i="17"/>
  <c r="A676" i="17"/>
  <c r="A675" i="17"/>
  <c r="A674" i="17"/>
  <c r="A673" i="17"/>
  <c r="A672" i="17"/>
  <c r="A671" i="17"/>
  <c r="A670" i="17"/>
  <c r="A669" i="17"/>
  <c r="A668" i="17"/>
  <c r="A667" i="17"/>
  <c r="A666" i="17"/>
  <c r="A665" i="17"/>
  <c r="A664" i="17"/>
  <c r="A663" i="17"/>
  <c r="A662" i="17"/>
  <c r="A661" i="17"/>
  <c r="A660" i="17"/>
  <c r="A659" i="17"/>
  <c r="A658" i="17"/>
  <c r="A657" i="17"/>
  <c r="A656" i="17"/>
  <c r="A655" i="17"/>
  <c r="A654" i="17"/>
  <c r="A653" i="17"/>
  <c r="A652" i="17"/>
  <c r="A651" i="17"/>
  <c r="A650" i="17"/>
  <c r="A649" i="17"/>
  <c r="A648" i="17"/>
  <c r="A647" i="17"/>
  <c r="A646" i="17"/>
  <c r="A645" i="17"/>
  <c r="A644" i="17"/>
  <c r="A643" i="17"/>
  <c r="A642" i="17"/>
  <c r="A641" i="17"/>
  <c r="A640" i="17"/>
  <c r="A639" i="17"/>
  <c r="A638" i="17"/>
  <c r="A637" i="17"/>
  <c r="A636" i="17"/>
  <c r="A635" i="17"/>
  <c r="A634" i="17"/>
  <c r="A633" i="17"/>
  <c r="A632" i="17"/>
  <c r="A631" i="17"/>
  <c r="A630" i="17"/>
  <c r="A629" i="17"/>
  <c r="A628" i="17"/>
  <c r="A627" i="17"/>
  <c r="A626" i="17"/>
  <c r="A625" i="17"/>
  <c r="A624" i="17"/>
  <c r="A623" i="17"/>
  <c r="A622" i="17"/>
  <c r="A621" i="17"/>
  <c r="A620" i="17"/>
  <c r="A619" i="17"/>
  <c r="A618" i="17"/>
  <c r="A617" i="17"/>
  <c r="A616" i="17"/>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O271" i="17" s="1"/>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G112" i="17" s="1"/>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N271" i="17" l="1"/>
  <c r="M271" i="17"/>
  <c r="M413" i="17"/>
  <c r="N413" i="17"/>
  <c r="O413" i="17"/>
  <c r="G413" i="17"/>
  <c r="N112" i="17"/>
  <c r="M111" i="17"/>
  <c r="M112" i="17"/>
  <c r="N111" i="17"/>
  <c r="O111" i="17"/>
  <c r="O112" i="17"/>
  <c r="Q28" i="15"/>
  <c r="Q29" i="15"/>
  <c r="Q30" i="15"/>
  <c r="Q31" i="15"/>
  <c r="Q32" i="15"/>
  <c r="Q33" i="15"/>
  <c r="Q34" i="15"/>
  <c r="Q35" i="15"/>
  <c r="Q36" i="15"/>
  <c r="Q37" i="15" l="1"/>
  <c r="G22" i="15"/>
  <c r="G21" i="15"/>
  <c r="G20" i="15"/>
  <c r="G19" i="15"/>
  <c r="G18" i="15"/>
  <c r="G17" i="15"/>
  <c r="G16" i="15"/>
  <c r="G15" i="15"/>
  <c r="G14" i="15"/>
  <c r="G13" i="15"/>
  <c r="K22" i="15"/>
  <c r="K21" i="15"/>
  <c r="K20" i="15"/>
  <c r="K19" i="15"/>
  <c r="K18" i="15"/>
  <c r="K17" i="15"/>
  <c r="K16" i="15"/>
  <c r="K15" i="15"/>
  <c r="K14" i="15"/>
  <c r="K13" i="15"/>
  <c r="H266" i="1" l="1"/>
  <c r="J266" i="1"/>
  <c r="O266" i="1"/>
  <c r="W266" i="1" s="1"/>
  <c r="K238" i="20" s="1"/>
  <c r="L238" i="20" s="1"/>
  <c r="A238" i="20"/>
  <c r="H238" i="20" s="1"/>
  <c r="G238" i="20" s="1"/>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A3" i="23"/>
  <c r="A2" i="23"/>
  <c r="I238" i="20" l="1"/>
  <c r="J238" i="20" s="1"/>
  <c r="Q238" i="20" s="1"/>
  <c r="O95" i="17"/>
  <c r="N95" i="17"/>
  <c r="M95" i="17"/>
  <c r="N238" i="20" l="1"/>
  <c r="O238" i="20" s="1"/>
  <c r="O240" i="17"/>
  <c r="O801" i="1"/>
  <c r="W801" i="1" s="1"/>
  <c r="K549" i="20" s="1"/>
  <c r="L549" i="20" s="1"/>
  <c r="J801" i="1"/>
  <c r="H801" i="1"/>
  <c r="A549" i="20"/>
  <c r="H549" i="20" s="1"/>
  <c r="G549" i="20" s="1"/>
  <c r="I549" i="20" l="1"/>
  <c r="J549" i="20" s="1"/>
  <c r="Q549" i="20" s="1"/>
  <c r="N240" i="17"/>
  <c r="M240" i="17"/>
  <c r="N549" i="20" l="1"/>
  <c r="O549" i="20" s="1"/>
  <c r="H823" i="1"/>
  <c r="J823" i="1"/>
  <c r="O823" i="1"/>
  <c r="W823" i="1" s="1"/>
  <c r="K557" i="20" s="1"/>
  <c r="L557" i="20" s="1"/>
  <c r="A557" i="20"/>
  <c r="H557" i="20" s="1"/>
  <c r="G557" i="20" s="1"/>
  <c r="O874" i="1"/>
  <c r="W874" i="1" s="1"/>
  <c r="K286" i="20" s="1"/>
  <c r="L286" i="20" s="1"/>
  <c r="J874" i="1"/>
  <c r="H874" i="1"/>
  <c r="O837" i="1"/>
  <c r="W837" i="1" s="1"/>
  <c r="K247" i="20" s="1"/>
  <c r="L247" i="20" s="1"/>
  <c r="J837" i="1"/>
  <c r="H837" i="1"/>
  <c r="A247" i="20"/>
  <c r="H247" i="20" s="1"/>
  <c r="XFD247" i="20"/>
  <c r="XEZ247" i="20" s="1"/>
  <c r="XFC247" i="20"/>
  <c r="XFB247" i="20"/>
  <c r="XFA247" i="20"/>
  <c r="A286" i="20"/>
  <c r="H286" i="20" s="1"/>
  <c r="A288" i="20"/>
  <c r="H288" i="20" s="1"/>
  <c r="A292" i="20"/>
  <c r="H292" i="20" s="1"/>
  <c r="A291" i="20"/>
  <c r="H291" i="20" s="1"/>
  <c r="A290" i="20"/>
  <c r="H290" i="20" s="1"/>
  <c r="A289" i="20"/>
  <c r="H289" i="20" s="1"/>
  <c r="XEX247" i="20" l="1"/>
  <c r="XEY247" i="20"/>
  <c r="I247" i="20"/>
  <c r="J247" i="20" s="1"/>
  <c r="N247" i="20" s="1"/>
  <c r="O247" i="20" s="1"/>
  <c r="I557" i="20"/>
  <c r="J557" i="20" s="1"/>
  <c r="XEW247" i="20"/>
  <c r="XES247" i="20" s="1"/>
  <c r="I286" i="20"/>
  <c r="J286" i="20" s="1"/>
  <c r="N286" i="20" s="1"/>
  <c r="O286" i="20" s="1"/>
  <c r="XEV247" i="20"/>
  <c r="XER247" i="20" s="1"/>
  <c r="XEN247" i="20" s="1"/>
  <c r="XEU247" i="20"/>
  <c r="XEQ247" i="20" s="1"/>
  <c r="U51" i="15"/>
  <c r="XET247" i="20" l="1"/>
  <c r="XEP247" i="20" s="1"/>
  <c r="XEM247" i="20"/>
  <c r="XEI247" i="20" s="1"/>
  <c r="A29" i="20"/>
  <c r="H29" i="20" s="1"/>
  <c r="A28" i="20"/>
  <c r="H28" i="20" s="1"/>
  <c r="H11" i="1"/>
  <c r="H10" i="1"/>
  <c r="O10" i="1"/>
  <c r="W10" i="1" s="1"/>
  <c r="O11" i="1"/>
  <c r="W11" i="1" s="1"/>
  <c r="A261" i="20"/>
  <c r="A260" i="20"/>
  <c r="H260" i="20" s="1"/>
  <c r="A259" i="20"/>
  <c r="H259" i="20" s="1"/>
  <c r="A258" i="20"/>
  <c r="H258" i="20" s="1"/>
  <c r="A257" i="20"/>
  <c r="H257" i="20" s="1"/>
  <c r="H836" i="1"/>
  <c r="O836" i="1"/>
  <c r="H838" i="1"/>
  <c r="J838" i="1"/>
  <c r="O838" i="1"/>
  <c r="H839" i="1"/>
  <c r="O839" i="1"/>
  <c r="H840" i="1"/>
  <c r="O840" i="1"/>
  <c r="XEO247" i="20" l="1"/>
  <c r="XEJ247" i="20" s="1"/>
  <c r="XEE247" i="20"/>
  <c r="XEL247" i="20"/>
  <c r="XEH247" i="20" s="1"/>
  <c r="XED247" i="20" s="1"/>
  <c r="XDZ247" i="20" s="1"/>
  <c r="XEK247" i="20"/>
  <c r="W838" i="1"/>
  <c r="K290" i="20" s="1"/>
  <c r="L290" i="20" s="1"/>
  <c r="I290" i="20"/>
  <c r="J290" i="20" s="1"/>
  <c r="W839" i="1"/>
  <c r="K291" i="20" s="1"/>
  <c r="L291" i="20" s="1"/>
  <c r="I291" i="20"/>
  <c r="J291" i="20" s="1"/>
  <c r="W840" i="1"/>
  <c r="K292" i="20" s="1"/>
  <c r="L292" i="20" s="1"/>
  <c r="I292" i="20"/>
  <c r="J292" i="20" s="1"/>
  <c r="W836" i="1"/>
  <c r="K289" i="20" s="1"/>
  <c r="L289" i="20" s="1"/>
  <c r="I289" i="20"/>
  <c r="J289" i="20" s="1"/>
  <c r="XEG247" i="20" l="1"/>
  <c r="XEC247" i="20" s="1"/>
  <c r="XDY247" i="20" s="1"/>
  <c r="XDU247" i="20" s="1"/>
  <c r="XEF247" i="20"/>
  <c r="N289" i="20"/>
  <c r="O289" i="20" s="1"/>
  <c r="N292" i="20"/>
  <c r="O292" i="20" s="1"/>
  <c r="N291" i="20"/>
  <c r="O291" i="20" s="1"/>
  <c r="N290" i="20"/>
  <c r="O290" i="20" s="1"/>
  <c r="R17" i="15"/>
  <c r="XEB247" i="20" l="1"/>
  <c r="XDX247" i="20" s="1"/>
  <c r="XDT247" i="20" s="1"/>
  <c r="XDP247" i="20" s="1"/>
  <c r="XEA247" i="20"/>
  <c r="N37" i="15"/>
  <c r="M37" i="15"/>
  <c r="L37" i="15"/>
  <c r="L21" i="15"/>
  <c r="L20" i="15"/>
  <c r="L18" i="15"/>
  <c r="L17" i="15"/>
  <c r="L15" i="15"/>
  <c r="L14" i="15"/>
  <c r="L19" i="15"/>
  <c r="L16" i="15"/>
  <c r="XDW247" i="20" l="1"/>
  <c r="XDS247" i="20" s="1"/>
  <c r="XDO247" i="20" s="1"/>
  <c r="XDK247" i="20" s="1"/>
  <c r="XDV247" i="20"/>
  <c r="O28" i="15"/>
  <c r="O30" i="15"/>
  <c r="O36" i="15"/>
  <c r="O31" i="15"/>
  <c r="O32" i="15"/>
  <c r="O34" i="15"/>
  <c r="O33" i="15"/>
  <c r="O29" i="15"/>
  <c r="O35" i="15"/>
  <c r="L13" i="15"/>
  <c r="XDR247" i="20" l="1"/>
  <c r="XDN247" i="20" s="1"/>
  <c r="XDJ247" i="20" s="1"/>
  <c r="XDF247" i="20" s="1"/>
  <c r="XDQ247" i="20"/>
  <c r="O37" i="15"/>
  <c r="L22" i="15"/>
  <c r="XDM247" i="20" l="1"/>
  <c r="XDI247" i="20" s="1"/>
  <c r="XDE247" i="20" s="1"/>
  <c r="XDA247" i="20" s="1"/>
  <c r="XDL247" i="20"/>
  <c r="XDH247" i="20" l="1"/>
  <c r="XDD247" i="20" s="1"/>
  <c r="XCZ247" i="20" s="1"/>
  <c r="XCV247" i="20" s="1"/>
  <c r="XDG247" i="20"/>
  <c r="XDC247" i="20" l="1"/>
  <c r="XCY247" i="20" s="1"/>
  <c r="XCU247" i="20" s="1"/>
  <c r="XCQ247" i="20" s="1"/>
  <c r="XDB247" i="20"/>
  <c r="H1427" i="1"/>
  <c r="J1427" i="1"/>
  <c r="O1427" i="1"/>
  <c r="W1427" i="1" s="1"/>
  <c r="K724" i="20" s="1"/>
  <c r="L724" i="20" s="1"/>
  <c r="H1428" i="1"/>
  <c r="J1428" i="1"/>
  <c r="O1428" i="1"/>
  <c r="W1428" i="1" s="1"/>
  <c r="K725" i="20" s="1"/>
  <c r="L725" i="20" s="1"/>
  <c r="H1429" i="1"/>
  <c r="J1429" i="1"/>
  <c r="O1429" i="1"/>
  <c r="W1429" i="1" s="1"/>
  <c r="K726" i="20" s="1"/>
  <c r="L726" i="20" s="1"/>
  <c r="H1430" i="1"/>
  <c r="J1430" i="1"/>
  <c r="O1430" i="1"/>
  <c r="W1430" i="1" s="1"/>
  <c r="K727" i="20" s="1"/>
  <c r="L727" i="20" s="1"/>
  <c r="H1431" i="1"/>
  <c r="J1431" i="1"/>
  <c r="O1431" i="1"/>
  <c r="W1431" i="1" s="1"/>
  <c r="K728" i="20" s="1"/>
  <c r="L728" i="20" s="1"/>
  <c r="H1432" i="1"/>
  <c r="J1432" i="1"/>
  <c r="O1432" i="1"/>
  <c r="W1432" i="1" s="1"/>
  <c r="K729" i="20" s="1"/>
  <c r="L729" i="20" s="1"/>
  <c r="H1433" i="1"/>
  <c r="J1433" i="1"/>
  <c r="O1433" i="1"/>
  <c r="W1433" i="1" s="1"/>
  <c r="K730" i="20" s="1"/>
  <c r="L730" i="20" s="1"/>
  <c r="A730" i="20"/>
  <c r="H730" i="20" s="1"/>
  <c r="A729" i="20"/>
  <c r="H729" i="20" s="1"/>
  <c r="A728" i="20"/>
  <c r="H728" i="20" s="1"/>
  <c r="G728" i="20" s="1"/>
  <c r="A727" i="20"/>
  <c r="H727" i="20" s="1"/>
  <c r="G727" i="20" s="1"/>
  <c r="A726" i="20"/>
  <c r="H726" i="20" s="1"/>
  <c r="A725" i="20"/>
  <c r="H725" i="20" s="1"/>
  <c r="A724" i="20"/>
  <c r="H724" i="20" s="1"/>
  <c r="A764" i="20"/>
  <c r="H764" i="20" s="1"/>
  <c r="G764" i="20" s="1"/>
  <c r="W1515" i="1"/>
  <c r="K764" i="20" s="1"/>
  <c r="L764" i="20" s="1"/>
  <c r="J1515" i="1"/>
  <c r="H1515" i="1"/>
  <c r="I764" i="20"/>
  <c r="J764" i="20" s="1"/>
  <c r="H1481" i="1"/>
  <c r="J1481" i="1"/>
  <c r="O1481" i="1"/>
  <c r="W1481" i="1" s="1"/>
  <c r="K631" i="20" s="1"/>
  <c r="L631" i="20" s="1"/>
  <c r="H1482" i="1"/>
  <c r="J1482" i="1"/>
  <c r="O1482" i="1"/>
  <c r="W1482" i="1" s="1"/>
  <c r="K632" i="20" s="1"/>
  <c r="L632" i="20" s="1"/>
  <c r="H1483" i="1"/>
  <c r="J1483" i="1"/>
  <c r="O1483" i="1"/>
  <c r="W1483" i="1" s="1"/>
  <c r="K633" i="20" s="1"/>
  <c r="L633" i="20" s="1"/>
  <c r="H1484" i="1"/>
  <c r="J1484" i="1"/>
  <c r="O1484" i="1"/>
  <c r="W1484" i="1" s="1"/>
  <c r="K634" i="20" s="1"/>
  <c r="L634" i="20" s="1"/>
  <c r="H1485" i="1"/>
  <c r="J1485" i="1"/>
  <c r="O1485" i="1"/>
  <c r="W1485" i="1" s="1"/>
  <c r="K635" i="20" s="1"/>
  <c r="L635" i="20" s="1"/>
  <c r="H1486" i="1"/>
  <c r="J1486" i="1"/>
  <c r="O1486" i="1"/>
  <c r="W1486" i="1" s="1"/>
  <c r="K636" i="20" s="1"/>
  <c r="L636" i="20" s="1"/>
  <c r="H1487" i="1"/>
  <c r="J1487" i="1"/>
  <c r="O1487" i="1"/>
  <c r="W1487" i="1" s="1"/>
  <c r="K637" i="20" s="1"/>
  <c r="L637" i="20" s="1"/>
  <c r="H1488" i="1"/>
  <c r="J1488" i="1"/>
  <c r="O1488" i="1"/>
  <c r="W1488" i="1" s="1"/>
  <c r="K638" i="20" s="1"/>
  <c r="L638" i="20" s="1"/>
  <c r="H1489" i="1"/>
  <c r="J1489" i="1"/>
  <c r="O1489" i="1"/>
  <c r="W1489" i="1" s="1"/>
  <c r="K639" i="20" s="1"/>
  <c r="L639" i="20" s="1"/>
  <c r="H1490" i="1"/>
  <c r="J1490" i="1"/>
  <c r="O1490" i="1"/>
  <c r="W1490" i="1" s="1"/>
  <c r="K640" i="20" s="1"/>
  <c r="L640" i="20" s="1"/>
  <c r="H1491" i="1"/>
  <c r="J1491" i="1"/>
  <c r="O1491" i="1"/>
  <c r="W1491" i="1" s="1"/>
  <c r="K641" i="20" s="1"/>
  <c r="L641" i="20" s="1"/>
  <c r="H1492" i="1"/>
  <c r="J1492" i="1"/>
  <c r="O1492" i="1"/>
  <c r="W1492" i="1" s="1"/>
  <c r="K642" i="20" s="1"/>
  <c r="L642" i="20" s="1"/>
  <c r="H1493" i="1"/>
  <c r="J1493" i="1"/>
  <c r="O1493" i="1"/>
  <c r="W1493" i="1" s="1"/>
  <c r="K643" i="20" s="1"/>
  <c r="L643" i="20" s="1"/>
  <c r="H1494" i="1"/>
  <c r="J1494" i="1"/>
  <c r="O1494" i="1"/>
  <c r="W1494" i="1" s="1"/>
  <c r="K644" i="20" s="1"/>
  <c r="L644" i="20" s="1"/>
  <c r="H1495" i="1"/>
  <c r="J1495" i="1"/>
  <c r="O1495" i="1"/>
  <c r="W1495" i="1" s="1"/>
  <c r="K645" i="20" s="1"/>
  <c r="L645" i="20" s="1"/>
  <c r="H1496" i="1"/>
  <c r="J1496" i="1"/>
  <c r="O1496" i="1"/>
  <c r="W1496" i="1" s="1"/>
  <c r="K646" i="20" s="1"/>
  <c r="L646" i="20" s="1"/>
  <c r="H1497" i="1"/>
  <c r="J1497" i="1"/>
  <c r="O1497" i="1"/>
  <c r="W1497" i="1" s="1"/>
  <c r="K647" i="20" s="1"/>
  <c r="L647" i="20" s="1"/>
  <c r="H1498" i="1"/>
  <c r="J1498" i="1"/>
  <c r="O1498" i="1"/>
  <c r="W1498" i="1" s="1"/>
  <c r="K648" i="20" s="1"/>
  <c r="L648" i="20" s="1"/>
  <c r="H1499" i="1"/>
  <c r="J1499" i="1"/>
  <c r="O1499" i="1"/>
  <c r="W1499" i="1" s="1"/>
  <c r="K649" i="20" s="1"/>
  <c r="L649" i="20" s="1"/>
  <c r="H1500" i="1"/>
  <c r="J1500" i="1"/>
  <c r="O1500" i="1"/>
  <c r="W1500" i="1" s="1"/>
  <c r="K650" i="20" s="1"/>
  <c r="L650" i="20" s="1"/>
  <c r="H1501" i="1"/>
  <c r="J1501" i="1"/>
  <c r="O1501" i="1"/>
  <c r="W1501" i="1" s="1"/>
  <c r="K651" i="20" s="1"/>
  <c r="L651" i="20" s="1"/>
  <c r="H1502" i="1"/>
  <c r="J1502" i="1"/>
  <c r="O1502" i="1"/>
  <c r="W1502" i="1" s="1"/>
  <c r="K652" i="20" s="1"/>
  <c r="L652" i="20" s="1"/>
  <c r="H1503" i="1"/>
  <c r="J1503" i="1"/>
  <c r="O1503" i="1"/>
  <c r="W1503" i="1" s="1"/>
  <c r="K653" i="20" s="1"/>
  <c r="L653" i="20" s="1"/>
  <c r="A653" i="20"/>
  <c r="H653" i="20" s="1"/>
  <c r="A652" i="20"/>
  <c r="H652" i="20" s="1"/>
  <c r="A651" i="20"/>
  <c r="H651" i="20" s="1"/>
  <c r="A650" i="20"/>
  <c r="H650" i="20" s="1"/>
  <c r="A649" i="20"/>
  <c r="H649" i="20" s="1"/>
  <c r="A648" i="20"/>
  <c r="H648" i="20" s="1"/>
  <c r="G648" i="20" s="1"/>
  <c r="A647" i="20"/>
  <c r="H647" i="20" s="1"/>
  <c r="A646" i="20"/>
  <c r="H646" i="20" s="1"/>
  <c r="A645" i="20"/>
  <c r="H645" i="20" s="1"/>
  <c r="A644" i="20"/>
  <c r="H644" i="20" s="1"/>
  <c r="A643" i="20"/>
  <c r="H643" i="20" s="1"/>
  <c r="A642" i="20"/>
  <c r="H642" i="20" s="1"/>
  <c r="A641" i="20"/>
  <c r="H641" i="20" s="1"/>
  <c r="A640" i="20"/>
  <c r="H640" i="20" s="1"/>
  <c r="A639" i="20"/>
  <c r="H639" i="20" s="1"/>
  <c r="A638" i="20"/>
  <c r="H638" i="20" s="1"/>
  <c r="G638" i="20" s="1"/>
  <c r="A637" i="20"/>
  <c r="H637" i="20" s="1"/>
  <c r="G637" i="20" s="1"/>
  <c r="A636" i="20"/>
  <c r="H636" i="20" s="1"/>
  <c r="A635" i="20"/>
  <c r="H635" i="20" s="1"/>
  <c r="G635" i="20" s="1"/>
  <c r="A634" i="20"/>
  <c r="H634" i="20" s="1"/>
  <c r="A633" i="20"/>
  <c r="H633" i="20" s="1"/>
  <c r="A632" i="20"/>
  <c r="H632" i="20" s="1"/>
  <c r="G632" i="20" s="1"/>
  <c r="A631" i="20"/>
  <c r="H631" i="20" s="1"/>
  <c r="XCX247" i="20" l="1"/>
  <c r="XCT247" i="20" s="1"/>
  <c r="XCP247" i="20" s="1"/>
  <c r="XCL247" i="20" s="1"/>
  <c r="XCW247" i="20"/>
  <c r="I651" i="20"/>
  <c r="J651" i="20" s="1"/>
  <c r="N651" i="20" s="1"/>
  <c r="I729" i="20"/>
  <c r="J729" i="20" s="1"/>
  <c r="N729" i="20" s="1"/>
  <c r="I726" i="20"/>
  <c r="J726" i="20" s="1"/>
  <c r="N726" i="20" s="1"/>
  <c r="I727" i="20"/>
  <c r="J727" i="20" s="1"/>
  <c r="N727" i="20" s="1"/>
  <c r="I724" i="20"/>
  <c r="J724" i="20" s="1"/>
  <c r="N724" i="20" s="1"/>
  <c r="I631" i="20"/>
  <c r="J631" i="20" s="1"/>
  <c r="N631" i="20" s="1"/>
  <c r="I730" i="20"/>
  <c r="J730" i="20" s="1"/>
  <c r="N730" i="20" s="1"/>
  <c r="I725" i="20"/>
  <c r="J725" i="20" s="1"/>
  <c r="N725" i="20" s="1"/>
  <c r="I728" i="20"/>
  <c r="J728" i="20" s="1"/>
  <c r="N728" i="20" s="1"/>
  <c r="I647" i="20"/>
  <c r="J647" i="20" s="1"/>
  <c r="N647" i="20" s="1"/>
  <c r="I635" i="20"/>
  <c r="J635" i="20" s="1"/>
  <c r="N635" i="20" s="1"/>
  <c r="I643" i="20"/>
  <c r="J643" i="20" s="1"/>
  <c r="N643" i="20" s="1"/>
  <c r="I642" i="20"/>
  <c r="J642" i="20" s="1"/>
  <c r="N642" i="20" s="1"/>
  <c r="I636" i="20"/>
  <c r="J636" i="20" s="1"/>
  <c r="N636" i="20" s="1"/>
  <c r="I641" i="20"/>
  <c r="J641" i="20" s="1"/>
  <c r="N641" i="20" s="1"/>
  <c r="I633" i="20"/>
  <c r="J633" i="20" s="1"/>
  <c r="N633" i="20" s="1"/>
  <c r="I644" i="20"/>
  <c r="J644" i="20" s="1"/>
  <c r="N644" i="20" s="1"/>
  <c r="I649" i="20"/>
  <c r="J649" i="20" s="1"/>
  <c r="N649" i="20" s="1"/>
  <c r="I634" i="20"/>
  <c r="J634" i="20" s="1"/>
  <c r="N634" i="20" s="1"/>
  <c r="I632" i="20"/>
  <c r="J632" i="20" s="1"/>
  <c r="N632" i="20" s="1"/>
  <c r="I648" i="20"/>
  <c r="J648" i="20" s="1"/>
  <c r="N648" i="20" s="1"/>
  <c r="I640" i="20"/>
  <c r="J640" i="20" s="1"/>
  <c r="N640" i="20" s="1"/>
  <c r="I639" i="20"/>
  <c r="J639" i="20" s="1"/>
  <c r="N639" i="20" s="1"/>
  <c r="I645" i="20"/>
  <c r="J645" i="20" s="1"/>
  <c r="N645" i="20" s="1"/>
  <c r="I637" i="20"/>
  <c r="J637" i="20" s="1"/>
  <c r="N637" i="20" s="1"/>
  <c r="I652" i="20"/>
  <c r="J652" i="20" s="1"/>
  <c r="N652" i="20" s="1"/>
  <c r="I653" i="20"/>
  <c r="J653" i="20" s="1"/>
  <c r="N653" i="20" s="1"/>
  <c r="I650" i="20"/>
  <c r="J650" i="20" s="1"/>
  <c r="N650" i="20" s="1"/>
  <c r="I638" i="20"/>
  <c r="J638" i="20" s="1"/>
  <c r="N638" i="20" s="1"/>
  <c r="I646" i="20"/>
  <c r="J646" i="20" s="1"/>
  <c r="N646" i="20" s="1"/>
  <c r="N764" i="20"/>
  <c r="XCS247" i="20" l="1"/>
  <c r="XCO247" i="20" s="1"/>
  <c r="XCK247" i="20" s="1"/>
  <c r="XCG247" i="20" s="1"/>
  <c r="XCR247" i="20"/>
  <c r="A619" i="20"/>
  <c r="A618" i="20"/>
  <c r="A617" i="20"/>
  <c r="H617" i="20" s="1"/>
  <c r="A616" i="20"/>
  <c r="H616" i="20" s="1"/>
  <c r="A615" i="20"/>
  <c r="H615" i="20" s="1"/>
  <c r="A614" i="20"/>
  <c r="H614" i="20" s="1"/>
  <c r="A613" i="20"/>
  <c r="H613" i="20" s="1"/>
  <c r="A612" i="20"/>
  <c r="H612" i="20" s="1"/>
  <c r="A611" i="20"/>
  <c r="A610" i="20"/>
  <c r="H610" i="20" s="1"/>
  <c r="A609" i="20"/>
  <c r="H609" i="20" s="1"/>
  <c r="A608" i="20"/>
  <c r="H608" i="20" s="1"/>
  <c r="A607" i="20"/>
  <c r="H607" i="20" s="1"/>
  <c r="A606" i="20"/>
  <c r="H606" i="20" s="1"/>
  <c r="A605" i="20"/>
  <c r="H605" i="20" s="1"/>
  <c r="A604" i="20"/>
  <c r="H604" i="20" s="1"/>
  <c r="A603" i="20"/>
  <c r="H603" i="20" s="1"/>
  <c r="A602" i="20"/>
  <c r="H602" i="20" s="1"/>
  <c r="A601" i="20"/>
  <c r="H601" i="20" s="1"/>
  <c r="A600" i="20"/>
  <c r="H600" i="20" s="1"/>
  <c r="A599" i="20"/>
  <c r="A598" i="20"/>
  <c r="H598" i="20" s="1"/>
  <c r="A597" i="20"/>
  <c r="H597" i="20" s="1"/>
  <c r="A596" i="20"/>
  <c r="H596" i="20" s="1"/>
  <c r="A595" i="20"/>
  <c r="H595" i="20" s="1"/>
  <c r="H618" i="20"/>
  <c r="H611" i="20"/>
  <c r="H599" i="20"/>
  <c r="H1452" i="1"/>
  <c r="J1452" i="1"/>
  <c r="O1452" i="1"/>
  <c r="I596" i="20" s="1"/>
  <c r="J596" i="20" s="1"/>
  <c r="H1453" i="1"/>
  <c r="J1453" i="1"/>
  <c r="O1453" i="1"/>
  <c r="I597" i="20" s="1"/>
  <c r="J597" i="20" s="1"/>
  <c r="H1454" i="1"/>
  <c r="J1454" i="1"/>
  <c r="O1454" i="1"/>
  <c r="I598" i="20" s="1"/>
  <c r="J598" i="20" s="1"/>
  <c r="H1455" i="1"/>
  <c r="O1455" i="1"/>
  <c r="W1455" i="1" s="1"/>
  <c r="K599" i="20" s="1"/>
  <c r="L599" i="20" s="1"/>
  <c r="H1456" i="1"/>
  <c r="O1456" i="1"/>
  <c r="W1456" i="1" s="1"/>
  <c r="K600" i="20" s="1"/>
  <c r="L600" i="20" s="1"/>
  <c r="H1457" i="1"/>
  <c r="O1457" i="1"/>
  <c r="W1457" i="1" s="1"/>
  <c r="K601" i="20" s="1"/>
  <c r="L601" i="20" s="1"/>
  <c r="H1458" i="1"/>
  <c r="O1458" i="1"/>
  <c r="W1458" i="1" s="1"/>
  <c r="K602" i="20" s="1"/>
  <c r="L602" i="20" s="1"/>
  <c r="H1459" i="1"/>
  <c r="O1459" i="1"/>
  <c r="W1459" i="1" s="1"/>
  <c r="K603" i="20" s="1"/>
  <c r="L603" i="20" s="1"/>
  <c r="H1460" i="1"/>
  <c r="O1460" i="1"/>
  <c r="W1460" i="1" s="1"/>
  <c r="K604" i="20" s="1"/>
  <c r="L604" i="20" s="1"/>
  <c r="H1461" i="1"/>
  <c r="O1461" i="1"/>
  <c r="W1461" i="1" s="1"/>
  <c r="K605" i="20" s="1"/>
  <c r="L605" i="20" s="1"/>
  <c r="H1451" i="1"/>
  <c r="J1451" i="1"/>
  <c r="O1451" i="1"/>
  <c r="W1451" i="1" s="1"/>
  <c r="K595" i="20" s="1"/>
  <c r="L595" i="20" s="1"/>
  <c r="H1462" i="1"/>
  <c r="O1462" i="1"/>
  <c r="W1462" i="1" s="1"/>
  <c r="K606" i="20" s="1"/>
  <c r="L606" i="20" s="1"/>
  <c r="H1463" i="1"/>
  <c r="O1463" i="1"/>
  <c r="W1463" i="1" s="1"/>
  <c r="K607" i="20" s="1"/>
  <c r="L607" i="20" s="1"/>
  <c r="H1464" i="1"/>
  <c r="O1464" i="1"/>
  <c r="W1464" i="1" s="1"/>
  <c r="K608" i="20" s="1"/>
  <c r="L608" i="20" s="1"/>
  <c r="H1465" i="1"/>
  <c r="O1465" i="1"/>
  <c r="W1465" i="1" s="1"/>
  <c r="K609" i="20" s="1"/>
  <c r="L609" i="20" s="1"/>
  <c r="H1466" i="1"/>
  <c r="O1466" i="1"/>
  <c r="W1466" i="1" s="1"/>
  <c r="K610" i="20" s="1"/>
  <c r="L610" i="20" s="1"/>
  <c r="H1467" i="1"/>
  <c r="O1467" i="1"/>
  <c r="W1467" i="1" s="1"/>
  <c r="K611" i="20" s="1"/>
  <c r="L611" i="20" s="1"/>
  <c r="H1468" i="1"/>
  <c r="O1468" i="1"/>
  <c r="W1468" i="1" s="1"/>
  <c r="K612" i="20" s="1"/>
  <c r="L612" i="20" s="1"/>
  <c r="H1469" i="1"/>
  <c r="O1469" i="1"/>
  <c r="W1469" i="1" s="1"/>
  <c r="K613" i="20" s="1"/>
  <c r="L613" i="20" s="1"/>
  <c r="H1470" i="1"/>
  <c r="O1470" i="1"/>
  <c r="W1470" i="1" s="1"/>
  <c r="K614" i="20" s="1"/>
  <c r="L614" i="20" s="1"/>
  <c r="H1471" i="1"/>
  <c r="O1471" i="1"/>
  <c r="W1471" i="1" s="1"/>
  <c r="K615" i="20" s="1"/>
  <c r="L615" i="20" s="1"/>
  <c r="H1472" i="1"/>
  <c r="O1472" i="1"/>
  <c r="W1472" i="1" s="1"/>
  <c r="K616" i="20" s="1"/>
  <c r="L616" i="20" s="1"/>
  <c r="H1473" i="1"/>
  <c r="O1473" i="1"/>
  <c r="W1473" i="1" s="1"/>
  <c r="K617" i="20" s="1"/>
  <c r="L617" i="20" s="1"/>
  <c r="H1474" i="1"/>
  <c r="O1474" i="1"/>
  <c r="W1474" i="1" s="1"/>
  <c r="K618" i="20" s="1"/>
  <c r="L618" i="20" s="1"/>
  <c r="XCN247" i="20" l="1"/>
  <c r="XCJ247" i="20" s="1"/>
  <c r="XCF247" i="20" s="1"/>
  <c r="XCB247" i="20" s="1"/>
  <c r="XCM247" i="20"/>
  <c r="I599" i="20"/>
  <c r="J599" i="20" s="1"/>
  <c r="N599" i="20" s="1"/>
  <c r="W1454" i="1"/>
  <c r="K598" i="20" s="1"/>
  <c r="L598" i="20" s="1"/>
  <c r="N598" i="20" s="1"/>
  <c r="W1452" i="1"/>
  <c r="K596" i="20" s="1"/>
  <c r="L596" i="20" s="1"/>
  <c r="N596" i="20" s="1"/>
  <c r="I611" i="20"/>
  <c r="J611" i="20" s="1"/>
  <c r="N611" i="20" s="1"/>
  <c r="I605" i="20"/>
  <c r="J605" i="20" s="1"/>
  <c r="N605" i="20" s="1"/>
  <c r="I616" i="20"/>
  <c r="J616" i="20" s="1"/>
  <c r="N616" i="20" s="1"/>
  <c r="W1453" i="1"/>
  <c r="K597" i="20" s="1"/>
  <c r="L597" i="20" s="1"/>
  <c r="N597" i="20" s="1"/>
  <c r="I608" i="20"/>
  <c r="J608" i="20" s="1"/>
  <c r="N608" i="20" s="1"/>
  <c r="I602" i="20"/>
  <c r="J602" i="20" s="1"/>
  <c r="N602" i="20" s="1"/>
  <c r="I601" i="20"/>
  <c r="J601" i="20" s="1"/>
  <c r="N601" i="20" s="1"/>
  <c r="I604" i="20"/>
  <c r="J604" i="20" s="1"/>
  <c r="N604" i="20" s="1"/>
  <c r="I610" i="20"/>
  <c r="J610" i="20" s="1"/>
  <c r="N610" i="20" s="1"/>
  <c r="I618" i="20"/>
  <c r="J618" i="20" s="1"/>
  <c r="N618" i="20" s="1"/>
  <c r="I613" i="20"/>
  <c r="J613" i="20" s="1"/>
  <c r="N613" i="20" s="1"/>
  <c r="I600" i="20"/>
  <c r="J600" i="20" s="1"/>
  <c r="N600" i="20" s="1"/>
  <c r="I607" i="20"/>
  <c r="J607" i="20" s="1"/>
  <c r="N607" i="20" s="1"/>
  <c r="I609" i="20"/>
  <c r="J609" i="20" s="1"/>
  <c r="N609" i="20" s="1"/>
  <c r="I612" i="20"/>
  <c r="J612" i="20" s="1"/>
  <c r="N612" i="20" s="1"/>
  <c r="I615" i="20"/>
  <c r="J615" i="20" s="1"/>
  <c r="N615" i="20" s="1"/>
  <c r="I617" i="20"/>
  <c r="J617" i="20" s="1"/>
  <c r="N617" i="20" s="1"/>
  <c r="I595" i="20"/>
  <c r="J595" i="20" s="1"/>
  <c r="N595" i="20" s="1"/>
  <c r="I603" i="20"/>
  <c r="J603" i="20" s="1"/>
  <c r="N603" i="20" s="1"/>
  <c r="I606" i="20"/>
  <c r="J606" i="20" s="1"/>
  <c r="N606" i="20" s="1"/>
  <c r="I614" i="20"/>
  <c r="J614" i="20" s="1"/>
  <c r="N614" i="20" s="1"/>
  <c r="H1308" i="1"/>
  <c r="J1308" i="1"/>
  <c r="O1308" i="1"/>
  <c r="W1308" i="1" s="1"/>
  <c r="K663" i="20" s="1"/>
  <c r="L663" i="20" s="1"/>
  <c r="H1309" i="1"/>
  <c r="J1309" i="1"/>
  <c r="O1309" i="1"/>
  <c r="W1309" i="1" s="1"/>
  <c r="K664" i="20" s="1"/>
  <c r="L664" i="20" s="1"/>
  <c r="H1310" i="1"/>
  <c r="J1310" i="1"/>
  <c r="O1310" i="1"/>
  <c r="W1310" i="1" s="1"/>
  <c r="K665" i="20" s="1"/>
  <c r="L665" i="20" s="1"/>
  <c r="H1311" i="1"/>
  <c r="J1311" i="1"/>
  <c r="O1311" i="1"/>
  <c r="W1311" i="1" s="1"/>
  <c r="K666" i="20" s="1"/>
  <c r="L666" i="20" s="1"/>
  <c r="H1312" i="1"/>
  <c r="J1312" i="1"/>
  <c r="O1312" i="1"/>
  <c r="W1312" i="1" s="1"/>
  <c r="K667" i="20" s="1"/>
  <c r="L667" i="20" s="1"/>
  <c r="H1313" i="1"/>
  <c r="J1313" i="1"/>
  <c r="O1313" i="1"/>
  <c r="W1313" i="1" s="1"/>
  <c r="K668" i="20" s="1"/>
  <c r="L668" i="20" s="1"/>
  <c r="H1314" i="1"/>
  <c r="J1314" i="1"/>
  <c r="O1314" i="1"/>
  <c r="W1314" i="1" s="1"/>
  <c r="K669" i="20" s="1"/>
  <c r="L669" i="20" s="1"/>
  <c r="H1315" i="1"/>
  <c r="J1315" i="1"/>
  <c r="O1315" i="1"/>
  <c r="W1315" i="1" s="1"/>
  <c r="K670" i="20" s="1"/>
  <c r="L670" i="20" s="1"/>
  <c r="H1316" i="1"/>
  <c r="J1316" i="1"/>
  <c r="O1316" i="1"/>
  <c r="W1316" i="1" s="1"/>
  <c r="K671" i="20" s="1"/>
  <c r="L671" i="20" s="1"/>
  <c r="H1317" i="1"/>
  <c r="J1317" i="1"/>
  <c r="O1317" i="1"/>
  <c r="W1317" i="1" s="1"/>
  <c r="K672" i="20" s="1"/>
  <c r="L672" i="20" s="1"/>
  <c r="H1318" i="1"/>
  <c r="J1318" i="1"/>
  <c r="O1318" i="1"/>
  <c r="W1318" i="1" s="1"/>
  <c r="K673" i="20" s="1"/>
  <c r="L673" i="20" s="1"/>
  <c r="H1319" i="1"/>
  <c r="J1319" i="1"/>
  <c r="O1319" i="1"/>
  <c r="W1319" i="1" s="1"/>
  <c r="K674" i="20" s="1"/>
  <c r="L674" i="20" s="1"/>
  <c r="H1320" i="1"/>
  <c r="J1320" i="1"/>
  <c r="O1320" i="1"/>
  <c r="W1320" i="1" s="1"/>
  <c r="K675" i="20" s="1"/>
  <c r="L675" i="20" s="1"/>
  <c r="H1321" i="1"/>
  <c r="J1321" i="1"/>
  <c r="O1321" i="1"/>
  <c r="W1321" i="1" s="1"/>
  <c r="K676" i="20" s="1"/>
  <c r="L676" i="20" s="1"/>
  <c r="H1322" i="1"/>
  <c r="J1322" i="1"/>
  <c r="O1322" i="1"/>
  <c r="W1322" i="1" s="1"/>
  <c r="K677" i="20" s="1"/>
  <c r="L677" i="20" s="1"/>
  <c r="H1323" i="1"/>
  <c r="J1323" i="1"/>
  <c r="O1323" i="1"/>
  <c r="W1323" i="1" s="1"/>
  <c r="K678" i="20" s="1"/>
  <c r="L678" i="20" s="1"/>
  <c r="A678" i="20"/>
  <c r="H678" i="20" s="1"/>
  <c r="A677" i="20"/>
  <c r="H677" i="20" s="1"/>
  <c r="G677" i="20" s="1"/>
  <c r="A676" i="20"/>
  <c r="H676" i="20" s="1"/>
  <c r="G676" i="20" s="1"/>
  <c r="A675" i="20"/>
  <c r="H675" i="20" s="1"/>
  <c r="G675" i="20" s="1"/>
  <c r="A674" i="20"/>
  <c r="H674" i="20" s="1"/>
  <c r="A673" i="20"/>
  <c r="H673" i="20" s="1"/>
  <c r="A672" i="20"/>
  <c r="H672" i="20" s="1"/>
  <c r="A671" i="20"/>
  <c r="H671" i="20" s="1"/>
  <c r="A670" i="20"/>
  <c r="H670" i="20" s="1"/>
  <c r="A669" i="20"/>
  <c r="H669" i="20" s="1"/>
  <c r="A668" i="20"/>
  <c r="H668" i="20" s="1"/>
  <c r="A667" i="20"/>
  <c r="H667" i="20" s="1"/>
  <c r="A666" i="20"/>
  <c r="H666" i="20" s="1"/>
  <c r="A665" i="20"/>
  <c r="H665" i="20" s="1"/>
  <c r="A664" i="20"/>
  <c r="H664" i="20" s="1"/>
  <c r="A663" i="20"/>
  <c r="H663" i="20" s="1"/>
  <c r="XCI247" i="20" l="1"/>
  <c r="XCE247" i="20" s="1"/>
  <c r="XCA247" i="20" s="1"/>
  <c r="XBW247" i="20" s="1"/>
  <c r="XCH247" i="20"/>
  <c r="I664" i="20"/>
  <c r="J664" i="20" s="1"/>
  <c r="N664" i="20" s="1"/>
  <c r="I667" i="20"/>
  <c r="J667" i="20" s="1"/>
  <c r="N667" i="20" s="1"/>
  <c r="I672" i="20"/>
  <c r="J672" i="20" s="1"/>
  <c r="N672" i="20" s="1"/>
  <c r="I663" i="20"/>
  <c r="J663" i="20" s="1"/>
  <c r="N663" i="20" s="1"/>
  <c r="I668" i="20"/>
  <c r="J668" i="20" s="1"/>
  <c r="N668" i="20" s="1"/>
  <c r="I676" i="20"/>
  <c r="J676" i="20" s="1"/>
  <c r="N676" i="20" s="1"/>
  <c r="I665" i="20"/>
  <c r="J665" i="20" s="1"/>
  <c r="N665" i="20" s="1"/>
  <c r="I671" i="20"/>
  <c r="J671" i="20" s="1"/>
  <c r="N671" i="20" s="1"/>
  <c r="I674" i="20"/>
  <c r="J674" i="20" s="1"/>
  <c r="N674" i="20" s="1"/>
  <c r="I673" i="20"/>
  <c r="J673" i="20" s="1"/>
  <c r="N673" i="20" s="1"/>
  <c r="I666" i="20"/>
  <c r="J666" i="20" s="1"/>
  <c r="N666" i="20" s="1"/>
  <c r="I677" i="20"/>
  <c r="J677" i="20" s="1"/>
  <c r="N677" i="20" s="1"/>
  <c r="I669" i="20"/>
  <c r="J669" i="20" s="1"/>
  <c r="N669" i="20" s="1"/>
  <c r="I675" i="20"/>
  <c r="J675" i="20" s="1"/>
  <c r="N675" i="20" s="1"/>
  <c r="I670" i="20"/>
  <c r="J670" i="20" s="1"/>
  <c r="N670" i="20" s="1"/>
  <c r="I678" i="20"/>
  <c r="J678" i="20" s="1"/>
  <c r="N678" i="20" s="1"/>
  <c r="XCD247" i="20" l="1"/>
  <c r="XBZ247" i="20" s="1"/>
  <c r="XBV247" i="20" s="1"/>
  <c r="XBR247" i="20" s="1"/>
  <c r="XCC247" i="20"/>
  <c r="H1085" i="1"/>
  <c r="H1084" i="1"/>
  <c r="H1083" i="1"/>
  <c r="H1082" i="1"/>
  <c r="H1081" i="1"/>
  <c r="O1081" i="1"/>
  <c r="W1081" i="1" s="1"/>
  <c r="K381" i="20" s="1"/>
  <c r="L381" i="20" s="1"/>
  <c r="O1082" i="1"/>
  <c r="W1082" i="1" s="1"/>
  <c r="K382" i="20" s="1"/>
  <c r="L382" i="20" s="1"/>
  <c r="O1083" i="1"/>
  <c r="W1083" i="1" s="1"/>
  <c r="K383" i="20" s="1"/>
  <c r="L383" i="20" s="1"/>
  <c r="O1084" i="1"/>
  <c r="W1084" i="1" s="1"/>
  <c r="K384" i="20" s="1"/>
  <c r="L384" i="20" s="1"/>
  <c r="O1085" i="1"/>
  <c r="W1085" i="1" s="1"/>
  <c r="K385" i="20" s="1"/>
  <c r="L385" i="20" s="1"/>
  <c r="A385" i="20"/>
  <c r="H385" i="20" s="1"/>
  <c r="A384" i="20"/>
  <c r="H384" i="20" s="1"/>
  <c r="A383" i="20"/>
  <c r="H383" i="20" s="1"/>
  <c r="A382" i="20"/>
  <c r="H382" i="20" s="1"/>
  <c r="A381" i="20"/>
  <c r="H381" i="20" s="1"/>
  <c r="A423" i="20"/>
  <c r="H423" i="20" s="1"/>
  <c r="A422" i="20"/>
  <c r="H422" i="20" s="1"/>
  <c r="A421" i="20"/>
  <c r="H421" i="20" s="1"/>
  <c r="A420" i="20"/>
  <c r="H420" i="20" s="1"/>
  <c r="A419" i="20"/>
  <c r="H419" i="20" s="1"/>
  <c r="A418" i="20"/>
  <c r="H418" i="20" s="1"/>
  <c r="A417" i="20"/>
  <c r="H417" i="20" s="1"/>
  <c r="A326" i="20"/>
  <c r="H326" i="20" s="1"/>
  <c r="A325" i="20"/>
  <c r="H325" i="20" s="1"/>
  <c r="A324" i="20"/>
  <c r="H324" i="20" s="1"/>
  <c r="H682" i="1"/>
  <c r="H681" i="1"/>
  <c r="H680" i="1"/>
  <c r="H679" i="1"/>
  <c r="H678" i="1"/>
  <c r="H677" i="1"/>
  <c r="H676" i="1"/>
  <c r="H675" i="1"/>
  <c r="H674" i="1"/>
  <c r="H673" i="1"/>
  <c r="H672" i="1"/>
  <c r="H671" i="1"/>
  <c r="H670" i="1"/>
  <c r="H669" i="1"/>
  <c r="H668" i="1"/>
  <c r="H667" i="1"/>
  <c r="H666" i="1"/>
  <c r="H665" i="1"/>
  <c r="H664" i="1"/>
  <c r="H663" i="1"/>
  <c r="O663" i="1"/>
  <c r="W663" i="1" s="1"/>
  <c r="K487" i="20" s="1"/>
  <c r="L487" i="20" s="1"/>
  <c r="O664" i="1"/>
  <c r="W664" i="1" s="1"/>
  <c r="K488" i="20" s="1"/>
  <c r="L488" i="20" s="1"/>
  <c r="O665" i="1"/>
  <c r="W665" i="1" s="1"/>
  <c r="K489" i="20" s="1"/>
  <c r="L489" i="20" s="1"/>
  <c r="O666" i="1"/>
  <c r="W666" i="1" s="1"/>
  <c r="K490" i="20" s="1"/>
  <c r="L490" i="20" s="1"/>
  <c r="O667" i="1"/>
  <c r="W667" i="1" s="1"/>
  <c r="K491" i="20" s="1"/>
  <c r="L491" i="20" s="1"/>
  <c r="O668" i="1"/>
  <c r="W668" i="1" s="1"/>
  <c r="K492" i="20" s="1"/>
  <c r="L492" i="20" s="1"/>
  <c r="O669" i="1"/>
  <c r="W669" i="1" s="1"/>
  <c r="K493" i="20" s="1"/>
  <c r="L493" i="20" s="1"/>
  <c r="O670" i="1"/>
  <c r="W670" i="1" s="1"/>
  <c r="K494" i="20" s="1"/>
  <c r="L494" i="20" s="1"/>
  <c r="O671" i="1"/>
  <c r="W671" i="1" s="1"/>
  <c r="K495" i="20" s="1"/>
  <c r="L495" i="20" s="1"/>
  <c r="O672" i="1"/>
  <c r="W672" i="1" s="1"/>
  <c r="K496" i="20" s="1"/>
  <c r="L496" i="20" s="1"/>
  <c r="O673" i="1"/>
  <c r="W673" i="1" s="1"/>
  <c r="K497" i="20" s="1"/>
  <c r="L497" i="20" s="1"/>
  <c r="O674" i="1"/>
  <c r="W674" i="1" s="1"/>
  <c r="K498" i="20" s="1"/>
  <c r="L498" i="20" s="1"/>
  <c r="O675" i="1"/>
  <c r="W675" i="1" s="1"/>
  <c r="K499" i="20" s="1"/>
  <c r="L499" i="20" s="1"/>
  <c r="O676" i="1"/>
  <c r="W676" i="1" s="1"/>
  <c r="K500" i="20" s="1"/>
  <c r="L500" i="20" s="1"/>
  <c r="O677" i="1"/>
  <c r="W677" i="1" s="1"/>
  <c r="K501" i="20" s="1"/>
  <c r="L501" i="20" s="1"/>
  <c r="O678" i="1"/>
  <c r="W678" i="1" s="1"/>
  <c r="K502" i="20" s="1"/>
  <c r="L502" i="20" s="1"/>
  <c r="O679" i="1"/>
  <c r="W679" i="1" s="1"/>
  <c r="K503" i="20" s="1"/>
  <c r="L503" i="20" s="1"/>
  <c r="O680" i="1"/>
  <c r="W680" i="1" s="1"/>
  <c r="K504" i="20" s="1"/>
  <c r="L504" i="20" s="1"/>
  <c r="O681" i="1"/>
  <c r="W681" i="1" s="1"/>
  <c r="K505" i="20" s="1"/>
  <c r="L505" i="20" s="1"/>
  <c r="O682" i="1"/>
  <c r="W682" i="1" s="1"/>
  <c r="K506" i="20" s="1"/>
  <c r="L506"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769" i="20"/>
  <c r="A768" i="20"/>
  <c r="A767" i="20"/>
  <c r="A766" i="20"/>
  <c r="A765" i="20"/>
  <c r="A763" i="20"/>
  <c r="A762" i="20"/>
  <c r="A761" i="20"/>
  <c r="A760" i="20"/>
  <c r="A759" i="20"/>
  <c r="A758" i="20"/>
  <c r="A757" i="20"/>
  <c r="A756" i="20"/>
  <c r="A755" i="20"/>
  <c r="A754" i="20"/>
  <c r="A753" i="20"/>
  <c r="A752" i="20"/>
  <c r="A751" i="20"/>
  <c r="A750" i="20"/>
  <c r="A749" i="20"/>
  <c r="A748" i="20"/>
  <c r="A747" i="20"/>
  <c r="A746" i="20"/>
  <c r="A745" i="20"/>
  <c r="A744" i="20"/>
  <c r="A743" i="20"/>
  <c r="A742" i="20"/>
  <c r="A741" i="20"/>
  <c r="A740" i="20"/>
  <c r="A739" i="20"/>
  <c r="A738" i="20"/>
  <c r="A737" i="20"/>
  <c r="A736" i="20"/>
  <c r="A735" i="20"/>
  <c r="A734" i="20"/>
  <c r="A733" i="20"/>
  <c r="A732" i="20"/>
  <c r="A731" i="20"/>
  <c r="A723" i="20"/>
  <c r="A722" i="20"/>
  <c r="A721" i="20"/>
  <c r="A720" i="20"/>
  <c r="A719" i="20"/>
  <c r="A718" i="20"/>
  <c r="A717" i="20"/>
  <c r="A716" i="20"/>
  <c r="A715" i="20"/>
  <c r="A714" i="20"/>
  <c r="A713" i="20"/>
  <c r="A712" i="20"/>
  <c r="A711" i="20"/>
  <c r="A710" i="20"/>
  <c r="A709" i="20"/>
  <c r="A708" i="20"/>
  <c r="A707" i="20"/>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62" i="20"/>
  <c r="A661" i="20"/>
  <c r="A660" i="20"/>
  <c r="A659" i="20"/>
  <c r="A658" i="20"/>
  <c r="A657" i="20"/>
  <c r="A656" i="20"/>
  <c r="A655" i="20"/>
  <c r="A654" i="20"/>
  <c r="A630" i="20"/>
  <c r="A629" i="20"/>
  <c r="A628" i="20"/>
  <c r="A627" i="20"/>
  <c r="A626" i="20"/>
  <c r="A625" i="20"/>
  <c r="A624" i="20"/>
  <c r="A623" i="20"/>
  <c r="A622" i="20"/>
  <c r="A621" i="20"/>
  <c r="A620" i="20"/>
  <c r="A594" i="20"/>
  <c r="A593" i="20"/>
  <c r="A592" i="20"/>
  <c r="A591" i="20"/>
  <c r="A590" i="20"/>
  <c r="A589" i="20"/>
  <c r="A588" i="20"/>
  <c r="A587" i="20"/>
  <c r="A586" i="20"/>
  <c r="A585" i="20"/>
  <c r="A584" i="20"/>
  <c r="A583" i="20"/>
  <c r="A582" i="20"/>
  <c r="A581" i="20"/>
  <c r="A580" i="20"/>
  <c r="A579" i="20"/>
  <c r="A578" i="20"/>
  <c r="A577" i="20"/>
  <c r="A576" i="20"/>
  <c r="A575" i="20"/>
  <c r="A574" i="20"/>
  <c r="A573" i="20"/>
  <c r="A572" i="20"/>
  <c r="A571" i="20"/>
  <c r="A570" i="20"/>
  <c r="A569" i="20"/>
  <c r="A568" i="20"/>
  <c r="A567" i="20"/>
  <c r="A566" i="20"/>
  <c r="A565" i="20"/>
  <c r="A564" i="20"/>
  <c r="A561" i="20"/>
  <c r="A560" i="20"/>
  <c r="A559" i="20"/>
  <c r="A558" i="20"/>
  <c r="A556" i="20"/>
  <c r="A555" i="20"/>
  <c r="A554" i="20"/>
  <c r="A553" i="20"/>
  <c r="A552" i="20"/>
  <c r="A551" i="20"/>
  <c r="A550" i="20"/>
  <c r="A548" i="20"/>
  <c r="A547" i="20"/>
  <c r="A546" i="20"/>
  <c r="A545" i="20"/>
  <c r="A544" i="20"/>
  <c r="A543" i="20"/>
  <c r="A542" i="20"/>
  <c r="A541" i="20"/>
  <c r="A540" i="20"/>
  <c r="A539" i="20"/>
  <c r="A538" i="20"/>
  <c r="A537" i="20"/>
  <c r="A536" i="20"/>
  <c r="A535" i="20"/>
  <c r="A534" i="20"/>
  <c r="A533" i="20"/>
  <c r="A532" i="20"/>
  <c r="A531" i="20"/>
  <c r="A530" i="20"/>
  <c r="A529" i="20"/>
  <c r="A528" i="20"/>
  <c r="A527" i="20"/>
  <c r="A523" i="20"/>
  <c r="A522" i="20"/>
  <c r="A521" i="20"/>
  <c r="A520" i="20"/>
  <c r="A519" i="20"/>
  <c r="A518" i="20"/>
  <c r="A517" i="20"/>
  <c r="A516" i="20"/>
  <c r="A515" i="20"/>
  <c r="A514" i="20"/>
  <c r="A513" i="20"/>
  <c r="A512" i="20"/>
  <c r="A511" i="20"/>
  <c r="A510" i="20"/>
  <c r="A509" i="20"/>
  <c r="A508" i="20"/>
  <c r="A507"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1" i="20"/>
  <c r="A450" i="20"/>
  <c r="A449" i="20"/>
  <c r="A448" i="20"/>
  <c r="A447" i="20"/>
  <c r="A446" i="20"/>
  <c r="A445" i="20"/>
  <c r="A444" i="20"/>
  <c r="A443" i="20"/>
  <c r="A442" i="20"/>
  <c r="A441" i="20"/>
  <c r="A440" i="20"/>
  <c r="A439" i="20"/>
  <c r="A438" i="20"/>
  <c r="A437" i="20"/>
  <c r="A436" i="20"/>
  <c r="A435" i="20"/>
  <c r="A434" i="20"/>
  <c r="A433" i="20"/>
  <c r="A432" i="20"/>
  <c r="A431" i="20"/>
  <c r="A430" i="20"/>
  <c r="A429" i="20"/>
  <c r="A428" i="20"/>
  <c r="A427" i="20"/>
  <c r="A426" i="20"/>
  <c r="A425" i="20"/>
  <c r="A424" i="20"/>
  <c r="A416" i="20"/>
  <c r="A415" i="20"/>
  <c r="A414" i="20"/>
  <c r="A413" i="20"/>
  <c r="A412" i="20"/>
  <c r="A411" i="20"/>
  <c r="A410" i="20"/>
  <c r="A409" i="20"/>
  <c r="A408" i="20"/>
  <c r="A407" i="20"/>
  <c r="A406" i="20"/>
  <c r="A405" i="20"/>
  <c r="A404" i="20"/>
  <c r="A403" i="20"/>
  <c r="A402" i="20"/>
  <c r="A401" i="20"/>
  <c r="A400" i="20"/>
  <c r="A399" i="20"/>
  <c r="A398" i="20"/>
  <c r="A397" i="20"/>
  <c r="A396" i="20"/>
  <c r="A395" i="20"/>
  <c r="A394" i="20"/>
  <c r="A393" i="20"/>
  <c r="A392" i="20"/>
  <c r="A391" i="20"/>
  <c r="A390" i="20"/>
  <c r="A389" i="20"/>
  <c r="A388" i="20"/>
  <c r="A387" i="20"/>
  <c r="A386" i="20"/>
  <c r="A380" i="20"/>
  <c r="A379" i="20"/>
  <c r="A378" i="20"/>
  <c r="A377" i="20"/>
  <c r="A376" i="20"/>
  <c r="A375" i="20"/>
  <c r="A374" i="20"/>
  <c r="A373" i="20"/>
  <c r="A372" i="20"/>
  <c r="A371" i="20"/>
  <c r="A370" i="20"/>
  <c r="A369"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6" i="20"/>
  <c r="A295" i="20"/>
  <c r="A294" i="20"/>
  <c r="A293" i="20"/>
  <c r="A287"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56" i="20"/>
  <c r="A255" i="20"/>
  <c r="A254" i="20"/>
  <c r="A253" i="20"/>
  <c r="A252" i="20"/>
  <c r="A251" i="20"/>
  <c r="A250" i="20"/>
  <c r="A249" i="20"/>
  <c r="A248" i="20"/>
  <c r="A246" i="20"/>
  <c r="A245"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2" i="20"/>
  <c r="A91" i="20"/>
  <c r="A90" i="20"/>
  <c r="A89" i="20"/>
  <c r="A88" i="20"/>
  <c r="A87" i="20"/>
  <c r="A86" i="20"/>
  <c r="A85" i="20"/>
  <c r="A84" i="20"/>
  <c r="A83" i="20"/>
  <c r="A82" i="20"/>
  <c r="A81" i="20"/>
  <c r="A80" i="20"/>
  <c r="A79" i="20"/>
  <c r="A78" i="20"/>
  <c r="A77" i="20"/>
  <c r="A76" i="20"/>
  <c r="A75"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7" i="20"/>
  <c r="M226" i="17" l="1"/>
  <c r="O226" i="17"/>
  <c r="N226" i="17"/>
  <c r="N195" i="17"/>
  <c r="M195" i="17"/>
  <c r="O195" i="17"/>
  <c r="O15" i="17"/>
  <c r="N15" i="17"/>
  <c r="M15" i="17"/>
  <c r="N227" i="17"/>
  <c r="O227" i="17"/>
  <c r="M227" i="17"/>
  <c r="O196" i="17"/>
  <c r="N196" i="17"/>
  <c r="M196" i="17"/>
  <c r="N11" i="17"/>
  <c r="O11" i="17"/>
  <c r="M11" i="17"/>
  <c r="O218" i="17"/>
  <c r="N218" i="17"/>
  <c r="M218" i="17"/>
  <c r="M225" i="17"/>
  <c r="N225" i="17"/>
  <c r="O225" i="17"/>
  <c r="O184" i="17"/>
  <c r="N184" i="17"/>
  <c r="M184" i="17"/>
  <c r="M8" i="17"/>
  <c r="O8" i="17"/>
  <c r="N8" i="17"/>
  <c r="M197" i="17"/>
  <c r="N197" i="17"/>
  <c r="O197" i="17"/>
  <c r="O12" i="17"/>
  <c r="M12" i="17"/>
  <c r="N12" i="17"/>
  <c r="O46" i="17"/>
  <c r="M46" i="17"/>
  <c r="N46" i="17"/>
  <c r="N193" i="17"/>
  <c r="M193" i="17"/>
  <c r="O193" i="17"/>
  <c r="M14" i="17"/>
  <c r="N14" i="17"/>
  <c r="O14" i="17"/>
  <c r="O228" i="17"/>
  <c r="M228" i="17"/>
  <c r="N228" i="17"/>
  <c r="O198" i="17"/>
  <c r="N198" i="17"/>
  <c r="M198" i="17"/>
  <c r="M13" i="17"/>
  <c r="N13" i="17"/>
  <c r="O13" i="17"/>
  <c r="O219" i="17"/>
  <c r="N219" i="17"/>
  <c r="M219" i="17"/>
  <c r="M217" i="17"/>
  <c r="O217" i="17"/>
  <c r="N217" i="17"/>
  <c r="O186" i="17"/>
  <c r="N186" i="17"/>
  <c r="M186" i="17"/>
  <c r="N229" i="17"/>
  <c r="M229" i="17"/>
  <c r="O229" i="17"/>
  <c r="N199" i="17"/>
  <c r="M199" i="17"/>
  <c r="O199" i="17"/>
  <c r="M210" i="17"/>
  <c r="N210" i="17"/>
  <c r="O210" i="17"/>
  <c r="M220" i="17"/>
  <c r="O220" i="17"/>
  <c r="N220" i="17"/>
  <c r="O224" i="17"/>
  <c r="M710" i="17"/>
  <c r="M224" i="17"/>
  <c r="O710" i="17"/>
  <c r="N224" i="17"/>
  <c r="N710" i="17"/>
  <c r="N194" i="17"/>
  <c r="O194" i="17"/>
  <c r="M194" i="17"/>
  <c r="O185" i="17"/>
  <c r="N185" i="17"/>
  <c r="M185" i="17"/>
  <c r="O39" i="17"/>
  <c r="M39" i="17"/>
  <c r="N39" i="17"/>
  <c r="N230" i="17"/>
  <c r="M230" i="17"/>
  <c r="O230" i="17"/>
  <c r="N200" i="17"/>
  <c r="M200" i="17"/>
  <c r="O200" i="17"/>
  <c r="O43" i="17"/>
  <c r="N43" i="17"/>
  <c r="M43" i="17"/>
  <c r="O47" i="17"/>
  <c r="N47" i="17"/>
  <c r="M47" i="17"/>
  <c r="O40" i="17"/>
  <c r="N40" i="17"/>
  <c r="M40" i="17"/>
  <c r="O201" i="17"/>
  <c r="N201" i="17"/>
  <c r="M201" i="17"/>
  <c r="O211" i="17"/>
  <c r="N211" i="17"/>
  <c r="M211" i="17"/>
  <c r="N48" i="17"/>
  <c r="M48" i="17"/>
  <c r="O48" i="17"/>
  <c r="O187" i="17"/>
  <c r="N187" i="17"/>
  <c r="M187" i="17"/>
  <c r="O235" i="17"/>
  <c r="N235" i="17"/>
  <c r="M235" i="17"/>
  <c r="O202" i="17"/>
  <c r="N202" i="17"/>
  <c r="M202" i="17"/>
  <c r="O44" i="17"/>
  <c r="M44" i="17"/>
  <c r="N44" i="17"/>
  <c r="O49" i="17"/>
  <c r="N49" i="17"/>
  <c r="M49" i="17"/>
  <c r="M125" i="17"/>
  <c r="N125" i="17"/>
  <c r="O125" i="17"/>
  <c r="N232" i="17"/>
  <c r="M232" i="17"/>
  <c r="O232" i="17"/>
  <c r="M188" i="17"/>
  <c r="N188" i="17"/>
  <c r="O188" i="17"/>
  <c r="M233" i="17"/>
  <c r="N233" i="17"/>
  <c r="O233" i="17"/>
  <c r="N9" i="17"/>
  <c r="O9" i="17"/>
  <c r="M9" i="17"/>
  <c r="O203" i="17"/>
  <c r="N203" i="17"/>
  <c r="M203" i="17"/>
  <c r="O45" i="17"/>
  <c r="N45" i="17"/>
  <c r="M45" i="17"/>
  <c r="M234" i="17"/>
  <c r="O234" i="17"/>
  <c r="N234" i="17"/>
  <c r="N10" i="17"/>
  <c r="M10" i="17"/>
  <c r="O10" i="17"/>
  <c r="M204" i="17"/>
  <c r="O204" i="17"/>
  <c r="N204" i="17"/>
  <c r="O212" i="17"/>
  <c r="N212" i="17"/>
  <c r="M212" i="17"/>
  <c r="O159" i="17"/>
  <c r="M159" i="17"/>
  <c r="N159" i="17"/>
  <c r="N231" i="17"/>
  <c r="O231" i="17"/>
  <c r="M231" i="17"/>
  <c r="N16" i="17"/>
  <c r="M16" i="17"/>
  <c r="O16" i="17"/>
  <c r="M41" i="17"/>
  <c r="N41" i="17"/>
  <c r="O41" i="17"/>
  <c r="M205" i="17"/>
  <c r="N205" i="17"/>
  <c r="O205" i="17"/>
  <c r="M213" i="17"/>
  <c r="N213" i="17"/>
  <c r="O213" i="17"/>
  <c r="O17" i="17"/>
  <c r="M17" i="17"/>
  <c r="N17" i="17"/>
  <c r="M190" i="17"/>
  <c r="O190" i="17"/>
  <c r="N190" i="17"/>
  <c r="N206" i="17"/>
  <c r="M206" i="17"/>
  <c r="O206" i="17"/>
  <c r="O214" i="17"/>
  <c r="N214" i="17"/>
  <c r="M214" i="17"/>
  <c r="M252" i="17"/>
  <c r="O252" i="17"/>
  <c r="N252" i="17"/>
  <c r="N18" i="17"/>
  <c r="O18" i="17"/>
  <c r="M18" i="17"/>
  <c r="M191" i="17"/>
  <c r="N191" i="17"/>
  <c r="O191" i="17"/>
  <c r="O207" i="17"/>
  <c r="N207" i="17"/>
  <c r="M207" i="17"/>
  <c r="O215" i="17"/>
  <c r="M215" i="17"/>
  <c r="N215" i="17"/>
  <c r="O253" i="17"/>
  <c r="N253" i="17"/>
  <c r="M253" i="17"/>
  <c r="O248" i="17"/>
  <c r="M248" i="17"/>
  <c r="N248" i="17"/>
  <c r="M709" i="17"/>
  <c r="O709" i="17"/>
  <c r="N709" i="17"/>
  <c r="M189" i="17"/>
  <c r="N189" i="17"/>
  <c r="O189" i="17"/>
  <c r="M192" i="17"/>
  <c r="O192" i="17"/>
  <c r="N192" i="17"/>
  <c r="M216" i="17"/>
  <c r="O216" i="17"/>
  <c r="N216" i="17"/>
  <c r="XBY247" i="20"/>
  <c r="XBU247" i="20" s="1"/>
  <c r="XBQ247" i="20" s="1"/>
  <c r="XBM247" i="20" s="1"/>
  <c r="XBX247" i="20"/>
  <c r="I382" i="20"/>
  <c r="J382" i="20" s="1"/>
  <c r="N382" i="20" s="1"/>
  <c r="O382" i="20" s="1"/>
  <c r="N19" i="17"/>
  <c r="O27" i="17"/>
  <c r="M35" i="17"/>
  <c r="N20" i="17"/>
  <c r="N28" i="17"/>
  <c r="M36" i="17"/>
  <c r="M21" i="17"/>
  <c r="N29" i="17"/>
  <c r="M37" i="17"/>
  <c r="M22" i="17"/>
  <c r="M30" i="17"/>
  <c r="N38" i="17"/>
  <c r="M100" i="17"/>
  <c r="M23" i="17"/>
  <c r="N31" i="17"/>
  <c r="M24" i="17"/>
  <c r="M32" i="17"/>
  <c r="N101" i="17"/>
  <c r="N25" i="17"/>
  <c r="N33" i="17"/>
  <c r="M34" i="17"/>
  <c r="O42" i="17"/>
  <c r="N42" i="17"/>
  <c r="M42" i="17"/>
  <c r="I383" i="20"/>
  <c r="J383" i="20" s="1"/>
  <c r="N383" i="20" s="1"/>
  <c r="O383" i="20" s="1"/>
  <c r="I384" i="20"/>
  <c r="J384" i="20" s="1"/>
  <c r="N384" i="20" s="1"/>
  <c r="O384" i="20" s="1"/>
  <c r="O699" i="17"/>
  <c r="N699" i="17"/>
  <c r="M699" i="17"/>
  <c r="I489" i="20"/>
  <c r="J489" i="20" s="1"/>
  <c r="N489" i="20" s="1"/>
  <c r="O489" i="20" s="1"/>
  <c r="I493" i="20"/>
  <c r="J493" i="20" s="1"/>
  <c r="N493" i="20" s="1"/>
  <c r="O493" i="20" s="1"/>
  <c r="O37" i="17"/>
  <c r="I381" i="20"/>
  <c r="J381" i="20" s="1"/>
  <c r="N381" i="20" s="1"/>
  <c r="O381" i="20" s="1"/>
  <c r="O101" i="17"/>
  <c r="O100" i="17"/>
  <c r="N100" i="17"/>
  <c r="O98" i="17"/>
  <c r="N98" i="17"/>
  <c r="M101" i="17"/>
  <c r="M98" i="17"/>
  <c r="O99" i="17"/>
  <c r="O97" i="17"/>
  <c r="N99" i="17"/>
  <c r="N97" i="17"/>
  <c r="M99" i="17"/>
  <c r="M97" i="17"/>
  <c r="I385" i="20"/>
  <c r="J385" i="20" s="1"/>
  <c r="N385" i="20" s="1"/>
  <c r="O385" i="20" s="1"/>
  <c r="I490" i="20"/>
  <c r="J490" i="20" s="1"/>
  <c r="N490" i="20" s="1"/>
  <c r="O490" i="20" s="1"/>
  <c r="I499" i="20"/>
  <c r="J499" i="20" s="1"/>
  <c r="N499" i="20" s="1"/>
  <c r="O499" i="20" s="1"/>
  <c r="I505" i="20"/>
  <c r="J505" i="20" s="1"/>
  <c r="N505" i="20" s="1"/>
  <c r="O505" i="20" s="1"/>
  <c r="I487" i="20"/>
  <c r="J487" i="20" s="1"/>
  <c r="N487" i="20" s="1"/>
  <c r="O487" i="20" s="1"/>
  <c r="I491" i="20"/>
  <c r="J491" i="20" s="1"/>
  <c r="N491" i="20" s="1"/>
  <c r="O491" i="20" s="1"/>
  <c r="N37" i="17"/>
  <c r="O24" i="17"/>
  <c r="O32" i="17"/>
  <c r="I498" i="20"/>
  <c r="J498" i="20" s="1"/>
  <c r="N498" i="20" s="1"/>
  <c r="O498" i="20" s="1"/>
  <c r="I494" i="20"/>
  <c r="J494" i="20" s="1"/>
  <c r="N494" i="20" s="1"/>
  <c r="O494" i="20" s="1"/>
  <c r="I497" i="20"/>
  <c r="J497" i="20" s="1"/>
  <c r="N497" i="20" s="1"/>
  <c r="O497" i="20" s="1"/>
  <c r="I506" i="20"/>
  <c r="J506" i="20" s="1"/>
  <c r="N506" i="20" s="1"/>
  <c r="O506" i="20" s="1"/>
  <c r="N32" i="17"/>
  <c r="N24" i="17"/>
  <c r="I500" i="20"/>
  <c r="J500" i="20" s="1"/>
  <c r="N500" i="20" s="1"/>
  <c r="O500" i="20" s="1"/>
  <c r="I492" i="20"/>
  <c r="J492" i="20" s="1"/>
  <c r="N492" i="20" s="1"/>
  <c r="O492" i="20" s="1"/>
  <c r="I503" i="20"/>
  <c r="J503" i="20" s="1"/>
  <c r="N503" i="20" s="1"/>
  <c r="O503" i="20" s="1"/>
  <c r="I496" i="20"/>
  <c r="J496" i="20" s="1"/>
  <c r="N496" i="20" s="1"/>
  <c r="O496" i="20" s="1"/>
  <c r="M29" i="17"/>
  <c r="M31" i="17"/>
  <c r="O31" i="17"/>
  <c r="M19" i="17"/>
  <c r="O36" i="17"/>
  <c r="M28" i="17"/>
  <c r="O21" i="17"/>
  <c r="N36" i="17"/>
  <c r="O29" i="17"/>
  <c r="N21" i="17"/>
  <c r="I495" i="20"/>
  <c r="J495" i="20" s="1"/>
  <c r="N495" i="20" s="1"/>
  <c r="O495" i="20" s="1"/>
  <c r="I502" i="20"/>
  <c r="J502" i="20" s="1"/>
  <c r="N502" i="20" s="1"/>
  <c r="O502" i="20" s="1"/>
  <c r="I501" i="20"/>
  <c r="J501" i="20" s="1"/>
  <c r="N501" i="20" s="1"/>
  <c r="O501" i="20" s="1"/>
  <c r="I504" i="20"/>
  <c r="J504" i="20" s="1"/>
  <c r="N504" i="20" s="1"/>
  <c r="O504" i="20" s="1"/>
  <c r="I488" i="20"/>
  <c r="J488" i="20" s="1"/>
  <c r="N488" i="20" s="1"/>
  <c r="O488" i="20" s="1"/>
  <c r="M33" i="17"/>
  <c r="O23" i="17"/>
  <c r="O28" i="17"/>
  <c r="N23" i="17"/>
  <c r="N27" i="17"/>
  <c r="O30" i="17"/>
  <c r="O38" i="17"/>
  <c r="M38" i="17"/>
  <c r="N30" i="17"/>
  <c r="O22" i="17"/>
  <c r="M27" i="17"/>
  <c r="N22" i="17"/>
  <c r="M25" i="17"/>
  <c r="O35" i="17"/>
  <c r="N35" i="17"/>
  <c r="O20" i="17"/>
  <c r="M20" i="17"/>
  <c r="O19" i="17"/>
  <c r="O34" i="17"/>
  <c r="O26" i="17"/>
  <c r="N34" i="17"/>
  <c r="N26" i="17"/>
  <c r="M26" i="17"/>
  <c r="O33" i="17"/>
  <c r="O25" i="17"/>
  <c r="O816" i="1"/>
  <c r="W816" i="1" s="1"/>
  <c r="J816" i="1"/>
  <c r="H816" i="1"/>
  <c r="O815" i="1"/>
  <c r="W815" i="1" s="1"/>
  <c r="J815" i="1"/>
  <c r="H815" i="1"/>
  <c r="O814" i="1"/>
  <c r="W814" i="1" s="1"/>
  <c r="J814" i="1"/>
  <c r="H814" i="1"/>
  <c r="H553" i="20"/>
  <c r="G553" i="20" s="1"/>
  <c r="H449" i="20"/>
  <c r="H448" i="20"/>
  <c r="H447" i="20"/>
  <c r="H446" i="20"/>
  <c r="H444" i="20"/>
  <c r="H442" i="20"/>
  <c r="O1535" i="1"/>
  <c r="I450" i="20" s="1"/>
  <c r="J450" i="20" s="1"/>
  <c r="H1535" i="1"/>
  <c r="H1527" i="1"/>
  <c r="O1527" i="1"/>
  <c r="W1527" i="1" s="1"/>
  <c r="K442" i="20" s="1"/>
  <c r="L442" i="20" s="1"/>
  <c r="H1528" i="1"/>
  <c r="O1528" i="1"/>
  <c r="W1528" i="1" s="1"/>
  <c r="K443" i="20" s="1"/>
  <c r="L443" i="20" s="1"/>
  <c r="H1529" i="1"/>
  <c r="O1529" i="1"/>
  <c r="W1529" i="1" s="1"/>
  <c r="K444" i="20" s="1"/>
  <c r="L444" i="20" s="1"/>
  <c r="H1530" i="1"/>
  <c r="O1530" i="1"/>
  <c r="W1530" i="1" s="1"/>
  <c r="K445" i="20" s="1"/>
  <c r="L445" i="20" s="1"/>
  <c r="H1531" i="1"/>
  <c r="O1531" i="1"/>
  <c r="W1531" i="1" s="1"/>
  <c r="K446" i="20" s="1"/>
  <c r="L446" i="20" s="1"/>
  <c r="H1532" i="1"/>
  <c r="O1532" i="1"/>
  <c r="W1532" i="1" s="1"/>
  <c r="K447" i="20" s="1"/>
  <c r="L447" i="20" s="1"/>
  <c r="H1533" i="1"/>
  <c r="O1533" i="1"/>
  <c r="W1533" i="1" s="1"/>
  <c r="K448" i="20" s="1"/>
  <c r="L448" i="20" s="1"/>
  <c r="H1534" i="1"/>
  <c r="O1534" i="1"/>
  <c r="W1534" i="1" s="1"/>
  <c r="K449" i="20" s="1"/>
  <c r="L449" i="20" s="1"/>
  <c r="O1526" i="1"/>
  <c r="H1526" i="1"/>
  <c r="K450" i="20"/>
  <c r="L450" i="20" s="1"/>
  <c r="H450" i="20"/>
  <c r="H445" i="20"/>
  <c r="H443" i="20"/>
  <c r="N167" i="17"/>
  <c r="O166" i="17"/>
  <c r="M165" i="17"/>
  <c r="M164" i="17"/>
  <c r="O163" i="17"/>
  <c r="M162" i="17"/>
  <c r="N161" i="17"/>
  <c r="N160" i="17"/>
  <c r="N157" i="17"/>
  <c r="O156" i="17"/>
  <c r="O155" i="17"/>
  <c r="M154" i="17"/>
  <c r="M153" i="17"/>
  <c r="O152" i="17"/>
  <c r="N151" i="17"/>
  <c r="N150" i="17"/>
  <c r="N149" i="17"/>
  <c r="O148" i="17"/>
  <c r="O147" i="17"/>
  <c r="M146" i="17"/>
  <c r="O145" i="17"/>
  <c r="N143" i="17"/>
  <c r="N142" i="17"/>
  <c r="O141" i="17"/>
  <c r="O140" i="17"/>
  <c r="O139" i="17"/>
  <c r="M138" i="17"/>
  <c r="M137" i="17"/>
  <c r="N136" i="17"/>
  <c r="N135" i="17"/>
  <c r="N134" i="17"/>
  <c r="M133" i="17"/>
  <c r="O132" i="17"/>
  <c r="M131" i="17"/>
  <c r="M130" i="17"/>
  <c r="M129" i="17"/>
  <c r="O128" i="17"/>
  <c r="N127" i="17"/>
  <c r="N126" i="17"/>
  <c r="O124" i="17"/>
  <c r="O123" i="17"/>
  <c r="O143" i="17"/>
  <c r="H879" i="1"/>
  <c r="J879" i="1"/>
  <c r="O879" i="1"/>
  <c r="W879" i="1" s="1"/>
  <c r="H864" i="1"/>
  <c r="J864" i="1"/>
  <c r="O864" i="1"/>
  <c r="W864" i="1" s="1"/>
  <c r="H872" i="1"/>
  <c r="J872" i="1"/>
  <c r="O872" i="1"/>
  <c r="W872" i="1" s="1"/>
  <c r="H877" i="1"/>
  <c r="J877" i="1"/>
  <c r="O877" i="1"/>
  <c r="W877" i="1" s="1"/>
  <c r="H875" i="1"/>
  <c r="J875" i="1"/>
  <c r="O875" i="1"/>
  <c r="W875" i="1" s="1"/>
  <c r="H922" i="1"/>
  <c r="J922" i="1"/>
  <c r="O922" i="1"/>
  <c r="W922" i="1" s="1"/>
  <c r="H868" i="1"/>
  <c r="J868" i="1"/>
  <c r="O868" i="1"/>
  <c r="W868" i="1" s="1"/>
  <c r="H841" i="1"/>
  <c r="J841" i="1"/>
  <c r="O841" i="1"/>
  <c r="W841" i="1" s="1"/>
  <c r="H834" i="1"/>
  <c r="J834" i="1"/>
  <c r="O834" i="1"/>
  <c r="W834" i="1" s="1"/>
  <c r="H853" i="1"/>
  <c r="J853" i="1"/>
  <c r="O853" i="1"/>
  <c r="W853" i="1" s="1"/>
  <c r="H924" i="1"/>
  <c r="J924" i="1"/>
  <c r="O924" i="1"/>
  <c r="W924" i="1" s="1"/>
  <c r="H847" i="1"/>
  <c r="J847" i="1"/>
  <c r="O847" i="1"/>
  <c r="W847" i="1" s="1"/>
  <c r="H849" i="1"/>
  <c r="J849" i="1"/>
  <c r="O849" i="1"/>
  <c r="W849" i="1" s="1"/>
  <c r="H910" i="1"/>
  <c r="J910" i="1"/>
  <c r="O910" i="1"/>
  <c r="W910" i="1" s="1"/>
  <c r="H851" i="1"/>
  <c r="J851" i="1"/>
  <c r="O851" i="1"/>
  <c r="W851" i="1" s="1"/>
  <c r="H881" i="1"/>
  <c r="J881" i="1"/>
  <c r="O881" i="1"/>
  <c r="W881" i="1" s="1"/>
  <c r="H914" i="1"/>
  <c r="J914" i="1"/>
  <c r="O914" i="1"/>
  <c r="W914" i="1" s="1"/>
  <c r="H908" i="1"/>
  <c r="J908" i="1"/>
  <c r="O908" i="1"/>
  <c r="W908" i="1" s="1"/>
  <c r="H918" i="1"/>
  <c r="J918" i="1"/>
  <c r="O918" i="1"/>
  <c r="W918" i="1" s="1"/>
  <c r="H904" i="1"/>
  <c r="J904" i="1"/>
  <c r="O904" i="1"/>
  <c r="W904" i="1" s="1"/>
  <c r="H889" i="1"/>
  <c r="J889" i="1"/>
  <c r="O889" i="1"/>
  <c r="W889" i="1" s="1"/>
  <c r="H887" i="1"/>
  <c r="J887" i="1"/>
  <c r="O887" i="1"/>
  <c r="W887" i="1" s="1"/>
  <c r="H866" i="1"/>
  <c r="J866" i="1"/>
  <c r="O866" i="1"/>
  <c r="W866" i="1" s="1"/>
  <c r="H912" i="1"/>
  <c r="J912" i="1"/>
  <c r="O912" i="1"/>
  <c r="W912" i="1" s="1"/>
  <c r="H287" i="20"/>
  <c r="H285" i="20"/>
  <c r="H284" i="20"/>
  <c r="H282" i="20"/>
  <c r="H281" i="20"/>
  <c r="H280" i="20"/>
  <c r="H279" i="20"/>
  <c r="H283" i="20"/>
  <c r="XBT247" i="20" l="1"/>
  <c r="XBP247" i="20" s="1"/>
  <c r="XBL247" i="20" s="1"/>
  <c r="XBH247" i="20" s="1"/>
  <c r="XBS247" i="20"/>
  <c r="I449" i="20"/>
  <c r="J449" i="20" s="1"/>
  <c r="N449" i="20" s="1"/>
  <c r="O449" i="20" s="1"/>
  <c r="I442" i="20"/>
  <c r="J442" i="20" s="1"/>
  <c r="N442" i="20" s="1"/>
  <c r="O442" i="20" s="1"/>
  <c r="W1526" i="1"/>
  <c r="K326" i="20" s="1"/>
  <c r="L326" i="20" s="1"/>
  <c r="I326" i="20"/>
  <c r="J326" i="20" s="1"/>
  <c r="I444" i="20"/>
  <c r="J444" i="20" s="1"/>
  <c r="N444" i="20" s="1"/>
  <c r="O444" i="20" s="1"/>
  <c r="I445" i="20"/>
  <c r="J445" i="20" s="1"/>
  <c r="N445" i="20" s="1"/>
  <c r="O445" i="20" s="1"/>
  <c r="N164" i="17"/>
  <c r="O164" i="17"/>
  <c r="N154" i="17"/>
  <c r="O154" i="17"/>
  <c r="M123" i="17"/>
  <c r="O149" i="17"/>
  <c r="I446" i="20"/>
  <c r="J446" i="20" s="1"/>
  <c r="N446" i="20" s="1"/>
  <c r="O446" i="20" s="1"/>
  <c r="I447" i="20"/>
  <c r="J447" i="20" s="1"/>
  <c r="N447" i="20" s="1"/>
  <c r="O447" i="20" s="1"/>
  <c r="I448" i="20"/>
  <c r="J448" i="20" s="1"/>
  <c r="N448" i="20" s="1"/>
  <c r="O448" i="20" s="1"/>
  <c r="N130" i="17"/>
  <c r="N146" i="17"/>
  <c r="N166" i="17"/>
  <c r="M132" i="17"/>
  <c r="M157" i="17"/>
  <c r="N123" i="17"/>
  <c r="N132" i="17"/>
  <c r="N140" i="17"/>
  <c r="M166" i="17"/>
  <c r="O130" i="17"/>
  <c r="O153" i="17"/>
  <c r="N133" i="17"/>
  <c r="N138" i="17"/>
  <c r="N139" i="17"/>
  <c r="N131" i="17"/>
  <c r="O131" i="17"/>
  <c r="M147" i="17"/>
  <c r="N165" i="17"/>
  <c r="N129" i="17"/>
  <c r="O129" i="17"/>
  <c r="N137" i="17"/>
  <c r="O146" i="17"/>
  <c r="M156" i="17"/>
  <c r="O137" i="17"/>
  <c r="M148" i="17"/>
  <c r="M163" i="17"/>
  <c r="O138" i="17"/>
  <c r="N148" i="17"/>
  <c r="N163" i="17"/>
  <c r="N162" i="17"/>
  <c r="O165" i="17"/>
  <c r="M139" i="17"/>
  <c r="O162" i="17"/>
  <c r="N147" i="17"/>
  <c r="M155" i="17"/>
  <c r="O136" i="17"/>
  <c r="N155" i="17"/>
  <c r="O133" i="17"/>
  <c r="O157" i="17"/>
  <c r="M124" i="17"/>
  <c r="M141" i="17"/>
  <c r="N124" i="17"/>
  <c r="M149" i="17"/>
  <c r="M167" i="17"/>
  <c r="I443" i="20"/>
  <c r="J443" i="20" s="1"/>
  <c r="N443" i="20" s="1"/>
  <c r="O443" i="20" s="1"/>
  <c r="N450" i="20"/>
  <c r="O450" i="20" s="1"/>
  <c r="M140" i="17"/>
  <c r="N153" i="17"/>
  <c r="N156" i="17"/>
  <c r="O167" i="17"/>
  <c r="O126" i="17"/>
  <c r="M127" i="17"/>
  <c r="O150" i="17"/>
  <c r="M128" i="17"/>
  <c r="N128" i="17"/>
  <c r="M135" i="17"/>
  <c r="N141" i="17"/>
  <c r="M145" i="17"/>
  <c r="M152" i="17"/>
  <c r="O160" i="17"/>
  <c r="M151" i="17"/>
  <c r="O134" i="17"/>
  <c r="O151" i="17"/>
  <c r="O135" i="17"/>
  <c r="N145" i="17"/>
  <c r="N152" i="17"/>
  <c r="M161" i="17"/>
  <c r="O127" i="17"/>
  <c r="M136" i="17"/>
  <c r="O142" i="17"/>
  <c r="O161" i="17"/>
  <c r="M143" i="17"/>
  <c r="M126" i="17"/>
  <c r="M134" i="17"/>
  <c r="M142" i="17"/>
  <c r="M150" i="17"/>
  <c r="M160" i="17"/>
  <c r="O93" i="17"/>
  <c r="O92" i="17"/>
  <c r="M91" i="17"/>
  <c r="O90" i="17"/>
  <c r="O89" i="17"/>
  <c r="N88" i="17"/>
  <c r="O87" i="17"/>
  <c r="M86" i="17"/>
  <c r="O85" i="17"/>
  <c r="O84" i="17"/>
  <c r="M83" i="17"/>
  <c r="O82" i="17"/>
  <c r="O81" i="17"/>
  <c r="N80" i="17"/>
  <c r="O79" i="17"/>
  <c r="M78" i="17"/>
  <c r="O77" i="17"/>
  <c r="O76" i="17"/>
  <c r="M75" i="17"/>
  <c r="O74" i="17"/>
  <c r="O73" i="17"/>
  <c r="N72" i="17"/>
  <c r="O71" i="17"/>
  <c r="M70" i="17"/>
  <c r="O69" i="17"/>
  <c r="O68" i="17"/>
  <c r="M67" i="17"/>
  <c r="O66" i="17"/>
  <c r="O65" i="17"/>
  <c r="N64" i="17"/>
  <c r="O63" i="17"/>
  <c r="M62" i="17"/>
  <c r="O61" i="17"/>
  <c r="O60" i="17"/>
  <c r="M59" i="17"/>
  <c r="O58" i="17"/>
  <c r="O57" i="17"/>
  <c r="N56" i="17"/>
  <c r="O55" i="17"/>
  <c r="H31" i="20"/>
  <c r="H32" i="20"/>
  <c r="H33" i="20"/>
  <c r="H34" i="20"/>
  <c r="H35" i="20"/>
  <c r="H36" i="20"/>
  <c r="H37" i="20"/>
  <c r="H38" i="20"/>
  <c r="H39" i="20"/>
  <c r="H40" i="20"/>
  <c r="H41" i="20"/>
  <c r="H42" i="20"/>
  <c r="H43" i="20"/>
  <c r="H44" i="20"/>
  <c r="H45" i="20"/>
  <c r="H46" i="20"/>
  <c r="H47" i="20"/>
  <c r="H48" i="20"/>
  <c r="H49" i="20"/>
  <c r="H51" i="20"/>
  <c r="H52" i="20"/>
  <c r="H53" i="20"/>
  <c r="H54" i="20"/>
  <c r="H67" i="20"/>
  <c r="H68" i="20"/>
  <c r="H69" i="20"/>
  <c r="H70" i="20"/>
  <c r="H71" i="20"/>
  <c r="H72" i="20"/>
  <c r="H50" i="20"/>
  <c r="H30" i="20"/>
  <c r="H96" i="1"/>
  <c r="O96" i="1"/>
  <c r="W96" i="1" s="1"/>
  <c r="H97" i="1"/>
  <c r="O97" i="1"/>
  <c r="W97" i="1" s="1"/>
  <c r="H98" i="1"/>
  <c r="O98" i="1"/>
  <c r="W98" i="1" s="1"/>
  <c r="H99" i="1"/>
  <c r="O99" i="1"/>
  <c r="W99" i="1" s="1"/>
  <c r="H31" i="1"/>
  <c r="H32" i="1"/>
  <c r="H33" i="1"/>
  <c r="H34" i="1"/>
  <c r="H35" i="1"/>
  <c r="O31" i="1"/>
  <c r="W31" i="1" s="1"/>
  <c r="O32" i="1"/>
  <c r="W32" i="1" s="1"/>
  <c r="O33" i="1"/>
  <c r="W33" i="1" s="1"/>
  <c r="O34" i="1"/>
  <c r="W34" i="1" s="1"/>
  <c r="O35" i="1"/>
  <c r="W35" i="1" s="1"/>
  <c r="H36" i="1"/>
  <c r="H37" i="1"/>
  <c r="H38" i="1"/>
  <c r="H39" i="1"/>
  <c r="H40" i="1"/>
  <c r="O36" i="1"/>
  <c r="W36" i="1" s="1"/>
  <c r="O37" i="1"/>
  <c r="W37" i="1" s="1"/>
  <c r="O38" i="1"/>
  <c r="W38" i="1" s="1"/>
  <c r="O39" i="1"/>
  <c r="W39" i="1" s="1"/>
  <c r="O40" i="1"/>
  <c r="W40" i="1" s="1"/>
  <c r="H41" i="1"/>
  <c r="H42" i="1"/>
  <c r="H43" i="1"/>
  <c r="H44" i="1"/>
  <c r="H45" i="1"/>
  <c r="O41" i="1"/>
  <c r="W41" i="1" s="1"/>
  <c r="O42" i="1"/>
  <c r="W42" i="1" s="1"/>
  <c r="O43" i="1"/>
  <c r="W43" i="1" s="1"/>
  <c r="O44" i="1"/>
  <c r="W44" i="1" s="1"/>
  <c r="O45" i="1"/>
  <c r="W45" i="1" s="1"/>
  <c r="H46" i="1"/>
  <c r="H47" i="1"/>
  <c r="H48" i="1"/>
  <c r="H49" i="1"/>
  <c r="H50" i="1"/>
  <c r="O46" i="1"/>
  <c r="W46" i="1" s="1"/>
  <c r="O47" i="1"/>
  <c r="W47" i="1" s="1"/>
  <c r="O48" i="1"/>
  <c r="W48" i="1" s="1"/>
  <c r="O49" i="1"/>
  <c r="W49" i="1" s="1"/>
  <c r="O50" i="1"/>
  <c r="W50" i="1" s="1"/>
  <c r="H56" i="1"/>
  <c r="H57" i="1"/>
  <c r="H58" i="1"/>
  <c r="H59" i="1"/>
  <c r="H60" i="1"/>
  <c r="H61" i="1"/>
  <c r="H62" i="1"/>
  <c r="H63" i="1"/>
  <c r="H64" i="1"/>
  <c r="H65" i="1"/>
  <c r="H66" i="1"/>
  <c r="H67" i="1"/>
  <c r="H68" i="1"/>
  <c r="H69" i="1"/>
  <c r="H70" i="1"/>
  <c r="H71" i="1"/>
  <c r="H72" i="1"/>
  <c r="H73" i="1"/>
  <c r="H74" i="1"/>
  <c r="H75" i="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O74" i="1"/>
  <c r="W74" i="1" s="1"/>
  <c r="O75" i="1"/>
  <c r="W75" i="1" s="1"/>
  <c r="H93" i="1"/>
  <c r="O93" i="1"/>
  <c r="W93" i="1" s="1"/>
  <c r="H94" i="1"/>
  <c r="O94" i="1"/>
  <c r="W94" i="1" s="1"/>
  <c r="H95" i="1"/>
  <c r="O95" i="1"/>
  <c r="W95" i="1" s="1"/>
  <c r="H76" i="1"/>
  <c r="O76" i="1"/>
  <c r="W76" i="1" s="1"/>
  <c r="H77" i="1"/>
  <c r="O77" i="1"/>
  <c r="W77" i="1" s="1"/>
  <c r="H78" i="1"/>
  <c r="O78" i="1"/>
  <c r="W78" i="1" s="1"/>
  <c r="H79" i="1"/>
  <c r="O79" i="1"/>
  <c r="W79" i="1" s="1"/>
  <c r="H80" i="1"/>
  <c r="O80" i="1"/>
  <c r="W80" i="1" s="1"/>
  <c r="H81" i="1"/>
  <c r="O81" i="1"/>
  <c r="W81" i="1" s="1"/>
  <c r="H82" i="1"/>
  <c r="O82" i="1"/>
  <c r="W82" i="1" s="1"/>
  <c r="H83" i="1"/>
  <c r="O83" i="1"/>
  <c r="W83" i="1" s="1"/>
  <c r="H84" i="1"/>
  <c r="O84" i="1"/>
  <c r="W84" i="1" s="1"/>
  <c r="H85" i="1"/>
  <c r="O85" i="1"/>
  <c r="W85" i="1" s="1"/>
  <c r="H86" i="1"/>
  <c r="O86" i="1"/>
  <c r="W86" i="1" s="1"/>
  <c r="H87" i="1"/>
  <c r="O87" i="1"/>
  <c r="W87" i="1" s="1"/>
  <c r="H88" i="1"/>
  <c r="O88" i="1"/>
  <c r="W88" i="1" s="1"/>
  <c r="H89" i="1"/>
  <c r="O89" i="1"/>
  <c r="W89" i="1" s="1"/>
  <c r="H90" i="1"/>
  <c r="O90" i="1"/>
  <c r="W90" i="1" s="1"/>
  <c r="H91" i="1"/>
  <c r="O91" i="1"/>
  <c r="W91" i="1" s="1"/>
  <c r="H92" i="1"/>
  <c r="O92" i="1"/>
  <c r="W92" i="1" s="1"/>
  <c r="K54" i="20" l="1"/>
  <c r="L54" i="20" s="1"/>
  <c r="XBO247" i="20"/>
  <c r="XBK247" i="20" s="1"/>
  <c r="XBG247" i="20" s="1"/>
  <c r="XBC247" i="20" s="1"/>
  <c r="XBN247" i="20"/>
  <c r="N326" i="20"/>
  <c r="O326" i="20" s="1"/>
  <c r="K50" i="20"/>
  <c r="L50" i="20" s="1"/>
  <c r="K53" i="20"/>
  <c r="L53" i="20" s="1"/>
  <c r="H27" i="20"/>
  <c r="K51" i="20"/>
  <c r="L51" i="20" s="1"/>
  <c r="K48" i="20"/>
  <c r="L48" i="20" s="1"/>
  <c r="N86" i="17"/>
  <c r="K52" i="20"/>
  <c r="L52" i="20" s="1"/>
  <c r="K67" i="20"/>
  <c r="L67" i="20" s="1"/>
  <c r="K49" i="20"/>
  <c r="L49" i="20" s="1"/>
  <c r="I50" i="20"/>
  <c r="J50" i="20" s="1"/>
  <c r="M73" i="17"/>
  <c r="O59" i="17"/>
  <c r="O67" i="17"/>
  <c r="M81" i="17"/>
  <c r="M57" i="17"/>
  <c r="N70" i="17"/>
  <c r="N81" i="17"/>
  <c r="N57" i="17"/>
  <c r="O70" i="17"/>
  <c r="O83" i="17"/>
  <c r="N73" i="17"/>
  <c r="O62" i="17"/>
  <c r="O75" i="17"/>
  <c r="M89" i="17"/>
  <c r="O86" i="17"/>
  <c r="M65" i="17"/>
  <c r="N78" i="17"/>
  <c r="N89" i="17"/>
  <c r="N62" i="17"/>
  <c r="N65" i="17"/>
  <c r="O78" i="17"/>
  <c r="O91" i="17"/>
  <c r="O56" i="17"/>
  <c r="N59" i="17"/>
  <c r="O64" i="17"/>
  <c r="N67" i="17"/>
  <c r="O72" i="17"/>
  <c r="N75" i="17"/>
  <c r="O80" i="17"/>
  <c r="N83" i="17"/>
  <c r="O88" i="17"/>
  <c r="N91" i="17"/>
  <c r="M60" i="17"/>
  <c r="M68" i="17"/>
  <c r="M76" i="17"/>
  <c r="M84" i="17"/>
  <c r="M92" i="17"/>
  <c r="M55" i="17"/>
  <c r="N60" i="17"/>
  <c r="M63" i="17"/>
  <c r="N68" i="17"/>
  <c r="M71" i="17"/>
  <c r="N76" i="17"/>
  <c r="M79" i="17"/>
  <c r="N84" i="17"/>
  <c r="M87" i="17"/>
  <c r="N92" i="17"/>
  <c r="N55" i="17"/>
  <c r="M58" i="17"/>
  <c r="N63" i="17"/>
  <c r="M66" i="17"/>
  <c r="N71" i="17"/>
  <c r="M74" i="17"/>
  <c r="N79" i="17"/>
  <c r="M82" i="17"/>
  <c r="N87" i="17"/>
  <c r="M90" i="17"/>
  <c r="N58" i="17"/>
  <c r="M61" i="17"/>
  <c r="N66" i="17"/>
  <c r="M69" i="17"/>
  <c r="N74" i="17"/>
  <c r="M77" i="17"/>
  <c r="N82" i="17"/>
  <c r="M85" i="17"/>
  <c r="N90" i="17"/>
  <c r="M93" i="17"/>
  <c r="M56" i="17"/>
  <c r="N61" i="17"/>
  <c r="M64" i="17"/>
  <c r="N69" i="17"/>
  <c r="M72" i="17"/>
  <c r="N77" i="17"/>
  <c r="M80" i="17"/>
  <c r="N85" i="17"/>
  <c r="M88" i="17"/>
  <c r="N93" i="17"/>
  <c r="I53" i="20"/>
  <c r="J53" i="20" s="1"/>
  <c r="I51" i="20"/>
  <c r="J51" i="20" s="1"/>
  <c r="I48" i="20"/>
  <c r="J48" i="20" s="1"/>
  <c r="I54" i="20"/>
  <c r="J54" i="20" s="1"/>
  <c r="I49" i="20"/>
  <c r="J49" i="20" s="1"/>
  <c r="I52" i="20"/>
  <c r="J52" i="20" s="1"/>
  <c r="I67" i="20"/>
  <c r="J67" i="20" s="1"/>
  <c r="G249" i="21"/>
  <c r="K249" i="21"/>
  <c r="J249" i="21"/>
  <c r="P251" i="21"/>
  <c r="A251" i="21"/>
  <c r="U254" i="21"/>
  <c r="V254" i="21" s="1"/>
  <c r="A254" i="21"/>
  <c r="U253" i="21"/>
  <c r="V253" i="21" s="1"/>
  <c r="A253" i="21"/>
  <c r="U252" i="21"/>
  <c r="V252" i="21" s="1"/>
  <c r="A252" i="21"/>
  <c r="U250" i="21"/>
  <c r="V250" i="21" s="1"/>
  <c r="A250" i="21"/>
  <c r="U171" i="21"/>
  <c r="V171" i="21" s="1"/>
  <c r="A171" i="21"/>
  <c r="U248" i="21"/>
  <c r="V248" i="21" s="1"/>
  <c r="A248" i="21"/>
  <c r="M414" i="17"/>
  <c r="O413" i="1"/>
  <c r="W413" i="1" s="1"/>
  <c r="H413" i="1"/>
  <c r="O412" i="1"/>
  <c r="W412" i="1" s="1"/>
  <c r="H412" i="1"/>
  <c r="O411" i="1"/>
  <c r="W411" i="1" s="1"/>
  <c r="H411" i="1"/>
  <c r="H239" i="20"/>
  <c r="XBJ247" i="20" l="1"/>
  <c r="XBF247" i="20" s="1"/>
  <c r="XBB247" i="20" s="1"/>
  <c r="XAX247" i="20" s="1"/>
  <c r="XBI247" i="20"/>
  <c r="O414" i="17"/>
  <c r="N414" i="17"/>
  <c r="G130" i="21"/>
  <c r="U131" i="21"/>
  <c r="V131" i="21" s="1"/>
  <c r="A131" i="21"/>
  <c r="G144" i="21"/>
  <c r="U147" i="21"/>
  <c r="V147" i="21" s="1"/>
  <c r="A147" i="21"/>
  <c r="U146" i="21"/>
  <c r="V146" i="21" s="1"/>
  <c r="A146" i="21"/>
  <c r="U145" i="21"/>
  <c r="V145" i="21" s="1"/>
  <c r="A145" i="21"/>
  <c r="XBE247" i="20" l="1"/>
  <c r="XBA247" i="20" s="1"/>
  <c r="XAW247" i="20" s="1"/>
  <c r="XAS247" i="20" s="1"/>
  <c r="XBD247" i="20"/>
  <c r="G167" i="21"/>
  <c r="G169" i="21"/>
  <c r="G139" i="21"/>
  <c r="G141" i="21"/>
  <c r="G161" i="21"/>
  <c r="G165" i="21"/>
  <c r="XAZ247" i="20" l="1"/>
  <c r="XAV247" i="20" s="1"/>
  <c r="XAR247" i="20" s="1"/>
  <c r="XAN247" i="20" s="1"/>
  <c r="XAY247" i="20"/>
  <c r="K229" i="21"/>
  <c r="XAU247" i="20" l="1"/>
  <c r="XAQ247" i="20" s="1"/>
  <c r="XAM247" i="20" s="1"/>
  <c r="XAI247" i="20" s="1"/>
  <c r="XAT247" i="20"/>
  <c r="G132" i="21"/>
  <c r="G128" i="21"/>
  <c r="U134" i="21"/>
  <c r="V134" i="21" s="1"/>
  <c r="A134" i="21"/>
  <c r="U133" i="21"/>
  <c r="V133" i="21" s="1"/>
  <c r="A133" i="21"/>
  <c r="XAP247" i="20" l="1"/>
  <c r="XAL247" i="20" s="1"/>
  <c r="XAH247" i="20" s="1"/>
  <c r="XAD247" i="20" s="1"/>
  <c r="XAO247" i="20"/>
  <c r="T152" i="15"/>
  <c r="T96" i="15"/>
  <c r="U152" i="15"/>
  <c r="XAK247" i="20" l="1"/>
  <c r="XAG247" i="20" s="1"/>
  <c r="XAC247" i="20" s="1"/>
  <c r="WZY247" i="20" s="1"/>
  <c r="XAJ247" i="20"/>
  <c r="U96" i="15"/>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XAF247" i="20" l="1"/>
  <c r="XAB247" i="20" s="1"/>
  <c r="WZX247" i="20" s="1"/>
  <c r="WZT247" i="20" s="1"/>
  <c r="XAE247" i="20"/>
  <c r="K174" i="21"/>
  <c r="K169" i="21" s="1"/>
  <c r="K167" i="21" s="1"/>
  <c r="K165" i="21" s="1"/>
  <c r="K161" i="21" s="1"/>
  <c r="K121" i="21"/>
  <c r="K159" i="21"/>
  <c r="XAA247" i="20" l="1"/>
  <c r="WZW247" i="20" s="1"/>
  <c r="WZS247" i="20" s="1"/>
  <c r="WZO247" i="20" s="1"/>
  <c r="WZZ247" i="20"/>
  <c r="J106" i="2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WZV247" i="20" l="1"/>
  <c r="WZR247" i="20" s="1"/>
  <c r="WZN247" i="20" s="1"/>
  <c r="WZJ247" i="20" s="1"/>
  <c r="WZU247" i="20"/>
  <c r="J174" i="21"/>
  <c r="WZQ247" i="20" l="1"/>
  <c r="WZM247" i="20" s="1"/>
  <c r="WZI247" i="20" s="1"/>
  <c r="WZE247" i="20" s="1"/>
  <c r="WZP247" i="20"/>
  <c r="G98" i="21"/>
  <c r="WZL247" i="20" l="1"/>
  <c r="WZH247" i="20" s="1"/>
  <c r="WZD247" i="20" s="1"/>
  <c r="WYZ247" i="20" s="1"/>
  <c r="WZK247" i="20"/>
  <c r="U228" i="21"/>
  <c r="V228" i="21" s="1"/>
  <c r="U227" i="21"/>
  <c r="V227" i="21" s="1"/>
  <c r="U226" i="21"/>
  <c r="V226" i="21" s="1"/>
  <c r="V101" i="21"/>
  <c r="I98" i="21"/>
  <c r="J98" i="21"/>
  <c r="K98" i="21"/>
  <c r="K96" i="21"/>
  <c r="J96" i="21"/>
  <c r="K28" i="21"/>
  <c r="Q255" i="21"/>
  <c r="K88" i="21"/>
  <c r="A225" i="21"/>
  <c r="A228" i="21"/>
  <c r="A227" i="21"/>
  <c r="A226" i="21"/>
  <c r="K50" i="21"/>
  <c r="WZG247" i="20" l="1"/>
  <c r="WZC247" i="20" s="1"/>
  <c r="WYY247" i="20" s="1"/>
  <c r="WYU247" i="20" s="1"/>
  <c r="WZF247" i="20"/>
  <c r="A101" i="21"/>
  <c r="WZB247" i="20" l="1"/>
  <c r="WYX247" i="20" s="1"/>
  <c r="WYT247" i="20" s="1"/>
  <c r="WYP247" i="20" s="1"/>
  <c r="WZA247" i="20"/>
  <c r="I198" i="21"/>
  <c r="G198" i="21"/>
  <c r="WYW247" i="20" l="1"/>
  <c r="WYS247" i="20" s="1"/>
  <c r="WYO247" i="20" s="1"/>
  <c r="WYK247" i="20" s="1"/>
  <c r="WYV247" i="20"/>
  <c r="Q218" i="2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WYR247" i="20" l="1"/>
  <c r="WYN247" i="20" s="1"/>
  <c r="WYJ247" i="20" s="1"/>
  <c r="WYF247" i="20" s="1"/>
  <c r="WYQ247" i="20"/>
  <c r="J144" i="21"/>
  <c r="J141" i="21" s="1"/>
  <c r="J139" i="21" s="1"/>
  <c r="J132" i="21" s="1"/>
  <c r="BU16" i="2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93" i="1"/>
  <c r="WYM247" i="20" l="1"/>
  <c r="WYI247" i="20" s="1"/>
  <c r="WYE247" i="20" s="1"/>
  <c r="WYA247" i="20" s="1"/>
  <c r="WYL247" i="20"/>
  <c r="J130" i="21"/>
  <c r="J128" i="21" s="1"/>
  <c r="K141" i="21"/>
  <c r="K139" i="21" s="1"/>
  <c r="K132" i="21" s="1"/>
  <c r="BU15" i="21"/>
  <c r="O194" i="1"/>
  <c r="W194" i="1" s="1"/>
  <c r="H194" i="1"/>
  <c r="O193" i="1"/>
  <c r="W193" i="1" s="1"/>
  <c r="H193" i="1"/>
  <c r="WYH247" i="20" l="1"/>
  <c r="WYD247" i="20" s="1"/>
  <c r="WXZ247" i="20" s="1"/>
  <c r="WXV247" i="20" s="1"/>
  <c r="WYG247" i="20"/>
  <c r="K130" i="21"/>
  <c r="K128" i="21" s="1"/>
  <c r="A164" i="20"/>
  <c r="N342" i="17"/>
  <c r="O195" i="1"/>
  <c r="W195" i="1" s="1"/>
  <c r="K164" i="20" s="1"/>
  <c r="L164" i="20" s="1"/>
  <c r="H195" i="1"/>
  <c r="O192" i="1"/>
  <c r="W192" i="1" s="1"/>
  <c r="H192" i="1"/>
  <c r="WYC247" i="20" l="1"/>
  <c r="WXY247" i="20" s="1"/>
  <c r="WXU247" i="20" s="1"/>
  <c r="WXQ247" i="20" s="1"/>
  <c r="WYB247" i="20"/>
  <c r="H164" i="20"/>
  <c r="I164" i="20"/>
  <c r="J164" i="20" s="1"/>
  <c r="N164" i="20" s="1"/>
  <c r="O164" i="20" s="1"/>
  <c r="M342" i="17"/>
  <c r="O342" i="17"/>
  <c r="WXX247" i="20" l="1"/>
  <c r="WXT247" i="20" s="1"/>
  <c r="WXP247" i="20" s="1"/>
  <c r="WXL247" i="20" s="1"/>
  <c r="WXW247" i="20"/>
  <c r="N670" i="17"/>
  <c r="N669" i="17"/>
  <c r="M668" i="17"/>
  <c r="M667" i="17"/>
  <c r="N666" i="17"/>
  <c r="H693" i="20"/>
  <c r="H692" i="20"/>
  <c r="H691" i="20"/>
  <c r="H690" i="20"/>
  <c r="H1368" i="1"/>
  <c r="H1367" i="1"/>
  <c r="H1371" i="1"/>
  <c r="H1370" i="1"/>
  <c r="H1374" i="1"/>
  <c r="H1373" i="1"/>
  <c r="H1377" i="1"/>
  <c r="H1376" i="1"/>
  <c r="H1380" i="1"/>
  <c r="H1379" i="1"/>
  <c r="O1379" i="1"/>
  <c r="W1379" i="1" s="1"/>
  <c r="O1380" i="1"/>
  <c r="W1380" i="1" s="1"/>
  <c r="O1376" i="1"/>
  <c r="W1376" i="1" s="1"/>
  <c r="O1377" i="1"/>
  <c r="W1377" i="1" s="1"/>
  <c r="O1373" i="1"/>
  <c r="W1373" i="1" s="1"/>
  <c r="O1374" i="1"/>
  <c r="W1374" i="1" s="1"/>
  <c r="O1370" i="1"/>
  <c r="W1370" i="1" s="1"/>
  <c r="O1371" i="1"/>
  <c r="W1371" i="1" s="1"/>
  <c r="O1367" i="1"/>
  <c r="W1367" i="1" s="1"/>
  <c r="O1368" i="1"/>
  <c r="W1368" i="1" s="1"/>
  <c r="O1366" i="1"/>
  <c r="W1366" i="1" s="1"/>
  <c r="H1366" i="1"/>
  <c r="O1369" i="1"/>
  <c r="W1369" i="1" s="1"/>
  <c r="H1369" i="1"/>
  <c r="O1372" i="1"/>
  <c r="W1372" i="1" s="1"/>
  <c r="H1372" i="1"/>
  <c r="O1375" i="1"/>
  <c r="W1375" i="1" s="1"/>
  <c r="H1375" i="1"/>
  <c r="O1378" i="1"/>
  <c r="W1378" i="1" s="1"/>
  <c r="H1378" i="1"/>
  <c r="WXS247" i="20" l="1"/>
  <c r="WXO247" i="20" s="1"/>
  <c r="WXK247" i="20" s="1"/>
  <c r="WXG247" i="20" s="1"/>
  <c r="WXR247" i="20"/>
  <c r="M670" i="17"/>
  <c r="O667" i="17"/>
  <c r="N667" i="17"/>
  <c r="M666" i="17"/>
  <c r="M669" i="17"/>
  <c r="O666" i="17"/>
  <c r="O670" i="17"/>
  <c r="O668" i="17"/>
  <c r="O669" i="17"/>
  <c r="I689" i="20"/>
  <c r="J689" i="20" s="1"/>
  <c r="I693" i="20"/>
  <c r="J693" i="20" s="1"/>
  <c r="K692" i="20"/>
  <c r="L692" i="20" s="1"/>
  <c r="K690" i="20"/>
  <c r="L690" i="20" s="1"/>
  <c r="K689" i="20"/>
  <c r="L689" i="20" s="1"/>
  <c r="I692" i="20"/>
  <c r="J692" i="20" s="1"/>
  <c r="K691" i="20"/>
  <c r="L691" i="20" s="1"/>
  <c r="N668" i="17"/>
  <c r="H689" i="20"/>
  <c r="K693" i="20"/>
  <c r="L693" i="20" s="1"/>
  <c r="I691" i="20"/>
  <c r="J691" i="20" s="1"/>
  <c r="I690" i="20"/>
  <c r="J690" i="20" s="1"/>
  <c r="WXN247" i="20" l="1"/>
  <c r="WXJ247" i="20" s="1"/>
  <c r="WXF247" i="20" s="1"/>
  <c r="WXB247" i="20" s="1"/>
  <c r="WXM247" i="20"/>
  <c r="N693" i="20"/>
  <c r="N689" i="20"/>
  <c r="N692" i="20"/>
  <c r="N690" i="20"/>
  <c r="N691" i="20"/>
  <c r="N731" i="17"/>
  <c r="M730" i="17"/>
  <c r="N728" i="17"/>
  <c r="WXI247" i="20" l="1"/>
  <c r="WXE247" i="20" s="1"/>
  <c r="WXA247" i="20" s="1"/>
  <c r="WWW247" i="20" s="1"/>
  <c r="WXH247" i="20"/>
  <c r="N729" i="17"/>
  <c r="M731" i="17"/>
  <c r="M729" i="17"/>
  <c r="O729" i="17"/>
  <c r="M728" i="17"/>
  <c r="O731" i="17"/>
  <c r="N730" i="17"/>
  <c r="O730" i="17"/>
  <c r="O728" i="17"/>
  <c r="H768" i="20"/>
  <c r="H767" i="20"/>
  <c r="H766" i="20"/>
  <c r="H765" i="20"/>
  <c r="WXD247" i="20" l="1"/>
  <c r="WWZ247" i="20" s="1"/>
  <c r="WWV247" i="20" s="1"/>
  <c r="WWR247" i="20" s="1"/>
  <c r="WXC247" i="20"/>
  <c r="O451" i="20"/>
  <c r="O339" i="20"/>
  <c r="N20" i="20"/>
  <c r="J14" i="20"/>
  <c r="L14" i="20" s="1"/>
  <c r="WWY247" i="20" l="1"/>
  <c r="WWU247" i="20" s="1"/>
  <c r="WWQ247" i="20" s="1"/>
  <c r="WWM247" i="20" s="1"/>
  <c r="WWX247" i="20"/>
  <c r="N15" i="20"/>
  <c r="N16" i="20"/>
  <c r="N17" i="20"/>
  <c r="M17" i="20"/>
  <c r="M16" i="20"/>
  <c r="M15" i="20"/>
  <c r="R9" i="20"/>
  <c r="WWT247" i="20" l="1"/>
  <c r="WWP247" i="20" s="1"/>
  <c r="WWL247" i="20" s="1"/>
  <c r="WWH247" i="20" s="1"/>
  <c r="WWS247" i="20"/>
  <c r="O17" i="20"/>
  <c r="O16" i="20"/>
  <c r="O15" i="20"/>
  <c r="N14" i="20"/>
  <c r="H56" i="20"/>
  <c r="WWO247" i="20" l="1"/>
  <c r="WWK247" i="20" s="1"/>
  <c r="WWG247" i="20" s="1"/>
  <c r="WWC247" i="20" s="1"/>
  <c r="WWN247" i="20"/>
  <c r="N405" i="17"/>
  <c r="M407" i="17"/>
  <c r="M410" i="17"/>
  <c r="M406" i="17"/>
  <c r="M408" i="17"/>
  <c r="O409" i="17"/>
  <c r="M411" i="17"/>
  <c r="O411" i="17"/>
  <c r="N411" i="17"/>
  <c r="N409" i="17"/>
  <c r="M409" i="17"/>
  <c r="O407" i="17"/>
  <c r="N407" i="17"/>
  <c r="O410" i="17"/>
  <c r="O406" i="17"/>
  <c r="N410" i="17"/>
  <c r="N406" i="17"/>
  <c r="M405" i="17"/>
  <c r="O408" i="17"/>
  <c r="N408" i="17"/>
  <c r="O405" i="17"/>
  <c r="WWJ247" i="20" l="1"/>
  <c r="WWF247" i="20" s="1"/>
  <c r="WWB247" i="20" s="1"/>
  <c r="WVX247" i="20" s="1"/>
  <c r="WWI247" i="20"/>
  <c r="O418" i="1"/>
  <c r="W418" i="1" s="1"/>
  <c r="H418" i="1"/>
  <c r="O415" i="1"/>
  <c r="W415" i="1" s="1"/>
  <c r="H415" i="1"/>
  <c r="O414" i="1"/>
  <c r="H414" i="1"/>
  <c r="O410" i="1"/>
  <c r="W410" i="1" s="1"/>
  <c r="H410" i="1"/>
  <c r="O409" i="1"/>
  <c r="W409" i="1" s="1"/>
  <c r="H409" i="1"/>
  <c r="O408" i="1"/>
  <c r="W408" i="1" s="1"/>
  <c r="H408"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H236" i="20"/>
  <c r="H235" i="20"/>
  <c r="H234" i="20"/>
  <c r="H233" i="20"/>
  <c r="H232" i="20"/>
  <c r="H231" i="20"/>
  <c r="H230" i="20"/>
  <c r="WWE247" i="20" l="1"/>
  <c r="WWA247" i="20" s="1"/>
  <c r="WVW247" i="20" s="1"/>
  <c r="WVS247" i="20" s="1"/>
  <c r="WWD247" i="20"/>
  <c r="W414" i="1"/>
  <c r="K239" i="20" s="1"/>
  <c r="L239" i="20" s="1"/>
  <c r="I239" i="20"/>
  <c r="J239" i="20" s="1"/>
  <c r="K230" i="20"/>
  <c r="L230" i="20" s="1"/>
  <c r="I234" i="20"/>
  <c r="J234" i="20" s="1"/>
  <c r="Q234" i="20" s="1"/>
  <c r="K236" i="20"/>
  <c r="L236" i="20" s="1"/>
  <c r="K234" i="20"/>
  <c r="L234" i="20" s="1"/>
  <c r="K232" i="20"/>
  <c r="L232" i="20" s="1"/>
  <c r="K231" i="20"/>
  <c r="L231" i="20" s="1"/>
  <c r="I231" i="20"/>
  <c r="J231" i="20" s="1"/>
  <c r="Q231" i="20" s="1"/>
  <c r="K235" i="20"/>
  <c r="L235" i="20" s="1"/>
  <c r="I233" i="20"/>
  <c r="J233" i="20" s="1"/>
  <c r="Q233" i="20" s="1"/>
  <c r="K233" i="20"/>
  <c r="L233" i="20" s="1"/>
  <c r="I232" i="20"/>
  <c r="J232" i="20" s="1"/>
  <c r="Q232" i="20" s="1"/>
  <c r="I235" i="20"/>
  <c r="J235" i="20" s="1"/>
  <c r="Q235" i="20" s="1"/>
  <c r="I230" i="20"/>
  <c r="J230" i="20" s="1"/>
  <c r="Q230" i="20" s="1"/>
  <c r="I236" i="20"/>
  <c r="J236" i="20" s="1"/>
  <c r="Q236" i="20" s="1"/>
  <c r="WVZ247" i="20" l="1"/>
  <c r="WVV247" i="20" s="1"/>
  <c r="WVR247" i="20" s="1"/>
  <c r="WVN247" i="20" s="1"/>
  <c r="WVY247" i="20"/>
  <c r="N239" i="20"/>
  <c r="O239" i="20" s="1"/>
  <c r="N234" i="20"/>
  <c r="O234" i="20" s="1"/>
  <c r="N233" i="20"/>
  <c r="O233" i="20" s="1"/>
  <c r="N231" i="20"/>
  <c r="O231" i="20" s="1"/>
  <c r="N236" i="20"/>
  <c r="O236" i="20" s="1"/>
  <c r="N232" i="20"/>
  <c r="O232" i="20" s="1"/>
  <c r="N230" i="20"/>
  <c r="O230" i="20" s="1"/>
  <c r="N235" i="20"/>
  <c r="O235" i="20" s="1"/>
  <c r="H278" i="20"/>
  <c r="O926" i="1"/>
  <c r="O925" i="1"/>
  <c r="O906" i="1"/>
  <c r="W906" i="1" s="1"/>
  <c r="O903" i="1"/>
  <c r="W903" i="1" s="1"/>
  <c r="O897" i="1"/>
  <c r="W897" i="1" s="1"/>
  <c r="O901" i="1"/>
  <c r="W901" i="1" s="1"/>
  <c r="H903" i="1"/>
  <c r="H901" i="1"/>
  <c r="H906" i="1"/>
  <c r="H897" i="1"/>
  <c r="WVU247" i="20" l="1"/>
  <c r="WVQ247" i="20" s="1"/>
  <c r="WVM247" i="20" s="1"/>
  <c r="WVI247" i="20" s="1"/>
  <c r="WVT247" i="20"/>
  <c r="H861" i="1"/>
  <c r="WVP247" i="20" l="1"/>
  <c r="WVL247" i="20" s="1"/>
  <c r="WVH247" i="20" s="1"/>
  <c r="WVD247" i="20" s="1"/>
  <c r="WVO247" i="20"/>
  <c r="H689" i="1"/>
  <c r="WVK247" i="20" l="1"/>
  <c r="WVG247" i="20" s="1"/>
  <c r="WVC247" i="20" s="1"/>
  <c r="WUY247" i="20" s="1"/>
  <c r="WVJ247" i="20"/>
  <c r="H339" i="20"/>
  <c r="O1001" i="1"/>
  <c r="W1001" i="1" s="1"/>
  <c r="H1001" i="1"/>
  <c r="WVF247" i="20" l="1"/>
  <c r="WVB247" i="20" s="1"/>
  <c r="WUX247" i="20" s="1"/>
  <c r="WUT247" i="20" s="1"/>
  <c r="WVE247" i="20"/>
  <c r="M461" i="17"/>
  <c r="O461" i="17"/>
  <c r="N461" i="17"/>
  <c r="WVA247" i="20" l="1"/>
  <c r="WUW247" i="20" s="1"/>
  <c r="WUS247" i="20" s="1"/>
  <c r="WUO247" i="20" s="1"/>
  <c r="WUZ247" i="20"/>
  <c r="O1525" i="1"/>
  <c r="O1524" i="1"/>
  <c r="O1523" i="1"/>
  <c r="O1522" i="1"/>
  <c r="O1521" i="1"/>
  <c r="O1520" i="1"/>
  <c r="O1519" i="1"/>
  <c r="O1518" i="1"/>
  <c r="O1517" i="1"/>
  <c r="W1516" i="1"/>
  <c r="K763" i="20" s="1"/>
  <c r="L763" i="20" s="1"/>
  <c r="W1514" i="1"/>
  <c r="K762" i="20" s="1"/>
  <c r="L762" i="20" s="1"/>
  <c r="W1513" i="1"/>
  <c r="K761" i="20" s="1"/>
  <c r="L761" i="20" s="1"/>
  <c r="W1512" i="1"/>
  <c r="K760" i="20" s="1"/>
  <c r="L760" i="20" s="1"/>
  <c r="W1511" i="1"/>
  <c r="K759" i="20" s="1"/>
  <c r="L759" i="20" s="1"/>
  <c r="W1510" i="1"/>
  <c r="K758" i="20" s="1"/>
  <c r="L758" i="20" s="1"/>
  <c r="W1509" i="1"/>
  <c r="K757" i="20" s="1"/>
  <c r="L757" i="20" s="1"/>
  <c r="W1508" i="1"/>
  <c r="K756" i="20" s="1"/>
  <c r="L756" i="20" s="1"/>
  <c r="W1507" i="1"/>
  <c r="K755" i="20" s="1"/>
  <c r="L755" i="20" s="1"/>
  <c r="W1506" i="1"/>
  <c r="K754" i="20" s="1"/>
  <c r="L754" i="20" s="1"/>
  <c r="W1505" i="1"/>
  <c r="K753" i="20" s="1"/>
  <c r="L753" i="20" s="1"/>
  <c r="W1254" i="1"/>
  <c r="K752" i="20" s="1"/>
  <c r="L752" i="20" s="1"/>
  <c r="W1256" i="1"/>
  <c r="K751" i="20" s="1"/>
  <c r="L751" i="20" s="1"/>
  <c r="W1245" i="1"/>
  <c r="K750" i="20" s="1"/>
  <c r="L750" i="20" s="1"/>
  <c r="W1252" i="1"/>
  <c r="K749" i="20" s="1"/>
  <c r="L749" i="20" s="1"/>
  <c r="W1253" i="1"/>
  <c r="K748" i="20" s="1"/>
  <c r="L748" i="20" s="1"/>
  <c r="W1255" i="1"/>
  <c r="K747" i="20" s="1"/>
  <c r="L747" i="20" s="1"/>
  <c r="W1504" i="1"/>
  <c r="K746" i="20" s="1"/>
  <c r="L746" i="20" s="1"/>
  <c r="W1450" i="1"/>
  <c r="K745" i="20" s="1"/>
  <c r="L745" i="20" s="1"/>
  <c r="W1449" i="1"/>
  <c r="K744" i="20" s="1"/>
  <c r="L744" i="20" s="1"/>
  <c r="W1448" i="1"/>
  <c r="K743" i="20" s="1"/>
  <c r="L743" i="20" s="1"/>
  <c r="W1447" i="1"/>
  <c r="K742" i="20" s="1"/>
  <c r="L742" i="20" s="1"/>
  <c r="W1446" i="1"/>
  <c r="K741" i="20" s="1"/>
  <c r="L741" i="20" s="1"/>
  <c r="W1445" i="1"/>
  <c r="K740" i="20" s="1"/>
  <c r="L740" i="20" s="1"/>
  <c r="W1444" i="1"/>
  <c r="K739" i="20" s="1"/>
  <c r="L739" i="20" s="1"/>
  <c r="W1443" i="1"/>
  <c r="K738" i="20" s="1"/>
  <c r="L738" i="20" s="1"/>
  <c r="W1442" i="1"/>
  <c r="K737" i="20" s="1"/>
  <c r="L737" i="20" s="1"/>
  <c r="W1441" i="1"/>
  <c r="K736" i="20" s="1"/>
  <c r="L736" i="20" s="1"/>
  <c r="W1440" i="1"/>
  <c r="K735" i="20" s="1"/>
  <c r="L735" i="20" s="1"/>
  <c r="W1439" i="1"/>
  <c r="K734" i="20" s="1"/>
  <c r="L734" i="20" s="1"/>
  <c r="W1438" i="1"/>
  <c r="K733" i="20" s="1"/>
  <c r="L733" i="20" s="1"/>
  <c r="W1437" i="1"/>
  <c r="K732" i="20" s="1"/>
  <c r="L732" i="20" s="1"/>
  <c r="W1436" i="1"/>
  <c r="K731" i="20" s="1"/>
  <c r="L731" i="20" s="1"/>
  <c r="W1435" i="1"/>
  <c r="K723" i="20" s="1"/>
  <c r="L723" i="20" s="1"/>
  <c r="W1434" i="1"/>
  <c r="K722" i="20" s="1"/>
  <c r="L722" i="20" s="1"/>
  <c r="W1426" i="1"/>
  <c r="K721" i="20" s="1"/>
  <c r="L721" i="20" s="1"/>
  <c r="W1425" i="1"/>
  <c r="K720" i="20" s="1"/>
  <c r="L720" i="20" s="1"/>
  <c r="W1424" i="1"/>
  <c r="K719" i="20" s="1"/>
  <c r="L719" i="20" s="1"/>
  <c r="W1423" i="1"/>
  <c r="K718" i="20" s="1"/>
  <c r="L718" i="20" s="1"/>
  <c r="W1422" i="1"/>
  <c r="K717" i="20" s="1"/>
  <c r="L717" i="20" s="1"/>
  <c r="W1421" i="1"/>
  <c r="K716" i="20" s="1"/>
  <c r="L716" i="20" s="1"/>
  <c r="W1420" i="1"/>
  <c r="K715" i="20" s="1"/>
  <c r="L715" i="20" s="1"/>
  <c r="W1419" i="1"/>
  <c r="K714" i="20" s="1"/>
  <c r="L714" i="20" s="1"/>
  <c r="W1418" i="1"/>
  <c r="K713" i="20" s="1"/>
  <c r="L713" i="20" s="1"/>
  <c r="W1417" i="1"/>
  <c r="K712" i="20" s="1"/>
  <c r="L712" i="20" s="1"/>
  <c r="W1416" i="1"/>
  <c r="K711" i="20" s="1"/>
  <c r="L711" i="20" s="1"/>
  <c r="W1415" i="1"/>
  <c r="K710" i="20" s="1"/>
  <c r="L710" i="20" s="1"/>
  <c r="W1414" i="1"/>
  <c r="K709" i="20" s="1"/>
  <c r="L709" i="20" s="1"/>
  <c r="W1413" i="1"/>
  <c r="K708" i="20" s="1"/>
  <c r="L708" i="20" s="1"/>
  <c r="W1412" i="1"/>
  <c r="K707" i="20" s="1"/>
  <c r="L707" i="20" s="1"/>
  <c r="W1411" i="1"/>
  <c r="K706" i="20" s="1"/>
  <c r="L706" i="20" s="1"/>
  <c r="W1410" i="1"/>
  <c r="K705" i="20" s="1"/>
  <c r="L705" i="20" s="1"/>
  <c r="W1409" i="1"/>
  <c r="K704" i="20" s="1"/>
  <c r="L704" i="20" s="1"/>
  <c r="W1408" i="1"/>
  <c r="K703" i="20" s="1"/>
  <c r="L703" i="20" s="1"/>
  <c r="H1517" i="1"/>
  <c r="H1518" i="1"/>
  <c r="H1519" i="1"/>
  <c r="H1520" i="1"/>
  <c r="H1521" i="1"/>
  <c r="H1522" i="1"/>
  <c r="H1523" i="1"/>
  <c r="H1524" i="1"/>
  <c r="H1525" i="1"/>
  <c r="O419" i="17"/>
  <c r="WUV247" i="20" l="1"/>
  <c r="WUR247" i="20" s="1"/>
  <c r="WUN247" i="20" s="1"/>
  <c r="WUJ247" i="20" s="1"/>
  <c r="WUU247" i="20"/>
  <c r="W1519" i="1"/>
  <c r="K419" i="20" s="1"/>
  <c r="L419" i="20" s="1"/>
  <c r="I419" i="20"/>
  <c r="J419" i="20" s="1"/>
  <c r="Q419" i="20" s="1"/>
  <c r="W1518" i="1"/>
  <c r="K418" i="20" s="1"/>
  <c r="L418" i="20" s="1"/>
  <c r="I418" i="20"/>
  <c r="J418" i="20" s="1"/>
  <c r="Q418" i="20" s="1"/>
  <c r="W1520" i="1"/>
  <c r="K420" i="20" s="1"/>
  <c r="L420" i="20" s="1"/>
  <c r="I420" i="20"/>
  <c r="J420" i="20" s="1"/>
  <c r="Q420" i="20" s="1"/>
  <c r="W1521" i="1"/>
  <c r="K421" i="20" s="1"/>
  <c r="L421" i="20" s="1"/>
  <c r="I421" i="20"/>
  <c r="J421" i="20" s="1"/>
  <c r="Q421" i="20" s="1"/>
  <c r="W1522" i="1"/>
  <c r="K422" i="20" s="1"/>
  <c r="L422" i="20" s="1"/>
  <c r="I422" i="20"/>
  <c r="J422" i="20" s="1"/>
  <c r="Q422" i="20" s="1"/>
  <c r="W1523" i="1"/>
  <c r="K423" i="20" s="1"/>
  <c r="L423" i="20" s="1"/>
  <c r="I423" i="20"/>
  <c r="J423" i="20" s="1"/>
  <c r="Q423" i="20" s="1"/>
  <c r="W1517" i="1"/>
  <c r="K417" i="20" s="1"/>
  <c r="L417" i="20" s="1"/>
  <c r="I417" i="20"/>
  <c r="J417" i="20" s="1"/>
  <c r="Q417" i="20" s="1"/>
  <c r="W1524" i="1"/>
  <c r="K324" i="20" s="1"/>
  <c r="L324" i="20" s="1"/>
  <c r="I324" i="20"/>
  <c r="J324" i="20" s="1"/>
  <c r="W1525" i="1"/>
  <c r="K325" i="20" s="1"/>
  <c r="L325" i="20" s="1"/>
  <c r="I325" i="20"/>
  <c r="J325" i="20" s="1"/>
  <c r="O245" i="17"/>
  <c r="N245" i="17"/>
  <c r="M245" i="17"/>
  <c r="M552" i="17"/>
  <c r="N552" i="17"/>
  <c r="O552" i="17"/>
  <c r="M553" i="17"/>
  <c r="N553" i="17"/>
  <c r="O553" i="17"/>
  <c r="M554" i="17"/>
  <c r="N554" i="17"/>
  <c r="O554" i="17"/>
  <c r="M555" i="17"/>
  <c r="N555" i="17"/>
  <c r="O555" i="17"/>
  <c r="M556" i="17"/>
  <c r="N556" i="17"/>
  <c r="O556" i="17"/>
  <c r="M557" i="17"/>
  <c r="N557" i="17"/>
  <c r="O557" i="17"/>
  <c r="M558" i="17"/>
  <c r="N558" i="17"/>
  <c r="O558" i="17"/>
  <c r="M559" i="17"/>
  <c r="N559" i="17"/>
  <c r="O559" i="17"/>
  <c r="M560" i="17"/>
  <c r="N560" i="17"/>
  <c r="O560" i="17"/>
  <c r="O265" i="17"/>
  <c r="O354" i="17"/>
  <c r="O447" i="17"/>
  <c r="O496" i="17"/>
  <c r="O544" i="17"/>
  <c r="O589" i="17"/>
  <c r="O258" i="17"/>
  <c r="O266" i="17"/>
  <c r="O275" i="17"/>
  <c r="O283" i="17"/>
  <c r="O291" i="17"/>
  <c r="O299" i="17"/>
  <c r="O307" i="17"/>
  <c r="O315" i="17"/>
  <c r="O323" i="17"/>
  <c r="O331" i="17"/>
  <c r="O339" i="17"/>
  <c r="O348" i="17"/>
  <c r="O355" i="17"/>
  <c r="O362" i="17"/>
  <c r="O370" i="17"/>
  <c r="O377" i="17"/>
  <c r="O384" i="17"/>
  <c r="O392" i="17"/>
  <c r="O400" i="17"/>
  <c r="O424" i="17"/>
  <c r="O432" i="17"/>
  <c r="O440" i="17"/>
  <c r="O448" i="17"/>
  <c r="O456" i="17"/>
  <c r="O465" i="17"/>
  <c r="O473" i="17"/>
  <c r="O481" i="17"/>
  <c r="O489" i="17"/>
  <c r="O497" i="17"/>
  <c r="O505" i="17"/>
  <c r="O513" i="17"/>
  <c r="O521" i="17"/>
  <c r="O529" i="17"/>
  <c r="O537" i="17"/>
  <c r="O545" i="17"/>
  <c r="O562" i="17"/>
  <c r="O566" i="17"/>
  <c r="O574" i="17"/>
  <c r="O582" i="17"/>
  <c r="O590" i="17"/>
  <c r="O595" i="17"/>
  <c r="O110" i="17"/>
  <c r="O603" i="17"/>
  <c r="O611" i="17"/>
  <c r="O614" i="17"/>
  <c r="O249" i="17"/>
  <c r="O268" i="17"/>
  <c r="O309" i="17"/>
  <c r="O341" i="17"/>
  <c r="O364" i="17"/>
  <c r="O394" i="17"/>
  <c r="O434" i="17"/>
  <c r="O450" i="17"/>
  <c r="O467" i="17"/>
  <c r="O499" i="17"/>
  <c r="O515" i="17"/>
  <c r="O531" i="17"/>
  <c r="O539" i="17"/>
  <c r="O568" i="17"/>
  <c r="O584" i="17"/>
  <c r="O120" i="17"/>
  <c r="O613" i="17"/>
  <c r="O286" i="17"/>
  <c r="O302" i="17"/>
  <c r="O334" i="17"/>
  <c r="O358" i="17"/>
  <c r="O380" i="17"/>
  <c r="O387" i="17"/>
  <c r="O403" i="17"/>
  <c r="O257" i="17"/>
  <c r="O306" i="17"/>
  <c r="O347" i="17"/>
  <c r="O376" i="17"/>
  <c r="O399" i="17"/>
  <c r="O423" i="17"/>
  <c r="O464" i="17"/>
  <c r="O488" i="17"/>
  <c r="O536" i="17"/>
  <c r="O581" i="17"/>
  <c r="O51" i="17"/>
  <c r="O276" i="17"/>
  <c r="O332" i="17"/>
  <c r="O385" i="17"/>
  <c r="O449" i="17"/>
  <c r="O260" i="17"/>
  <c r="O293" i="17"/>
  <c r="O317" i="17"/>
  <c r="O333" i="17"/>
  <c r="O350" i="17"/>
  <c r="O357" i="17"/>
  <c r="O386" i="17"/>
  <c r="O402" i="17"/>
  <c r="O426" i="17"/>
  <c r="O442" i="17"/>
  <c r="O458" i="17"/>
  <c r="O475" i="17"/>
  <c r="O483" i="17"/>
  <c r="O491" i="17"/>
  <c r="O507" i="17"/>
  <c r="O523" i="17"/>
  <c r="O547" i="17"/>
  <c r="O564" i="17"/>
  <c r="O576" i="17"/>
  <c r="O591" i="17"/>
  <c r="O597" i="17"/>
  <c r="O605" i="17"/>
  <c r="O242" i="17"/>
  <c r="O261" i="17"/>
  <c r="O278" i="17"/>
  <c r="O294" i="17"/>
  <c r="O318" i="17"/>
  <c r="O343" i="17"/>
  <c r="O365" i="17"/>
  <c r="O254" i="17"/>
  <c r="O262" i="17"/>
  <c r="O270" i="17"/>
  <c r="O279" i="17"/>
  <c r="O287" i="17"/>
  <c r="O295" i="17"/>
  <c r="O303" i="17"/>
  <c r="O311" i="17"/>
  <c r="O319" i="17"/>
  <c r="O327" i="17"/>
  <c r="O335" i="17"/>
  <c r="O344" i="17"/>
  <c r="O352" i="17"/>
  <c r="O359" i="17"/>
  <c r="O366" i="17"/>
  <c r="O122" i="17"/>
  <c r="O381" i="17"/>
  <c r="O388" i="17"/>
  <c r="O396" i="17"/>
  <c r="O404" i="17"/>
  <c r="O420" i="17"/>
  <c r="O428" i="17"/>
  <c r="O436" i="17"/>
  <c r="O444" i="17"/>
  <c r="O452" i="17"/>
  <c r="O460" i="17"/>
  <c r="O469" i="17"/>
  <c r="O477" i="17"/>
  <c r="O485" i="17"/>
  <c r="O493" i="17"/>
  <c r="O501" i="17"/>
  <c r="O509" i="17"/>
  <c r="O517" i="17"/>
  <c r="O525" i="17"/>
  <c r="O533" i="17"/>
  <c r="O541" i="17"/>
  <c r="O549" i="17"/>
  <c r="O102" i="17"/>
  <c r="O570" i="17"/>
  <c r="O578" i="17"/>
  <c r="O586" i="17"/>
  <c r="O117" i="17"/>
  <c r="O107" i="17"/>
  <c r="O599" i="17"/>
  <c r="O607" i="17"/>
  <c r="O236" i="17"/>
  <c r="O244" i="17"/>
  <c r="O282" i="17"/>
  <c r="O298" i="17"/>
  <c r="O314" i="17"/>
  <c r="O338" i="17"/>
  <c r="O361" i="17"/>
  <c r="O391" i="17"/>
  <c r="O439" i="17"/>
  <c r="O472" i="17"/>
  <c r="O504" i="17"/>
  <c r="O528" i="17"/>
  <c r="O573" i="17"/>
  <c r="O109" i="17"/>
  <c r="O602" i="17"/>
  <c r="O239" i="17"/>
  <c r="O179" i="17"/>
  <c r="O267" i="17"/>
  <c r="O284" i="17"/>
  <c r="O308" i="17"/>
  <c r="O324" i="17"/>
  <c r="O349" i="17"/>
  <c r="O363" i="17"/>
  <c r="O378" i="17"/>
  <c r="O401" i="17"/>
  <c r="O441" i="17"/>
  <c r="O466" i="17"/>
  <c r="O482" i="17"/>
  <c r="O498" i="17"/>
  <c r="O514" i="17"/>
  <c r="O530" i="17"/>
  <c r="O563" i="17"/>
  <c r="O567" i="17"/>
  <c r="O583" i="17"/>
  <c r="O119" i="17"/>
  <c r="O113" i="17"/>
  <c r="O612" i="17"/>
  <c r="O250" i="17"/>
  <c r="O285" i="17"/>
  <c r="O301" i="17"/>
  <c r="O379" i="17"/>
  <c r="O427" i="17"/>
  <c r="O435" i="17"/>
  <c r="O443" i="17"/>
  <c r="O451" i="17"/>
  <c r="O459" i="17"/>
  <c r="O468" i="17"/>
  <c r="O476" i="17"/>
  <c r="O484" i="17"/>
  <c r="O492" i="17"/>
  <c r="O500" i="17"/>
  <c r="O508" i="17"/>
  <c r="O516" i="17"/>
  <c r="O524" i="17"/>
  <c r="O532" i="17"/>
  <c r="O540" i="17"/>
  <c r="O548" i="17"/>
  <c r="O565" i="17"/>
  <c r="O569" i="17"/>
  <c r="O577" i="17"/>
  <c r="O585" i="17"/>
  <c r="O592" i="17"/>
  <c r="O106" i="17"/>
  <c r="O598" i="17"/>
  <c r="O606" i="17"/>
  <c r="O178" i="17"/>
  <c r="O243" i="17"/>
  <c r="O255" i="17"/>
  <c r="O263" i="17"/>
  <c r="O272" i="17"/>
  <c r="O280" i="17"/>
  <c r="O288" i="17"/>
  <c r="O296" i="17"/>
  <c r="O304" i="17"/>
  <c r="O312" i="17"/>
  <c r="O320" i="17"/>
  <c r="O328" i="17"/>
  <c r="O336" i="17"/>
  <c r="O345" i="17"/>
  <c r="O353" i="17"/>
  <c r="O121" i="17"/>
  <c r="O367" i="17"/>
  <c r="O374" i="17"/>
  <c r="O96" i="17"/>
  <c r="O389" i="17"/>
  <c r="O397" i="17"/>
  <c r="O412" i="17"/>
  <c r="O421" i="17"/>
  <c r="O429" i="17"/>
  <c r="O437" i="17"/>
  <c r="O445" i="17"/>
  <c r="O453" i="17"/>
  <c r="O462" i="17"/>
  <c r="O470" i="17"/>
  <c r="O478" i="17"/>
  <c r="O486" i="17"/>
  <c r="O494" i="17"/>
  <c r="O502" i="17"/>
  <c r="O510" i="17"/>
  <c r="O518" i="17"/>
  <c r="O526" i="17"/>
  <c r="O534" i="17"/>
  <c r="O542" i="17"/>
  <c r="O550" i="17"/>
  <c r="O103" i="17"/>
  <c r="O571" i="17"/>
  <c r="O579" i="17"/>
  <c r="O587" i="17"/>
  <c r="O118" i="17"/>
  <c r="O108" i="17"/>
  <c r="O600" i="17"/>
  <c r="O608" i="17"/>
  <c r="O237" i="17"/>
  <c r="O246" i="17"/>
  <c r="O274" i="17"/>
  <c r="O290" i="17"/>
  <c r="O322" i="17"/>
  <c r="O330" i="17"/>
  <c r="O369" i="17"/>
  <c r="O383" i="17"/>
  <c r="O431" i="17"/>
  <c r="O455" i="17"/>
  <c r="O480" i="17"/>
  <c r="O512" i="17"/>
  <c r="O520" i="17"/>
  <c r="O561" i="17"/>
  <c r="O105" i="17"/>
  <c r="O594" i="17"/>
  <c r="O610" i="17"/>
  <c r="O259" i="17"/>
  <c r="O292" i="17"/>
  <c r="O300" i="17"/>
  <c r="O316" i="17"/>
  <c r="O340" i="17"/>
  <c r="O356" i="17"/>
  <c r="O371" i="17"/>
  <c r="O393" i="17"/>
  <c r="O425" i="17"/>
  <c r="O433" i="17"/>
  <c r="O457" i="17"/>
  <c r="O474" i="17"/>
  <c r="O490" i="17"/>
  <c r="O506" i="17"/>
  <c r="O522" i="17"/>
  <c r="O538" i="17"/>
  <c r="O546" i="17"/>
  <c r="O575" i="17"/>
  <c r="O116" i="17"/>
  <c r="O604" i="17"/>
  <c r="O241" i="17"/>
  <c r="O52" i="17"/>
  <c r="O277" i="17"/>
  <c r="O325" i="17"/>
  <c r="O372" i="17"/>
  <c r="O53" i="17"/>
  <c r="O269" i="17"/>
  <c r="O310" i="17"/>
  <c r="O326" i="17"/>
  <c r="O351" i="17"/>
  <c r="O373" i="17"/>
  <c r="O395" i="17"/>
  <c r="O256" i="17"/>
  <c r="O264" i="17"/>
  <c r="O273" i="17"/>
  <c r="O281" i="17"/>
  <c r="O289" i="17"/>
  <c r="O297" i="17"/>
  <c r="O305" i="17"/>
  <c r="O313" i="17"/>
  <c r="O321" i="17"/>
  <c r="O329" i="17"/>
  <c r="O337" i="17"/>
  <c r="O346" i="17"/>
  <c r="O94" i="17"/>
  <c r="O360" i="17"/>
  <c r="O368" i="17"/>
  <c r="O375" i="17"/>
  <c r="O382" i="17"/>
  <c r="O390" i="17"/>
  <c r="O398" i="17"/>
  <c r="O177" i="17"/>
  <c r="O422" i="17"/>
  <c r="O430" i="17"/>
  <c r="O438" i="17"/>
  <c r="O446" i="17"/>
  <c r="O454" i="17"/>
  <c r="O463" i="17"/>
  <c r="O471" i="17"/>
  <c r="O479" i="17"/>
  <c r="O487" i="17"/>
  <c r="O495" i="17"/>
  <c r="O503" i="17"/>
  <c r="O511" i="17"/>
  <c r="O519" i="17"/>
  <c r="O527" i="17"/>
  <c r="O535" i="17"/>
  <c r="O543" i="17"/>
  <c r="O551" i="17"/>
  <c r="O104" i="17"/>
  <c r="O572" i="17"/>
  <c r="O580" i="17"/>
  <c r="O588" i="17"/>
  <c r="O593" i="17"/>
  <c r="O596" i="17"/>
  <c r="O601" i="17"/>
  <c r="O609" i="17"/>
  <c r="O238" i="17"/>
  <c r="O247" i="17"/>
  <c r="M615" i="17"/>
  <c r="O615" i="17"/>
  <c r="N615" i="17"/>
  <c r="M627" i="17"/>
  <c r="O627" i="17"/>
  <c r="N627" i="17"/>
  <c r="M182" i="17"/>
  <c r="O182" i="17"/>
  <c r="N182" i="17"/>
  <c r="M636" i="17"/>
  <c r="O636" i="17"/>
  <c r="N636" i="17"/>
  <c r="O171" i="17"/>
  <c r="M171" i="17"/>
  <c r="N171" i="17"/>
  <c r="O650" i="17"/>
  <c r="N650" i="17"/>
  <c r="M650" i="17"/>
  <c r="O172" i="17"/>
  <c r="M172" i="17"/>
  <c r="N172" i="17"/>
  <c r="O660" i="17"/>
  <c r="N660" i="17"/>
  <c r="M660" i="17"/>
  <c r="O673" i="17"/>
  <c r="N673" i="17"/>
  <c r="M673" i="17"/>
  <c r="O681" i="17"/>
  <c r="M681" i="17"/>
  <c r="N681" i="17"/>
  <c r="M689" i="17"/>
  <c r="N689" i="17"/>
  <c r="O689" i="17"/>
  <c r="M697" i="17"/>
  <c r="O697" i="17"/>
  <c r="N697" i="17"/>
  <c r="M700" i="17"/>
  <c r="N700" i="17"/>
  <c r="O700" i="17"/>
  <c r="M708" i="17"/>
  <c r="O708" i="17"/>
  <c r="N708" i="17"/>
  <c r="M712" i="17"/>
  <c r="O712" i="17"/>
  <c r="N712" i="17"/>
  <c r="M720" i="17"/>
  <c r="O720" i="17"/>
  <c r="N720" i="17"/>
  <c r="M727" i="17"/>
  <c r="O727" i="17"/>
  <c r="N727" i="17"/>
  <c r="M732" i="17"/>
  <c r="N732" i="17"/>
  <c r="O732" i="17"/>
  <c r="M736" i="17"/>
  <c r="O736" i="17"/>
  <c r="N736" i="17"/>
  <c r="N616" i="17"/>
  <c r="M616" i="17"/>
  <c r="O616" i="17"/>
  <c r="N620" i="17"/>
  <c r="M620" i="17"/>
  <c r="O620" i="17"/>
  <c r="N628" i="17"/>
  <c r="M628" i="17"/>
  <c r="O628" i="17"/>
  <c r="N632" i="17"/>
  <c r="O632" i="17"/>
  <c r="M632" i="17"/>
  <c r="N634" i="17"/>
  <c r="O634" i="17"/>
  <c r="M634" i="17"/>
  <c r="N641" i="17"/>
  <c r="O641" i="17"/>
  <c r="M641" i="17"/>
  <c r="N647" i="17"/>
  <c r="O647" i="17"/>
  <c r="M647" i="17"/>
  <c r="M652" i="17"/>
  <c r="O652" i="17"/>
  <c r="N652" i="17"/>
  <c r="M657" i="17"/>
  <c r="N657" i="17"/>
  <c r="O657" i="17"/>
  <c r="M665" i="17"/>
  <c r="O665" i="17"/>
  <c r="N665" i="17"/>
  <c r="M678" i="17"/>
  <c r="O678" i="17"/>
  <c r="N678" i="17"/>
  <c r="N686" i="17"/>
  <c r="O686" i="17"/>
  <c r="M686" i="17"/>
  <c r="N694" i="17"/>
  <c r="O694" i="17"/>
  <c r="M694" i="17"/>
  <c r="N222" i="17"/>
  <c r="O222" i="17"/>
  <c r="M222" i="17"/>
  <c r="N705" i="17"/>
  <c r="O705" i="17"/>
  <c r="M705" i="17"/>
  <c r="N717" i="17"/>
  <c r="O717" i="17"/>
  <c r="M717" i="17"/>
  <c r="N725" i="17"/>
  <c r="M725" i="17"/>
  <c r="O725" i="17"/>
  <c r="N737" i="17"/>
  <c r="O737" i="17"/>
  <c r="M737" i="17"/>
  <c r="M619" i="17"/>
  <c r="O619" i="17"/>
  <c r="N619" i="17"/>
  <c r="M623" i="17"/>
  <c r="O623" i="17"/>
  <c r="N623" i="17"/>
  <c r="M631" i="17"/>
  <c r="O631" i="17"/>
  <c r="N631" i="17"/>
  <c r="M640" i="17"/>
  <c r="O640" i="17"/>
  <c r="N640" i="17"/>
  <c r="O646" i="17"/>
  <c r="N646" i="17"/>
  <c r="M646" i="17"/>
  <c r="O183" i="17"/>
  <c r="N183" i="17"/>
  <c r="M183" i="17"/>
  <c r="O656" i="17"/>
  <c r="N656" i="17"/>
  <c r="M656" i="17"/>
  <c r="O664" i="17"/>
  <c r="N664" i="17"/>
  <c r="M664" i="17"/>
  <c r="O677" i="17"/>
  <c r="N677" i="17"/>
  <c r="M677" i="17"/>
  <c r="M685" i="17"/>
  <c r="O685" i="17"/>
  <c r="N685" i="17"/>
  <c r="M693" i="17"/>
  <c r="O693" i="17"/>
  <c r="N693" i="17"/>
  <c r="M221" i="17"/>
  <c r="O221" i="17"/>
  <c r="N221" i="17"/>
  <c r="M704" i="17"/>
  <c r="O704" i="17"/>
  <c r="N704" i="17"/>
  <c r="M716" i="17"/>
  <c r="N716" i="17"/>
  <c r="O716" i="17"/>
  <c r="M724" i="17"/>
  <c r="O724" i="17"/>
  <c r="N724" i="17"/>
  <c r="M740" i="17"/>
  <c r="O740" i="17"/>
  <c r="N740" i="17"/>
  <c r="N624" i="17"/>
  <c r="M624" i="17"/>
  <c r="O624" i="17"/>
  <c r="N637" i="17"/>
  <c r="M637" i="17"/>
  <c r="O637" i="17"/>
  <c r="O643" i="17"/>
  <c r="N643" i="17"/>
  <c r="M643" i="17"/>
  <c r="M114" i="17"/>
  <c r="O114" i="17"/>
  <c r="N114" i="17"/>
  <c r="M173" i="17"/>
  <c r="O173" i="17"/>
  <c r="N173" i="17"/>
  <c r="M661" i="17"/>
  <c r="O661" i="17"/>
  <c r="N661" i="17"/>
  <c r="M674" i="17"/>
  <c r="O674" i="17"/>
  <c r="N674" i="17"/>
  <c r="N682" i="17"/>
  <c r="M682" i="17"/>
  <c r="O682" i="17"/>
  <c r="N690" i="17"/>
  <c r="O690" i="17"/>
  <c r="M690" i="17"/>
  <c r="N698" i="17"/>
  <c r="M698" i="17"/>
  <c r="O698" i="17"/>
  <c r="N208" i="17"/>
  <c r="M208" i="17"/>
  <c r="O208" i="17"/>
  <c r="N713" i="17"/>
  <c r="O713" i="17"/>
  <c r="M713" i="17"/>
  <c r="N721" i="17"/>
  <c r="O721" i="17"/>
  <c r="M721" i="17"/>
  <c r="N733" i="17"/>
  <c r="O733" i="17"/>
  <c r="M733" i="17"/>
  <c r="O741" i="17"/>
  <c r="N741" i="17"/>
  <c r="M741" i="17"/>
  <c r="O617" i="17"/>
  <c r="N617" i="17"/>
  <c r="M617" i="17"/>
  <c r="O621" i="17"/>
  <c r="N621" i="17"/>
  <c r="M621" i="17"/>
  <c r="O625" i="17"/>
  <c r="N625" i="17"/>
  <c r="M625" i="17"/>
  <c r="O629" i="17"/>
  <c r="M629" i="17"/>
  <c r="N629" i="17"/>
  <c r="O633" i="17"/>
  <c r="N633" i="17"/>
  <c r="M633" i="17"/>
  <c r="O169" i="17"/>
  <c r="M169" i="17"/>
  <c r="N169" i="17"/>
  <c r="O638" i="17"/>
  <c r="N638" i="17"/>
  <c r="M638" i="17"/>
  <c r="O642" i="17"/>
  <c r="N642" i="17"/>
  <c r="M642" i="17"/>
  <c r="M644" i="17"/>
  <c r="N644" i="17"/>
  <c r="O644" i="17"/>
  <c r="M648" i="17"/>
  <c r="O648" i="17"/>
  <c r="N648" i="17"/>
  <c r="M115" i="17"/>
  <c r="O115" i="17"/>
  <c r="N115" i="17"/>
  <c r="N653" i="17"/>
  <c r="M653" i="17"/>
  <c r="O653" i="17"/>
  <c r="N174" i="17"/>
  <c r="M174" i="17"/>
  <c r="O174" i="17"/>
  <c r="N658" i="17"/>
  <c r="M658" i="17"/>
  <c r="O658" i="17"/>
  <c r="N662" i="17"/>
  <c r="M662" i="17"/>
  <c r="O662" i="17"/>
  <c r="N671" i="17"/>
  <c r="M671" i="17"/>
  <c r="O671" i="17"/>
  <c r="N675" i="17"/>
  <c r="M675" i="17"/>
  <c r="O675" i="17"/>
  <c r="N679" i="17"/>
  <c r="M679" i="17"/>
  <c r="O679" i="17"/>
  <c r="O683" i="17"/>
  <c r="N683" i="17"/>
  <c r="M683" i="17"/>
  <c r="O687" i="17"/>
  <c r="N687" i="17"/>
  <c r="M687" i="17"/>
  <c r="O691" i="17"/>
  <c r="M691" i="17"/>
  <c r="N691" i="17"/>
  <c r="O695" i="17"/>
  <c r="N695" i="17"/>
  <c r="M695" i="17"/>
  <c r="O175" i="17"/>
  <c r="N175" i="17"/>
  <c r="M175" i="17"/>
  <c r="O223" i="17"/>
  <c r="N223" i="17"/>
  <c r="M223" i="17"/>
  <c r="O702" i="17"/>
  <c r="M702" i="17"/>
  <c r="N702" i="17"/>
  <c r="O706" i="17"/>
  <c r="N706" i="17"/>
  <c r="M706" i="17"/>
  <c r="O209" i="17"/>
  <c r="N209" i="17"/>
  <c r="M209" i="17"/>
  <c r="O714" i="17"/>
  <c r="N714" i="17"/>
  <c r="M714" i="17"/>
  <c r="O718" i="17"/>
  <c r="M718" i="17"/>
  <c r="N718" i="17"/>
  <c r="O722" i="17"/>
  <c r="N722" i="17"/>
  <c r="M722" i="17"/>
  <c r="O726" i="17"/>
  <c r="N726" i="17"/>
  <c r="M726" i="17"/>
  <c r="O734" i="17"/>
  <c r="M734" i="17"/>
  <c r="N734" i="17"/>
  <c r="O738" i="17"/>
  <c r="M738" i="17"/>
  <c r="N738" i="17"/>
  <c r="O180" i="17"/>
  <c r="N180" i="17"/>
  <c r="M180" i="17"/>
  <c r="N618" i="17"/>
  <c r="O618" i="17"/>
  <c r="M618" i="17"/>
  <c r="N622" i="17"/>
  <c r="O622" i="17"/>
  <c r="M622" i="17"/>
  <c r="N626" i="17"/>
  <c r="O626" i="17"/>
  <c r="M626" i="17"/>
  <c r="O630" i="17"/>
  <c r="N630" i="17"/>
  <c r="M630" i="17"/>
  <c r="N181" i="17"/>
  <c r="O181" i="17"/>
  <c r="M181" i="17"/>
  <c r="O635" i="17"/>
  <c r="N635" i="17"/>
  <c r="M635" i="17"/>
  <c r="N639" i="17"/>
  <c r="M639" i="17"/>
  <c r="O639" i="17"/>
  <c r="N170" i="17"/>
  <c r="O170" i="17"/>
  <c r="M170" i="17"/>
  <c r="N645" i="17"/>
  <c r="O645" i="17"/>
  <c r="M645" i="17"/>
  <c r="N649" i="17"/>
  <c r="M649" i="17"/>
  <c r="O649" i="17"/>
  <c r="N651" i="17"/>
  <c r="O651" i="17"/>
  <c r="M651" i="17"/>
  <c r="O654" i="17"/>
  <c r="N654" i="17"/>
  <c r="M654" i="17"/>
  <c r="O655" i="17"/>
  <c r="N655" i="17"/>
  <c r="M655" i="17"/>
  <c r="O659" i="17"/>
  <c r="N659" i="17"/>
  <c r="M659" i="17"/>
  <c r="O663" i="17"/>
  <c r="N663" i="17"/>
  <c r="M663" i="17"/>
  <c r="O672" i="17"/>
  <c r="N672" i="17"/>
  <c r="M672" i="17"/>
  <c r="O676" i="17"/>
  <c r="N676" i="17"/>
  <c r="M676" i="17"/>
  <c r="O680" i="17"/>
  <c r="N680" i="17"/>
  <c r="M680" i="17"/>
  <c r="M684" i="17"/>
  <c r="O684" i="17"/>
  <c r="N684" i="17"/>
  <c r="O688" i="17"/>
  <c r="M688" i="17"/>
  <c r="N688" i="17"/>
  <c r="O692" i="17"/>
  <c r="N692" i="17"/>
  <c r="M692" i="17"/>
  <c r="N696" i="17"/>
  <c r="M696" i="17"/>
  <c r="O696" i="17"/>
  <c r="M176" i="17"/>
  <c r="O176" i="17"/>
  <c r="N176" i="17"/>
  <c r="O703" i="17"/>
  <c r="N703" i="17"/>
  <c r="M703" i="17"/>
  <c r="N707" i="17"/>
  <c r="M707" i="17"/>
  <c r="O707" i="17"/>
  <c r="M711" i="17"/>
  <c r="O711" i="17"/>
  <c r="N711" i="17"/>
  <c r="O715" i="17"/>
  <c r="N715" i="17"/>
  <c r="M715" i="17"/>
  <c r="O719" i="17"/>
  <c r="N719" i="17"/>
  <c r="M719" i="17"/>
  <c r="N723" i="17"/>
  <c r="M723" i="17"/>
  <c r="O723" i="17"/>
  <c r="M168" i="17"/>
  <c r="O168" i="17"/>
  <c r="N168" i="17"/>
  <c r="O735" i="17"/>
  <c r="N735" i="17"/>
  <c r="M735" i="17"/>
  <c r="N739" i="17"/>
  <c r="M739" i="17"/>
  <c r="O739" i="17"/>
  <c r="O418" i="17"/>
  <c r="O54" i="17"/>
  <c r="M54" i="17"/>
  <c r="N257" i="17"/>
  <c r="N322" i="17"/>
  <c r="N383" i="17"/>
  <c r="N422" i="17"/>
  <c r="N479" i="17"/>
  <c r="N543" i="17"/>
  <c r="N238" i="17"/>
  <c r="N347" i="17"/>
  <c r="N399" i="17"/>
  <c r="N446" i="17"/>
  <c r="N503" i="17"/>
  <c r="N535" i="17"/>
  <c r="N580" i="17"/>
  <c r="N609" i="17"/>
  <c r="N259" i="17"/>
  <c r="N338" i="17"/>
  <c r="N391" i="17"/>
  <c r="N495" i="17"/>
  <c r="N551" i="17"/>
  <c r="N247" i="17"/>
  <c r="N282" i="17"/>
  <c r="N330" i="17"/>
  <c r="N376" i="17"/>
  <c r="N438" i="17"/>
  <c r="N463" i="17"/>
  <c r="N511" i="17"/>
  <c r="N104" i="17"/>
  <c r="N593" i="17"/>
  <c r="N284" i="17"/>
  <c r="N300" i="17"/>
  <c r="M605" i="17"/>
  <c r="N369" i="17"/>
  <c r="N487" i="17"/>
  <c r="N601" i="17"/>
  <c r="N361" i="17"/>
  <c r="N430" i="17"/>
  <c r="N471" i="17"/>
  <c r="N519" i="17"/>
  <c r="N572" i="17"/>
  <c r="N596" i="17"/>
  <c r="N244" i="17"/>
  <c r="N306" i="17"/>
  <c r="N354" i="17"/>
  <c r="N454" i="17"/>
  <c r="N527" i="17"/>
  <c r="N588" i="17"/>
  <c r="M273" i="17"/>
  <c r="M281" i="17"/>
  <c r="M305" i="17"/>
  <c r="M313" i="17"/>
  <c r="N321" i="17"/>
  <c r="N329" i="17"/>
  <c r="M337" i="17"/>
  <c r="N346" i="17"/>
  <c r="N94" i="17"/>
  <c r="N360" i="17"/>
  <c r="N368" i="17"/>
  <c r="M375" i="17"/>
  <c r="N382" i="17"/>
  <c r="N390" i="17"/>
  <c r="M398" i="17"/>
  <c r="M177" i="17"/>
  <c r="M421" i="17"/>
  <c r="N429" i="17"/>
  <c r="N437" i="17"/>
  <c r="M445" i="17"/>
  <c r="N453" i="17"/>
  <c r="N462" i="17"/>
  <c r="N470" i="17"/>
  <c r="N478" i="17"/>
  <c r="M486" i="17"/>
  <c r="N494" i="17"/>
  <c r="N502" i="17"/>
  <c r="N510" i="17"/>
  <c r="N518" i="17"/>
  <c r="N526" i="17"/>
  <c r="N534" i="17"/>
  <c r="N542" i="17"/>
  <c r="M550" i="17"/>
  <c r="N103" i="17"/>
  <c r="N571" i="17"/>
  <c r="M579" i="17"/>
  <c r="N587" i="17"/>
  <c r="N118" i="17"/>
  <c r="N108" i="17"/>
  <c r="N600" i="17"/>
  <c r="M608" i="17"/>
  <c r="N237" i="17"/>
  <c r="N246" i="17"/>
  <c r="M310" i="17"/>
  <c r="M343" i="17"/>
  <c r="M373" i="17"/>
  <c r="N279" i="17"/>
  <c r="N303" i="17"/>
  <c r="N320" i="17"/>
  <c r="N328" i="17"/>
  <c r="N336" i="17"/>
  <c r="N345" i="17"/>
  <c r="N353" i="17"/>
  <c r="N121" i="17"/>
  <c r="N367" i="17"/>
  <c r="N374" i="17"/>
  <c r="N96" i="17"/>
  <c r="N389" i="17"/>
  <c r="N397" i="17"/>
  <c r="N412" i="17"/>
  <c r="N420" i="17"/>
  <c r="N428" i="17"/>
  <c r="N436" i="17"/>
  <c r="N444" i="17"/>
  <c r="N452" i="17"/>
  <c r="N460" i="17"/>
  <c r="N469" i="17"/>
  <c r="N477" i="17"/>
  <c r="N485" i="17"/>
  <c r="N493" i="17"/>
  <c r="N501" i="17"/>
  <c r="N509" i="17"/>
  <c r="N517" i="17"/>
  <c r="N525" i="17"/>
  <c r="N533" i="17"/>
  <c r="N541" i="17"/>
  <c r="N549" i="17"/>
  <c r="N102" i="17"/>
  <c r="N570" i="17"/>
  <c r="N578" i="17"/>
  <c r="N586" i="17"/>
  <c r="N117" i="17"/>
  <c r="N107" i="17"/>
  <c r="N599" i="17"/>
  <c r="N607" i="17"/>
  <c r="N236" i="17"/>
  <c r="M278" i="17"/>
  <c r="M403" i="17"/>
  <c r="M418" i="17"/>
  <c r="M450" i="17"/>
  <c r="M483" i="17"/>
  <c r="M515" i="17"/>
  <c r="M547" i="17"/>
  <c r="M584" i="17"/>
  <c r="N262" i="17"/>
  <c r="M53" i="17"/>
  <c r="M247" i="17"/>
  <c r="M543" i="17"/>
  <c r="M437" i="17"/>
  <c r="M94" i="17"/>
  <c r="N337" i="17"/>
  <c r="M246" i="17"/>
  <c r="M526" i="17"/>
  <c r="M420" i="17"/>
  <c r="M330" i="17"/>
  <c r="M607" i="17"/>
  <c r="M503" i="17"/>
  <c r="M329" i="17"/>
  <c r="M601" i="17"/>
  <c r="M502" i="17"/>
  <c r="M300" i="17"/>
  <c r="M118" i="17"/>
  <c r="M485" i="17"/>
  <c r="M391" i="17"/>
  <c r="M284" i="17"/>
  <c r="N579" i="17"/>
  <c r="M572" i="17"/>
  <c r="M479" i="17"/>
  <c r="M390" i="17"/>
  <c r="N486" i="17"/>
  <c r="M571" i="17"/>
  <c r="M462" i="17"/>
  <c r="M374" i="17"/>
  <c r="M549" i="17"/>
  <c r="M438" i="17"/>
  <c r="M369" i="17"/>
  <c r="N177" i="17"/>
  <c r="N584" i="17"/>
  <c r="M272" i="17"/>
  <c r="N272" i="17"/>
  <c r="M353" i="17"/>
  <c r="N483" i="17"/>
  <c r="M256" i="17"/>
  <c r="N256" i="17"/>
  <c r="M244" i="17"/>
  <c r="M600" i="17"/>
  <c r="M588" i="17"/>
  <c r="M570" i="17"/>
  <c r="M542" i="17"/>
  <c r="M519" i="17"/>
  <c r="M501" i="17"/>
  <c r="M478" i="17"/>
  <c r="M454" i="17"/>
  <c r="M436" i="17"/>
  <c r="M389" i="17"/>
  <c r="M368" i="17"/>
  <c r="M347" i="17"/>
  <c r="M328" i="17"/>
  <c r="M282" i="17"/>
  <c r="N550" i="17"/>
  <c r="N403" i="17"/>
  <c r="N313" i="17"/>
  <c r="N351" i="17"/>
  <c r="M351" i="17"/>
  <c r="N358" i="17"/>
  <c r="M358" i="17"/>
  <c r="M365" i="17"/>
  <c r="N365" i="17"/>
  <c r="N458" i="17"/>
  <c r="M458" i="17"/>
  <c r="M475" i="17"/>
  <c r="N475" i="17"/>
  <c r="N120" i="17"/>
  <c r="M120" i="17"/>
  <c r="N295" i="17"/>
  <c r="M295" i="17"/>
  <c r="N327" i="17"/>
  <c r="M327" i="17"/>
  <c r="N359" i="17"/>
  <c r="M359" i="17"/>
  <c r="N396" i="17"/>
  <c r="M396" i="17"/>
  <c r="N435" i="17"/>
  <c r="M435" i="17"/>
  <c r="N468" i="17"/>
  <c r="M468" i="17"/>
  <c r="N508" i="17"/>
  <c r="M508" i="17"/>
  <c r="N540" i="17"/>
  <c r="M540" i="17"/>
  <c r="N569" i="17"/>
  <c r="M569" i="17"/>
  <c r="N106" i="17"/>
  <c r="M106" i="17"/>
  <c r="N178" i="17"/>
  <c r="M178" i="17"/>
  <c r="M263" i="17"/>
  <c r="N263" i="17"/>
  <c r="M288" i="17"/>
  <c r="N288" i="17"/>
  <c r="M312" i="17"/>
  <c r="N312" i="17"/>
  <c r="N290" i="17"/>
  <c r="M290" i="17"/>
  <c r="N298" i="17"/>
  <c r="M298" i="17"/>
  <c r="M238" i="17"/>
  <c r="M599" i="17"/>
  <c r="M587" i="17"/>
  <c r="M104" i="17"/>
  <c r="M541" i="17"/>
  <c r="M518" i="17"/>
  <c r="M495" i="17"/>
  <c r="M477" i="17"/>
  <c r="M453" i="17"/>
  <c r="M430" i="17"/>
  <c r="M383" i="17"/>
  <c r="M367" i="17"/>
  <c r="M346" i="17"/>
  <c r="M322" i="17"/>
  <c r="M279" i="17"/>
  <c r="N547" i="17"/>
  <c r="N398" i="17"/>
  <c r="N310" i="17"/>
  <c r="M334" i="17"/>
  <c r="N334" i="17"/>
  <c r="N287" i="17"/>
  <c r="M287" i="17"/>
  <c r="N319" i="17"/>
  <c r="M319" i="17"/>
  <c r="N344" i="17"/>
  <c r="M344" i="17"/>
  <c r="N122" i="17"/>
  <c r="M122" i="17"/>
  <c r="N404" i="17"/>
  <c r="M404" i="17"/>
  <c r="N427" i="17"/>
  <c r="M427" i="17"/>
  <c r="N476" i="17"/>
  <c r="M476" i="17"/>
  <c r="N500" i="17"/>
  <c r="M500" i="17"/>
  <c r="N532" i="17"/>
  <c r="M532" i="17"/>
  <c r="N577" i="17"/>
  <c r="M577" i="17"/>
  <c r="N598" i="17"/>
  <c r="M598" i="17"/>
  <c r="N243" i="17"/>
  <c r="M243" i="17"/>
  <c r="M296" i="17"/>
  <c r="N296" i="17"/>
  <c r="M117" i="17"/>
  <c r="M264" i="17"/>
  <c r="N264" i="17"/>
  <c r="M289" i="17"/>
  <c r="N289" i="17"/>
  <c r="N274" i="17"/>
  <c r="M274" i="17"/>
  <c r="M258" i="17"/>
  <c r="N258" i="17"/>
  <c r="M266" i="17"/>
  <c r="N266" i="17"/>
  <c r="M275" i="17"/>
  <c r="N275" i="17"/>
  <c r="M283" i="17"/>
  <c r="N283" i="17"/>
  <c r="M291" i="17"/>
  <c r="N291" i="17"/>
  <c r="M299" i="17"/>
  <c r="N299" i="17"/>
  <c r="M307" i="17"/>
  <c r="N307" i="17"/>
  <c r="M315" i="17"/>
  <c r="N315" i="17"/>
  <c r="N323" i="17"/>
  <c r="M323" i="17"/>
  <c r="N331" i="17"/>
  <c r="M331" i="17"/>
  <c r="N339" i="17"/>
  <c r="M339" i="17"/>
  <c r="N348" i="17"/>
  <c r="M348" i="17"/>
  <c r="N355" i="17"/>
  <c r="M355" i="17"/>
  <c r="N362" i="17"/>
  <c r="M362" i="17"/>
  <c r="N370" i="17"/>
  <c r="M370" i="17"/>
  <c r="N377" i="17"/>
  <c r="M377" i="17"/>
  <c r="N384" i="17"/>
  <c r="M384" i="17"/>
  <c r="N392" i="17"/>
  <c r="M392" i="17"/>
  <c r="N400" i="17"/>
  <c r="M400" i="17"/>
  <c r="N423" i="17"/>
  <c r="M423" i="17"/>
  <c r="N431" i="17"/>
  <c r="M431" i="17"/>
  <c r="N439" i="17"/>
  <c r="M439" i="17"/>
  <c r="N447" i="17"/>
  <c r="M447" i="17"/>
  <c r="N455" i="17"/>
  <c r="M455" i="17"/>
  <c r="N464" i="17"/>
  <c r="M464" i="17"/>
  <c r="N472" i="17"/>
  <c r="M472" i="17"/>
  <c r="N480" i="17"/>
  <c r="M480" i="17"/>
  <c r="N488" i="17"/>
  <c r="M488" i="17"/>
  <c r="N496" i="17"/>
  <c r="M496" i="17"/>
  <c r="N504" i="17"/>
  <c r="M504" i="17"/>
  <c r="N512" i="17"/>
  <c r="M512" i="17"/>
  <c r="N520" i="17"/>
  <c r="M520" i="17"/>
  <c r="N528" i="17"/>
  <c r="M528" i="17"/>
  <c r="N536" i="17"/>
  <c r="M536" i="17"/>
  <c r="N544" i="17"/>
  <c r="M544" i="17"/>
  <c r="N561" i="17"/>
  <c r="M561" i="17"/>
  <c r="N105" i="17"/>
  <c r="M105" i="17"/>
  <c r="N573" i="17"/>
  <c r="M573" i="17"/>
  <c r="N581" i="17"/>
  <c r="M581" i="17"/>
  <c r="N589" i="17"/>
  <c r="M589" i="17"/>
  <c r="N594" i="17"/>
  <c r="M594" i="17"/>
  <c r="N109" i="17"/>
  <c r="M109" i="17"/>
  <c r="N602" i="17"/>
  <c r="M602" i="17"/>
  <c r="N610" i="17"/>
  <c r="M610" i="17"/>
  <c r="N239" i="17"/>
  <c r="M239" i="17"/>
  <c r="N179" i="17"/>
  <c r="M179" i="17"/>
  <c r="M237" i="17"/>
  <c r="M596" i="17"/>
  <c r="M586" i="17"/>
  <c r="M103" i="17"/>
  <c r="M535" i="17"/>
  <c r="M517" i="17"/>
  <c r="M494" i="17"/>
  <c r="M471" i="17"/>
  <c r="M452" i="17"/>
  <c r="M429" i="17"/>
  <c r="M412" i="17"/>
  <c r="M382" i="17"/>
  <c r="M361" i="17"/>
  <c r="M345" i="17"/>
  <c r="M321" i="17"/>
  <c r="M262" i="17"/>
  <c r="N608" i="17"/>
  <c r="N450" i="17"/>
  <c r="N375" i="17"/>
  <c r="N305" i="17"/>
  <c r="N491" i="17"/>
  <c r="M491" i="17"/>
  <c r="N499" i="17"/>
  <c r="M499" i="17"/>
  <c r="M507" i="17"/>
  <c r="N507" i="17"/>
  <c r="N523" i="17"/>
  <c r="M523" i="17"/>
  <c r="M539" i="17"/>
  <c r="N539" i="17"/>
  <c r="N568" i="17"/>
  <c r="M568" i="17"/>
  <c r="M576" i="17"/>
  <c r="N576" i="17"/>
  <c r="M597" i="17"/>
  <c r="N597" i="17"/>
  <c r="N54" i="17"/>
  <c r="N254" i="17"/>
  <c r="M254" i="17"/>
  <c r="N270" i="17"/>
  <c r="M270" i="17"/>
  <c r="N311" i="17"/>
  <c r="M311" i="17"/>
  <c r="N352" i="17"/>
  <c r="M352" i="17"/>
  <c r="N381" i="17"/>
  <c r="M381" i="17"/>
  <c r="N451" i="17"/>
  <c r="M451" i="17"/>
  <c r="N484" i="17"/>
  <c r="M484" i="17"/>
  <c r="N524" i="17"/>
  <c r="M524" i="17"/>
  <c r="N565" i="17"/>
  <c r="M565" i="17"/>
  <c r="N592" i="17"/>
  <c r="M592" i="17"/>
  <c r="N343" i="17"/>
  <c r="M460" i="17"/>
  <c r="N267" i="17"/>
  <c r="M267" i="17"/>
  <c r="N276" i="17"/>
  <c r="M276" i="17"/>
  <c r="N308" i="17"/>
  <c r="M308" i="17"/>
  <c r="N316" i="17"/>
  <c r="M316" i="17"/>
  <c r="N324" i="17"/>
  <c r="M324" i="17"/>
  <c r="N332" i="17"/>
  <c r="M332" i="17"/>
  <c r="N340" i="17"/>
  <c r="M340" i="17"/>
  <c r="N349" i="17"/>
  <c r="M349" i="17"/>
  <c r="N356" i="17"/>
  <c r="M356" i="17"/>
  <c r="N363" i="17"/>
  <c r="M363" i="17"/>
  <c r="N371" i="17"/>
  <c r="M371" i="17"/>
  <c r="N378" i="17"/>
  <c r="M378" i="17"/>
  <c r="N385" i="17"/>
  <c r="M385" i="17"/>
  <c r="N393" i="17"/>
  <c r="M393" i="17"/>
  <c r="N401" i="17"/>
  <c r="M401" i="17"/>
  <c r="N424" i="17"/>
  <c r="M424" i="17"/>
  <c r="N432" i="17"/>
  <c r="M432" i="17"/>
  <c r="N440" i="17"/>
  <c r="M440" i="17"/>
  <c r="N448" i="17"/>
  <c r="M448" i="17"/>
  <c r="N456" i="17"/>
  <c r="M456" i="17"/>
  <c r="N465" i="17"/>
  <c r="M465" i="17"/>
  <c r="N473" i="17"/>
  <c r="M473" i="17"/>
  <c r="N481" i="17"/>
  <c r="M481" i="17"/>
  <c r="N489" i="17"/>
  <c r="M489" i="17"/>
  <c r="N497" i="17"/>
  <c r="M497" i="17"/>
  <c r="N505" i="17"/>
  <c r="M505" i="17"/>
  <c r="N513" i="17"/>
  <c r="M513" i="17"/>
  <c r="N521" i="17"/>
  <c r="M521" i="17"/>
  <c r="N529" i="17"/>
  <c r="M529" i="17"/>
  <c r="N537" i="17"/>
  <c r="M537" i="17"/>
  <c r="N545" i="17"/>
  <c r="M545" i="17"/>
  <c r="N562" i="17"/>
  <c r="M562" i="17"/>
  <c r="N566" i="17"/>
  <c r="M566" i="17"/>
  <c r="N574" i="17"/>
  <c r="M574" i="17"/>
  <c r="N582" i="17"/>
  <c r="M582" i="17"/>
  <c r="N590" i="17"/>
  <c r="M590" i="17"/>
  <c r="N595" i="17"/>
  <c r="M595" i="17"/>
  <c r="N110" i="17"/>
  <c r="M110" i="17"/>
  <c r="N603" i="17"/>
  <c r="M603" i="17"/>
  <c r="N611" i="17"/>
  <c r="M611" i="17"/>
  <c r="N614" i="17"/>
  <c r="M614" i="17"/>
  <c r="N249" i="17"/>
  <c r="M249" i="17"/>
  <c r="M236" i="17"/>
  <c r="M108" i="17"/>
  <c r="M580" i="17"/>
  <c r="M102" i="17"/>
  <c r="M534" i="17"/>
  <c r="M511" i="17"/>
  <c r="M493" i="17"/>
  <c r="M470" i="17"/>
  <c r="M446" i="17"/>
  <c r="M428" i="17"/>
  <c r="M399" i="17"/>
  <c r="M96" i="17"/>
  <c r="M360" i="17"/>
  <c r="M338" i="17"/>
  <c r="M320" i="17"/>
  <c r="M259" i="17"/>
  <c r="N605" i="17"/>
  <c r="N445" i="17"/>
  <c r="N373" i="17"/>
  <c r="N281" i="17"/>
  <c r="M261" i="17"/>
  <c r="N261" i="17"/>
  <c r="M269" i="17"/>
  <c r="N269" i="17"/>
  <c r="M286" i="17"/>
  <c r="N286" i="17"/>
  <c r="M294" i="17"/>
  <c r="N294" i="17"/>
  <c r="M302" i="17"/>
  <c r="N302" i="17"/>
  <c r="M318" i="17"/>
  <c r="N318" i="17"/>
  <c r="N326" i="17"/>
  <c r="M326" i="17"/>
  <c r="N380" i="17"/>
  <c r="M380" i="17"/>
  <c r="N387" i="17"/>
  <c r="M387" i="17"/>
  <c r="M395" i="17"/>
  <c r="N395" i="17"/>
  <c r="N426" i="17"/>
  <c r="M426" i="17"/>
  <c r="N434" i="17"/>
  <c r="M434" i="17"/>
  <c r="M442" i="17"/>
  <c r="N442" i="17"/>
  <c r="N467" i="17"/>
  <c r="M467" i="17"/>
  <c r="N531" i="17"/>
  <c r="M531" i="17"/>
  <c r="N564" i="17"/>
  <c r="M564" i="17"/>
  <c r="N591" i="17"/>
  <c r="M591" i="17"/>
  <c r="N335" i="17"/>
  <c r="M335" i="17"/>
  <c r="N366" i="17"/>
  <c r="M366" i="17"/>
  <c r="N388" i="17"/>
  <c r="M388" i="17"/>
  <c r="N419" i="17"/>
  <c r="M419" i="17"/>
  <c r="N443" i="17"/>
  <c r="M443" i="17"/>
  <c r="N459" i="17"/>
  <c r="M459" i="17"/>
  <c r="N492" i="17"/>
  <c r="M492" i="17"/>
  <c r="N516" i="17"/>
  <c r="M516" i="17"/>
  <c r="N548" i="17"/>
  <c r="M548" i="17"/>
  <c r="N585" i="17"/>
  <c r="M585" i="17"/>
  <c r="N606" i="17"/>
  <c r="M606" i="17"/>
  <c r="M255" i="17"/>
  <c r="N255" i="17"/>
  <c r="M280" i="17"/>
  <c r="N280" i="17"/>
  <c r="M304" i="17"/>
  <c r="N304" i="17"/>
  <c r="M525" i="17"/>
  <c r="N53" i="17"/>
  <c r="M297" i="17"/>
  <c r="N297" i="17"/>
  <c r="N265" i="17"/>
  <c r="M265" i="17"/>
  <c r="N314" i="17"/>
  <c r="M314" i="17"/>
  <c r="N51" i="17"/>
  <c r="M51" i="17"/>
  <c r="N292" i="17"/>
  <c r="M292" i="17"/>
  <c r="M52" i="17"/>
  <c r="N52" i="17"/>
  <c r="M260" i="17"/>
  <c r="N260" i="17"/>
  <c r="M268" i="17"/>
  <c r="N268" i="17"/>
  <c r="M277" i="17"/>
  <c r="N277" i="17"/>
  <c r="M285" i="17"/>
  <c r="N285" i="17"/>
  <c r="M293" i="17"/>
  <c r="N293" i="17"/>
  <c r="M301" i="17"/>
  <c r="N301" i="17"/>
  <c r="M309" i="17"/>
  <c r="N309" i="17"/>
  <c r="M317" i="17"/>
  <c r="N317" i="17"/>
  <c r="N325" i="17"/>
  <c r="M325" i="17"/>
  <c r="N333" i="17"/>
  <c r="M333" i="17"/>
  <c r="N341" i="17"/>
  <c r="M341" i="17"/>
  <c r="N350" i="17"/>
  <c r="M350" i="17"/>
  <c r="N357" i="17"/>
  <c r="M357" i="17"/>
  <c r="N364" i="17"/>
  <c r="M364" i="17"/>
  <c r="N372" i="17"/>
  <c r="M372" i="17"/>
  <c r="N379" i="17"/>
  <c r="M379" i="17"/>
  <c r="N386" i="17"/>
  <c r="M386" i="17"/>
  <c r="N394" i="17"/>
  <c r="M394" i="17"/>
  <c r="N402" i="17"/>
  <c r="M402" i="17"/>
  <c r="N425" i="17"/>
  <c r="M425" i="17"/>
  <c r="N433" i="17"/>
  <c r="M433" i="17"/>
  <c r="N441" i="17"/>
  <c r="M441" i="17"/>
  <c r="N449" i="17"/>
  <c r="M449" i="17"/>
  <c r="N457" i="17"/>
  <c r="M457" i="17"/>
  <c r="N466" i="17"/>
  <c r="M466" i="17"/>
  <c r="N474" i="17"/>
  <c r="M474" i="17"/>
  <c r="N482" i="17"/>
  <c r="M482" i="17"/>
  <c r="N490" i="17"/>
  <c r="M490" i="17"/>
  <c r="N498" i="17"/>
  <c r="M498" i="17"/>
  <c r="N506" i="17"/>
  <c r="M506" i="17"/>
  <c r="N514" i="17"/>
  <c r="M514" i="17"/>
  <c r="N522" i="17"/>
  <c r="M522" i="17"/>
  <c r="N530" i="17"/>
  <c r="M530" i="17"/>
  <c r="N538" i="17"/>
  <c r="M538" i="17"/>
  <c r="N546" i="17"/>
  <c r="M546" i="17"/>
  <c r="N563" i="17"/>
  <c r="M563" i="17"/>
  <c r="N567" i="17"/>
  <c r="M567" i="17"/>
  <c r="N575" i="17"/>
  <c r="M575" i="17"/>
  <c r="N583" i="17"/>
  <c r="M583" i="17"/>
  <c r="N116" i="17"/>
  <c r="M116" i="17"/>
  <c r="N119" i="17"/>
  <c r="M119" i="17"/>
  <c r="N113" i="17"/>
  <c r="M113" i="17"/>
  <c r="N604" i="17"/>
  <c r="M604" i="17"/>
  <c r="N612" i="17"/>
  <c r="M612" i="17"/>
  <c r="N241" i="17"/>
  <c r="M241" i="17"/>
  <c r="N250" i="17"/>
  <c r="M250" i="17"/>
  <c r="M609" i="17"/>
  <c r="M107" i="17"/>
  <c r="M551" i="17"/>
  <c r="M533" i="17"/>
  <c r="M510" i="17"/>
  <c r="M487" i="17"/>
  <c r="M469" i="17"/>
  <c r="M422" i="17"/>
  <c r="M376" i="17"/>
  <c r="M121" i="17"/>
  <c r="M306" i="17"/>
  <c r="M257" i="17"/>
  <c r="N515" i="17"/>
  <c r="N421" i="17"/>
  <c r="N278" i="17"/>
  <c r="N613" i="17"/>
  <c r="M613" i="17"/>
  <c r="N242" i="17"/>
  <c r="M242" i="17"/>
  <c r="M593" i="17"/>
  <c r="M578" i="17"/>
  <c r="M527" i="17"/>
  <c r="M509" i="17"/>
  <c r="M463" i="17"/>
  <c r="M444" i="17"/>
  <c r="M397" i="17"/>
  <c r="M354" i="17"/>
  <c r="M336" i="17"/>
  <c r="M303" i="17"/>
  <c r="N418" i="17"/>
  <c r="N273" i="17"/>
  <c r="WUQ247" i="20" l="1"/>
  <c r="WUM247" i="20" s="1"/>
  <c r="WUI247" i="20" s="1"/>
  <c r="WUE247" i="20" s="1"/>
  <c r="WUP247" i="20"/>
  <c r="N422" i="20"/>
  <c r="O422" i="20" s="1"/>
  <c r="N419" i="20"/>
  <c r="O419" i="20" s="1"/>
  <c r="N420" i="20"/>
  <c r="O420" i="20" s="1"/>
  <c r="N423" i="20"/>
  <c r="O423" i="20" s="1"/>
  <c r="N418" i="20"/>
  <c r="O418" i="20" s="1"/>
  <c r="N421" i="20"/>
  <c r="O421" i="20" s="1"/>
  <c r="N417" i="20"/>
  <c r="O417" i="20" s="1"/>
  <c r="N325" i="20"/>
  <c r="O325" i="20" s="1"/>
  <c r="N324" i="20"/>
  <c r="O324" i="20" s="1"/>
  <c r="I763" i="20"/>
  <c r="J763" i="20" s="1"/>
  <c r="N763" i="20" s="1"/>
  <c r="H763" i="20"/>
  <c r="I762" i="20"/>
  <c r="J762" i="20" s="1"/>
  <c r="N762" i="20" s="1"/>
  <c r="H762" i="20"/>
  <c r="I761" i="20"/>
  <c r="J761" i="20" s="1"/>
  <c r="N761" i="20" s="1"/>
  <c r="H761" i="20"/>
  <c r="I760" i="20"/>
  <c r="J760" i="20" s="1"/>
  <c r="N760" i="20" s="1"/>
  <c r="H760" i="20"/>
  <c r="I759" i="20"/>
  <c r="J759" i="20" s="1"/>
  <c r="N759" i="20" s="1"/>
  <c r="H759" i="20"/>
  <c r="I758" i="20"/>
  <c r="J758" i="20" s="1"/>
  <c r="N758" i="20" s="1"/>
  <c r="H758" i="20"/>
  <c r="I757" i="20"/>
  <c r="J757" i="20" s="1"/>
  <c r="N757" i="20" s="1"/>
  <c r="H757" i="20"/>
  <c r="I756" i="20"/>
  <c r="J756" i="20" s="1"/>
  <c r="N756" i="20" s="1"/>
  <c r="H756" i="20"/>
  <c r="I755" i="20"/>
  <c r="J755" i="20" s="1"/>
  <c r="N755" i="20" s="1"/>
  <c r="H755" i="20"/>
  <c r="I754" i="20"/>
  <c r="J754" i="20" s="1"/>
  <c r="N754" i="20" s="1"/>
  <c r="H754" i="20"/>
  <c r="I753" i="20"/>
  <c r="J753" i="20" s="1"/>
  <c r="N753" i="20" s="1"/>
  <c r="H753" i="20"/>
  <c r="I752" i="20"/>
  <c r="J752" i="20" s="1"/>
  <c r="N752" i="20" s="1"/>
  <c r="H752" i="20"/>
  <c r="I751" i="20"/>
  <c r="J751" i="20" s="1"/>
  <c r="N751" i="20" s="1"/>
  <c r="H751" i="20"/>
  <c r="I750" i="20"/>
  <c r="J750" i="20" s="1"/>
  <c r="N750" i="20" s="1"/>
  <c r="H750" i="20"/>
  <c r="I749" i="20"/>
  <c r="J749" i="20" s="1"/>
  <c r="N749" i="20" s="1"/>
  <c r="H749" i="20"/>
  <c r="I748" i="20"/>
  <c r="J748" i="20" s="1"/>
  <c r="N748" i="20" s="1"/>
  <c r="H748" i="20"/>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23" i="20"/>
  <c r="J723" i="20" s="1"/>
  <c r="N723" i="20" s="1"/>
  <c r="H723" i="20"/>
  <c r="I722" i="20"/>
  <c r="J722" i="20" s="1"/>
  <c r="N722" i="20" s="1"/>
  <c r="H722" i="20"/>
  <c r="I721" i="20"/>
  <c r="J721" i="20" s="1"/>
  <c r="N721" i="20" s="1"/>
  <c r="H721" i="20"/>
  <c r="I720" i="20"/>
  <c r="J720" i="20" s="1"/>
  <c r="N720" i="20" s="1"/>
  <c r="H720" i="20"/>
  <c r="I719" i="20"/>
  <c r="J719" i="20" s="1"/>
  <c r="N719" i="20" s="1"/>
  <c r="H719" i="20"/>
  <c r="I718" i="20"/>
  <c r="J718" i="20" s="1"/>
  <c r="N718" i="20" s="1"/>
  <c r="H718" i="20"/>
  <c r="I717" i="20"/>
  <c r="J717" i="20" s="1"/>
  <c r="N717" i="20" s="1"/>
  <c r="H717" i="20"/>
  <c r="I716" i="20"/>
  <c r="J716" i="20" s="1"/>
  <c r="N716" i="20" s="1"/>
  <c r="H716" i="20"/>
  <c r="I715" i="20"/>
  <c r="J715" i="20" s="1"/>
  <c r="N715" i="20" s="1"/>
  <c r="H715" i="20"/>
  <c r="I714" i="20"/>
  <c r="J714" i="20" s="1"/>
  <c r="N714" i="20" s="1"/>
  <c r="H714" i="20"/>
  <c r="I713" i="20"/>
  <c r="J713" i="20" s="1"/>
  <c r="N713" i="20" s="1"/>
  <c r="H713" i="20"/>
  <c r="I712" i="20"/>
  <c r="J712" i="20" s="1"/>
  <c r="N712" i="20" s="1"/>
  <c r="H712" i="20"/>
  <c r="I711" i="20"/>
  <c r="J711" i="20" s="1"/>
  <c r="N711" i="20" s="1"/>
  <c r="H711" i="20"/>
  <c r="I710" i="20"/>
  <c r="J710" i="20" s="1"/>
  <c r="N710" i="20" s="1"/>
  <c r="H710" i="20"/>
  <c r="I709" i="20"/>
  <c r="J709" i="20" s="1"/>
  <c r="N709" i="20" s="1"/>
  <c r="H709" i="20"/>
  <c r="I708" i="20"/>
  <c r="J708" i="20" s="1"/>
  <c r="N708" i="20" s="1"/>
  <c r="H708" i="20"/>
  <c r="I707" i="20"/>
  <c r="J707" i="20" s="1"/>
  <c r="N707" i="20" s="1"/>
  <c r="H707" i="20"/>
  <c r="I706" i="20"/>
  <c r="J706" i="20" s="1"/>
  <c r="N706" i="20" s="1"/>
  <c r="H706" i="20"/>
  <c r="I705" i="20"/>
  <c r="J705" i="20" s="1"/>
  <c r="N705" i="20" s="1"/>
  <c r="H705" i="20"/>
  <c r="I704" i="20"/>
  <c r="J704" i="20" s="1"/>
  <c r="N704" i="20" s="1"/>
  <c r="H704" i="20"/>
  <c r="I703" i="20"/>
  <c r="J703" i="20" s="1"/>
  <c r="N703" i="20" s="1"/>
  <c r="H703" i="20"/>
  <c r="H702" i="20"/>
  <c r="H701" i="20"/>
  <c r="H700" i="20"/>
  <c r="H699" i="20"/>
  <c r="H698" i="20"/>
  <c r="H697" i="20"/>
  <c r="H696" i="20"/>
  <c r="H695" i="20"/>
  <c r="H694" i="20"/>
  <c r="H688" i="20"/>
  <c r="H687" i="20"/>
  <c r="H686" i="20"/>
  <c r="H685" i="20"/>
  <c r="H684" i="20"/>
  <c r="H683" i="20"/>
  <c r="H682" i="20"/>
  <c r="H681" i="20"/>
  <c r="H680" i="20"/>
  <c r="H679" i="20"/>
  <c r="H662" i="20"/>
  <c r="H661" i="20"/>
  <c r="H660" i="20"/>
  <c r="H659" i="20"/>
  <c r="H658" i="20"/>
  <c r="H657" i="20"/>
  <c r="H656" i="20"/>
  <c r="H655" i="20"/>
  <c r="H654" i="20"/>
  <c r="H630" i="20"/>
  <c r="H629" i="20"/>
  <c r="H628" i="20"/>
  <c r="H627" i="20"/>
  <c r="H626" i="20"/>
  <c r="H625" i="20"/>
  <c r="H624" i="20"/>
  <c r="H623" i="20"/>
  <c r="H622" i="20"/>
  <c r="H621" i="20"/>
  <c r="H620" i="20"/>
  <c r="H619" i="20"/>
  <c r="H594" i="20"/>
  <c r="H593" i="20"/>
  <c r="H592" i="20"/>
  <c r="H591" i="20"/>
  <c r="H590" i="20"/>
  <c r="H589" i="20"/>
  <c r="H588" i="20"/>
  <c r="H587" i="20"/>
  <c r="H586" i="20"/>
  <c r="G586" i="20" s="1"/>
  <c r="H585" i="20"/>
  <c r="H584" i="20"/>
  <c r="H583" i="20"/>
  <c r="H582" i="20"/>
  <c r="H581" i="20"/>
  <c r="H580" i="20"/>
  <c r="H579" i="20"/>
  <c r="H578" i="20"/>
  <c r="H577" i="20"/>
  <c r="H576" i="20"/>
  <c r="H575" i="20"/>
  <c r="H574" i="20"/>
  <c r="H573" i="20"/>
  <c r="H572" i="20"/>
  <c r="H571" i="20"/>
  <c r="H570" i="20"/>
  <c r="H569" i="20"/>
  <c r="H568" i="20"/>
  <c r="H567" i="20"/>
  <c r="H566" i="20"/>
  <c r="H565" i="20"/>
  <c r="H564" i="20"/>
  <c r="A563" i="20"/>
  <c r="H563" i="20" s="1"/>
  <c r="A562" i="20"/>
  <c r="H560" i="20"/>
  <c r="G560" i="20" s="1"/>
  <c r="H559" i="20"/>
  <c r="G559" i="20" s="1"/>
  <c r="H558" i="20"/>
  <c r="G558" i="20" s="1"/>
  <c r="H556" i="20"/>
  <c r="G556" i="20" s="1"/>
  <c r="H555" i="20"/>
  <c r="G555" i="20" s="1"/>
  <c r="H554" i="20"/>
  <c r="G554" i="20" s="1"/>
  <c r="H552" i="20"/>
  <c r="G552" i="20" s="1"/>
  <c r="H551" i="20"/>
  <c r="G551" i="20" s="1"/>
  <c r="H550" i="20"/>
  <c r="G550" i="20" s="1"/>
  <c r="H548" i="20"/>
  <c r="G548" i="20" s="1"/>
  <c r="H547" i="20"/>
  <c r="G547" i="20" s="1"/>
  <c r="H546" i="20"/>
  <c r="G546" i="20" s="1"/>
  <c r="H545" i="20"/>
  <c r="G545" i="20" s="1"/>
  <c r="H544" i="20"/>
  <c r="G544" i="20" s="1"/>
  <c r="H543" i="20"/>
  <c r="G543" i="20" s="1"/>
  <c r="H542" i="20"/>
  <c r="H541" i="20"/>
  <c r="H540" i="20"/>
  <c r="H539" i="20"/>
  <c r="H538" i="20"/>
  <c r="H537" i="20"/>
  <c r="H536" i="20"/>
  <c r="H535" i="20"/>
  <c r="H534" i="20"/>
  <c r="H533" i="20"/>
  <c r="H532" i="20"/>
  <c r="H531" i="20"/>
  <c r="H530" i="20"/>
  <c r="H529" i="20"/>
  <c r="H528" i="20"/>
  <c r="H527" i="20"/>
  <c r="H524" i="20"/>
  <c r="H523" i="20"/>
  <c r="H522" i="20"/>
  <c r="H521" i="20"/>
  <c r="H520" i="20"/>
  <c r="H519" i="20"/>
  <c r="H518" i="20"/>
  <c r="H517" i="20"/>
  <c r="H516" i="20"/>
  <c r="H515" i="20"/>
  <c r="H514" i="20"/>
  <c r="H513" i="20"/>
  <c r="H512" i="20"/>
  <c r="H511" i="20"/>
  <c r="H510" i="20"/>
  <c r="H509" i="20"/>
  <c r="H508" i="20"/>
  <c r="H507" i="20"/>
  <c r="H485" i="20"/>
  <c r="H484" i="20"/>
  <c r="H483" i="20"/>
  <c r="H482" i="20"/>
  <c r="H481" i="20"/>
  <c r="H480" i="20"/>
  <c r="H479" i="20"/>
  <c r="H478"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A453" i="20"/>
  <c r="A452" i="20"/>
  <c r="Q451" i="20"/>
  <c r="I451" i="20"/>
  <c r="H441" i="20"/>
  <c r="H440" i="20"/>
  <c r="H439" i="20"/>
  <c r="H438" i="20"/>
  <c r="H437" i="20"/>
  <c r="H436" i="20"/>
  <c r="H435" i="20"/>
  <c r="H434" i="20"/>
  <c r="H433" i="20"/>
  <c r="H432" i="20"/>
  <c r="H431" i="20"/>
  <c r="H430" i="20"/>
  <c r="H429" i="20"/>
  <c r="H428" i="20"/>
  <c r="H427" i="20"/>
  <c r="H426" i="20"/>
  <c r="H425" i="20"/>
  <c r="H424" i="20"/>
  <c r="H416" i="20"/>
  <c r="H415" i="20"/>
  <c r="H414" i="20"/>
  <c r="H413" i="20"/>
  <c r="H412" i="20"/>
  <c r="H411" i="20"/>
  <c r="H410" i="20"/>
  <c r="H409" i="20"/>
  <c r="H408" i="20"/>
  <c r="H407" i="20"/>
  <c r="H406" i="20"/>
  <c r="H405" i="20"/>
  <c r="H404" i="20"/>
  <c r="H403" i="20"/>
  <c r="H402" i="20"/>
  <c r="H401" i="20"/>
  <c r="H400" i="20"/>
  <c r="H399" i="20"/>
  <c r="H398" i="20"/>
  <c r="H397" i="20"/>
  <c r="H396" i="20"/>
  <c r="H395" i="20"/>
  <c r="H394" i="20"/>
  <c r="H393" i="20"/>
  <c r="H392" i="20"/>
  <c r="H391" i="20"/>
  <c r="H390" i="20"/>
  <c r="H389" i="20"/>
  <c r="H388" i="20"/>
  <c r="H387" i="20"/>
  <c r="H386" i="20"/>
  <c r="H380" i="20"/>
  <c r="H379" i="20"/>
  <c r="H378" i="20"/>
  <c r="H377" i="20"/>
  <c r="H376" i="20"/>
  <c r="H375" i="20"/>
  <c r="H374" i="20"/>
  <c r="H373"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8" i="20"/>
  <c r="H337" i="20"/>
  <c r="H336" i="20"/>
  <c r="H335" i="20"/>
  <c r="H334" i="20"/>
  <c r="H333" i="20"/>
  <c r="H332" i="20"/>
  <c r="H331" i="20"/>
  <c r="H330" i="20"/>
  <c r="H329" i="20"/>
  <c r="H328" i="20"/>
  <c r="H327" i="20"/>
  <c r="H323" i="20"/>
  <c r="H322" i="20"/>
  <c r="H321" i="20"/>
  <c r="H320" i="20"/>
  <c r="H319" i="20"/>
  <c r="H318" i="20"/>
  <c r="H317" i="20"/>
  <c r="H316"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77" i="20"/>
  <c r="H276" i="20"/>
  <c r="H275" i="20"/>
  <c r="H274" i="20"/>
  <c r="H273" i="20"/>
  <c r="H272" i="20"/>
  <c r="H271" i="20"/>
  <c r="H270" i="20"/>
  <c r="H269" i="20"/>
  <c r="H268" i="20"/>
  <c r="H267" i="20"/>
  <c r="H266" i="20"/>
  <c r="H265" i="20"/>
  <c r="H264" i="20"/>
  <c r="H263" i="20"/>
  <c r="H262" i="20"/>
  <c r="H261" i="20"/>
  <c r="H256" i="20"/>
  <c r="H255" i="20"/>
  <c r="H254" i="20"/>
  <c r="H253" i="20"/>
  <c r="H252" i="20"/>
  <c r="H251" i="20"/>
  <c r="H250" i="20"/>
  <c r="H249" i="20"/>
  <c r="H248" i="20"/>
  <c r="H246" i="20"/>
  <c r="H245" i="20"/>
  <c r="A244" i="20"/>
  <c r="A243" i="20"/>
  <c r="H229" i="20"/>
  <c r="H228" i="20"/>
  <c r="H22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2" i="20"/>
  <c r="H201" i="20"/>
  <c r="H200" i="20"/>
  <c r="H199" i="20"/>
  <c r="H198" i="20"/>
  <c r="H197" i="20"/>
  <c r="G197" i="20" s="1"/>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3" i="20"/>
  <c r="H162" i="20"/>
  <c r="H161" i="20"/>
  <c r="H160" i="20"/>
  <c r="H159" i="20"/>
  <c r="H158" i="20"/>
  <c r="H157" i="20"/>
  <c r="H156" i="20"/>
  <c r="H155" i="20"/>
  <c r="H154" i="20"/>
  <c r="H153" i="20"/>
  <c r="H152" i="20"/>
  <c r="H151" i="20"/>
  <c r="H150" i="20"/>
  <c r="H149" i="20"/>
  <c r="H148" i="20"/>
  <c r="H147" i="20"/>
  <c r="H146" i="20"/>
  <c r="H145" i="20"/>
  <c r="H144" i="20"/>
  <c r="H143" i="20"/>
  <c r="H142" i="20"/>
  <c r="H141" i="20"/>
  <c r="J140" i="20"/>
  <c r="H140" i="20"/>
  <c r="H139" i="20"/>
  <c r="H138" i="20"/>
  <c r="H137" i="20"/>
  <c r="H136" i="20"/>
  <c r="H135" i="20"/>
  <c r="H134" i="20"/>
  <c r="H133" i="20"/>
  <c r="J132" i="20"/>
  <c r="H132" i="20"/>
  <c r="H131" i="20"/>
  <c r="H130" i="20"/>
  <c r="H129" i="20"/>
  <c r="H128" i="20"/>
  <c r="H127" i="20"/>
  <c r="H126" i="20"/>
  <c r="H125" i="20"/>
  <c r="J124" i="20"/>
  <c r="H124" i="20"/>
  <c r="H123" i="20"/>
  <c r="H122" i="20"/>
  <c r="H121" i="20"/>
  <c r="H120" i="20"/>
  <c r="H119" i="20"/>
  <c r="H118" i="20"/>
  <c r="H117" i="20"/>
  <c r="H116" i="20"/>
  <c r="H115" i="20"/>
  <c r="H114" i="20"/>
  <c r="H113" i="20"/>
  <c r="J112" i="20"/>
  <c r="H112" i="20"/>
  <c r="J111" i="20"/>
  <c r="H111" i="20"/>
  <c r="H110" i="20"/>
  <c r="H109" i="20"/>
  <c r="H108" i="20"/>
  <c r="H107" i="20"/>
  <c r="H106" i="20"/>
  <c r="J105" i="20"/>
  <c r="H105" i="20"/>
  <c r="H104" i="20"/>
  <c r="H103" i="20"/>
  <c r="H102" i="20"/>
  <c r="H101" i="20"/>
  <c r="H100" i="20"/>
  <c r="H99" i="20"/>
  <c r="H98" i="20"/>
  <c r="H97" i="20"/>
  <c r="H96" i="20"/>
  <c r="H95" i="20"/>
  <c r="H94" i="20"/>
  <c r="H92" i="20"/>
  <c r="J90" i="20"/>
  <c r="H90" i="20"/>
  <c r="J89" i="20"/>
  <c r="H89" i="20"/>
  <c r="H88" i="20"/>
  <c r="H87" i="20"/>
  <c r="H86" i="20"/>
  <c r="H85" i="20"/>
  <c r="H84" i="20"/>
  <c r="H83" i="20"/>
  <c r="H82" i="20"/>
  <c r="H81" i="20"/>
  <c r="H80" i="20"/>
  <c r="J79" i="20"/>
  <c r="H79" i="20"/>
  <c r="H78" i="20"/>
  <c r="H77" i="20"/>
  <c r="H76" i="20"/>
  <c r="A74" i="20"/>
  <c r="H66" i="20"/>
  <c r="H65" i="20"/>
  <c r="H64" i="20"/>
  <c r="H63" i="20"/>
  <c r="H62" i="20"/>
  <c r="H61" i="20"/>
  <c r="H60" i="20"/>
  <c r="H59" i="20"/>
  <c r="H58" i="20"/>
  <c r="H55" i="20"/>
  <c r="A26" i="20"/>
  <c r="Q22" i="20"/>
  <c r="I22" i="20"/>
  <c r="Q21" i="20"/>
  <c r="I21" i="20"/>
  <c r="Q20" i="20"/>
  <c r="I20" i="20"/>
  <c r="J19" i="20"/>
  <c r="N19" i="20" s="1"/>
  <c r="Q17" i="20"/>
  <c r="I17" i="20"/>
  <c r="Q16" i="20"/>
  <c r="I16" i="20"/>
  <c r="Q15" i="20"/>
  <c r="I15" i="20"/>
  <c r="S13" i="20"/>
  <c r="R12" i="20"/>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G95" i="17" l="1"/>
  <c r="G248" i="17"/>
  <c r="H453" i="20"/>
  <c r="G240" i="17"/>
  <c r="G125" i="17"/>
  <c r="WUL247" i="20"/>
  <c r="WUH247" i="20" s="1"/>
  <c r="WUD247" i="20" s="1"/>
  <c r="WTZ247" i="20" s="1"/>
  <c r="WUK247" i="20"/>
  <c r="H244" i="20"/>
  <c r="H203" i="20"/>
  <c r="S12" i="20"/>
  <c r="S9" i="20"/>
  <c r="I14" i="20"/>
  <c r="K14" i="20" s="1"/>
  <c r="L19" i="20"/>
  <c r="H91" i="20"/>
  <c r="H237" i="20"/>
  <c r="H75" i="20"/>
  <c r="H26" i="20"/>
  <c r="Q79" i="20"/>
  <c r="Q124" i="20"/>
  <c r="Q89" i="20"/>
  <c r="Q111" i="20"/>
  <c r="Q132" i="20"/>
  <c r="Q105" i="20"/>
  <c r="Q140" i="20"/>
  <c r="Q90" i="20"/>
  <c r="Q112" i="20"/>
  <c r="H57" i="20"/>
  <c r="I19" i="20"/>
  <c r="T13" i="20"/>
  <c r="T9" i="20" s="1"/>
  <c r="I576" i="19"/>
  <c r="J576" i="19" s="1"/>
  <c r="I14" i="19"/>
  <c r="N12" i="19"/>
  <c r="I20" i="19"/>
  <c r="P13" i="19"/>
  <c r="O12" i="19"/>
  <c r="WUG247" i="20" l="1"/>
  <c r="WUC247" i="20" s="1"/>
  <c r="WTY247" i="20" s="1"/>
  <c r="WTU247" i="20" s="1"/>
  <c r="WUF247" i="20"/>
  <c r="M14" i="20"/>
  <c r="O14" i="20" s="1"/>
  <c r="K19" i="20"/>
  <c r="T12" i="20"/>
  <c r="U13" i="20"/>
  <c r="U9" i="20" s="1"/>
  <c r="Q13" i="19"/>
  <c r="P12" i="19"/>
  <c r="WUB247" i="20" l="1"/>
  <c r="WTX247" i="20" s="1"/>
  <c r="WTT247" i="20" s="1"/>
  <c r="WTP247" i="20" s="1"/>
  <c r="WUA247" i="20"/>
  <c r="V13" i="20"/>
  <c r="V9" i="20" s="1"/>
  <c r="U12" i="20"/>
  <c r="Q12" i="19"/>
  <c r="R13" i="19"/>
  <c r="WTW247" i="20" l="1"/>
  <c r="WTS247" i="20" s="1"/>
  <c r="WTO247" i="20" s="1"/>
  <c r="WTK247" i="20" s="1"/>
  <c r="WTV247" i="20"/>
  <c r="W13" i="20"/>
  <c r="W9" i="20" s="1"/>
  <c r="V12" i="20"/>
  <c r="R12" i="19"/>
  <c r="S13" i="19"/>
  <c r="WTR247" i="20" l="1"/>
  <c r="WTN247" i="20" s="1"/>
  <c r="WTJ247" i="20" s="1"/>
  <c r="WTF247" i="20" s="1"/>
  <c r="WTQ247" i="20"/>
  <c r="X13" i="20"/>
  <c r="X9" i="20" s="1"/>
  <c r="W12" i="20"/>
  <c r="S12" i="19"/>
  <c r="T13" i="19"/>
  <c r="WTM247" i="20" l="1"/>
  <c r="WTI247" i="20" s="1"/>
  <c r="WTE247" i="20" s="1"/>
  <c r="WTA247" i="20" s="1"/>
  <c r="WTL247" i="20"/>
  <c r="Y13" i="20"/>
  <c r="Y9" i="20" s="1"/>
  <c r="X12" i="20"/>
  <c r="U13" i="19"/>
  <c r="T12" i="19"/>
  <c r="A7" i="17"/>
  <c r="O7" i="17" l="1"/>
  <c r="N7" i="17"/>
  <c r="M7" i="17"/>
  <c r="X735" i="1"/>
  <c r="X734" i="1"/>
  <c r="X464" i="1"/>
  <c r="X416" i="1"/>
  <c r="X417" i="1"/>
  <c r="T182" i="15"/>
  <c r="T174" i="15"/>
  <c r="T164" i="15"/>
  <c r="T186" i="15"/>
  <c r="T185" i="15"/>
  <c r="T169" i="15"/>
  <c r="T176" i="15"/>
  <c r="T167" i="15"/>
  <c r="T181" i="15"/>
  <c r="T173" i="15"/>
  <c r="T163" i="15"/>
  <c r="T178" i="15"/>
  <c r="T156" i="15"/>
  <c r="T155" i="15"/>
  <c r="T168" i="15"/>
  <c r="T175" i="15"/>
  <c r="T157" i="15"/>
  <c r="T188" i="15"/>
  <c r="T180" i="15"/>
  <c r="T172" i="15"/>
  <c r="T162" i="15"/>
  <c r="T160" i="15"/>
  <c r="T159" i="15"/>
  <c r="T158" i="15"/>
  <c r="T183" i="15"/>
  <c r="T187" i="15"/>
  <c r="T179" i="15"/>
  <c r="T171" i="15"/>
  <c r="T161" i="15"/>
  <c r="T170" i="15"/>
  <c r="T177" i="15"/>
  <c r="T184" i="15"/>
  <c r="T73" i="15"/>
  <c r="T65" i="15"/>
  <c r="T57" i="15"/>
  <c r="T120" i="15"/>
  <c r="T112" i="15"/>
  <c r="T104" i="15"/>
  <c r="T111" i="15"/>
  <c r="T61" i="15"/>
  <c r="T116" i="15"/>
  <c r="T114" i="15"/>
  <c r="T121" i="15"/>
  <c r="T105" i="15"/>
  <c r="T72" i="15"/>
  <c r="T64" i="15"/>
  <c r="T56" i="15"/>
  <c r="T119" i="15"/>
  <c r="T103" i="15"/>
  <c r="T100" i="15"/>
  <c r="T106" i="15"/>
  <c r="T113" i="15"/>
  <c r="T154" i="15"/>
  <c r="T71" i="15"/>
  <c r="T63" i="15"/>
  <c r="T55" i="15"/>
  <c r="T118" i="15"/>
  <c r="T110" i="15"/>
  <c r="T102" i="15"/>
  <c r="T53" i="15"/>
  <c r="T59" i="15"/>
  <c r="T66" i="15"/>
  <c r="T78" i="15"/>
  <c r="T70" i="15"/>
  <c r="T62" i="15"/>
  <c r="T54" i="15"/>
  <c r="T117" i="15"/>
  <c r="T109" i="15"/>
  <c r="T101" i="15"/>
  <c r="T69" i="15"/>
  <c r="T108" i="15"/>
  <c r="T122" i="15"/>
  <c r="T58" i="15"/>
  <c r="T77" i="15"/>
  <c r="T98" i="15"/>
  <c r="T76" i="15"/>
  <c r="T68" i="15"/>
  <c r="T60" i="15"/>
  <c r="T123" i="15"/>
  <c r="T115" i="15"/>
  <c r="T107" i="15"/>
  <c r="T99" i="15"/>
  <c r="T75" i="15"/>
  <c r="T67" i="15"/>
  <c r="T74" i="15"/>
  <c r="X801" i="1"/>
  <c r="X266" i="1"/>
  <c r="X823" i="1"/>
  <c r="O144" i="17"/>
  <c r="M144" i="17"/>
  <c r="N144" i="17"/>
  <c r="N701" i="17"/>
  <c r="O701" i="17"/>
  <c r="M701" i="17"/>
  <c r="X837" i="1"/>
  <c r="X874" i="1"/>
  <c r="WTH247" i="20"/>
  <c r="WTD247" i="20" s="1"/>
  <c r="WSZ247" i="20" s="1"/>
  <c r="WSV247" i="20" s="1"/>
  <c r="WTG247" i="20"/>
  <c r="X1535" i="1"/>
  <c r="X1527" i="1"/>
  <c r="X1519" i="1"/>
  <c r="X1511" i="1"/>
  <c r="X1503" i="1"/>
  <c r="X1495" i="1"/>
  <c r="X1487" i="1"/>
  <c r="X1479" i="1"/>
  <c r="X1471" i="1"/>
  <c r="X1463" i="1"/>
  <c r="X1455" i="1"/>
  <c r="X1447" i="1"/>
  <c r="X1439" i="1"/>
  <c r="X1431" i="1"/>
  <c r="X1423" i="1"/>
  <c r="X1415" i="1"/>
  <c r="X1407" i="1"/>
  <c r="X1399" i="1"/>
  <c r="X1391" i="1"/>
  <c r="X1383" i="1"/>
  <c r="X1375" i="1"/>
  <c r="X1367" i="1"/>
  <c r="X1359" i="1"/>
  <c r="X1351" i="1"/>
  <c r="X1343" i="1"/>
  <c r="X1335" i="1"/>
  <c r="X1327" i="1"/>
  <c r="X1319" i="1"/>
  <c r="X1311" i="1"/>
  <c r="X1303" i="1"/>
  <c r="X1295" i="1"/>
  <c r="X1287" i="1"/>
  <c r="X1279" i="1"/>
  <c r="X1271" i="1"/>
  <c r="X1263" i="1"/>
  <c r="X1255" i="1"/>
  <c r="X1247" i="1"/>
  <c r="X1239" i="1"/>
  <c r="X1231" i="1"/>
  <c r="X1223" i="1"/>
  <c r="X1215" i="1"/>
  <c r="X1207" i="1"/>
  <c r="X1199" i="1"/>
  <c r="X1191" i="1"/>
  <c r="X1183" i="1"/>
  <c r="X1175" i="1"/>
  <c r="X1167" i="1"/>
  <c r="X1159" i="1"/>
  <c r="X1151" i="1"/>
  <c r="X1143" i="1"/>
  <c r="X1135" i="1"/>
  <c r="X1127" i="1"/>
  <c r="X1119" i="1"/>
  <c r="X1111" i="1"/>
  <c r="X1103" i="1"/>
  <c r="X1095" i="1"/>
  <c r="X1533" i="1"/>
  <c r="X1525" i="1"/>
  <c r="X1517" i="1"/>
  <c r="X1509" i="1"/>
  <c r="X1501" i="1"/>
  <c r="X1493" i="1"/>
  <c r="X1485" i="1"/>
  <c r="X1477" i="1"/>
  <c r="X1469" i="1"/>
  <c r="X1461" i="1"/>
  <c r="X1453" i="1"/>
  <c r="X1445" i="1"/>
  <c r="X1437" i="1"/>
  <c r="X1429" i="1"/>
  <c r="X1421" i="1"/>
  <c r="X1413" i="1"/>
  <c r="X1405" i="1"/>
  <c r="X1397" i="1"/>
  <c r="X1389" i="1"/>
  <c r="X1381" i="1"/>
  <c r="X1373" i="1"/>
  <c r="X1365" i="1"/>
  <c r="X1357" i="1"/>
  <c r="X1349" i="1"/>
  <c r="X1341" i="1"/>
  <c r="X1333" i="1"/>
  <c r="X1325" i="1"/>
  <c r="X1317" i="1"/>
  <c r="X1309" i="1"/>
  <c r="X1301" i="1"/>
  <c r="X1293" i="1"/>
  <c r="X1285" i="1"/>
  <c r="X1277" i="1"/>
  <c r="X1269" i="1"/>
  <c r="X1261" i="1"/>
  <c r="X1253" i="1"/>
  <c r="X1245" i="1"/>
  <c r="X1237" i="1"/>
  <c r="X1229" i="1"/>
  <c r="X1221" i="1"/>
  <c r="X1213" i="1"/>
  <c r="X1205" i="1"/>
  <c r="X1197" i="1"/>
  <c r="X1189" i="1"/>
  <c r="X1181" i="1"/>
  <c r="X1173" i="1"/>
  <c r="X1165" i="1"/>
  <c r="X1157" i="1"/>
  <c r="X1149" i="1"/>
  <c r="X1141" i="1"/>
  <c r="X1133" i="1"/>
  <c r="X1125" i="1"/>
  <c r="X1117" i="1"/>
  <c r="X1109" i="1"/>
  <c r="X1101" i="1"/>
  <c r="X1093" i="1"/>
  <c r="X1085" i="1"/>
  <c r="X1077" i="1"/>
  <c r="X1069" i="1"/>
  <c r="X1061" i="1"/>
  <c r="X1532" i="1"/>
  <c r="X1524" i="1"/>
  <c r="X1516" i="1"/>
  <c r="X1508" i="1"/>
  <c r="X1500" i="1"/>
  <c r="X1492" i="1"/>
  <c r="X1484" i="1"/>
  <c r="X1476" i="1"/>
  <c r="X1468" i="1"/>
  <c r="X1460" i="1"/>
  <c r="X1452" i="1"/>
  <c r="X1444" i="1"/>
  <c r="X1436" i="1"/>
  <c r="X1428" i="1"/>
  <c r="X1420" i="1"/>
  <c r="X1412" i="1"/>
  <c r="X1404" i="1"/>
  <c r="X1396" i="1"/>
  <c r="X1388" i="1"/>
  <c r="X1380" i="1"/>
  <c r="X1372" i="1"/>
  <c r="X1364" i="1"/>
  <c r="X1356" i="1"/>
  <c r="X1348" i="1"/>
  <c r="X1340" i="1"/>
  <c r="X1332" i="1"/>
  <c r="X1324" i="1"/>
  <c r="X1316" i="1"/>
  <c r="X1308" i="1"/>
  <c r="X1300" i="1"/>
  <c r="X1292" i="1"/>
  <c r="X1284" i="1"/>
  <c r="X1276" i="1"/>
  <c r="X1268" i="1"/>
  <c r="X1260" i="1"/>
  <c r="X1252" i="1"/>
  <c r="X1244" i="1"/>
  <c r="X1236" i="1"/>
  <c r="X1228" i="1"/>
  <c r="X1220" i="1"/>
  <c r="X1212" i="1"/>
  <c r="X1204" i="1"/>
  <c r="X1196" i="1"/>
  <c r="X1188" i="1"/>
  <c r="X1180" i="1"/>
  <c r="X1172" i="1"/>
  <c r="X1164" i="1"/>
  <c r="X1156" i="1"/>
  <c r="X1148" i="1"/>
  <c r="X1140" i="1"/>
  <c r="X1132" i="1"/>
  <c r="X1124" i="1"/>
  <c r="X1116" i="1"/>
  <c r="X1108" i="1"/>
  <c r="X1100" i="1"/>
  <c r="X1092" i="1"/>
  <c r="X1084" i="1"/>
  <c r="X1076" i="1"/>
  <c r="X1068" i="1"/>
  <c r="X1060" i="1"/>
  <c r="X1052" i="1"/>
  <c r="X1044" i="1"/>
  <c r="X1036" i="1"/>
  <c r="X1028" i="1"/>
  <c r="X1531" i="1"/>
  <c r="X1530" i="1"/>
  <c r="X1522" i="1"/>
  <c r="X1514" i="1"/>
  <c r="X1506" i="1"/>
  <c r="X1498" i="1"/>
  <c r="X1490" i="1"/>
  <c r="X1482" i="1"/>
  <c r="X1474" i="1"/>
  <c r="X1466" i="1"/>
  <c r="X1458" i="1"/>
  <c r="X1450" i="1"/>
  <c r="X1442" i="1"/>
  <c r="X1434" i="1"/>
  <c r="X1426" i="1"/>
  <c r="X1418" i="1"/>
  <c r="X1410" i="1"/>
  <c r="X1402" i="1"/>
  <c r="X1394" i="1"/>
  <c r="X1386" i="1"/>
  <c r="X1378" i="1"/>
  <c r="X1370" i="1"/>
  <c r="X1362" i="1"/>
  <c r="X1354" i="1"/>
  <c r="X1346" i="1"/>
  <c r="X1338" i="1"/>
  <c r="X1330" i="1"/>
  <c r="X1322" i="1"/>
  <c r="X1314" i="1"/>
  <c r="X1306" i="1"/>
  <c r="X1298" i="1"/>
  <c r="X1290" i="1"/>
  <c r="X1282" i="1"/>
  <c r="X1274" i="1"/>
  <c r="X1266" i="1"/>
  <c r="X1258" i="1"/>
  <c r="X1250" i="1"/>
  <c r="X1242" i="1"/>
  <c r="X1234" i="1"/>
  <c r="X1226" i="1"/>
  <c r="X1218" i="1"/>
  <c r="X1210" i="1"/>
  <c r="X1202" i="1"/>
  <c r="X1194" i="1"/>
  <c r="X1186" i="1"/>
  <c r="X1178" i="1"/>
  <c r="X1170" i="1"/>
  <c r="X1162" i="1"/>
  <c r="X1154" i="1"/>
  <c r="X1146" i="1"/>
  <c r="X1138" i="1"/>
  <c r="X1529" i="1"/>
  <c r="X1521" i="1"/>
  <c r="X1513" i="1"/>
  <c r="X1505" i="1"/>
  <c r="X1497" i="1"/>
  <c r="X1489" i="1"/>
  <c r="X1481" i="1"/>
  <c r="X1473" i="1"/>
  <c r="X1465" i="1"/>
  <c r="X1457" i="1"/>
  <c r="X1449" i="1"/>
  <c r="X1441" i="1"/>
  <c r="X1433" i="1"/>
  <c r="X1425" i="1"/>
  <c r="X1417" i="1"/>
  <c r="X1409" i="1"/>
  <c r="X1401" i="1"/>
  <c r="X1393" i="1"/>
  <c r="X1385" i="1"/>
  <c r="X1377" i="1"/>
  <c r="X1369" i="1"/>
  <c r="X1361" i="1"/>
  <c r="X1353" i="1"/>
  <c r="X1345" i="1"/>
  <c r="X1337" i="1"/>
  <c r="X1329" i="1"/>
  <c r="X1321" i="1"/>
  <c r="X1313" i="1"/>
  <c r="X1305" i="1"/>
  <c r="X1297" i="1"/>
  <c r="X1289" i="1"/>
  <c r="X1281" i="1"/>
  <c r="X1273" i="1"/>
  <c r="X1265" i="1"/>
  <c r="X1257" i="1"/>
  <c r="X1249" i="1"/>
  <c r="X1241" i="1"/>
  <c r="X1233" i="1"/>
  <c r="X1225" i="1"/>
  <c r="X1217" i="1"/>
  <c r="X1209" i="1"/>
  <c r="X1201" i="1"/>
  <c r="X1193" i="1"/>
  <c r="X1185" i="1"/>
  <c r="X1177" i="1"/>
  <c r="X1169" i="1"/>
  <c r="X1161" i="1"/>
  <c r="X1153" i="1"/>
  <c r="X1145" i="1"/>
  <c r="X1137" i="1"/>
  <c r="X1129" i="1"/>
  <c r="X1121" i="1"/>
  <c r="X1113" i="1"/>
  <c r="X1105" i="1"/>
  <c r="X1097" i="1"/>
  <c r="X1089" i="1"/>
  <c r="X1081" i="1"/>
  <c r="X1073" i="1"/>
  <c r="X1065" i="1"/>
  <c r="X1057" i="1"/>
  <c r="X1049" i="1"/>
  <c r="X1041" i="1"/>
  <c r="X1033" i="1"/>
  <c r="X1025" i="1"/>
  <c r="X1017" i="1"/>
  <c r="X1009" i="1"/>
  <c r="X1001" i="1"/>
  <c r="X993" i="1"/>
  <c r="X985" i="1"/>
  <c r="X977" i="1"/>
  <c r="X969" i="1"/>
  <c r="X961" i="1"/>
  <c r="X953" i="1"/>
  <c r="X945" i="1"/>
  <c r="X937" i="1"/>
  <c r="X929" i="1"/>
  <c r="X901" i="1"/>
  <c r="X862" i="1"/>
  <c r="X889" i="1"/>
  <c r="X849" i="1"/>
  <c r="X875" i="1"/>
  <c r="X902" i="1"/>
  <c r="X856" i="1"/>
  <c r="X865" i="1"/>
  <c r="X850" i="1"/>
  <c r="X1528" i="1"/>
  <c r="X1520" i="1"/>
  <c r="X1512" i="1"/>
  <c r="X1504" i="1"/>
  <c r="X1496" i="1"/>
  <c r="X1488" i="1"/>
  <c r="X1480" i="1"/>
  <c r="X1472" i="1"/>
  <c r="X1464" i="1"/>
  <c r="X1456" i="1"/>
  <c r="X1448" i="1"/>
  <c r="X1440" i="1"/>
  <c r="X1432" i="1"/>
  <c r="X1424" i="1"/>
  <c r="X1416" i="1"/>
  <c r="X1408" i="1"/>
  <c r="X1400" i="1"/>
  <c r="X1392" i="1"/>
  <c r="X1384" i="1"/>
  <c r="X1376" i="1"/>
  <c r="X1368" i="1"/>
  <c r="X1360" i="1"/>
  <c r="X1352" i="1"/>
  <c r="X1344" i="1"/>
  <c r="X1336" i="1"/>
  <c r="X1328" i="1"/>
  <c r="X1320" i="1"/>
  <c r="X1312" i="1"/>
  <c r="X1304" i="1"/>
  <c r="X1296" i="1"/>
  <c r="X1288" i="1"/>
  <c r="X1280" i="1"/>
  <c r="X1272" i="1"/>
  <c r="X1264" i="1"/>
  <c r="X1256" i="1"/>
  <c r="X1248" i="1"/>
  <c r="X1240" i="1"/>
  <c r="X1232" i="1"/>
  <c r="X1224" i="1"/>
  <c r="X1216" i="1"/>
  <c r="X1208" i="1"/>
  <c r="X1200" i="1"/>
  <c r="X1192" i="1"/>
  <c r="X1184" i="1"/>
  <c r="X1176" i="1"/>
  <c r="X1168" i="1"/>
  <c r="X1160" i="1"/>
  <c r="X1152" i="1"/>
  <c r="X1144" i="1"/>
  <c r="X1136" i="1"/>
  <c r="X1128" i="1"/>
  <c r="X1120" i="1"/>
  <c r="X1112" i="1"/>
  <c r="X1104" i="1"/>
  <c r="X1096" i="1"/>
  <c r="X1088" i="1"/>
  <c r="X1080" i="1"/>
  <c r="X1072" i="1"/>
  <c r="X1064" i="1"/>
  <c r="X1056" i="1"/>
  <c r="X1534" i="1"/>
  <c r="X1499" i="1"/>
  <c r="X1467" i="1"/>
  <c r="X1435" i="1"/>
  <c r="X1403" i="1"/>
  <c r="X1371" i="1"/>
  <c r="X1339" i="1"/>
  <c r="X1307" i="1"/>
  <c r="X1275" i="1"/>
  <c r="X1243" i="1"/>
  <c r="X1211" i="1"/>
  <c r="X1179" i="1"/>
  <c r="X1147" i="1"/>
  <c r="X1122" i="1"/>
  <c r="X1099" i="1"/>
  <c r="X1082" i="1"/>
  <c r="X1066" i="1"/>
  <c r="X1051" i="1"/>
  <c r="X1040" i="1"/>
  <c r="X1030" i="1"/>
  <c r="X1020" i="1"/>
  <c r="X1011" i="1"/>
  <c r="X1002" i="1"/>
  <c r="X992" i="1"/>
  <c r="X983" i="1"/>
  <c r="X974" i="1"/>
  <c r="X965" i="1"/>
  <c r="X956" i="1"/>
  <c r="X947" i="1"/>
  <c r="X938" i="1"/>
  <c r="X928" i="1"/>
  <c r="X891" i="1"/>
  <c r="X845" i="1"/>
  <c r="X914" i="1"/>
  <c r="X841" i="1"/>
  <c r="X916" i="1"/>
  <c r="X869" i="1"/>
  <c r="X886" i="1"/>
  <c r="X848" i="1"/>
  <c r="X873" i="1"/>
  <c r="X838" i="1"/>
  <c r="X829" i="1"/>
  <c r="X820" i="1"/>
  <c r="X812" i="1"/>
  <c r="X804" i="1"/>
  <c r="X795" i="1"/>
  <c r="X787" i="1"/>
  <c r="X779" i="1"/>
  <c r="X771" i="1"/>
  <c r="X763" i="1"/>
  <c r="X755" i="1"/>
  <c r="X747" i="1"/>
  <c r="X739" i="1"/>
  <c r="X729" i="1"/>
  <c r="X721" i="1"/>
  <c r="X713" i="1"/>
  <c r="X705" i="1"/>
  <c r="X697" i="1"/>
  <c r="X689" i="1"/>
  <c r="X681" i="1"/>
  <c r="X673" i="1"/>
  <c r="X665" i="1"/>
  <c r="X657" i="1"/>
  <c r="X649" i="1"/>
  <c r="X641" i="1"/>
  <c r="X633" i="1"/>
  <c r="X625" i="1"/>
  <c r="X617" i="1"/>
  <c r="X609" i="1"/>
  <c r="X601" i="1"/>
  <c r="X593" i="1"/>
  <c r="X585" i="1"/>
  <c r="X577" i="1"/>
  <c r="X569" i="1"/>
  <c r="X561" i="1"/>
  <c r="X553" i="1"/>
  <c r="X545" i="1"/>
  <c r="X537" i="1"/>
  <c r="X529" i="1"/>
  <c r="X521" i="1"/>
  <c r="X513" i="1"/>
  <c r="X505" i="1"/>
  <c r="X497" i="1"/>
  <c r="X489" i="1"/>
  <c r="X481" i="1"/>
  <c r="X1526" i="1"/>
  <c r="X1494" i="1"/>
  <c r="X1462" i="1"/>
  <c r="X1430" i="1"/>
  <c r="X1398" i="1"/>
  <c r="X1366" i="1"/>
  <c r="X1334" i="1"/>
  <c r="X1302" i="1"/>
  <c r="X1270" i="1"/>
  <c r="X1238" i="1"/>
  <c r="X1206" i="1"/>
  <c r="X1174" i="1"/>
  <c r="X1142" i="1"/>
  <c r="X1118" i="1"/>
  <c r="X1098" i="1"/>
  <c r="X1079" i="1"/>
  <c r="X1063" i="1"/>
  <c r="X1050" i="1"/>
  <c r="X1039" i="1"/>
  <c r="X1029" i="1"/>
  <c r="X1019" i="1"/>
  <c r="X1010" i="1"/>
  <c r="X1000" i="1"/>
  <c r="X991" i="1"/>
  <c r="X982" i="1"/>
  <c r="X973" i="1"/>
  <c r="X964" i="1"/>
  <c r="X955" i="1"/>
  <c r="X946" i="1"/>
  <c r="X936" i="1"/>
  <c r="X927" i="1"/>
  <c r="X895" i="1"/>
  <c r="X843" i="1"/>
  <c r="X881" i="1"/>
  <c r="X868" i="1"/>
  <c r="X905" i="1"/>
  <c r="X854" i="1"/>
  <c r="X888" i="1"/>
  <c r="X846" i="1"/>
  <c r="X876" i="1"/>
  <c r="X836" i="1"/>
  <c r="X828" i="1"/>
  <c r="X819" i="1"/>
  <c r="X811" i="1"/>
  <c r="X803" i="1"/>
  <c r="X794" i="1"/>
  <c r="X786" i="1"/>
  <c r="X778" i="1"/>
  <c r="X770" i="1"/>
  <c r="X762" i="1"/>
  <c r="X754" i="1"/>
  <c r="X746" i="1"/>
  <c r="X738" i="1"/>
  <c r="X728" i="1"/>
  <c r="X720" i="1"/>
  <c r="X712" i="1"/>
  <c r="X704" i="1"/>
  <c r="X696" i="1"/>
  <c r="X688" i="1"/>
  <c r="X680" i="1"/>
  <c r="X672" i="1"/>
  <c r="X1523" i="1"/>
  <c r="X1491" i="1"/>
  <c r="X1459" i="1"/>
  <c r="X1427" i="1"/>
  <c r="X1395" i="1"/>
  <c r="X1363" i="1"/>
  <c r="X1331" i="1"/>
  <c r="X1299" i="1"/>
  <c r="X1267" i="1"/>
  <c r="X1235" i="1"/>
  <c r="X1203" i="1"/>
  <c r="X1171" i="1"/>
  <c r="X1139" i="1"/>
  <c r="X1115" i="1"/>
  <c r="X1094" i="1"/>
  <c r="X1078" i="1"/>
  <c r="X1062" i="1"/>
  <c r="X1048" i="1"/>
  <c r="X1038" i="1"/>
  <c r="X1027" i="1"/>
  <c r="X1018" i="1"/>
  <c r="X1008" i="1"/>
  <c r="X999" i="1"/>
  <c r="X990" i="1"/>
  <c r="X981" i="1"/>
  <c r="X972" i="1"/>
  <c r="X963" i="1"/>
  <c r="X954" i="1"/>
  <c r="X944" i="1"/>
  <c r="X935" i="1"/>
  <c r="X926" i="1"/>
  <c r="X885" i="1"/>
  <c r="X912" i="1"/>
  <c r="X851" i="1"/>
  <c r="X922" i="1"/>
  <c r="X896" i="1"/>
  <c r="X860" i="1"/>
  <c r="X861" i="1"/>
  <c r="X923" i="1"/>
  <c r="X871" i="1"/>
  <c r="X915" i="1"/>
  <c r="X827" i="1"/>
  <c r="X818" i="1"/>
  <c r="X810" i="1"/>
  <c r="X802" i="1"/>
  <c r="X793" i="1"/>
  <c r="X785" i="1"/>
  <c r="X777" i="1"/>
  <c r="X769" i="1"/>
  <c r="X761" i="1"/>
  <c r="X753" i="1"/>
  <c r="X745" i="1"/>
  <c r="X737" i="1"/>
  <c r="X727" i="1"/>
  <c r="X719" i="1"/>
  <c r="X711" i="1"/>
  <c r="X703" i="1"/>
  <c r="X695" i="1"/>
  <c r="X687" i="1"/>
  <c r="X679" i="1"/>
  <c r="X671" i="1"/>
  <c r="X663" i="1"/>
  <c r="X655" i="1"/>
  <c r="X647" i="1"/>
  <c r="X639" i="1"/>
  <c r="X631" i="1"/>
  <c r="X623" i="1"/>
  <c r="X615" i="1"/>
  <c r="X607" i="1"/>
  <c r="X599" i="1"/>
  <c r="X591" i="1"/>
  <c r="X583" i="1"/>
  <c r="X575" i="1"/>
  <c r="X567" i="1"/>
  <c r="X559" i="1"/>
  <c r="X551" i="1"/>
  <c r="X543" i="1"/>
  <c r="X535" i="1"/>
  <c r="X527" i="1"/>
  <c r="X519" i="1"/>
  <c r="X511" i="1"/>
  <c r="X503" i="1"/>
  <c r="X495" i="1"/>
  <c r="X487" i="1"/>
  <c r="X479" i="1"/>
  <c r="X1518" i="1"/>
  <c r="X1486" i="1"/>
  <c r="X1454" i="1"/>
  <c r="X1422" i="1"/>
  <c r="X1390" i="1"/>
  <c r="X1358" i="1"/>
  <c r="X1326" i="1"/>
  <c r="X1294" i="1"/>
  <c r="X1262" i="1"/>
  <c r="X1230" i="1"/>
  <c r="X1198" i="1"/>
  <c r="X1166" i="1"/>
  <c r="X1134" i="1"/>
  <c r="X1114" i="1"/>
  <c r="X1091" i="1"/>
  <c r="X1075" i="1"/>
  <c r="X1059" i="1"/>
  <c r="X1047" i="1"/>
  <c r="X1037" i="1"/>
  <c r="X1026" i="1"/>
  <c r="X1016" i="1"/>
  <c r="X1007" i="1"/>
  <c r="X998" i="1"/>
  <c r="X989" i="1"/>
  <c r="X980" i="1"/>
  <c r="X971" i="1"/>
  <c r="X962" i="1"/>
  <c r="X952" i="1"/>
  <c r="X943" i="1"/>
  <c r="X934" i="1"/>
  <c r="X925" i="1"/>
  <c r="X870" i="1"/>
  <c r="X866" i="1"/>
  <c r="X910" i="1"/>
  <c r="X877" i="1"/>
  <c r="X900" i="1"/>
  <c r="X919" i="1"/>
  <c r="X917" i="1"/>
  <c r="X852" i="1"/>
  <c r="X863" i="1"/>
  <c r="X893" i="1"/>
  <c r="X826" i="1"/>
  <c r="X817" i="1"/>
  <c r="X809" i="1"/>
  <c r="X800" i="1"/>
  <c r="X792" i="1"/>
  <c r="X784" i="1"/>
  <c r="X776" i="1"/>
  <c r="X768" i="1"/>
  <c r="X760" i="1"/>
  <c r="X752" i="1"/>
  <c r="X744" i="1"/>
  <c r="X736" i="1"/>
  <c r="X726" i="1"/>
  <c r="X718" i="1"/>
  <c r="X710" i="1"/>
  <c r="X702" i="1"/>
  <c r="X694" i="1"/>
  <c r="X686" i="1"/>
  <c r="X678" i="1"/>
  <c r="X670" i="1"/>
  <c r="X662" i="1"/>
  <c r="X654" i="1"/>
  <c r="X646" i="1"/>
  <c r="X638" i="1"/>
  <c r="X630" i="1"/>
  <c r="X622" i="1"/>
  <c r="X614" i="1"/>
  <c r="X606" i="1"/>
  <c r="X598" i="1"/>
  <c r="X590" i="1"/>
  <c r="X582" i="1"/>
  <c r="X574" i="1"/>
  <c r="X566" i="1"/>
  <c r="X558" i="1"/>
  <c r="X550" i="1"/>
  <c r="X542" i="1"/>
  <c r="X534" i="1"/>
  <c r="X526" i="1"/>
  <c r="X518" i="1"/>
  <c r="X510" i="1"/>
  <c r="X502" i="1"/>
  <c r="X494" i="1"/>
  <c r="X486" i="1"/>
  <c r="X478" i="1"/>
  <c r="X1515" i="1"/>
  <c r="X1483" i="1"/>
  <c r="X1451" i="1"/>
  <c r="X1419" i="1"/>
  <c r="X1387" i="1"/>
  <c r="X1355" i="1"/>
  <c r="X1323" i="1"/>
  <c r="X1291" i="1"/>
  <c r="X1259" i="1"/>
  <c r="X1227" i="1"/>
  <c r="X1195" i="1"/>
  <c r="X1163" i="1"/>
  <c r="X1131" i="1"/>
  <c r="X1110" i="1"/>
  <c r="X1090" i="1"/>
  <c r="X1074" i="1"/>
  <c r="X1058" i="1"/>
  <c r="X1046" i="1"/>
  <c r="X1035" i="1"/>
  <c r="X1024" i="1"/>
  <c r="X1015" i="1"/>
  <c r="X1006" i="1"/>
  <c r="X997" i="1"/>
  <c r="X988" i="1"/>
  <c r="X979" i="1"/>
  <c r="X970" i="1"/>
  <c r="X960" i="1"/>
  <c r="X951" i="1"/>
  <c r="X942" i="1"/>
  <c r="X933" i="1"/>
  <c r="X906" i="1"/>
  <c r="X857" i="1"/>
  <c r="X887" i="1"/>
  <c r="X847" i="1"/>
  <c r="X872" i="1"/>
  <c r="X898" i="1"/>
  <c r="X882" i="1"/>
  <c r="X907" i="1"/>
  <c r="X833" i="1"/>
  <c r="X878" i="1"/>
  <c r="X892" i="1"/>
  <c r="X825" i="1"/>
  <c r="X816" i="1"/>
  <c r="X808" i="1"/>
  <c r="X799" i="1"/>
  <c r="X791" i="1"/>
  <c r="X783" i="1"/>
  <c r="X775" i="1"/>
  <c r="X767" i="1"/>
  <c r="X759" i="1"/>
  <c r="X751" i="1"/>
  <c r="X743" i="1"/>
  <c r="X733" i="1"/>
  <c r="X725" i="1"/>
  <c r="X717" i="1"/>
  <c r="X709" i="1"/>
  <c r="X701" i="1"/>
  <c r="X693" i="1"/>
  <c r="X685" i="1"/>
  <c r="X677" i="1"/>
  <c r="X669" i="1"/>
  <c r="X661" i="1"/>
  <c r="X653" i="1"/>
  <c r="X645" i="1"/>
  <c r="X637" i="1"/>
  <c r="X629" i="1"/>
  <c r="X621" i="1"/>
  <c r="X613" i="1"/>
  <c r="X605" i="1"/>
  <c r="X597" i="1"/>
  <c r="X589" i="1"/>
  <c r="X581" i="1"/>
  <c r="X573" i="1"/>
  <c r="X565" i="1"/>
  <c r="X557" i="1"/>
  <c r="X549" i="1"/>
  <c r="X541" i="1"/>
  <c r="X533" i="1"/>
  <c r="X525" i="1"/>
  <c r="X517" i="1"/>
  <c r="X509" i="1"/>
  <c r="X501" i="1"/>
  <c r="X493" i="1"/>
  <c r="X485" i="1"/>
  <c r="X477" i="1"/>
  <c r="X1510" i="1"/>
  <c r="X1478" i="1"/>
  <c r="X1446" i="1"/>
  <c r="X1414" i="1"/>
  <c r="X1382" i="1"/>
  <c r="X1350" i="1"/>
  <c r="X1318" i="1"/>
  <c r="X1286" i="1"/>
  <c r="X1254" i="1"/>
  <c r="X1222" i="1"/>
  <c r="X1190" i="1"/>
  <c r="X1158" i="1"/>
  <c r="X1130" i="1"/>
  <c r="X1107" i="1"/>
  <c r="X1087" i="1"/>
  <c r="X1071" i="1"/>
  <c r="X1055" i="1"/>
  <c r="X1045" i="1"/>
  <c r="X1034" i="1"/>
  <c r="X1023" i="1"/>
  <c r="X1014" i="1"/>
  <c r="X1005" i="1"/>
  <c r="X996" i="1"/>
  <c r="X987" i="1"/>
  <c r="X978" i="1"/>
  <c r="X968" i="1"/>
  <c r="X959" i="1"/>
  <c r="X950" i="1"/>
  <c r="X941" i="1"/>
  <c r="X932" i="1"/>
  <c r="X903" i="1"/>
  <c r="X855" i="1"/>
  <c r="X904" i="1"/>
  <c r="X924" i="1"/>
  <c r="X864" i="1"/>
  <c r="X890" i="1"/>
  <c r="X844" i="1"/>
  <c r="X913" i="1"/>
  <c r="X835" i="1"/>
  <c r="X858" i="1"/>
  <c r="X832" i="1"/>
  <c r="X824" i="1"/>
  <c r="X815" i="1"/>
  <c r="X807" i="1"/>
  <c r="X798" i="1"/>
  <c r="X790" i="1"/>
  <c r="X782" i="1"/>
  <c r="X774" i="1"/>
  <c r="X766" i="1"/>
  <c r="X758" i="1"/>
  <c r="X750" i="1"/>
  <c r="X742" i="1"/>
  <c r="X732" i="1"/>
  <c r="X724" i="1"/>
  <c r="X716" i="1"/>
  <c r="X708" i="1"/>
  <c r="X700" i="1"/>
  <c r="X692" i="1"/>
  <c r="X684" i="1"/>
  <c r="X676" i="1"/>
  <c r="X668" i="1"/>
  <c r="X660" i="1"/>
  <c r="X652" i="1"/>
  <c r="X644" i="1"/>
  <c r="X636" i="1"/>
  <c r="X628" i="1"/>
  <c r="X620" i="1"/>
  <c r="X612" i="1"/>
  <c r="X604" i="1"/>
  <c r="X596" i="1"/>
  <c r="X588" i="1"/>
  <c r="X580" i="1"/>
  <c r="X572" i="1"/>
  <c r="X564" i="1"/>
  <c r="X556" i="1"/>
  <c r="X548" i="1"/>
  <c r="X540" i="1"/>
  <c r="X532" i="1"/>
  <c r="X524" i="1"/>
  <c r="X516" i="1"/>
  <c r="X508" i="1"/>
  <c r="X500" i="1"/>
  <c r="X492" i="1"/>
  <c r="X484" i="1"/>
  <c r="X476" i="1"/>
  <c r="X1502" i="1"/>
  <c r="X1470" i="1"/>
  <c r="X1438" i="1"/>
  <c r="X1406" i="1"/>
  <c r="X1374" i="1"/>
  <c r="X1342" i="1"/>
  <c r="X1310" i="1"/>
  <c r="X1278" i="1"/>
  <c r="X1246" i="1"/>
  <c r="X1214" i="1"/>
  <c r="X1182" i="1"/>
  <c r="X1150" i="1"/>
  <c r="X1123" i="1"/>
  <c r="X1102" i="1"/>
  <c r="X1083" i="1"/>
  <c r="X1067" i="1"/>
  <c r="X1053" i="1"/>
  <c r="X1042" i="1"/>
  <c r="X1031" i="1"/>
  <c r="X1021" i="1"/>
  <c r="X1012" i="1"/>
  <c r="X1003" i="1"/>
  <c r="X994" i="1"/>
  <c r="X984" i="1"/>
  <c r="X975" i="1"/>
  <c r="X966" i="1"/>
  <c r="X957" i="1"/>
  <c r="X948" i="1"/>
  <c r="X939" i="1"/>
  <c r="X930" i="1"/>
  <c r="X899" i="1"/>
  <c r="X883" i="1"/>
  <c r="X908" i="1"/>
  <c r="X834" i="1"/>
  <c r="X859" i="1"/>
  <c r="X884" i="1"/>
  <c r="X911" i="1"/>
  <c r="X909" i="1"/>
  <c r="X921" i="1"/>
  <c r="X839" i="1"/>
  <c r="X830" i="1"/>
  <c r="X821" i="1"/>
  <c r="X813" i="1"/>
  <c r="X805" i="1"/>
  <c r="X796" i="1"/>
  <c r="X788" i="1"/>
  <c r="X780" i="1"/>
  <c r="X772" i="1"/>
  <c r="X764" i="1"/>
  <c r="X756" i="1"/>
  <c r="X748" i="1"/>
  <c r="X740" i="1"/>
  <c r="X730" i="1"/>
  <c r="X722" i="1"/>
  <c r="X714" i="1"/>
  <c r="X706" i="1"/>
  <c r="X698" i="1"/>
  <c r="X690" i="1"/>
  <c r="X682" i="1"/>
  <c r="X674" i="1"/>
  <c r="X666" i="1"/>
  <c r="X658" i="1"/>
  <c r="X650" i="1"/>
  <c r="X642" i="1"/>
  <c r="X634" i="1"/>
  <c r="X626" i="1"/>
  <c r="X618" i="1"/>
  <c r="X610" i="1"/>
  <c r="X602" i="1"/>
  <c r="X594" i="1"/>
  <c r="X586" i="1"/>
  <c r="X578" i="1"/>
  <c r="X570" i="1"/>
  <c r="X562" i="1"/>
  <c r="X554" i="1"/>
  <c r="X546" i="1"/>
  <c r="X538" i="1"/>
  <c r="X530" i="1"/>
  <c r="X522" i="1"/>
  <c r="X514" i="1"/>
  <c r="X506" i="1"/>
  <c r="X498" i="1"/>
  <c r="X490" i="1"/>
  <c r="X482" i="1"/>
  <c r="X474" i="1"/>
  <c r="X1507" i="1"/>
  <c r="X1251" i="1"/>
  <c r="X1054" i="1"/>
  <c r="X976" i="1"/>
  <c r="X918" i="1"/>
  <c r="X831" i="1"/>
  <c r="X765" i="1"/>
  <c r="X699" i="1"/>
  <c r="X651" i="1"/>
  <c r="X619" i="1"/>
  <c r="X587" i="1"/>
  <c r="X555" i="1"/>
  <c r="X523" i="1"/>
  <c r="X491" i="1"/>
  <c r="X470" i="1"/>
  <c r="X461" i="1"/>
  <c r="X453" i="1"/>
  <c r="X445" i="1"/>
  <c r="X437" i="1"/>
  <c r="X429" i="1"/>
  <c r="X421" i="1"/>
  <c r="X411" i="1"/>
  <c r="X403" i="1"/>
  <c r="X395" i="1"/>
  <c r="X387" i="1"/>
  <c r="X379" i="1"/>
  <c r="X371" i="1"/>
  <c r="X363" i="1"/>
  <c r="X355" i="1"/>
  <c r="X347" i="1"/>
  <c r="X339" i="1"/>
  <c r="X331" i="1"/>
  <c r="X323" i="1"/>
  <c r="X315" i="1"/>
  <c r="X307" i="1"/>
  <c r="X299" i="1"/>
  <c r="X291" i="1"/>
  <c r="X283" i="1"/>
  <c r="X275" i="1"/>
  <c r="X267" i="1"/>
  <c r="X258" i="1"/>
  <c r="X250" i="1"/>
  <c r="X242" i="1"/>
  <c r="X234" i="1"/>
  <c r="X226" i="1"/>
  <c r="X218" i="1"/>
  <c r="X210" i="1"/>
  <c r="X202" i="1"/>
  <c r="X194" i="1"/>
  <c r="X186" i="1"/>
  <c r="X178" i="1"/>
  <c r="X170" i="1"/>
  <c r="X162" i="1"/>
  <c r="X154" i="1"/>
  <c r="X146" i="1"/>
  <c r="X138" i="1"/>
  <c r="X130" i="1"/>
  <c r="X122" i="1"/>
  <c r="X114" i="1"/>
  <c r="X106" i="1"/>
  <c r="X98" i="1"/>
  <c r="X90" i="1"/>
  <c r="X82" i="1"/>
  <c r="X74" i="1"/>
  <c r="X66" i="1"/>
  <c r="X58" i="1"/>
  <c r="X50" i="1"/>
  <c r="X42" i="1"/>
  <c r="X26" i="1"/>
  <c r="X10" i="1"/>
  <c r="X659" i="1"/>
  <c r="X423" i="1"/>
  <c r="X365" i="1"/>
  <c r="X301" i="1"/>
  <c r="X252" i="1"/>
  <c r="X196" i="1"/>
  <c r="X116" i="1"/>
  <c r="X52" i="1"/>
  <c r="X1475" i="1"/>
  <c r="X1219" i="1"/>
  <c r="X1043" i="1"/>
  <c r="X967" i="1"/>
  <c r="X853" i="1"/>
  <c r="X822" i="1"/>
  <c r="X757" i="1"/>
  <c r="X691" i="1"/>
  <c r="X648" i="1"/>
  <c r="X616" i="1"/>
  <c r="X584" i="1"/>
  <c r="X552" i="1"/>
  <c r="X520" i="1"/>
  <c r="X488" i="1"/>
  <c r="X469" i="1"/>
  <c r="X460" i="1"/>
  <c r="X452" i="1"/>
  <c r="X444" i="1"/>
  <c r="X436" i="1"/>
  <c r="X428" i="1"/>
  <c r="X420" i="1"/>
  <c r="X410" i="1"/>
  <c r="X402" i="1"/>
  <c r="X394" i="1"/>
  <c r="X386" i="1"/>
  <c r="X378" i="1"/>
  <c r="X370" i="1"/>
  <c r="X362" i="1"/>
  <c r="X354" i="1"/>
  <c r="X346" i="1"/>
  <c r="X338" i="1"/>
  <c r="X330" i="1"/>
  <c r="X322" i="1"/>
  <c r="X314" i="1"/>
  <c r="X306" i="1"/>
  <c r="X298" i="1"/>
  <c r="X290" i="1"/>
  <c r="X282" i="1"/>
  <c r="X274" i="1"/>
  <c r="X265" i="1"/>
  <c r="X257" i="1"/>
  <c r="X249" i="1"/>
  <c r="X241" i="1"/>
  <c r="X233" i="1"/>
  <c r="X225" i="1"/>
  <c r="X217" i="1"/>
  <c r="X209" i="1"/>
  <c r="X201" i="1"/>
  <c r="X193" i="1"/>
  <c r="X185" i="1"/>
  <c r="X177" i="1"/>
  <c r="X169" i="1"/>
  <c r="X161" i="1"/>
  <c r="X153" i="1"/>
  <c r="X145" i="1"/>
  <c r="X137" i="1"/>
  <c r="X129" i="1"/>
  <c r="X121" i="1"/>
  <c r="X113" i="1"/>
  <c r="X105" i="1"/>
  <c r="X97" i="1"/>
  <c r="X89" i="1"/>
  <c r="X81" i="1"/>
  <c r="X73" i="1"/>
  <c r="X65" i="1"/>
  <c r="X57" i="1"/>
  <c r="X49" i="1"/>
  <c r="X41" i="1"/>
  <c r="X33" i="1"/>
  <c r="X25" i="1"/>
  <c r="X627" i="1"/>
  <c r="X293" i="1"/>
  <c r="X204" i="1"/>
  <c r="X140" i="1"/>
  <c r="X60" i="1"/>
  <c r="X1443" i="1"/>
  <c r="X1187" i="1"/>
  <c r="X1032" i="1"/>
  <c r="X958" i="1"/>
  <c r="X879" i="1"/>
  <c r="X814" i="1"/>
  <c r="X749" i="1"/>
  <c r="X683" i="1"/>
  <c r="X643" i="1"/>
  <c r="X611" i="1"/>
  <c r="X579" i="1"/>
  <c r="X547" i="1"/>
  <c r="X515" i="1"/>
  <c r="X483" i="1"/>
  <c r="X468" i="1"/>
  <c r="X459" i="1"/>
  <c r="X451" i="1"/>
  <c r="X443" i="1"/>
  <c r="X435" i="1"/>
  <c r="X427" i="1"/>
  <c r="X419" i="1"/>
  <c r="X409" i="1"/>
  <c r="X401" i="1"/>
  <c r="X393" i="1"/>
  <c r="X385" i="1"/>
  <c r="X377" i="1"/>
  <c r="X369" i="1"/>
  <c r="X361" i="1"/>
  <c r="X353" i="1"/>
  <c r="X345" i="1"/>
  <c r="X337" i="1"/>
  <c r="X329" i="1"/>
  <c r="X321" i="1"/>
  <c r="X313" i="1"/>
  <c r="X305" i="1"/>
  <c r="X297" i="1"/>
  <c r="X289" i="1"/>
  <c r="X281" i="1"/>
  <c r="X273" i="1"/>
  <c r="X264" i="1"/>
  <c r="X256" i="1"/>
  <c r="X248" i="1"/>
  <c r="X240" i="1"/>
  <c r="X232" i="1"/>
  <c r="X224" i="1"/>
  <c r="X216" i="1"/>
  <c r="X208" i="1"/>
  <c r="X200" i="1"/>
  <c r="X192" i="1"/>
  <c r="X184" i="1"/>
  <c r="X176" i="1"/>
  <c r="X168" i="1"/>
  <c r="X160" i="1"/>
  <c r="X152" i="1"/>
  <c r="X144" i="1"/>
  <c r="X136" i="1"/>
  <c r="X128" i="1"/>
  <c r="X120" i="1"/>
  <c r="X112" i="1"/>
  <c r="X104" i="1"/>
  <c r="X96" i="1"/>
  <c r="X88" i="1"/>
  <c r="X80" i="1"/>
  <c r="X72" i="1"/>
  <c r="X64" i="1"/>
  <c r="X56" i="1"/>
  <c r="X48" i="1"/>
  <c r="X40" i="1"/>
  <c r="X32" i="1"/>
  <c r="X24" i="1"/>
  <c r="X16" i="1"/>
  <c r="X715" i="1"/>
  <c r="X431" i="1"/>
  <c r="X373" i="1"/>
  <c r="X309" i="1"/>
  <c r="X244" i="1"/>
  <c r="X188" i="1"/>
  <c r="X148" i="1"/>
  <c r="X84" i="1"/>
  <c r="X20" i="1"/>
  <c r="X1411" i="1"/>
  <c r="X1155" i="1"/>
  <c r="X1022" i="1"/>
  <c r="X949" i="1"/>
  <c r="X894" i="1"/>
  <c r="X806" i="1"/>
  <c r="X741" i="1"/>
  <c r="X675" i="1"/>
  <c r="X640" i="1"/>
  <c r="X608" i="1"/>
  <c r="X576" i="1"/>
  <c r="X544" i="1"/>
  <c r="X512" i="1"/>
  <c r="X480" i="1"/>
  <c r="X467" i="1"/>
  <c r="X458" i="1"/>
  <c r="X450" i="1"/>
  <c r="X442" i="1"/>
  <c r="X434" i="1"/>
  <c r="X426" i="1"/>
  <c r="X418" i="1"/>
  <c r="X408" i="1"/>
  <c r="X400" i="1"/>
  <c r="X392" i="1"/>
  <c r="X384" i="1"/>
  <c r="X376" i="1"/>
  <c r="X368" i="1"/>
  <c r="X360" i="1"/>
  <c r="X352" i="1"/>
  <c r="X344" i="1"/>
  <c r="X336" i="1"/>
  <c r="X328" i="1"/>
  <c r="X320" i="1"/>
  <c r="X312" i="1"/>
  <c r="X304" i="1"/>
  <c r="X296" i="1"/>
  <c r="X288" i="1"/>
  <c r="X280" i="1"/>
  <c r="X272" i="1"/>
  <c r="X263" i="1"/>
  <c r="X255" i="1"/>
  <c r="X247" i="1"/>
  <c r="X239" i="1"/>
  <c r="X231" i="1"/>
  <c r="X223" i="1"/>
  <c r="X215" i="1"/>
  <c r="X207" i="1"/>
  <c r="X199" i="1"/>
  <c r="X191" i="1"/>
  <c r="X183" i="1"/>
  <c r="X175" i="1"/>
  <c r="X167" i="1"/>
  <c r="X159" i="1"/>
  <c r="X151" i="1"/>
  <c r="X143" i="1"/>
  <c r="X135" i="1"/>
  <c r="X127" i="1"/>
  <c r="X119" i="1"/>
  <c r="X111" i="1"/>
  <c r="X103" i="1"/>
  <c r="X95" i="1"/>
  <c r="X87" i="1"/>
  <c r="X79" i="1"/>
  <c r="X71" i="1"/>
  <c r="X63" i="1"/>
  <c r="X55" i="1"/>
  <c r="X47" i="1"/>
  <c r="X39" i="1"/>
  <c r="X31" i="1"/>
  <c r="X23" i="1"/>
  <c r="X15" i="1"/>
  <c r="X1086" i="1"/>
  <c r="X781" i="1"/>
  <c r="X563" i="1"/>
  <c r="X463" i="1"/>
  <c r="X447" i="1"/>
  <c r="X397" i="1"/>
  <c r="X349" i="1"/>
  <c r="X317" i="1"/>
  <c r="X260" i="1"/>
  <c r="X212" i="1"/>
  <c r="X156" i="1"/>
  <c r="X108" i="1"/>
  <c r="X68" i="1"/>
  <c r="X12" i="1"/>
  <c r="X1379" i="1"/>
  <c r="X1126" i="1"/>
  <c r="X1013" i="1"/>
  <c r="X940" i="1"/>
  <c r="X842" i="1"/>
  <c r="X797" i="1"/>
  <c r="X731" i="1"/>
  <c r="X667" i="1"/>
  <c r="X635" i="1"/>
  <c r="X603" i="1"/>
  <c r="X571" i="1"/>
  <c r="X539" i="1"/>
  <c r="X507" i="1"/>
  <c r="X475" i="1"/>
  <c r="X466" i="1"/>
  <c r="X457" i="1"/>
  <c r="X449" i="1"/>
  <c r="X441" i="1"/>
  <c r="X433" i="1"/>
  <c r="X425" i="1"/>
  <c r="X415" i="1"/>
  <c r="X407" i="1"/>
  <c r="X399" i="1"/>
  <c r="X391" i="1"/>
  <c r="X383" i="1"/>
  <c r="X375" i="1"/>
  <c r="X367" i="1"/>
  <c r="X359" i="1"/>
  <c r="X351" i="1"/>
  <c r="X343" i="1"/>
  <c r="X335" i="1"/>
  <c r="X327" i="1"/>
  <c r="X319" i="1"/>
  <c r="X311" i="1"/>
  <c r="X303" i="1"/>
  <c r="X295" i="1"/>
  <c r="X287" i="1"/>
  <c r="X279" i="1"/>
  <c r="X271" i="1"/>
  <c r="X262" i="1"/>
  <c r="X254" i="1"/>
  <c r="X246" i="1"/>
  <c r="X238" i="1"/>
  <c r="X230" i="1"/>
  <c r="X222" i="1"/>
  <c r="X214" i="1"/>
  <c r="X206" i="1"/>
  <c r="X198" i="1"/>
  <c r="X190" i="1"/>
  <c r="X182" i="1"/>
  <c r="X174" i="1"/>
  <c r="X166" i="1"/>
  <c r="X158" i="1"/>
  <c r="X150" i="1"/>
  <c r="X142" i="1"/>
  <c r="X134" i="1"/>
  <c r="X126" i="1"/>
  <c r="X118" i="1"/>
  <c r="X110" i="1"/>
  <c r="X102" i="1"/>
  <c r="X94" i="1"/>
  <c r="X86" i="1"/>
  <c r="X78" i="1"/>
  <c r="X70" i="1"/>
  <c r="X62" i="1"/>
  <c r="X54" i="1"/>
  <c r="X46" i="1"/>
  <c r="X38" i="1"/>
  <c r="X30" i="1"/>
  <c r="X22" i="1"/>
  <c r="X14" i="1"/>
  <c r="X995" i="1"/>
  <c r="X897" i="1"/>
  <c r="X595" i="1"/>
  <c r="X472" i="1"/>
  <c r="X405" i="1"/>
  <c r="X357" i="1"/>
  <c r="X325" i="1"/>
  <c r="X277" i="1"/>
  <c r="X236" i="1"/>
  <c r="X180" i="1"/>
  <c r="X124" i="1"/>
  <c r="X76" i="1"/>
  <c r="X36" i="1"/>
  <c r="X1347" i="1"/>
  <c r="X1106" i="1"/>
  <c r="X1004" i="1"/>
  <c r="X931" i="1"/>
  <c r="X880" i="1"/>
  <c r="X789" i="1"/>
  <c r="X723" i="1"/>
  <c r="X664" i="1"/>
  <c r="X632" i="1"/>
  <c r="X600" i="1"/>
  <c r="X568" i="1"/>
  <c r="X536" i="1"/>
  <c r="X504" i="1"/>
  <c r="X473" i="1"/>
  <c r="X465" i="1"/>
  <c r="X456" i="1"/>
  <c r="X448" i="1"/>
  <c r="X440" i="1"/>
  <c r="X432" i="1"/>
  <c r="X424" i="1"/>
  <c r="X414" i="1"/>
  <c r="X406" i="1"/>
  <c r="X398" i="1"/>
  <c r="X390" i="1"/>
  <c r="X382" i="1"/>
  <c r="X374" i="1"/>
  <c r="X366" i="1"/>
  <c r="X358" i="1"/>
  <c r="X350" i="1"/>
  <c r="X342" i="1"/>
  <c r="X334" i="1"/>
  <c r="X326" i="1"/>
  <c r="X318" i="1"/>
  <c r="X310" i="1"/>
  <c r="X302" i="1"/>
  <c r="X294" i="1"/>
  <c r="X286" i="1"/>
  <c r="X278" i="1"/>
  <c r="X270" i="1"/>
  <c r="X261" i="1"/>
  <c r="X253" i="1"/>
  <c r="X245" i="1"/>
  <c r="X237" i="1"/>
  <c r="X229" i="1"/>
  <c r="X221" i="1"/>
  <c r="X213" i="1"/>
  <c r="X205" i="1"/>
  <c r="X197" i="1"/>
  <c r="X189" i="1"/>
  <c r="X181" i="1"/>
  <c r="X173" i="1"/>
  <c r="X165" i="1"/>
  <c r="X157" i="1"/>
  <c r="X149" i="1"/>
  <c r="X141" i="1"/>
  <c r="X133" i="1"/>
  <c r="X125" i="1"/>
  <c r="X117" i="1"/>
  <c r="X109" i="1"/>
  <c r="X101" i="1"/>
  <c r="X93" i="1"/>
  <c r="X85" i="1"/>
  <c r="X77" i="1"/>
  <c r="X69" i="1"/>
  <c r="X61" i="1"/>
  <c r="X53" i="1"/>
  <c r="X45" i="1"/>
  <c r="X37" i="1"/>
  <c r="X29" i="1"/>
  <c r="X21" i="1"/>
  <c r="X13" i="1"/>
  <c r="X1315" i="1"/>
  <c r="X867" i="1"/>
  <c r="X531" i="1"/>
  <c r="X455" i="1"/>
  <c r="X439" i="1"/>
  <c r="X389" i="1"/>
  <c r="X333" i="1"/>
  <c r="X269" i="1"/>
  <c r="X220" i="1"/>
  <c r="X172" i="1"/>
  <c r="X132" i="1"/>
  <c r="X92" i="1"/>
  <c r="X28" i="1"/>
  <c r="X1283" i="1"/>
  <c r="X1070" i="1"/>
  <c r="X986" i="1"/>
  <c r="X920" i="1"/>
  <c r="X840" i="1"/>
  <c r="X773" i="1"/>
  <c r="X707" i="1"/>
  <c r="X656" i="1"/>
  <c r="X624" i="1"/>
  <c r="X592" i="1"/>
  <c r="X560" i="1"/>
  <c r="X528" i="1"/>
  <c r="X496" i="1"/>
  <c r="X471" i="1"/>
  <c r="X462" i="1"/>
  <c r="X454" i="1"/>
  <c r="X446" i="1"/>
  <c r="X438" i="1"/>
  <c r="X430" i="1"/>
  <c r="X422" i="1"/>
  <c r="X412" i="1"/>
  <c r="X404" i="1"/>
  <c r="X396" i="1"/>
  <c r="X388" i="1"/>
  <c r="X380" i="1"/>
  <c r="X372" i="1"/>
  <c r="X364" i="1"/>
  <c r="X356" i="1"/>
  <c r="X348" i="1"/>
  <c r="X340" i="1"/>
  <c r="X332" i="1"/>
  <c r="X324" i="1"/>
  <c r="X316" i="1"/>
  <c r="X308" i="1"/>
  <c r="X300" i="1"/>
  <c r="X292" i="1"/>
  <c r="X284" i="1"/>
  <c r="X276" i="1"/>
  <c r="X268" i="1"/>
  <c r="X259" i="1"/>
  <c r="X251" i="1"/>
  <c r="X243" i="1"/>
  <c r="X235" i="1"/>
  <c r="X227" i="1"/>
  <c r="X219" i="1"/>
  <c r="X211" i="1"/>
  <c r="X203" i="1"/>
  <c r="X195" i="1"/>
  <c r="X187" i="1"/>
  <c r="X179" i="1"/>
  <c r="X171" i="1"/>
  <c r="X163" i="1"/>
  <c r="X155" i="1"/>
  <c r="X147" i="1"/>
  <c r="X139" i="1"/>
  <c r="X131" i="1"/>
  <c r="X123" i="1"/>
  <c r="X115" i="1"/>
  <c r="X107" i="1"/>
  <c r="X99" i="1"/>
  <c r="X91" i="1"/>
  <c r="X83" i="1"/>
  <c r="X75" i="1"/>
  <c r="X67" i="1"/>
  <c r="X59" i="1"/>
  <c r="X51" i="1"/>
  <c r="X43" i="1"/>
  <c r="X35" i="1"/>
  <c r="X27" i="1"/>
  <c r="X19" i="1"/>
  <c r="X11" i="1"/>
  <c r="X34" i="1"/>
  <c r="X18" i="1"/>
  <c r="X17" i="1"/>
  <c r="X9" i="1"/>
  <c r="X499" i="1"/>
  <c r="X413" i="1"/>
  <c r="X381" i="1"/>
  <c r="X341" i="1"/>
  <c r="X285" i="1"/>
  <c r="X228" i="1"/>
  <c r="X164" i="1"/>
  <c r="X100" i="1"/>
  <c r="X44" i="1"/>
  <c r="O251" i="17"/>
  <c r="O50" i="17"/>
  <c r="N251" i="17"/>
  <c r="M251" i="17"/>
  <c r="M50" i="17"/>
  <c r="N50" i="17"/>
  <c r="Z13" i="20"/>
  <c r="Z9" i="20" s="1"/>
  <c r="Y12" i="20"/>
  <c r="V13" i="19"/>
  <c r="U12" i="19"/>
  <c r="H1506" i="1"/>
  <c r="H1507" i="1"/>
  <c r="H1508" i="1"/>
  <c r="H1509" i="1"/>
  <c r="H1510" i="1"/>
  <c r="H1511" i="1"/>
  <c r="H1512" i="1"/>
  <c r="H1513" i="1"/>
  <c r="H1514" i="1"/>
  <c r="H1516" i="1"/>
  <c r="H1504" i="1"/>
  <c r="H1255" i="1"/>
  <c r="H1253" i="1"/>
  <c r="H1252" i="1"/>
  <c r="H1245" i="1"/>
  <c r="H1256" i="1"/>
  <c r="H1254" i="1"/>
  <c r="H1505" i="1"/>
  <c r="H1434" i="1"/>
  <c r="H1435" i="1"/>
  <c r="H1436" i="1"/>
  <c r="H1437" i="1"/>
  <c r="H1438" i="1"/>
  <c r="H1439" i="1"/>
  <c r="H1440" i="1"/>
  <c r="H1441" i="1"/>
  <c r="H1442" i="1"/>
  <c r="H1443" i="1"/>
  <c r="H1444" i="1"/>
  <c r="H1445" i="1"/>
  <c r="H1446" i="1"/>
  <c r="H1447" i="1"/>
  <c r="H1448" i="1"/>
  <c r="H1449" i="1"/>
  <c r="H1450" i="1"/>
  <c r="H1408" i="1"/>
  <c r="H1409" i="1"/>
  <c r="H1410" i="1"/>
  <c r="H1411" i="1"/>
  <c r="H1412" i="1"/>
  <c r="H1413" i="1"/>
  <c r="H1414" i="1"/>
  <c r="H1415" i="1"/>
  <c r="H1416" i="1"/>
  <c r="H1417" i="1"/>
  <c r="H1418" i="1"/>
  <c r="H1419" i="1"/>
  <c r="H1420" i="1"/>
  <c r="H1421" i="1"/>
  <c r="H1422" i="1"/>
  <c r="H1423" i="1"/>
  <c r="H1424" i="1"/>
  <c r="H1425" i="1"/>
  <c r="H1426" i="1"/>
  <c r="T81" i="15" l="1"/>
  <c r="T191" i="15"/>
  <c r="T192" i="15"/>
  <c r="T80" i="15"/>
  <c r="T125" i="15"/>
  <c r="T126" i="15"/>
  <c r="WTC247" i="20"/>
  <c r="WSY247" i="20" s="1"/>
  <c r="WSU247" i="20" s="1"/>
  <c r="WSQ247" i="20" s="1"/>
  <c r="WTB247" i="20"/>
  <c r="T52" i="15"/>
  <c r="T79" i="15" s="1"/>
  <c r="T153" i="15"/>
  <c r="T97" i="15"/>
  <c r="T124" i="15" s="1"/>
  <c r="Z12" i="20"/>
  <c r="AA13" i="20"/>
  <c r="AA9" i="20" s="1"/>
  <c r="W13" i="19"/>
  <c r="V12" i="19"/>
  <c r="WSX247" i="20" l="1"/>
  <c r="WST247" i="20" s="1"/>
  <c r="WSP247" i="20" s="1"/>
  <c r="WSL247" i="20" s="1"/>
  <c r="WSW247" i="20"/>
  <c r="AA12" i="20"/>
  <c r="AB13" i="20"/>
  <c r="AB9" i="20" s="1"/>
  <c r="X13" i="19"/>
  <c r="W12" i="19"/>
  <c r="WSS247" i="20" l="1"/>
  <c r="WSO247" i="20" s="1"/>
  <c r="WSK247" i="20" s="1"/>
  <c r="WSG247" i="20" s="1"/>
  <c r="WSR247" i="20"/>
  <c r="AB12" i="20"/>
  <c r="AC13" i="20"/>
  <c r="AC9" i="20" s="1"/>
  <c r="Y13" i="19"/>
  <c r="X12" i="19"/>
  <c r="WSN247" i="20" l="1"/>
  <c r="WSJ247" i="20" s="1"/>
  <c r="WSF247" i="20" s="1"/>
  <c r="WSB247" i="20" s="1"/>
  <c r="WSM247" i="20"/>
  <c r="AD13" i="20"/>
  <c r="AD9" i="20" s="1"/>
  <c r="AC12" i="20"/>
  <c r="Y12" i="19"/>
  <c r="Z13" i="19"/>
  <c r="WSI247" i="20" l="1"/>
  <c r="WSE247" i="20" s="1"/>
  <c r="WSA247" i="20" s="1"/>
  <c r="WRW247" i="20" s="1"/>
  <c r="WSH247" i="20"/>
  <c r="AE13" i="20"/>
  <c r="AE9" i="20" s="1"/>
  <c r="AD12" i="20"/>
  <c r="Z12" i="19"/>
  <c r="AA13" i="19"/>
  <c r="WSD247" i="20" l="1"/>
  <c r="WRZ247" i="20" s="1"/>
  <c r="WRV247" i="20" s="1"/>
  <c r="WRR247" i="20" s="1"/>
  <c r="WSC247" i="20"/>
  <c r="AF13" i="20"/>
  <c r="AF9" i="20" s="1"/>
  <c r="AE12" i="20"/>
  <c r="AA12" i="19"/>
  <c r="AB13" i="19"/>
  <c r="WRY247" i="20" l="1"/>
  <c r="WRU247" i="20" s="1"/>
  <c r="WRQ247" i="20" s="1"/>
  <c r="WRM247" i="20" s="1"/>
  <c r="WRX247" i="20"/>
  <c r="AG13" i="20"/>
  <c r="AG9" i="20" s="1"/>
  <c r="AF12" i="20"/>
  <c r="AC13" i="19"/>
  <c r="AB12" i="19"/>
  <c r="WRT247" i="20" l="1"/>
  <c r="WRP247" i="20" s="1"/>
  <c r="WRL247" i="20" s="1"/>
  <c r="WRH247" i="20" s="1"/>
  <c r="WRS247" i="20"/>
  <c r="AH13" i="20"/>
  <c r="AH9" i="20" s="1"/>
  <c r="AG12" i="20"/>
  <c r="AD13" i="19"/>
  <c r="AC12" i="19"/>
  <c r="WRO247" i="20" l="1"/>
  <c r="WRK247" i="20" s="1"/>
  <c r="WRG247" i="20" s="1"/>
  <c r="WRC247" i="20" s="1"/>
  <c r="WRN247" i="20"/>
  <c r="AH12" i="20"/>
  <c r="AI13" i="20"/>
  <c r="AI9" i="20" s="1"/>
  <c r="AE13" i="19"/>
  <c r="AD12" i="19"/>
  <c r="WRJ247" i="20" l="1"/>
  <c r="WRF247" i="20" s="1"/>
  <c r="WRB247" i="20" s="1"/>
  <c r="WQX247" i="20" s="1"/>
  <c r="WRI247" i="20"/>
  <c r="AI12" i="20"/>
  <c r="AJ13" i="20"/>
  <c r="AJ9" i="20" s="1"/>
  <c r="AF13" i="19"/>
  <c r="AE12" i="19"/>
  <c r="WRE247" i="20" l="1"/>
  <c r="WRA247" i="20" s="1"/>
  <c r="WQW247" i="20" s="1"/>
  <c r="WQS247" i="20" s="1"/>
  <c r="WRD247" i="20"/>
  <c r="AJ12" i="20"/>
  <c r="AK13" i="20"/>
  <c r="AK9" i="20" s="1"/>
  <c r="AG13" i="19"/>
  <c r="AF12" i="19"/>
  <c r="WQZ247" i="20" l="1"/>
  <c r="WQV247" i="20" s="1"/>
  <c r="WQR247" i="20" s="1"/>
  <c r="WQN247" i="20" s="1"/>
  <c r="WQY247" i="20"/>
  <c r="AL13" i="20"/>
  <c r="AL9" i="20" s="1"/>
  <c r="AK12" i="20"/>
  <c r="AG12" i="19"/>
  <c r="AH13" i="19"/>
  <c r="WQU247" i="20" l="1"/>
  <c r="WQQ247" i="20" s="1"/>
  <c r="WQM247" i="20" s="1"/>
  <c r="WQI247" i="20" s="1"/>
  <c r="WQT247" i="20"/>
  <c r="AM13" i="20"/>
  <c r="AM9" i="20" s="1"/>
  <c r="AL12" i="20"/>
  <c r="AH12" i="19"/>
  <c r="AI13" i="19"/>
  <c r="WQP247" i="20" l="1"/>
  <c r="WQL247" i="20" s="1"/>
  <c r="WQH247" i="20" s="1"/>
  <c r="WQD247" i="20" s="1"/>
  <c r="WQO247" i="20"/>
  <c r="AN13" i="20"/>
  <c r="AN9" i="20" s="1"/>
  <c r="AM12" i="20"/>
  <c r="AI12" i="19"/>
  <c r="AJ13" i="19"/>
  <c r="WQK247" i="20" l="1"/>
  <c r="WQG247" i="20" s="1"/>
  <c r="WQC247" i="20" s="1"/>
  <c r="WPY247" i="20" s="1"/>
  <c r="WQJ247" i="20"/>
  <c r="AO13" i="20"/>
  <c r="AO9" i="20" s="1"/>
  <c r="AN12" i="20"/>
  <c r="AK13" i="19"/>
  <c r="AJ12" i="19"/>
  <c r="WQF247" i="20" l="1"/>
  <c r="WQB247" i="20" s="1"/>
  <c r="WPX247" i="20" s="1"/>
  <c r="WPT247" i="20" s="1"/>
  <c r="WQE247" i="20"/>
  <c r="AP13" i="20"/>
  <c r="AP9" i="20" s="1"/>
  <c r="AO12" i="20"/>
  <c r="AL13" i="19"/>
  <c r="AK12" i="19"/>
  <c r="WQA247" i="20" l="1"/>
  <c r="WPW247" i="20" s="1"/>
  <c r="WPS247" i="20" s="1"/>
  <c r="WPO247" i="20" s="1"/>
  <c r="WPZ247" i="20"/>
  <c r="AP12" i="20"/>
  <c r="AQ13" i="20"/>
  <c r="AQ9" i="20" s="1"/>
  <c r="AM13" i="19"/>
  <c r="AL12" i="19"/>
  <c r="WPV247" i="20" l="1"/>
  <c r="WPR247" i="20" s="1"/>
  <c r="WPN247" i="20" s="1"/>
  <c r="WPJ247" i="20" s="1"/>
  <c r="WPU247" i="20"/>
  <c r="AQ12" i="20"/>
  <c r="AR13" i="20"/>
  <c r="AR9" i="20" s="1"/>
  <c r="AN13" i="19"/>
  <c r="AM12" i="19"/>
  <c r="WPQ247" i="20" l="1"/>
  <c r="WPM247" i="20" s="1"/>
  <c r="WPI247" i="20" s="1"/>
  <c r="WPE247" i="20" s="1"/>
  <c r="WPP247" i="20"/>
  <c r="AR12" i="20"/>
  <c r="AS13" i="20"/>
  <c r="AS9" i="20" s="1"/>
  <c r="AO13" i="19"/>
  <c r="AN12" i="19"/>
  <c r="WPL247" i="20" l="1"/>
  <c r="WPH247" i="20" s="1"/>
  <c r="WPD247" i="20" s="1"/>
  <c r="WOZ247" i="20" s="1"/>
  <c r="WPK247" i="20"/>
  <c r="AT13" i="20"/>
  <c r="AT9" i="20" s="1"/>
  <c r="AS12" i="20"/>
  <c r="AO12" i="19"/>
  <c r="AP13" i="19"/>
  <c r="WPG247" i="20" l="1"/>
  <c r="WPC247" i="20" s="1"/>
  <c r="WOY247" i="20" s="1"/>
  <c r="WOU247" i="20" s="1"/>
  <c r="WPF247" i="20"/>
  <c r="AU13" i="20"/>
  <c r="AU9" i="20" s="1"/>
  <c r="AT12" i="20"/>
  <c r="AP12" i="19"/>
  <c r="AQ13" i="19"/>
  <c r="WPB247" i="20" l="1"/>
  <c r="WOX247" i="20" s="1"/>
  <c r="WOT247" i="20" s="1"/>
  <c r="WOP247" i="20" s="1"/>
  <c r="WPA247" i="20"/>
  <c r="AV13" i="20"/>
  <c r="AV9" i="20" s="1"/>
  <c r="AU12" i="20"/>
  <c r="AQ12" i="19"/>
  <c r="AR13" i="19"/>
  <c r="WOW247" i="20" l="1"/>
  <c r="WOS247" i="20" s="1"/>
  <c r="WOO247" i="20" s="1"/>
  <c r="WOK247" i="20" s="1"/>
  <c r="WOV247" i="20"/>
  <c r="AW13" i="20"/>
  <c r="AW9" i="20" s="1"/>
  <c r="AV12" i="20"/>
  <c r="AS13" i="19"/>
  <c r="AR12" i="19"/>
  <c r="WOR247" i="20" l="1"/>
  <c r="WON247" i="20" s="1"/>
  <c r="WOJ247" i="20" s="1"/>
  <c r="WOF247" i="20" s="1"/>
  <c r="WOQ247" i="20"/>
  <c r="AX13" i="20"/>
  <c r="AX9" i="20" s="1"/>
  <c r="AW12" i="20"/>
  <c r="AT13" i="19"/>
  <c r="AS12" i="19"/>
  <c r="WOM247" i="20" l="1"/>
  <c r="WOI247" i="20" s="1"/>
  <c r="WOE247" i="20" s="1"/>
  <c r="WOA247" i="20" s="1"/>
  <c r="WOL247" i="20"/>
  <c r="AX12" i="20"/>
  <c r="AY13" i="20"/>
  <c r="AY9" i="20" s="1"/>
  <c r="AU13" i="19"/>
  <c r="AT12" i="19"/>
  <c r="WOH247" i="20" l="1"/>
  <c r="WOD247" i="20" s="1"/>
  <c r="WNZ247" i="20" s="1"/>
  <c r="WNV247" i="20" s="1"/>
  <c r="WOG247" i="20"/>
  <c r="AY12" i="20"/>
  <c r="AZ13" i="20"/>
  <c r="AZ9" i="20" s="1"/>
  <c r="AV13" i="19"/>
  <c r="AU12" i="19"/>
  <c r="WOC247" i="20" l="1"/>
  <c r="WNY247" i="20" s="1"/>
  <c r="WNU247" i="20" s="1"/>
  <c r="WNQ247" i="20" s="1"/>
  <c r="WOB247" i="20"/>
  <c r="AZ12" i="20"/>
  <c r="BA13" i="20"/>
  <c r="BA9" i="20" s="1"/>
  <c r="AW13" i="19"/>
  <c r="AV12" i="19"/>
  <c r="WNX247" i="20" l="1"/>
  <c r="WNT247" i="20" s="1"/>
  <c r="WNP247" i="20" s="1"/>
  <c r="WNL247" i="20" s="1"/>
  <c r="WNW247" i="20"/>
  <c r="BB13" i="20"/>
  <c r="BB9" i="20" s="1"/>
  <c r="BA12" i="20"/>
  <c r="AW12" i="19"/>
  <c r="AX13" i="19"/>
  <c r="WNS247" i="20" l="1"/>
  <c r="WNO247" i="20" s="1"/>
  <c r="WNK247" i="20" s="1"/>
  <c r="WNG247" i="20" s="1"/>
  <c r="WNR247" i="20"/>
  <c r="BC13" i="20"/>
  <c r="BC9" i="20" s="1"/>
  <c r="BB12" i="20"/>
  <c r="AX12" i="19"/>
  <c r="AY13" i="19"/>
  <c r="WNN247" i="20" l="1"/>
  <c r="WNJ247" i="20" s="1"/>
  <c r="WNF247" i="20" s="1"/>
  <c r="WNB247" i="20" s="1"/>
  <c r="WNM247" i="20"/>
  <c r="BD13" i="20"/>
  <c r="BD9" i="20" s="1"/>
  <c r="BC12" i="20"/>
  <c r="AY12" i="19"/>
  <c r="AZ13" i="19"/>
  <c r="WNI247" i="20" l="1"/>
  <c r="WNE247" i="20" s="1"/>
  <c r="WNA247" i="20" s="1"/>
  <c r="WMW247" i="20" s="1"/>
  <c r="WNH247" i="20"/>
  <c r="BE13" i="20"/>
  <c r="BE9" i="20" s="1"/>
  <c r="BD12" i="20"/>
  <c r="BA13" i="19"/>
  <c r="AZ12" i="19"/>
  <c r="WND247" i="20" l="1"/>
  <c r="WMZ247" i="20" s="1"/>
  <c r="WMV247" i="20" s="1"/>
  <c r="WMR247" i="20" s="1"/>
  <c r="WNC247" i="20"/>
  <c r="BF13" i="20"/>
  <c r="BF9" i="20" s="1"/>
  <c r="BE12" i="20"/>
  <c r="BB13" i="19"/>
  <c r="BA12" i="19"/>
  <c r="WMY247" i="20" l="1"/>
  <c r="WMU247" i="20" s="1"/>
  <c r="WMQ247" i="20" s="1"/>
  <c r="WMM247" i="20" s="1"/>
  <c r="WMX247" i="20"/>
  <c r="BF12" i="20"/>
  <c r="BG13" i="20"/>
  <c r="BG9" i="20" s="1"/>
  <c r="BC13" i="19"/>
  <c r="BB12" i="19"/>
  <c r="WMT247" i="20" l="1"/>
  <c r="WMP247" i="20" s="1"/>
  <c r="WML247" i="20" s="1"/>
  <c r="WMH247" i="20" s="1"/>
  <c r="WMS247" i="20"/>
  <c r="BG12" i="20"/>
  <c r="BH13" i="20"/>
  <c r="BH9" i="20" s="1"/>
  <c r="BD13" i="19"/>
  <c r="BC12" i="19"/>
  <c r="WMO247" i="20" l="1"/>
  <c r="WMK247" i="20" s="1"/>
  <c r="WMG247" i="20" s="1"/>
  <c r="WMC247" i="20" s="1"/>
  <c r="WMN247" i="20"/>
  <c r="BH12" i="20"/>
  <c r="BI13" i="20"/>
  <c r="BI9" i="20" s="1"/>
  <c r="BE13" i="19"/>
  <c r="BD12" i="19"/>
  <c r="WMJ247" i="20" l="1"/>
  <c r="WMF247" i="20" s="1"/>
  <c r="WMB247" i="20" s="1"/>
  <c r="WLX247" i="20" s="1"/>
  <c r="WMI247" i="20"/>
  <c r="BJ13" i="20"/>
  <c r="BJ9" i="20" s="1"/>
  <c r="BI12" i="20"/>
  <c r="BE12" i="19"/>
  <c r="BF13" i="19"/>
  <c r="WME247" i="20" l="1"/>
  <c r="WMA247" i="20" s="1"/>
  <c r="WLW247" i="20" s="1"/>
  <c r="WLS247" i="20" s="1"/>
  <c r="WMD247" i="20"/>
  <c r="BK13" i="20"/>
  <c r="BK9" i="20" s="1"/>
  <c r="BJ12" i="20"/>
  <c r="BF12" i="19"/>
  <c r="BG13" i="19"/>
  <c r="WLZ247" i="20" l="1"/>
  <c r="WLV247" i="20" s="1"/>
  <c r="WLR247" i="20" s="1"/>
  <c r="WLN247" i="20" s="1"/>
  <c r="WLY247" i="20"/>
  <c r="BL13" i="20"/>
  <c r="BL9" i="20" s="1"/>
  <c r="BK12" i="20"/>
  <c r="BG12" i="19"/>
  <c r="BH13" i="19"/>
  <c r="WLU247" i="20" l="1"/>
  <c r="WLQ247" i="20" s="1"/>
  <c r="WLM247" i="20" s="1"/>
  <c r="WLI247" i="20" s="1"/>
  <c r="WLT247" i="20"/>
  <c r="BM13" i="20"/>
  <c r="BM9" i="20" s="1"/>
  <c r="BL12" i="20"/>
  <c r="BI13" i="19"/>
  <c r="BH12" i="19"/>
  <c r="WLP247" i="20" l="1"/>
  <c r="WLL247" i="20" s="1"/>
  <c r="WLH247" i="20" s="1"/>
  <c r="WLD247" i="20" s="1"/>
  <c r="WLO247" i="20"/>
  <c r="BN13" i="20"/>
  <c r="BM12" i="20"/>
  <c r="BJ13" i="19"/>
  <c r="BI12" i="19"/>
  <c r="WLK247" i="20" l="1"/>
  <c r="WLG247" i="20" s="1"/>
  <c r="WLC247" i="20" s="1"/>
  <c r="WKY247" i="20" s="1"/>
  <c r="WLJ247" i="20"/>
  <c r="BN12" i="20"/>
  <c r="BO13" i="20"/>
  <c r="BN9" i="20"/>
  <c r="BK13" i="19"/>
  <c r="BJ12" i="19"/>
  <c r="WLF247" i="20" l="1"/>
  <c r="WLB247" i="20" s="1"/>
  <c r="WKX247" i="20" s="1"/>
  <c r="WKT247" i="20" s="1"/>
  <c r="WLE247" i="20"/>
  <c r="BL13" i="19"/>
  <c r="BK12" i="19"/>
  <c r="WLA247" i="20" l="1"/>
  <c r="WKW247" i="20" s="1"/>
  <c r="WKS247" i="20" s="1"/>
  <c r="WKO247" i="20" s="1"/>
  <c r="WKZ247" i="20"/>
  <c r="BM13" i="19"/>
  <c r="BL12" i="19"/>
  <c r="WKV247" i="20" l="1"/>
  <c r="WKR247" i="20" s="1"/>
  <c r="WKN247" i="20" s="1"/>
  <c r="WKJ247" i="20" s="1"/>
  <c r="WKU247" i="20"/>
  <c r="BM12" i="19"/>
  <c r="BN13" i="19"/>
  <c r="WKQ247" i="20" l="1"/>
  <c r="WKM247" i="20" s="1"/>
  <c r="WKI247" i="20" s="1"/>
  <c r="WKE247" i="20" s="1"/>
  <c r="WKP247" i="20"/>
  <c r="BN12" i="19"/>
  <c r="BO13" i="19"/>
  <c r="WKL247" i="20" l="1"/>
  <c r="WKH247" i="20" s="1"/>
  <c r="WKD247" i="20" s="1"/>
  <c r="WJZ247" i="20" s="1"/>
  <c r="WKK247" i="20"/>
  <c r="BO12" i="19"/>
  <c r="BP13" i="19"/>
  <c r="WKG247" i="20" l="1"/>
  <c r="WKC247" i="20" s="1"/>
  <c r="WJY247" i="20" s="1"/>
  <c r="WJU247" i="20" s="1"/>
  <c r="WKF247" i="20"/>
  <c r="BQ13" i="19"/>
  <c r="BP12" i="19"/>
  <c r="WKB247" i="20" l="1"/>
  <c r="WJX247" i="20" s="1"/>
  <c r="WJT247" i="20" s="1"/>
  <c r="WJP247" i="20" s="1"/>
  <c r="WKA247" i="20"/>
  <c r="BR13" i="19"/>
  <c r="BQ12" i="19"/>
  <c r="WJW247" i="20" l="1"/>
  <c r="WJS247" i="20" s="1"/>
  <c r="WJO247" i="20" s="1"/>
  <c r="WJK247" i="20" s="1"/>
  <c r="WJV247" i="20"/>
  <c r="BS13" i="19"/>
  <c r="BR12" i="19"/>
  <c r="WJR247" i="20" l="1"/>
  <c r="WJN247" i="20" s="1"/>
  <c r="WJJ247" i="20" s="1"/>
  <c r="WJF247" i="20" s="1"/>
  <c r="WJQ247" i="20"/>
  <c r="BT13" i="19"/>
  <c r="BS12" i="19"/>
  <c r="WJM247" i="20" l="1"/>
  <c r="WJI247" i="20" s="1"/>
  <c r="WJE247" i="20" s="1"/>
  <c r="WJA247" i="20" s="1"/>
  <c r="WJL247" i="20"/>
  <c r="BU13" i="19"/>
  <c r="BT12" i="19"/>
  <c r="WJH247" i="20" l="1"/>
  <c r="WJD247" i="20" s="1"/>
  <c r="WIZ247" i="20" s="1"/>
  <c r="WIV247" i="20" s="1"/>
  <c r="WJG247" i="20"/>
  <c r="BU12" i="19"/>
  <c r="BV13" i="19"/>
  <c r="WJC247" i="20" l="1"/>
  <c r="WIY247" i="20" s="1"/>
  <c r="WIU247" i="20" s="1"/>
  <c r="WIQ247" i="20" s="1"/>
  <c r="WJB247" i="20"/>
  <c r="BV12" i="19"/>
  <c r="BW13" i="19"/>
  <c r="WIX247" i="20" l="1"/>
  <c r="WIT247" i="20" s="1"/>
  <c r="WIP247" i="20" s="1"/>
  <c r="WIL247" i="20" s="1"/>
  <c r="WIW247" i="20"/>
  <c r="BW12" i="19"/>
  <c r="BX13" i="19"/>
  <c r="WIS247" i="20" l="1"/>
  <c r="WIO247" i="20" s="1"/>
  <c r="WIK247" i="20" s="1"/>
  <c r="WIG247" i="20" s="1"/>
  <c r="WIR247" i="20"/>
  <c r="BY13" i="19"/>
  <c r="BX12" i="19"/>
  <c r="WIN247" i="20" l="1"/>
  <c r="WIJ247" i="20" s="1"/>
  <c r="WIF247" i="20" s="1"/>
  <c r="WIB247" i="20" s="1"/>
  <c r="WIM247" i="20"/>
  <c r="BZ13" i="19"/>
  <c r="BY12" i="19"/>
  <c r="WII247" i="20" l="1"/>
  <c r="WIE247" i="20" s="1"/>
  <c r="WIA247" i="20" s="1"/>
  <c r="WHW247" i="20" s="1"/>
  <c r="WIH247" i="20"/>
  <c r="CA13" i="19"/>
  <c r="BZ12" i="19"/>
  <c r="WID247" i="20" l="1"/>
  <c r="WHZ247" i="20" s="1"/>
  <c r="WHV247" i="20" s="1"/>
  <c r="WHR247" i="20" s="1"/>
  <c r="WIC247" i="20"/>
  <c r="CB13" i="19"/>
  <c r="CA12" i="19"/>
  <c r="WHY247" i="20" l="1"/>
  <c r="WHU247" i="20" s="1"/>
  <c r="WHQ247" i="20" s="1"/>
  <c r="WHM247" i="20" s="1"/>
  <c r="WHX247" i="20"/>
  <c r="CC13" i="19"/>
  <c r="CB12" i="19"/>
  <c r="WHT247" i="20" l="1"/>
  <c r="WHP247" i="20" s="1"/>
  <c r="WHL247" i="20" s="1"/>
  <c r="WHH247" i="20" s="1"/>
  <c r="WHS247" i="20"/>
  <c r="CC12" i="19"/>
  <c r="CD13" i="19"/>
  <c r="WHO247" i="20" l="1"/>
  <c r="WHK247" i="20" s="1"/>
  <c r="WHG247" i="20" s="1"/>
  <c r="WHC247" i="20" s="1"/>
  <c r="WHN247" i="20"/>
  <c r="CD12" i="19"/>
  <c r="CE13" i="19"/>
  <c r="WHJ247" i="20" l="1"/>
  <c r="WHF247" i="20" s="1"/>
  <c r="WHB247" i="20" s="1"/>
  <c r="WGX247" i="20" s="1"/>
  <c r="WHI247" i="20"/>
  <c r="CE12" i="19"/>
  <c r="CF13" i="19"/>
  <c r="WHE247" i="20" l="1"/>
  <c r="WHA247" i="20" s="1"/>
  <c r="WGW247" i="20" s="1"/>
  <c r="WGS247" i="20" s="1"/>
  <c r="WHD247" i="20"/>
  <c r="CG13" i="19"/>
  <c r="CF12" i="19"/>
  <c r="WGZ247" i="20" l="1"/>
  <c r="WGV247" i="20" s="1"/>
  <c r="WGR247" i="20" s="1"/>
  <c r="WGN247" i="20" s="1"/>
  <c r="WGY247" i="20"/>
  <c r="CH13" i="19"/>
  <c r="CG12" i="19"/>
  <c r="WGU247" i="20" l="1"/>
  <c r="WGQ247" i="20" s="1"/>
  <c r="WGM247" i="20" s="1"/>
  <c r="WGI247" i="20" s="1"/>
  <c r="WGT247" i="20"/>
  <c r="CI13" i="19"/>
  <c r="CH12" i="19"/>
  <c r="WGP247" i="20" l="1"/>
  <c r="WGL247" i="20" s="1"/>
  <c r="WGH247" i="20" s="1"/>
  <c r="WGD247" i="20" s="1"/>
  <c r="WGO247" i="20"/>
  <c r="CJ13" i="19"/>
  <c r="CI12" i="19"/>
  <c r="WGK247" i="20" l="1"/>
  <c r="WGG247" i="20" s="1"/>
  <c r="WGC247" i="20" s="1"/>
  <c r="WFY247" i="20" s="1"/>
  <c r="WGJ247" i="20"/>
  <c r="CK13" i="19"/>
  <c r="CJ12" i="19"/>
  <c r="WGF247" i="20" l="1"/>
  <c r="WGB247" i="20" s="1"/>
  <c r="WFX247" i="20" s="1"/>
  <c r="WFT247" i="20" s="1"/>
  <c r="WGE247" i="20"/>
  <c r="CK12" i="19"/>
  <c r="CL13" i="19"/>
  <c r="WGA247" i="20" l="1"/>
  <c r="WFW247" i="20" s="1"/>
  <c r="WFS247" i="20" s="1"/>
  <c r="WFO247" i="20" s="1"/>
  <c r="WFZ247" i="20"/>
  <c r="CL12" i="19"/>
  <c r="CM13" i="19"/>
  <c r="WFV247" i="20" l="1"/>
  <c r="WFR247" i="20" s="1"/>
  <c r="WFN247" i="20" s="1"/>
  <c r="WFJ247" i="20" s="1"/>
  <c r="WFU247" i="20"/>
  <c r="CM12" i="19"/>
  <c r="CN13" i="19"/>
  <c r="WFQ247" i="20" l="1"/>
  <c r="WFM247" i="20" s="1"/>
  <c r="WFI247" i="20" s="1"/>
  <c r="WFE247" i="20" s="1"/>
  <c r="WFP247" i="20"/>
  <c r="CO13" i="19"/>
  <c r="CN12" i="19"/>
  <c r="WFL247" i="20" l="1"/>
  <c r="WFH247" i="20" s="1"/>
  <c r="WFD247" i="20" s="1"/>
  <c r="WEZ247" i="20" s="1"/>
  <c r="WFK247" i="20"/>
  <c r="CP13" i="19"/>
  <c r="CO12" i="19"/>
  <c r="WFG247" i="20" l="1"/>
  <c r="WFC247" i="20" s="1"/>
  <c r="WEY247" i="20" s="1"/>
  <c r="WEU247" i="20" s="1"/>
  <c r="WFF247" i="20"/>
  <c r="CQ13" i="19"/>
  <c r="CP12" i="19"/>
  <c r="WFB247" i="20" l="1"/>
  <c r="WEX247" i="20" s="1"/>
  <c r="WET247" i="20" s="1"/>
  <c r="WEP247" i="20" s="1"/>
  <c r="WFA247" i="20"/>
  <c r="CR13" i="19"/>
  <c r="CQ12" i="19"/>
  <c r="WEW247" i="20" l="1"/>
  <c r="WES247" i="20" s="1"/>
  <c r="WEO247" i="20" s="1"/>
  <c r="WEK247" i="20" s="1"/>
  <c r="WEV247" i="20"/>
  <c r="CS13" i="19"/>
  <c r="CR12" i="19"/>
  <c r="WER247" i="20" l="1"/>
  <c r="WEN247" i="20" s="1"/>
  <c r="WEJ247" i="20" s="1"/>
  <c r="WEF247" i="20" s="1"/>
  <c r="WEQ247" i="20"/>
  <c r="CS12" i="19"/>
  <c r="CT13" i="19"/>
  <c r="WEM247" i="20" l="1"/>
  <c r="WEI247" i="20" s="1"/>
  <c r="WEE247" i="20" s="1"/>
  <c r="WEA247" i="20" s="1"/>
  <c r="WEL247" i="20"/>
  <c r="CT12" i="19"/>
  <c r="CU13" i="19"/>
  <c r="WEH247" i="20" l="1"/>
  <c r="WED247" i="20" s="1"/>
  <c r="WDZ247" i="20" s="1"/>
  <c r="WDV247" i="20" s="1"/>
  <c r="WEG247" i="20"/>
  <c r="CU12" i="19"/>
  <c r="CV13" i="19"/>
  <c r="WEC247" i="20" l="1"/>
  <c r="WDY247" i="20" s="1"/>
  <c r="WDU247" i="20" s="1"/>
  <c r="WDQ247" i="20" s="1"/>
  <c r="WEB247" i="20"/>
  <c r="CW13" i="19"/>
  <c r="CV12" i="19"/>
  <c r="WDX247" i="20" l="1"/>
  <c r="WDT247" i="20" s="1"/>
  <c r="WDP247" i="20" s="1"/>
  <c r="WDL247" i="20" s="1"/>
  <c r="WDW247" i="20"/>
  <c r="CX13" i="19"/>
  <c r="CW12" i="19"/>
  <c r="WDS247" i="20" l="1"/>
  <c r="WDO247" i="20" s="1"/>
  <c r="WDK247" i="20" s="1"/>
  <c r="WDG247" i="20" s="1"/>
  <c r="WDR247" i="20"/>
  <c r="CY13" i="19"/>
  <c r="CX12" i="19"/>
  <c r="WDN247" i="20" l="1"/>
  <c r="WDJ247" i="20" s="1"/>
  <c r="WDF247" i="20" s="1"/>
  <c r="WDB247" i="20" s="1"/>
  <c r="WDM247" i="20"/>
  <c r="CZ13" i="19"/>
  <c r="CY12" i="19"/>
  <c r="WDI247" i="20" l="1"/>
  <c r="WDE247" i="20" s="1"/>
  <c r="WDA247" i="20" s="1"/>
  <c r="WCW247" i="20" s="1"/>
  <c r="WDH247" i="20"/>
  <c r="DA13" i="19"/>
  <c r="CZ12" i="19"/>
  <c r="WDD247" i="20" l="1"/>
  <c r="WCZ247" i="20" s="1"/>
  <c r="WCV247" i="20" s="1"/>
  <c r="WCR247" i="20" s="1"/>
  <c r="WDC247" i="20"/>
  <c r="DA12" i="19"/>
  <c r="DB13" i="19"/>
  <c r="WCY247" i="20" l="1"/>
  <c r="WCU247" i="20" s="1"/>
  <c r="WCQ247" i="20" s="1"/>
  <c r="WCM247" i="20" s="1"/>
  <c r="WCX247" i="20"/>
  <c r="DB12" i="19"/>
  <c r="DC13" i="19"/>
  <c r="WCT247" i="20" l="1"/>
  <c r="WCP247" i="20" s="1"/>
  <c r="WCL247" i="20" s="1"/>
  <c r="WCH247" i="20" s="1"/>
  <c r="WCS247" i="20"/>
  <c r="DC12" i="19"/>
  <c r="DD13" i="19"/>
  <c r="WCO247" i="20" l="1"/>
  <c r="WCK247" i="20" s="1"/>
  <c r="WCG247" i="20" s="1"/>
  <c r="WCC247" i="20" s="1"/>
  <c r="WCN247" i="20"/>
  <c r="DE13" i="19"/>
  <c r="DD12" i="19"/>
  <c r="WCJ247" i="20" l="1"/>
  <c r="WCF247" i="20" s="1"/>
  <c r="WCB247" i="20" s="1"/>
  <c r="WBX247" i="20" s="1"/>
  <c r="WCI247" i="20"/>
  <c r="DF13" i="19"/>
  <c r="DE12" i="19"/>
  <c r="WCE247" i="20" l="1"/>
  <c r="WCA247" i="20" s="1"/>
  <c r="WBW247" i="20" s="1"/>
  <c r="WBS247" i="20" s="1"/>
  <c r="WCD247" i="20"/>
  <c r="DG13" i="19"/>
  <c r="DF12" i="19"/>
  <c r="WBZ247" i="20" l="1"/>
  <c r="WBV247" i="20" s="1"/>
  <c r="WBR247" i="20" s="1"/>
  <c r="WBN247" i="20" s="1"/>
  <c r="WBY247" i="20"/>
  <c r="DH13" i="19"/>
  <c r="DG12" i="19"/>
  <c r="WBU247" i="20" l="1"/>
  <c r="WBQ247" i="20" s="1"/>
  <c r="WBM247" i="20" s="1"/>
  <c r="WBI247" i="20" s="1"/>
  <c r="WBT247" i="20"/>
  <c r="DI13" i="19"/>
  <c r="DH12" i="19"/>
  <c r="WBP247" i="20" l="1"/>
  <c r="WBL247" i="20" s="1"/>
  <c r="WBH247" i="20" s="1"/>
  <c r="WBD247" i="20" s="1"/>
  <c r="WBO247" i="20"/>
  <c r="DI12" i="19"/>
  <c r="DJ13" i="19"/>
  <c r="WBK247" i="20" l="1"/>
  <c r="WBG247" i="20" s="1"/>
  <c r="WBC247" i="20" s="1"/>
  <c r="WAY247" i="20" s="1"/>
  <c r="WBJ247" i="20"/>
  <c r="DJ12" i="19"/>
  <c r="DK13" i="19"/>
  <c r="WBF247" i="20" l="1"/>
  <c r="WBB247" i="20" s="1"/>
  <c r="WAX247" i="20" s="1"/>
  <c r="WAT247" i="20" s="1"/>
  <c r="WBE247" i="20"/>
  <c r="DK12" i="19"/>
  <c r="DL13" i="19"/>
  <c r="WBA247" i="20" l="1"/>
  <c r="WAW247" i="20" s="1"/>
  <c r="WAS247" i="20" s="1"/>
  <c r="WAO247" i="20" s="1"/>
  <c r="WAZ247" i="20"/>
  <c r="DM13" i="19"/>
  <c r="DL12" i="19"/>
  <c r="WAV247" i="20" l="1"/>
  <c r="WAR247" i="20" s="1"/>
  <c r="WAN247" i="20" s="1"/>
  <c r="WAJ247" i="20" s="1"/>
  <c r="WAU247" i="20"/>
  <c r="DN13" i="19"/>
  <c r="DM12" i="19"/>
  <c r="WAQ247" i="20" l="1"/>
  <c r="WAM247" i="20" s="1"/>
  <c r="WAI247" i="20" s="1"/>
  <c r="WAE247" i="20" s="1"/>
  <c r="WAP247" i="20"/>
  <c r="DO13" i="19"/>
  <c r="DN12" i="19"/>
  <c r="WAL247" i="20" l="1"/>
  <c r="WAH247" i="20" s="1"/>
  <c r="WAD247" i="20" s="1"/>
  <c r="VZZ247" i="20" s="1"/>
  <c r="WAK247" i="20"/>
  <c r="DP13" i="19"/>
  <c r="DO12" i="19"/>
  <c r="WAG247" i="20" l="1"/>
  <c r="WAC247" i="20" s="1"/>
  <c r="VZY247" i="20" s="1"/>
  <c r="VZU247" i="20" s="1"/>
  <c r="WAF247" i="20"/>
  <c r="DQ13" i="19"/>
  <c r="DP12" i="19"/>
  <c r="WAB247" i="20" l="1"/>
  <c r="VZX247" i="20" s="1"/>
  <c r="VZT247" i="20" s="1"/>
  <c r="VZP247" i="20" s="1"/>
  <c r="WAA247" i="20"/>
  <c r="DQ12" i="19"/>
  <c r="DR13" i="19"/>
  <c r="VZW247" i="20" l="1"/>
  <c r="VZS247" i="20" s="1"/>
  <c r="VZO247" i="20" s="1"/>
  <c r="VZK247" i="20" s="1"/>
  <c r="VZV247" i="20"/>
  <c r="DR12" i="19"/>
  <c r="DS13" i="19"/>
  <c r="VZR247" i="20" l="1"/>
  <c r="VZN247" i="20" s="1"/>
  <c r="VZJ247" i="20" s="1"/>
  <c r="VZF247" i="20" s="1"/>
  <c r="VZQ247" i="20"/>
  <c r="DS12" i="19"/>
  <c r="DT13" i="19"/>
  <c r="VZM247" i="20" l="1"/>
  <c r="VZI247" i="20" s="1"/>
  <c r="VZE247" i="20" s="1"/>
  <c r="VZA247" i="20" s="1"/>
  <c r="VZL247" i="20"/>
  <c r="DU13" i="19"/>
  <c r="DT12" i="19"/>
  <c r="VZH247" i="20" l="1"/>
  <c r="VZD247" i="20" s="1"/>
  <c r="VYZ247" i="20" s="1"/>
  <c r="VYV247" i="20" s="1"/>
  <c r="VZG247" i="20"/>
  <c r="DV13" i="19"/>
  <c r="DU12" i="19"/>
  <c r="VZC247" i="20" l="1"/>
  <c r="VYY247" i="20" s="1"/>
  <c r="VYU247" i="20" s="1"/>
  <c r="VYQ247" i="20" s="1"/>
  <c r="VZB247" i="20"/>
  <c r="DW13" i="19"/>
  <c r="DV12" i="19"/>
  <c r="VYX247" i="20" l="1"/>
  <c r="VYT247" i="20" s="1"/>
  <c r="VYP247" i="20" s="1"/>
  <c r="VYL247" i="20" s="1"/>
  <c r="VYW247" i="20"/>
  <c r="DX13" i="19"/>
  <c r="DW12" i="19"/>
  <c r="VYS247" i="20" l="1"/>
  <c r="VYO247" i="20" s="1"/>
  <c r="VYK247" i="20" s="1"/>
  <c r="VYG247" i="20" s="1"/>
  <c r="VYR247" i="20"/>
  <c r="DY13" i="19"/>
  <c r="DX12" i="19"/>
  <c r="VYN247" i="20" l="1"/>
  <c r="VYJ247" i="20" s="1"/>
  <c r="VYF247" i="20" s="1"/>
  <c r="VYB247" i="20" s="1"/>
  <c r="VYM247" i="20"/>
  <c r="DY12" i="19"/>
  <c r="DZ13" i="19"/>
  <c r="VYI247" i="20" l="1"/>
  <c r="VYE247" i="20" s="1"/>
  <c r="VYA247" i="20" s="1"/>
  <c r="VXW247" i="20" s="1"/>
  <c r="VYH247" i="20"/>
  <c r="DZ12" i="19"/>
  <c r="EA13" i="19"/>
  <c r="VYD247" i="20" l="1"/>
  <c r="VXZ247" i="20" s="1"/>
  <c r="VXV247" i="20" s="1"/>
  <c r="VXR247" i="20" s="1"/>
  <c r="VYC247" i="20"/>
  <c r="EA12" i="19"/>
  <c r="EB13" i="19"/>
  <c r="VXY247" i="20" l="1"/>
  <c r="VXU247" i="20" s="1"/>
  <c r="VXQ247" i="20" s="1"/>
  <c r="VXM247" i="20" s="1"/>
  <c r="VXX247" i="20"/>
  <c r="EC13" i="19"/>
  <c r="EB12" i="19"/>
  <c r="VXT247" i="20" l="1"/>
  <c r="VXP247" i="20" s="1"/>
  <c r="VXL247" i="20" s="1"/>
  <c r="VXH247" i="20" s="1"/>
  <c r="VXS247" i="20"/>
  <c r="ED13" i="19"/>
  <c r="EC12" i="19"/>
  <c r="VXO247" i="20" l="1"/>
  <c r="VXK247" i="20" s="1"/>
  <c r="VXG247" i="20" s="1"/>
  <c r="VXC247" i="20" s="1"/>
  <c r="VXN247" i="20"/>
  <c r="EE13" i="19"/>
  <c r="ED12" i="19"/>
  <c r="VXJ247" i="20" l="1"/>
  <c r="VXF247" i="20" s="1"/>
  <c r="VXB247" i="20" s="1"/>
  <c r="VWX247" i="20" s="1"/>
  <c r="VXI247" i="20"/>
  <c r="EF13" i="19"/>
  <c r="EE12" i="19"/>
  <c r="VXE247" i="20" l="1"/>
  <c r="VXA247" i="20" s="1"/>
  <c r="VWW247" i="20" s="1"/>
  <c r="VWS247" i="20" s="1"/>
  <c r="VXD247" i="20"/>
  <c r="EG13" i="19"/>
  <c r="EF12" i="19"/>
  <c r="VWZ247" i="20" l="1"/>
  <c r="VWV247" i="20" s="1"/>
  <c r="VWR247" i="20" s="1"/>
  <c r="VWN247" i="20" s="1"/>
  <c r="VWY247" i="20"/>
  <c r="EH13" i="19"/>
  <c r="EG12" i="19"/>
  <c r="VWU247" i="20" l="1"/>
  <c r="VWQ247" i="20" s="1"/>
  <c r="VWM247" i="20" s="1"/>
  <c r="VWI247" i="20" s="1"/>
  <c r="VWT247" i="20"/>
  <c r="EH12" i="19"/>
  <c r="EI13" i="19"/>
  <c r="VWP247" i="20" l="1"/>
  <c r="VWL247" i="20" s="1"/>
  <c r="VWH247" i="20" s="1"/>
  <c r="VWD247" i="20" s="1"/>
  <c r="VWO247" i="20"/>
  <c r="EI12" i="19"/>
  <c r="EJ13" i="19"/>
  <c r="VWK247" i="20" l="1"/>
  <c r="VWG247" i="20" s="1"/>
  <c r="VWC247" i="20" s="1"/>
  <c r="VVY247" i="20" s="1"/>
  <c r="VWJ247" i="20"/>
  <c r="EK13" i="19"/>
  <c r="EJ12" i="19"/>
  <c r="VWF247" i="20" l="1"/>
  <c r="VWB247" i="20" s="1"/>
  <c r="VVX247" i="20" s="1"/>
  <c r="VVT247" i="20" s="1"/>
  <c r="VWE247" i="20"/>
  <c r="EL13" i="19"/>
  <c r="EK12" i="19"/>
  <c r="VWA247" i="20" l="1"/>
  <c r="VVW247" i="20" s="1"/>
  <c r="VVS247" i="20" s="1"/>
  <c r="VVO247" i="20" s="1"/>
  <c r="VVZ247" i="20"/>
  <c r="EM13" i="19"/>
  <c r="EL12" i="19"/>
  <c r="VVV247" i="20" l="1"/>
  <c r="VVR247" i="20" s="1"/>
  <c r="VVN247" i="20" s="1"/>
  <c r="VVJ247" i="20" s="1"/>
  <c r="VVU247" i="20"/>
  <c r="EN13" i="19"/>
  <c r="EM12" i="19"/>
  <c r="VVQ247" i="20" l="1"/>
  <c r="VVM247" i="20" s="1"/>
  <c r="VVI247" i="20" s="1"/>
  <c r="VVE247" i="20" s="1"/>
  <c r="VVP247" i="20"/>
  <c r="EO13" i="19"/>
  <c r="EN12" i="19"/>
  <c r="VVL247" i="20" l="1"/>
  <c r="VVH247" i="20" s="1"/>
  <c r="VVD247" i="20" s="1"/>
  <c r="VUZ247" i="20" s="1"/>
  <c r="VVK247" i="20"/>
  <c r="EP13" i="19"/>
  <c r="EO12" i="19"/>
  <c r="VVG247" i="20" l="1"/>
  <c r="VVC247" i="20" s="1"/>
  <c r="VUY247" i="20" s="1"/>
  <c r="VUU247" i="20" s="1"/>
  <c r="VVF247" i="20"/>
  <c r="EQ13" i="19"/>
  <c r="EP12" i="19"/>
  <c r="VVB247" i="20" l="1"/>
  <c r="VUX247" i="20" s="1"/>
  <c r="VUT247" i="20" s="1"/>
  <c r="VUP247" i="20" s="1"/>
  <c r="VVA247" i="20"/>
  <c r="EQ12" i="19"/>
  <c r="ER13" i="19"/>
  <c r="VUW247" i="20" l="1"/>
  <c r="VUS247" i="20" s="1"/>
  <c r="VUO247" i="20" s="1"/>
  <c r="VUK247" i="20" s="1"/>
  <c r="VUV247" i="20"/>
  <c r="ES13" i="19"/>
  <c r="ER12" i="19"/>
  <c r="VUR247" i="20" l="1"/>
  <c r="VUN247" i="20" s="1"/>
  <c r="VUJ247" i="20" s="1"/>
  <c r="VUF247" i="20" s="1"/>
  <c r="VUQ247" i="20"/>
  <c r="ET13" i="19"/>
  <c r="ES12" i="19"/>
  <c r="VUM247" i="20" l="1"/>
  <c r="VUI247" i="20" s="1"/>
  <c r="VUE247" i="20" s="1"/>
  <c r="VUA247" i="20" s="1"/>
  <c r="VUL247" i="20"/>
  <c r="EU13" i="19"/>
  <c r="ET12" i="19"/>
  <c r="VUH247" i="20" l="1"/>
  <c r="VUD247" i="20" s="1"/>
  <c r="VTZ247" i="20" s="1"/>
  <c r="VTV247" i="20" s="1"/>
  <c r="VUG247" i="20"/>
  <c r="EV13" i="19"/>
  <c r="EU12" i="19"/>
  <c r="VUC247" i="20" l="1"/>
  <c r="VTY247" i="20" s="1"/>
  <c r="VTU247" i="20" s="1"/>
  <c r="VTQ247" i="20" s="1"/>
  <c r="VUB247" i="20"/>
  <c r="EW13" i="19"/>
  <c r="EV12" i="19"/>
  <c r="VTX247" i="20" l="1"/>
  <c r="VTT247" i="20" s="1"/>
  <c r="VTP247" i="20" s="1"/>
  <c r="VTL247" i="20" s="1"/>
  <c r="VTW247" i="20"/>
  <c r="EX13" i="19"/>
  <c r="EW12" i="19"/>
  <c r="VTS247" i="20" l="1"/>
  <c r="VTO247" i="20" s="1"/>
  <c r="VTK247" i="20" s="1"/>
  <c r="VTG247" i="20" s="1"/>
  <c r="VTR247" i="20"/>
  <c r="EY13" i="19"/>
  <c r="EX12" i="19"/>
  <c r="VTN247" i="20" l="1"/>
  <c r="VTJ247" i="20" s="1"/>
  <c r="VTF247" i="20" s="1"/>
  <c r="VTB247" i="20" s="1"/>
  <c r="VTM247" i="20"/>
  <c r="EZ13" i="19"/>
  <c r="EY12" i="19"/>
  <c r="VTI247" i="20" l="1"/>
  <c r="VTE247" i="20" s="1"/>
  <c r="VTA247" i="20" s="1"/>
  <c r="VSW247" i="20" s="1"/>
  <c r="VTH247" i="20"/>
  <c r="FA13" i="19"/>
  <c r="EZ12" i="19"/>
  <c r="VTD247" i="20" l="1"/>
  <c r="VSZ247" i="20" s="1"/>
  <c r="VSV247" i="20" s="1"/>
  <c r="VSR247" i="20" s="1"/>
  <c r="VTC247" i="20"/>
  <c r="FB13" i="19"/>
  <c r="FA12" i="19"/>
  <c r="VSY247" i="20" l="1"/>
  <c r="VSU247" i="20" s="1"/>
  <c r="VSQ247" i="20" s="1"/>
  <c r="VSM247" i="20" s="1"/>
  <c r="VSX247" i="20"/>
  <c r="FB12" i="19"/>
  <c r="FC13" i="19"/>
  <c r="VST247" i="20" l="1"/>
  <c r="VSP247" i="20" s="1"/>
  <c r="VSL247" i="20" s="1"/>
  <c r="VSH247" i="20" s="1"/>
  <c r="VSS247" i="20"/>
  <c r="FC12" i="19"/>
  <c r="FD13" i="19"/>
  <c r="VSO247" i="20" l="1"/>
  <c r="VSK247" i="20" s="1"/>
  <c r="VSG247" i="20" s="1"/>
  <c r="VSC247" i="20" s="1"/>
  <c r="VSN247" i="20"/>
  <c r="FD12" i="19"/>
  <c r="FE13" i="19"/>
  <c r="VSJ247" i="20" l="1"/>
  <c r="VSF247" i="20" s="1"/>
  <c r="VSB247" i="20" s="1"/>
  <c r="VRX247" i="20" s="1"/>
  <c r="VSI247" i="20"/>
  <c r="FE12" i="19"/>
  <c r="FF13" i="19"/>
  <c r="VSE247" i="20" l="1"/>
  <c r="VSA247" i="20" s="1"/>
  <c r="VRW247" i="20" s="1"/>
  <c r="VRS247" i="20" s="1"/>
  <c r="VSD247" i="20"/>
  <c r="FF12" i="19"/>
  <c r="FG13" i="19"/>
  <c r="VRZ247" i="20" l="1"/>
  <c r="VRV247" i="20" s="1"/>
  <c r="VRR247" i="20" s="1"/>
  <c r="VRN247" i="20" s="1"/>
  <c r="VRY247" i="20"/>
  <c r="FG12" i="19"/>
  <c r="FH13" i="19"/>
  <c r="VRU247" i="20" l="1"/>
  <c r="VRQ247" i="20" s="1"/>
  <c r="VRM247" i="20" s="1"/>
  <c r="VRI247" i="20" s="1"/>
  <c r="VRT247" i="20"/>
  <c r="FI13" i="19"/>
  <c r="FH12" i="19"/>
  <c r="VRP247" i="20" l="1"/>
  <c r="VRL247" i="20" s="1"/>
  <c r="VRH247" i="20" s="1"/>
  <c r="VRD247" i="20" s="1"/>
  <c r="VRO247" i="20"/>
  <c r="FJ13" i="19"/>
  <c r="FI12" i="19"/>
  <c r="VRK247" i="20" l="1"/>
  <c r="VRG247" i="20" s="1"/>
  <c r="VRC247" i="20" s="1"/>
  <c r="VQY247" i="20" s="1"/>
  <c r="VRJ247" i="20"/>
  <c r="FJ12" i="19"/>
  <c r="FK13" i="19"/>
  <c r="FK12" i="19" s="1"/>
  <c r="VRF247" i="20" l="1"/>
  <c r="VRB247" i="20" s="1"/>
  <c r="VQX247" i="20" s="1"/>
  <c r="VQT247" i="20" s="1"/>
  <c r="VRE247" i="20"/>
  <c r="H9" i="1"/>
  <c r="H12" i="1"/>
  <c r="H13" i="1"/>
  <c r="H14" i="1"/>
  <c r="H15" i="1"/>
  <c r="H16" i="1"/>
  <c r="H17" i="1"/>
  <c r="H18" i="1"/>
  <c r="H19" i="1"/>
  <c r="H20" i="1"/>
  <c r="H21" i="1"/>
  <c r="H22" i="1"/>
  <c r="H23" i="1"/>
  <c r="H24" i="1"/>
  <c r="H25" i="1"/>
  <c r="H26" i="1"/>
  <c r="H27" i="1"/>
  <c r="H28" i="1"/>
  <c r="H29" i="1"/>
  <c r="H30" i="1"/>
  <c r="H51" i="1"/>
  <c r="H52" i="1"/>
  <c r="H53" i="1"/>
  <c r="H54" i="1"/>
  <c r="H55"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83" i="1"/>
  <c r="H684" i="1"/>
  <c r="H685" i="1"/>
  <c r="H686" i="1"/>
  <c r="H687" i="1"/>
  <c r="H688"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2" i="1"/>
  <c r="H803" i="1"/>
  <c r="H804" i="1"/>
  <c r="H805" i="1"/>
  <c r="H806" i="1"/>
  <c r="H807" i="1"/>
  <c r="H808" i="1"/>
  <c r="H809" i="1"/>
  <c r="H810" i="1"/>
  <c r="H811" i="1"/>
  <c r="H812" i="1"/>
  <c r="H813" i="1"/>
  <c r="H817" i="1"/>
  <c r="H818" i="1"/>
  <c r="H819" i="1"/>
  <c r="H820" i="1"/>
  <c r="H821" i="1"/>
  <c r="H822" i="1"/>
  <c r="H824" i="1"/>
  <c r="H825" i="1"/>
  <c r="H826" i="1"/>
  <c r="H827" i="1"/>
  <c r="H828" i="1"/>
  <c r="H829" i="1"/>
  <c r="H830" i="1"/>
  <c r="H831" i="1"/>
  <c r="H832" i="1"/>
  <c r="H892" i="1"/>
  <c r="H893" i="1"/>
  <c r="H915" i="1"/>
  <c r="H858" i="1"/>
  <c r="H878" i="1"/>
  <c r="H863" i="1"/>
  <c r="H871" i="1"/>
  <c r="H876" i="1"/>
  <c r="H873" i="1"/>
  <c r="H921" i="1"/>
  <c r="H867" i="1"/>
  <c r="H835" i="1"/>
  <c r="H833" i="1"/>
  <c r="H852" i="1"/>
  <c r="H923" i="1"/>
  <c r="H846" i="1"/>
  <c r="H848" i="1"/>
  <c r="H909" i="1"/>
  <c r="H850" i="1"/>
  <c r="H880" i="1"/>
  <c r="H913" i="1"/>
  <c r="H907" i="1"/>
  <c r="H917" i="1"/>
  <c r="H888" i="1"/>
  <c r="H886" i="1"/>
  <c r="H865" i="1"/>
  <c r="H911" i="1"/>
  <c r="H842" i="1"/>
  <c r="H844" i="1"/>
  <c r="H882" i="1"/>
  <c r="H919" i="1"/>
  <c r="H860" i="1"/>
  <c r="H854" i="1"/>
  <c r="H856" i="1"/>
  <c r="H869" i="1"/>
  <c r="H884" i="1"/>
  <c r="H894" i="1"/>
  <c r="H890" i="1"/>
  <c r="H898" i="1"/>
  <c r="H900" i="1"/>
  <c r="H896" i="1"/>
  <c r="H902" i="1"/>
  <c r="H905" i="1"/>
  <c r="H916" i="1"/>
  <c r="H859" i="1"/>
  <c r="H843" i="1"/>
  <c r="H845" i="1"/>
  <c r="H883" i="1"/>
  <c r="H920" i="1"/>
  <c r="H862" i="1"/>
  <c r="H855" i="1"/>
  <c r="H857" i="1"/>
  <c r="H870" i="1"/>
  <c r="H885" i="1"/>
  <c r="H895" i="1"/>
  <c r="H891" i="1"/>
  <c r="H899"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9" i="1"/>
  <c r="H1250" i="1"/>
  <c r="H1251" i="1"/>
  <c r="H1287" i="1"/>
  <c r="H1288" i="1"/>
  <c r="H1289" i="1"/>
  <c r="H1246" i="1"/>
  <c r="H1247" i="1"/>
  <c r="H1248" i="1"/>
  <c r="H1284" i="1"/>
  <c r="H1285" i="1"/>
  <c r="H1286" i="1"/>
  <c r="H1478" i="1"/>
  <c r="H1479" i="1"/>
  <c r="H1480" i="1"/>
  <c r="H1475" i="1"/>
  <c r="H1476" i="1"/>
  <c r="H1477" i="1"/>
  <c r="H1290" i="1"/>
  <c r="H1291" i="1"/>
  <c r="H1292" i="1"/>
  <c r="H1263" i="1"/>
  <c r="H1264" i="1"/>
  <c r="H1265" i="1"/>
  <c r="H1260" i="1"/>
  <c r="H1261" i="1"/>
  <c r="H1262" i="1"/>
  <c r="H1257" i="1"/>
  <c r="H1258" i="1"/>
  <c r="H1259" i="1"/>
  <c r="H1281" i="1"/>
  <c r="H1282" i="1"/>
  <c r="H1283" i="1"/>
  <c r="H1278" i="1"/>
  <c r="H1279" i="1"/>
  <c r="H1280" i="1"/>
  <c r="H1269" i="1"/>
  <c r="H1270" i="1"/>
  <c r="H1271" i="1"/>
  <c r="H1272" i="1"/>
  <c r="H1273" i="1"/>
  <c r="H1274" i="1"/>
  <c r="H1275" i="1"/>
  <c r="H1276" i="1"/>
  <c r="H1277" i="1"/>
  <c r="H1266" i="1"/>
  <c r="H1267" i="1"/>
  <c r="H1268" i="1"/>
  <c r="H1293" i="1"/>
  <c r="H1294" i="1"/>
  <c r="H1295" i="1"/>
  <c r="H1296" i="1"/>
  <c r="H1297" i="1"/>
  <c r="H1298" i="1"/>
  <c r="H1299" i="1"/>
  <c r="H1300" i="1"/>
  <c r="H1301" i="1"/>
  <c r="H1302" i="1"/>
  <c r="H1303" i="1"/>
  <c r="H1304" i="1"/>
  <c r="H1305" i="1"/>
  <c r="H1306" i="1"/>
  <c r="H1307"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C24" i="3"/>
  <c r="C19" i="3"/>
  <c r="C16" i="3"/>
  <c r="O1407" i="1"/>
  <c r="W1407" i="1" s="1"/>
  <c r="O1406" i="1"/>
  <c r="W1406" i="1" s="1"/>
  <c r="O1405" i="1"/>
  <c r="W1405" i="1" s="1"/>
  <c r="O1404" i="1"/>
  <c r="W1404" i="1" s="1"/>
  <c r="O1403" i="1"/>
  <c r="W1403" i="1" s="1"/>
  <c r="O1402" i="1"/>
  <c r="W1402" i="1" s="1"/>
  <c r="O1401" i="1"/>
  <c r="W1401" i="1" s="1"/>
  <c r="O1400" i="1"/>
  <c r="W1400" i="1" s="1"/>
  <c r="O1399" i="1"/>
  <c r="W1399" i="1" s="1"/>
  <c r="O1398" i="1"/>
  <c r="W1398" i="1" s="1"/>
  <c r="O1397" i="1"/>
  <c r="W1397" i="1" s="1"/>
  <c r="O1396" i="1"/>
  <c r="W1396" i="1" s="1"/>
  <c r="O1395" i="1"/>
  <c r="W1395" i="1" s="1"/>
  <c r="O1394" i="1"/>
  <c r="W1394" i="1" s="1"/>
  <c r="O1393" i="1"/>
  <c r="W1393" i="1" s="1"/>
  <c r="O1392" i="1"/>
  <c r="W1392" i="1" s="1"/>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65" i="1"/>
  <c r="W1365" i="1" s="1"/>
  <c r="O1364" i="1"/>
  <c r="W1364" i="1" s="1"/>
  <c r="O1363" i="1"/>
  <c r="W1363"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68" i="1"/>
  <c r="W1268" i="1" s="1"/>
  <c r="O1267" i="1"/>
  <c r="W1267" i="1" s="1"/>
  <c r="O1266" i="1"/>
  <c r="O1277" i="1"/>
  <c r="W1277" i="1" s="1"/>
  <c r="O1276" i="1"/>
  <c r="W1276" i="1" s="1"/>
  <c r="O1275" i="1"/>
  <c r="O1274" i="1"/>
  <c r="W1274" i="1" s="1"/>
  <c r="O1273" i="1"/>
  <c r="W1273" i="1" s="1"/>
  <c r="O1272" i="1"/>
  <c r="O1271" i="1"/>
  <c r="W1271" i="1" s="1"/>
  <c r="O1270" i="1"/>
  <c r="W1270" i="1" s="1"/>
  <c r="O1269" i="1"/>
  <c r="O1280" i="1"/>
  <c r="W1280" i="1" s="1"/>
  <c r="O1279" i="1"/>
  <c r="W1279" i="1" s="1"/>
  <c r="O1278" i="1"/>
  <c r="W1278" i="1" s="1"/>
  <c r="O1283" i="1"/>
  <c r="W1283" i="1" s="1"/>
  <c r="O1282" i="1"/>
  <c r="W1282" i="1" s="1"/>
  <c r="O1281" i="1"/>
  <c r="W1281" i="1" s="1"/>
  <c r="O1259" i="1"/>
  <c r="W1259" i="1" s="1"/>
  <c r="O1258" i="1"/>
  <c r="W1258" i="1" s="1"/>
  <c r="O1257" i="1"/>
  <c r="W1257" i="1" s="1"/>
  <c r="O1262" i="1"/>
  <c r="W1262" i="1" s="1"/>
  <c r="O1261" i="1"/>
  <c r="W1261" i="1" s="1"/>
  <c r="O1260" i="1"/>
  <c r="W1260" i="1" s="1"/>
  <c r="O1265" i="1"/>
  <c r="W1265" i="1" s="1"/>
  <c r="O1264" i="1"/>
  <c r="W1264" i="1" s="1"/>
  <c r="O1263" i="1"/>
  <c r="W1263" i="1" s="1"/>
  <c r="O1292" i="1"/>
  <c r="W1292" i="1" s="1"/>
  <c r="O1291" i="1"/>
  <c r="W1291" i="1" s="1"/>
  <c r="O1290" i="1"/>
  <c r="W1290" i="1" s="1"/>
  <c r="O1477" i="1"/>
  <c r="W1477" i="1" s="1"/>
  <c r="O1476" i="1"/>
  <c r="W1476" i="1" s="1"/>
  <c r="O1475" i="1"/>
  <c r="W1475" i="1" s="1"/>
  <c r="O1480" i="1"/>
  <c r="W1480" i="1" s="1"/>
  <c r="O1479" i="1"/>
  <c r="W1479" i="1" s="1"/>
  <c r="O1478" i="1"/>
  <c r="W1478" i="1" s="1"/>
  <c r="O1286" i="1"/>
  <c r="W1286" i="1" s="1"/>
  <c r="O1285" i="1"/>
  <c r="W1285" i="1" s="1"/>
  <c r="O1284" i="1"/>
  <c r="W1284" i="1" s="1"/>
  <c r="O1248" i="1"/>
  <c r="W1248" i="1" s="1"/>
  <c r="O1247" i="1"/>
  <c r="W1247" i="1" s="1"/>
  <c r="O1246" i="1"/>
  <c r="W1246" i="1" s="1"/>
  <c r="O1289" i="1"/>
  <c r="W1289" i="1" s="1"/>
  <c r="O1288" i="1"/>
  <c r="W1288" i="1" s="1"/>
  <c r="O1287" i="1"/>
  <c r="W1287" i="1" s="1"/>
  <c r="O1251" i="1"/>
  <c r="W1251" i="1" s="1"/>
  <c r="O1250" i="1"/>
  <c r="W1250" i="1" s="1"/>
  <c r="O1249" i="1"/>
  <c r="W1249"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K439" i="20" s="1"/>
  <c r="L439" i="20" s="1"/>
  <c r="O1142" i="1"/>
  <c r="W1142" i="1" s="1"/>
  <c r="K438" i="20" s="1"/>
  <c r="L438" i="20" s="1"/>
  <c r="O1141" i="1"/>
  <c r="W1141" i="1" s="1"/>
  <c r="K437" i="20" s="1"/>
  <c r="L437" i="20" s="1"/>
  <c r="O1140" i="1"/>
  <c r="W1140" i="1" s="1"/>
  <c r="K436" i="20" s="1"/>
  <c r="L436" i="20" s="1"/>
  <c r="O1139" i="1"/>
  <c r="W1139" i="1" s="1"/>
  <c r="K435" i="20" s="1"/>
  <c r="L435" i="20" s="1"/>
  <c r="O1138" i="1"/>
  <c r="W1138" i="1" s="1"/>
  <c r="K434" i="20" s="1"/>
  <c r="L434" i="20" s="1"/>
  <c r="O1137" i="1"/>
  <c r="W1137" i="1" s="1"/>
  <c r="K433" i="20" s="1"/>
  <c r="L433" i="20" s="1"/>
  <c r="O1136" i="1"/>
  <c r="W1136" i="1" s="1"/>
  <c r="K432" i="20" s="1"/>
  <c r="L432" i="20" s="1"/>
  <c r="O1135" i="1"/>
  <c r="W1135" i="1" s="1"/>
  <c r="K431" i="20" s="1"/>
  <c r="L431" i="20" s="1"/>
  <c r="O1134" i="1"/>
  <c r="W1134" i="1" s="1"/>
  <c r="K430" i="20" s="1"/>
  <c r="L430" i="20" s="1"/>
  <c r="O1133" i="1"/>
  <c r="W1133" i="1" s="1"/>
  <c r="K429" i="20" s="1"/>
  <c r="L429" i="20" s="1"/>
  <c r="O1132" i="1"/>
  <c r="W1132" i="1" s="1"/>
  <c r="K428" i="20" s="1"/>
  <c r="L428" i="20" s="1"/>
  <c r="O1131" i="1"/>
  <c r="W1131" i="1" s="1"/>
  <c r="K427" i="20" s="1"/>
  <c r="L427" i="20" s="1"/>
  <c r="O1130" i="1"/>
  <c r="W1130" i="1" s="1"/>
  <c r="K426" i="20" s="1"/>
  <c r="L426" i="20" s="1"/>
  <c r="O1129" i="1"/>
  <c r="W1129" i="1" s="1"/>
  <c r="K425" i="20" s="1"/>
  <c r="L425" i="20" s="1"/>
  <c r="O1128" i="1"/>
  <c r="W1128" i="1" s="1"/>
  <c r="K424" i="20" s="1"/>
  <c r="L424" i="20" s="1"/>
  <c r="O1127" i="1"/>
  <c r="W1127" i="1" s="1"/>
  <c r="O1126" i="1"/>
  <c r="W1126" i="1" s="1"/>
  <c r="O1125" i="1"/>
  <c r="W1125" i="1" s="1"/>
  <c r="O1124" i="1"/>
  <c r="W1124" i="1" s="1"/>
  <c r="O1123" i="1"/>
  <c r="W1123" i="1" s="1"/>
  <c r="O1122" i="1"/>
  <c r="W1122" i="1" s="1"/>
  <c r="O1121" i="1"/>
  <c r="W1121" i="1" s="1"/>
  <c r="K413" i="20" s="1"/>
  <c r="L413" i="20" s="1"/>
  <c r="O1120" i="1"/>
  <c r="W1120" i="1" s="1"/>
  <c r="K412" i="20" s="1"/>
  <c r="L412" i="20" s="1"/>
  <c r="O1119" i="1"/>
  <c r="W1119" i="1" s="1"/>
  <c r="O1118" i="1"/>
  <c r="W1118" i="1" s="1"/>
  <c r="O1117" i="1"/>
  <c r="W1117" i="1" s="1"/>
  <c r="K410" i="20" s="1"/>
  <c r="L410" i="20" s="1"/>
  <c r="O1116" i="1"/>
  <c r="W1116" i="1" s="1"/>
  <c r="K409" i="20" s="1"/>
  <c r="L409" i="20" s="1"/>
  <c r="O1115" i="1"/>
  <c r="W1115" i="1" s="1"/>
  <c r="K408" i="20" s="1"/>
  <c r="L408" i="20" s="1"/>
  <c r="O1114" i="1"/>
  <c r="W1114" i="1" s="1"/>
  <c r="K407" i="20" s="1"/>
  <c r="L407" i="20" s="1"/>
  <c r="O1113" i="1"/>
  <c r="W1113" i="1" s="1"/>
  <c r="O1112" i="1"/>
  <c r="W1112" i="1" s="1"/>
  <c r="O1111" i="1"/>
  <c r="W1111" i="1" s="1"/>
  <c r="K405" i="20" s="1"/>
  <c r="L405" i="20" s="1"/>
  <c r="O1110" i="1"/>
  <c r="W1110" i="1" s="1"/>
  <c r="K404" i="20" s="1"/>
  <c r="L404" i="20" s="1"/>
  <c r="O1109" i="1"/>
  <c r="W1109" i="1" s="1"/>
  <c r="K403" i="20" s="1"/>
  <c r="L403" i="20" s="1"/>
  <c r="O1108" i="1"/>
  <c r="W1108" i="1" s="1"/>
  <c r="K402" i="20" s="1"/>
  <c r="L402" i="20" s="1"/>
  <c r="O1107" i="1"/>
  <c r="W1107" i="1" s="1"/>
  <c r="K401" i="20" s="1"/>
  <c r="L401" i="20" s="1"/>
  <c r="O1106" i="1"/>
  <c r="W1106" i="1" s="1"/>
  <c r="K400" i="20" s="1"/>
  <c r="L400" i="20" s="1"/>
  <c r="O1105" i="1"/>
  <c r="W1105" i="1" s="1"/>
  <c r="K399" i="20" s="1"/>
  <c r="L399" i="20" s="1"/>
  <c r="O1104" i="1"/>
  <c r="W1104" i="1" s="1"/>
  <c r="K398" i="20" s="1"/>
  <c r="L398" i="20" s="1"/>
  <c r="O1103" i="1"/>
  <c r="W1103" i="1" s="1"/>
  <c r="K397" i="20" s="1"/>
  <c r="L397" i="20" s="1"/>
  <c r="O1102" i="1"/>
  <c r="W1102" i="1" s="1"/>
  <c r="K396" i="20" s="1"/>
  <c r="L396" i="20" s="1"/>
  <c r="O1101" i="1"/>
  <c r="W1101" i="1" s="1"/>
  <c r="K395" i="20" s="1"/>
  <c r="L395" i="20" s="1"/>
  <c r="O1100" i="1"/>
  <c r="W1100" i="1" s="1"/>
  <c r="K394" i="20" s="1"/>
  <c r="L394" i="20"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K388" i="20" s="1"/>
  <c r="L388" i="20" s="1"/>
  <c r="O1088" i="1"/>
  <c r="W1088" i="1" s="1"/>
  <c r="O1087" i="1"/>
  <c r="W1087" i="1" s="1"/>
  <c r="O1086" i="1"/>
  <c r="W1086" i="1" s="1"/>
  <c r="K386" i="20" s="1"/>
  <c r="L386" i="20" s="1"/>
  <c r="O1080" i="1"/>
  <c r="W1080" i="1" s="1"/>
  <c r="O1079" i="1"/>
  <c r="W1079" i="1" s="1"/>
  <c r="O1078" i="1"/>
  <c r="W1078" i="1" s="1"/>
  <c r="O1077" i="1"/>
  <c r="W1077" i="1" s="1"/>
  <c r="O1076" i="1"/>
  <c r="W1076" i="1" s="1"/>
  <c r="O1075" i="1"/>
  <c r="W1075" i="1" s="1"/>
  <c r="O1074" i="1"/>
  <c r="W1074" i="1" s="1"/>
  <c r="K377" i="20" s="1"/>
  <c r="L377" i="20" s="1"/>
  <c r="O1073" i="1"/>
  <c r="W1073" i="1" s="1"/>
  <c r="O1072" i="1"/>
  <c r="W1072" i="1" s="1"/>
  <c r="O1071" i="1"/>
  <c r="W1071" i="1" s="1"/>
  <c r="K375" i="20" s="1"/>
  <c r="L375" i="20"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K340" i="20" s="1"/>
  <c r="L340" i="20" s="1"/>
  <c r="O1000" i="1"/>
  <c r="W1000" i="1" s="1"/>
  <c r="K338" i="20" s="1"/>
  <c r="L338" i="20" s="1"/>
  <c r="O999" i="1"/>
  <c r="W999" i="1" s="1"/>
  <c r="K337" i="20" s="1"/>
  <c r="L337" i="20" s="1"/>
  <c r="O998" i="1"/>
  <c r="W998" i="1" s="1"/>
  <c r="O997" i="1"/>
  <c r="W997" i="1" s="1"/>
  <c r="O996" i="1"/>
  <c r="W996" i="1" s="1"/>
  <c r="O995" i="1"/>
  <c r="W995" i="1" s="1"/>
  <c r="O994" i="1"/>
  <c r="W994" i="1" s="1"/>
  <c r="K334" i="20" s="1"/>
  <c r="L334" i="20" s="1"/>
  <c r="O993" i="1"/>
  <c r="W993" i="1" s="1"/>
  <c r="K333" i="20" s="1"/>
  <c r="L333" i="20" s="1"/>
  <c r="O992" i="1"/>
  <c r="W992" i="1" s="1"/>
  <c r="K332" i="20" s="1"/>
  <c r="L332" i="20" s="1"/>
  <c r="O991" i="1"/>
  <c r="W991" i="1" s="1"/>
  <c r="K331" i="20" s="1"/>
  <c r="L331" i="20" s="1"/>
  <c r="O990" i="1"/>
  <c r="W990" i="1" s="1"/>
  <c r="O989" i="1"/>
  <c r="W989" i="1" s="1"/>
  <c r="O988" i="1"/>
  <c r="W988" i="1" s="1"/>
  <c r="O987" i="1"/>
  <c r="W987" i="1" s="1"/>
  <c r="O986" i="1"/>
  <c r="W986" i="1" s="1"/>
  <c r="O985" i="1"/>
  <c r="W985" i="1" s="1"/>
  <c r="O984" i="1"/>
  <c r="W984" i="1" s="1"/>
  <c r="K327" i="20" s="1"/>
  <c r="L327" i="20" s="1"/>
  <c r="O983" i="1"/>
  <c r="W983" i="1" s="1"/>
  <c r="O982" i="1"/>
  <c r="W982" i="1" s="1"/>
  <c r="O981" i="1"/>
  <c r="W981" i="1" s="1"/>
  <c r="O980" i="1"/>
  <c r="W980" i="1" s="1"/>
  <c r="O979" i="1"/>
  <c r="W979" i="1" s="1"/>
  <c r="O978" i="1"/>
  <c r="W978" i="1" s="1"/>
  <c r="O977" i="1"/>
  <c r="W977" i="1" s="1"/>
  <c r="O976" i="1"/>
  <c r="W976" i="1" s="1"/>
  <c r="O975" i="1"/>
  <c r="W975" i="1" s="1"/>
  <c r="O974" i="1"/>
  <c r="W974" i="1" s="1"/>
  <c r="O973" i="1"/>
  <c r="W973" i="1" s="1"/>
  <c r="K318" i="20" s="1"/>
  <c r="L318" i="20"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K304" i="20" s="1"/>
  <c r="L304" i="20" s="1"/>
  <c r="O945" i="1"/>
  <c r="W945" i="1" s="1"/>
  <c r="O944" i="1"/>
  <c r="W944" i="1" s="1"/>
  <c r="O943" i="1"/>
  <c r="W943" i="1" s="1"/>
  <c r="O942" i="1"/>
  <c r="W942" i="1" s="1"/>
  <c r="O941" i="1"/>
  <c r="W941" i="1" s="1"/>
  <c r="K301" i="20" s="1"/>
  <c r="L301"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W926" i="1"/>
  <c r="W925" i="1"/>
  <c r="O899" i="1"/>
  <c r="W899" i="1" s="1"/>
  <c r="O891" i="1"/>
  <c r="W891" i="1" s="1"/>
  <c r="O895" i="1"/>
  <c r="W895" i="1" s="1"/>
  <c r="O885" i="1"/>
  <c r="W885" i="1" s="1"/>
  <c r="O870" i="1"/>
  <c r="W870" i="1" s="1"/>
  <c r="O857" i="1"/>
  <c r="W857" i="1" s="1"/>
  <c r="O855" i="1"/>
  <c r="W855" i="1" s="1"/>
  <c r="O862" i="1"/>
  <c r="O920" i="1"/>
  <c r="W920" i="1" s="1"/>
  <c r="O883" i="1"/>
  <c r="O845" i="1"/>
  <c r="W845" i="1" s="1"/>
  <c r="O843" i="1"/>
  <c r="W843" i="1" s="1"/>
  <c r="O859" i="1"/>
  <c r="W859" i="1" s="1"/>
  <c r="O916" i="1"/>
  <c r="O905" i="1"/>
  <c r="W905" i="1" s="1"/>
  <c r="O902" i="1"/>
  <c r="W902" i="1" s="1"/>
  <c r="O896" i="1"/>
  <c r="W896" i="1" s="1"/>
  <c r="O900" i="1"/>
  <c r="O898" i="1"/>
  <c r="O890" i="1"/>
  <c r="W890" i="1" s="1"/>
  <c r="O894" i="1"/>
  <c r="O884" i="1"/>
  <c r="O869" i="1"/>
  <c r="O856" i="1"/>
  <c r="O854" i="1"/>
  <c r="O860" i="1"/>
  <c r="O919" i="1"/>
  <c r="O882" i="1"/>
  <c r="W882" i="1" s="1"/>
  <c r="O844" i="1"/>
  <c r="W844" i="1" s="1"/>
  <c r="O842" i="1"/>
  <c r="W842" i="1" s="1"/>
  <c r="O911" i="1"/>
  <c r="W911" i="1" s="1"/>
  <c r="O865" i="1"/>
  <c r="W865" i="1" s="1"/>
  <c r="O886" i="1"/>
  <c r="W886" i="1" s="1"/>
  <c r="O888" i="1"/>
  <c r="W888" i="1" s="1"/>
  <c r="O861" i="1"/>
  <c r="O917" i="1"/>
  <c r="W917" i="1" s="1"/>
  <c r="O907" i="1"/>
  <c r="W907" i="1" s="1"/>
  <c r="O913" i="1"/>
  <c r="W913" i="1" s="1"/>
  <c r="O880" i="1"/>
  <c r="W880" i="1" s="1"/>
  <c r="O850" i="1"/>
  <c r="W850" i="1" s="1"/>
  <c r="O909" i="1"/>
  <c r="W909" i="1" s="1"/>
  <c r="O848" i="1"/>
  <c r="O846" i="1"/>
  <c r="W846" i="1" s="1"/>
  <c r="O923" i="1"/>
  <c r="W923" i="1" s="1"/>
  <c r="O852" i="1"/>
  <c r="W852" i="1" s="1"/>
  <c r="O833" i="1"/>
  <c r="W833" i="1" s="1"/>
  <c r="O835" i="1"/>
  <c r="W835" i="1" s="1"/>
  <c r="O867" i="1"/>
  <c r="W867" i="1" s="1"/>
  <c r="O921" i="1"/>
  <c r="W921" i="1" s="1"/>
  <c r="O873" i="1"/>
  <c r="W873" i="1" s="1"/>
  <c r="O876" i="1"/>
  <c r="W876" i="1" s="1"/>
  <c r="O871" i="1"/>
  <c r="W871" i="1" s="1"/>
  <c r="O863" i="1"/>
  <c r="W863" i="1" s="1"/>
  <c r="O878" i="1"/>
  <c r="W878" i="1" s="1"/>
  <c r="O858" i="1"/>
  <c r="W858" i="1" s="1"/>
  <c r="O915" i="1"/>
  <c r="W915" i="1" s="1"/>
  <c r="O893" i="1"/>
  <c r="W893" i="1" s="1"/>
  <c r="O892" i="1"/>
  <c r="W892" i="1" s="1"/>
  <c r="O832" i="1"/>
  <c r="W832" i="1" s="1"/>
  <c r="O831" i="1"/>
  <c r="W831" i="1" s="1"/>
  <c r="O830" i="1"/>
  <c r="W830" i="1" s="1"/>
  <c r="O829" i="1"/>
  <c r="W829" i="1" s="1"/>
  <c r="O828" i="1"/>
  <c r="W828" i="1" s="1"/>
  <c r="O827" i="1"/>
  <c r="W827" i="1" s="1"/>
  <c r="O826" i="1"/>
  <c r="W826" i="1" s="1"/>
  <c r="O825" i="1"/>
  <c r="W825" i="1" s="1"/>
  <c r="O824" i="1"/>
  <c r="W824" i="1" s="1"/>
  <c r="O822" i="1"/>
  <c r="W822" i="1" s="1"/>
  <c r="O821" i="1"/>
  <c r="W821" i="1" s="1"/>
  <c r="O820" i="1"/>
  <c r="W820" i="1" s="1"/>
  <c r="O819" i="1"/>
  <c r="W819" i="1" s="1"/>
  <c r="O818" i="1"/>
  <c r="W818" i="1" s="1"/>
  <c r="O817" i="1"/>
  <c r="W817" i="1" s="1"/>
  <c r="O813" i="1"/>
  <c r="W813" i="1" s="1"/>
  <c r="O812" i="1"/>
  <c r="W812" i="1" s="1"/>
  <c r="O811" i="1"/>
  <c r="O810" i="1"/>
  <c r="W810" i="1" s="1"/>
  <c r="O809" i="1"/>
  <c r="W809" i="1" s="1"/>
  <c r="O808" i="1"/>
  <c r="W808" i="1" s="1"/>
  <c r="O807" i="1"/>
  <c r="W807" i="1" s="1"/>
  <c r="O806" i="1"/>
  <c r="W806" i="1" s="1"/>
  <c r="O805" i="1"/>
  <c r="W805" i="1" s="1"/>
  <c r="O804" i="1"/>
  <c r="W804" i="1" s="1"/>
  <c r="O803" i="1"/>
  <c r="W803" i="1" s="1"/>
  <c r="O802" i="1"/>
  <c r="W802"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K543" i="20" s="1"/>
  <c r="L543" i="20"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K527" i="20" s="1"/>
  <c r="L527" i="20" s="1"/>
  <c r="O738" i="1"/>
  <c r="W738" i="1" s="1"/>
  <c r="O737" i="1"/>
  <c r="W737" i="1" s="1"/>
  <c r="O736" i="1"/>
  <c r="W736"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62" i="1"/>
  <c r="W662" i="1" s="1"/>
  <c r="O661" i="1"/>
  <c r="W661" i="1" s="1"/>
  <c r="O660" i="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K472" i="20" s="1"/>
  <c r="L472" i="20"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453" i="20"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K124" i="20" s="1"/>
  <c r="L124" i="20" s="1"/>
  <c r="N124" i="20" s="1"/>
  <c r="O124" i="20"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K115" i="20" s="1"/>
  <c r="L115" i="20" s="1"/>
  <c r="O520" i="1"/>
  <c r="W520" i="1" s="1"/>
  <c r="O519" i="1"/>
  <c r="W519" i="1" s="1"/>
  <c r="O518" i="1"/>
  <c r="W518" i="1" s="1"/>
  <c r="O517" i="1"/>
  <c r="W517" i="1" s="1"/>
  <c r="O516" i="1"/>
  <c r="W516" i="1" s="1"/>
  <c r="O515" i="1"/>
  <c r="W515" i="1" s="1"/>
  <c r="O514" i="1"/>
  <c r="W514" i="1" s="1"/>
  <c r="K112" i="20" s="1"/>
  <c r="L112" i="20" s="1"/>
  <c r="N112" i="20" s="1"/>
  <c r="O112" i="20" s="1"/>
  <c r="O513" i="1"/>
  <c r="W513" i="1" s="1"/>
  <c r="K111" i="20" s="1"/>
  <c r="L111" i="20" s="1"/>
  <c r="N111" i="20" s="1"/>
  <c r="O111" i="20"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K105" i="20" s="1"/>
  <c r="L105" i="20" s="1"/>
  <c r="N105" i="20" s="1"/>
  <c r="O105" i="20"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K94" i="20" s="1"/>
  <c r="L94" i="20" s="1"/>
  <c r="O465" i="1"/>
  <c r="W465" i="1" s="1"/>
  <c r="O463" i="1"/>
  <c r="W463" i="1" s="1"/>
  <c r="O462" i="1"/>
  <c r="W462" i="1" s="1"/>
  <c r="O461" i="1"/>
  <c r="W461" i="1" s="1"/>
  <c r="O460" i="1"/>
  <c r="W460" i="1" s="1"/>
  <c r="O459" i="1"/>
  <c r="W459" i="1" s="1"/>
  <c r="O458" i="1"/>
  <c r="W458" i="1" s="1"/>
  <c r="K90" i="20" s="1"/>
  <c r="L90" i="20" s="1"/>
  <c r="N90" i="20" s="1"/>
  <c r="O90" i="20" s="1"/>
  <c r="O457" i="1"/>
  <c r="W457" i="1" s="1"/>
  <c r="K89" i="20" s="1"/>
  <c r="L89" i="20" s="1"/>
  <c r="N89" i="20" s="1"/>
  <c r="O89" i="20"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K79" i="20" s="1"/>
  <c r="L79" i="20" s="1"/>
  <c r="N79" i="20" s="1"/>
  <c r="O79" i="20" s="1"/>
  <c r="O428" i="1"/>
  <c r="W428" i="1" s="1"/>
  <c r="O427" i="1"/>
  <c r="W427" i="1" s="1"/>
  <c r="O426" i="1"/>
  <c r="W426" i="1" s="1"/>
  <c r="O425" i="1"/>
  <c r="W425" i="1" s="1"/>
  <c r="O424" i="1"/>
  <c r="W424" i="1" s="1"/>
  <c r="O423" i="1"/>
  <c r="W423" i="1" s="1"/>
  <c r="O422" i="1"/>
  <c r="W422" i="1" s="1"/>
  <c r="O421" i="1"/>
  <c r="W421" i="1" s="1"/>
  <c r="O420" i="1"/>
  <c r="W420" i="1" s="1"/>
  <c r="O419" i="1"/>
  <c r="W419" i="1" s="1"/>
  <c r="K75" i="20" s="1"/>
  <c r="O392" i="1"/>
  <c r="O391" i="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K165" i="20" s="1"/>
  <c r="L165" i="20"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K140" i="20" s="1"/>
  <c r="L140" i="20" s="1"/>
  <c r="N140" i="20" s="1"/>
  <c r="O140" i="20"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K132" i="20" s="1"/>
  <c r="L132" i="20" s="1"/>
  <c r="N132" i="20" s="1"/>
  <c r="O132" i="20" s="1"/>
  <c r="O100" i="1"/>
  <c r="W100" i="1" s="1"/>
  <c r="K131" i="20" s="1"/>
  <c r="L131" i="20" s="1"/>
  <c r="O55" i="1"/>
  <c r="O54" i="1"/>
  <c r="O53" i="1"/>
  <c r="O52" i="1"/>
  <c r="O51" i="1"/>
  <c r="O30" i="1"/>
  <c r="O29" i="1"/>
  <c r="O28" i="1"/>
  <c r="O27" i="1"/>
  <c r="O26" i="1"/>
  <c r="O25" i="1"/>
  <c r="O24" i="1"/>
  <c r="O23" i="1"/>
  <c r="O22" i="1"/>
  <c r="O21" i="1"/>
  <c r="O20" i="1"/>
  <c r="O19" i="1"/>
  <c r="O18" i="1"/>
  <c r="O17" i="1"/>
  <c r="O16" i="1"/>
  <c r="O15" i="1"/>
  <c r="O14" i="1"/>
  <c r="O13" i="1"/>
  <c r="O12" i="1"/>
  <c r="O9" i="1"/>
  <c r="W9" i="1" s="1"/>
  <c r="K26" i="20" s="1"/>
  <c r="G73" i="20" l="1"/>
  <c r="G28" i="20"/>
  <c r="G29" i="20"/>
  <c r="G41" i="20"/>
  <c r="G46" i="20"/>
  <c r="G44" i="20"/>
  <c r="G65" i="17" s="1"/>
  <c r="G43" i="20"/>
  <c r="G64" i="17" s="1"/>
  <c r="G33" i="20"/>
  <c r="G54" i="17" s="1"/>
  <c r="G38" i="20"/>
  <c r="G39" i="20"/>
  <c r="G35" i="20"/>
  <c r="G56" i="17" s="1"/>
  <c r="G40" i="20"/>
  <c r="G69" i="20"/>
  <c r="G45" i="20"/>
  <c r="G66" i="17" s="1"/>
  <c r="G47" i="20"/>
  <c r="G68" i="17" s="1"/>
  <c r="G32" i="20"/>
  <c r="G53" i="17" s="1"/>
  <c r="G67" i="20"/>
  <c r="G50" i="20"/>
  <c r="G71" i="17" s="1"/>
  <c r="G71" i="20"/>
  <c r="G70" i="20"/>
  <c r="G54" i="20"/>
  <c r="G53" i="20"/>
  <c r="G74" i="17" s="1"/>
  <c r="G51" i="20"/>
  <c r="G72" i="17" s="1"/>
  <c r="G48" i="20"/>
  <c r="G69" i="17" s="1"/>
  <c r="G37" i="20"/>
  <c r="G36" i="20"/>
  <c r="G57" i="17" s="1"/>
  <c r="G42" i="20"/>
  <c r="G63" i="17" s="1"/>
  <c r="G68" i="20"/>
  <c r="G89" i="17" s="1"/>
  <c r="G49" i="20"/>
  <c r="G72" i="20"/>
  <c r="G34" i="20"/>
  <c r="G55" i="17" s="1"/>
  <c r="G31" i="20"/>
  <c r="G52" i="17" s="1"/>
  <c r="G30" i="20"/>
  <c r="G52" i="20"/>
  <c r="G73" i="17" s="1"/>
  <c r="G27" i="20"/>
  <c r="G56" i="20"/>
  <c r="G59" i="20"/>
  <c r="G60" i="20"/>
  <c r="G81" i="17" s="1"/>
  <c r="G55" i="20"/>
  <c r="G76" i="17" s="1"/>
  <c r="G723" i="20"/>
  <c r="G65" i="20"/>
  <c r="G61" i="20"/>
  <c r="G82" i="17" s="1"/>
  <c r="G58" i="20"/>
  <c r="G64" i="20"/>
  <c r="G62" i="20"/>
  <c r="G83" i="17" s="1"/>
  <c r="G66" i="20"/>
  <c r="G87" i="17" s="1"/>
  <c r="G63" i="20"/>
  <c r="G84" i="17" s="1"/>
  <c r="G26" i="20"/>
  <c r="G251" i="17" s="1"/>
  <c r="G57" i="20"/>
  <c r="J1082" i="1"/>
  <c r="J1083" i="1"/>
  <c r="J1084" i="1"/>
  <c r="J1081" i="1"/>
  <c r="J1085" i="1"/>
  <c r="J97" i="1"/>
  <c r="J34" i="1"/>
  <c r="J40" i="1"/>
  <c r="J56" i="1"/>
  <c r="J64" i="1"/>
  <c r="J72" i="1"/>
  <c r="J78" i="1"/>
  <c r="J86" i="1"/>
  <c r="J37" i="1"/>
  <c r="J61" i="1"/>
  <c r="J77" i="1"/>
  <c r="J38" i="1"/>
  <c r="J50" i="1"/>
  <c r="J62" i="1"/>
  <c r="J35" i="1"/>
  <c r="J57" i="1"/>
  <c r="J65" i="1"/>
  <c r="J73" i="1"/>
  <c r="J93" i="1"/>
  <c r="J81" i="1"/>
  <c r="J89" i="1"/>
  <c r="J58" i="1"/>
  <c r="J74" i="1"/>
  <c r="J76" i="1"/>
  <c r="J92" i="1"/>
  <c r="J47" i="1"/>
  <c r="J59" i="1"/>
  <c r="J75" i="1"/>
  <c r="J87" i="1"/>
  <c r="J36" i="1"/>
  <c r="J31" i="1"/>
  <c r="J43" i="1"/>
  <c r="J49" i="1"/>
  <c r="J99" i="1"/>
  <c r="J63" i="1"/>
  <c r="J46" i="1"/>
  <c r="J66" i="1"/>
  <c r="J84" i="1"/>
  <c r="J79" i="1"/>
  <c r="J42" i="1"/>
  <c r="J48" i="1"/>
  <c r="J60" i="1"/>
  <c r="J95" i="1"/>
  <c r="J91" i="1"/>
  <c r="J98" i="1"/>
  <c r="J41" i="1"/>
  <c r="J67" i="1"/>
  <c r="J96" i="1"/>
  <c r="J69" i="1"/>
  <c r="J85" i="1"/>
  <c r="J70" i="1"/>
  <c r="J33" i="1"/>
  <c r="J68" i="1"/>
  <c r="J94" i="1"/>
  <c r="J82" i="1"/>
  <c r="J90" i="1"/>
  <c r="J44" i="1"/>
  <c r="J80" i="1"/>
  <c r="J88" i="1"/>
  <c r="J32" i="1"/>
  <c r="J39" i="1"/>
  <c r="J71" i="1"/>
  <c r="J83" i="1"/>
  <c r="J45" i="1"/>
  <c r="VRA247" i="20"/>
  <c r="VQW247" i="20" s="1"/>
  <c r="VQS247" i="20" s="1"/>
  <c r="VQO247" i="20" s="1"/>
  <c r="VQZ247" i="20"/>
  <c r="G290" i="20"/>
  <c r="G292" i="20"/>
  <c r="G288" i="20"/>
  <c r="G289" i="20"/>
  <c r="G291" i="20"/>
  <c r="G260" i="20"/>
  <c r="G258" i="20"/>
  <c r="G259" i="20"/>
  <c r="G257" i="20"/>
  <c r="G253" i="17"/>
  <c r="J663" i="1"/>
  <c r="J671" i="1"/>
  <c r="J679" i="1"/>
  <c r="J664" i="1"/>
  <c r="J672" i="1"/>
  <c r="J680" i="1"/>
  <c r="J665" i="1"/>
  <c r="J673" i="1"/>
  <c r="J681" i="1"/>
  <c r="J666" i="1"/>
  <c r="J674" i="1"/>
  <c r="J682" i="1"/>
  <c r="J667" i="1"/>
  <c r="J675" i="1"/>
  <c r="J678" i="1"/>
  <c r="J668" i="1"/>
  <c r="J676" i="1"/>
  <c r="J670" i="1"/>
  <c r="J669" i="1"/>
  <c r="J677" i="1"/>
  <c r="J1526" i="1"/>
  <c r="J11" i="1"/>
  <c r="J839" i="1"/>
  <c r="J836" i="1"/>
  <c r="J10" i="1"/>
  <c r="J840" i="1"/>
  <c r="W861" i="1"/>
  <c r="K288" i="20" s="1"/>
  <c r="L288" i="20" s="1"/>
  <c r="I288" i="20"/>
  <c r="J288" i="20" s="1"/>
  <c r="G639" i="20"/>
  <c r="G729" i="20"/>
  <c r="G649" i="20"/>
  <c r="G725" i="20"/>
  <c r="G724" i="20"/>
  <c r="G642" i="20"/>
  <c r="G651" i="20"/>
  <c r="G652" i="20"/>
  <c r="G640" i="20"/>
  <c r="G653" i="20"/>
  <c r="G650" i="20"/>
  <c r="G646" i="20"/>
  <c r="G636" i="20"/>
  <c r="G631" i="20"/>
  <c r="G633" i="20"/>
  <c r="G726" i="20"/>
  <c r="G730" i="20"/>
  <c r="G644" i="20"/>
  <c r="G647" i="20"/>
  <c r="G645" i="20"/>
  <c r="G643" i="20"/>
  <c r="G641" i="20"/>
  <c r="G634" i="20"/>
  <c r="J1457" i="1"/>
  <c r="J1461" i="1"/>
  <c r="J1464" i="1"/>
  <c r="J1468" i="1"/>
  <c r="J1472" i="1"/>
  <c r="J1456" i="1"/>
  <c r="J1460" i="1"/>
  <c r="J1463" i="1"/>
  <c r="J1467" i="1"/>
  <c r="J1471" i="1"/>
  <c r="J1470" i="1"/>
  <c r="J1455" i="1"/>
  <c r="J1459" i="1"/>
  <c r="J1462" i="1"/>
  <c r="J1466" i="1"/>
  <c r="J1474" i="1"/>
  <c r="J1465" i="1"/>
  <c r="J1473" i="1"/>
  <c r="J1458" i="1"/>
  <c r="J1469" i="1"/>
  <c r="G605" i="20"/>
  <c r="G614" i="20"/>
  <c r="G608" i="20"/>
  <c r="G602" i="20"/>
  <c r="G613" i="20"/>
  <c r="G610" i="20"/>
  <c r="G595" i="20"/>
  <c r="G596" i="20"/>
  <c r="G612" i="20"/>
  <c r="G607" i="20"/>
  <c r="G617" i="20"/>
  <c r="G618" i="20"/>
  <c r="G601" i="20"/>
  <c r="G600" i="20"/>
  <c r="G616" i="20"/>
  <c r="G615" i="20"/>
  <c r="G599" i="20"/>
  <c r="G606" i="20"/>
  <c r="G604" i="20"/>
  <c r="G597" i="20"/>
  <c r="G609" i="20"/>
  <c r="G603" i="20"/>
  <c r="G611" i="20"/>
  <c r="G665" i="20"/>
  <c r="G674" i="20"/>
  <c r="G671" i="20"/>
  <c r="G664" i="20"/>
  <c r="G678" i="20"/>
  <c r="G668" i="20"/>
  <c r="G666" i="20"/>
  <c r="G669" i="20"/>
  <c r="G673" i="20"/>
  <c r="G672" i="20"/>
  <c r="G670" i="20"/>
  <c r="G667" i="20"/>
  <c r="G663" i="20"/>
  <c r="G492" i="20"/>
  <c r="G493" i="20"/>
  <c r="G498" i="20"/>
  <c r="G419" i="20"/>
  <c r="G491" i="20"/>
  <c r="G494" i="20"/>
  <c r="G421" i="20"/>
  <c r="G504" i="20"/>
  <c r="G505" i="20"/>
  <c r="G383" i="20"/>
  <c r="J1528" i="1"/>
  <c r="J1532" i="1"/>
  <c r="G384" i="20"/>
  <c r="G499" i="20"/>
  <c r="G502" i="20"/>
  <c r="G423" i="20"/>
  <c r="G324" i="20"/>
  <c r="G506" i="20"/>
  <c r="G382" i="20"/>
  <c r="G489" i="20"/>
  <c r="G325" i="20"/>
  <c r="J1527" i="1"/>
  <c r="J1531" i="1"/>
  <c r="G487" i="20"/>
  <c r="G500" i="20"/>
  <c r="G495" i="20"/>
  <c r="G385" i="20"/>
  <c r="G420" i="20"/>
  <c r="G488" i="20"/>
  <c r="G490" i="20"/>
  <c r="G497" i="20"/>
  <c r="G418" i="20"/>
  <c r="J1530" i="1"/>
  <c r="J1534" i="1"/>
  <c r="G503" i="20"/>
  <c r="G486" i="20"/>
  <c r="G326" i="20"/>
  <c r="G381" i="20"/>
  <c r="G417" i="20"/>
  <c r="G496" i="20"/>
  <c r="G501" i="20"/>
  <c r="G422" i="20"/>
  <c r="J1535" i="1"/>
  <c r="J1529" i="1"/>
  <c r="J1533" i="1"/>
  <c r="G279" i="20"/>
  <c r="G443" i="20"/>
  <c r="G280" i="20"/>
  <c r="G287" i="20"/>
  <c r="G444" i="20"/>
  <c r="G446" i="20"/>
  <c r="G447" i="20"/>
  <c r="G445" i="20"/>
  <c r="G282" i="20"/>
  <c r="G449" i="20"/>
  <c r="G284" i="20"/>
  <c r="G283" i="20"/>
  <c r="G442" i="20"/>
  <c r="G285" i="20"/>
  <c r="G281" i="20"/>
  <c r="G448" i="20"/>
  <c r="G450" i="20"/>
  <c r="G93" i="17"/>
  <c r="G92" i="17"/>
  <c r="G60" i="17"/>
  <c r="G59" i="17"/>
  <c r="G70" i="17"/>
  <c r="G90" i="17"/>
  <c r="G61" i="17"/>
  <c r="J413" i="1"/>
  <c r="G67" i="17"/>
  <c r="G51" i="17"/>
  <c r="G88" i="17"/>
  <c r="G91" i="17"/>
  <c r="G62" i="17"/>
  <c r="G75" i="17"/>
  <c r="G58" i="17"/>
  <c r="J412" i="1"/>
  <c r="J411" i="1"/>
  <c r="G239" i="20"/>
  <c r="W660" i="1"/>
  <c r="K486" i="20" s="1"/>
  <c r="L486" i="20" s="1"/>
  <c r="I486" i="20"/>
  <c r="J486" i="20" s="1"/>
  <c r="Q486" i="20" s="1"/>
  <c r="W811" i="1"/>
  <c r="K553" i="20" s="1"/>
  <c r="L553" i="20" s="1"/>
  <c r="I553" i="20"/>
  <c r="J553" i="20" s="1"/>
  <c r="Q553" i="20" s="1"/>
  <c r="W869" i="1"/>
  <c r="K283" i="20" s="1"/>
  <c r="L283" i="20" s="1"/>
  <c r="I283" i="20"/>
  <c r="J283" i="20" s="1"/>
  <c r="W884" i="1"/>
  <c r="K284" i="20" s="1"/>
  <c r="L284" i="20" s="1"/>
  <c r="I284" i="20"/>
  <c r="J284" i="20" s="1"/>
  <c r="W894" i="1"/>
  <c r="K285" i="20" s="1"/>
  <c r="L285" i="20" s="1"/>
  <c r="I285" i="20"/>
  <c r="J285" i="20" s="1"/>
  <c r="W860" i="1"/>
  <c r="I280" i="20"/>
  <c r="J280" i="20" s="1"/>
  <c r="W919" i="1"/>
  <c r="K279" i="20" s="1"/>
  <c r="L279" i="20" s="1"/>
  <c r="I279" i="20"/>
  <c r="J279" i="20" s="1"/>
  <c r="W898" i="1"/>
  <c r="W854" i="1"/>
  <c r="I281" i="20"/>
  <c r="J281" i="20" s="1"/>
  <c r="W916" i="1"/>
  <c r="K276" i="20" s="1"/>
  <c r="L276" i="20" s="1"/>
  <c r="W848" i="1"/>
  <c r="K251" i="20" s="1"/>
  <c r="L251" i="20" s="1"/>
  <c r="I282" i="20"/>
  <c r="J282" i="20" s="1"/>
  <c r="W900" i="1"/>
  <c r="I287" i="20"/>
  <c r="J287" i="20" s="1"/>
  <c r="W883" i="1"/>
  <c r="K268" i="20" s="1"/>
  <c r="L268" i="20" s="1"/>
  <c r="W856" i="1"/>
  <c r="K255" i="20" s="1"/>
  <c r="L255" i="20" s="1"/>
  <c r="I278" i="20"/>
  <c r="J278" i="20" s="1"/>
  <c r="W862" i="1"/>
  <c r="W16" i="1"/>
  <c r="K33" i="20" s="1"/>
  <c r="L33" i="20" s="1"/>
  <c r="I33" i="20"/>
  <c r="J33" i="20" s="1"/>
  <c r="W24" i="1"/>
  <c r="K41" i="20" s="1"/>
  <c r="L41" i="20" s="1"/>
  <c r="I41" i="20"/>
  <c r="J41" i="20" s="1"/>
  <c r="W52" i="1"/>
  <c r="K69" i="20" s="1"/>
  <c r="L69" i="20" s="1"/>
  <c r="I69" i="20"/>
  <c r="J69" i="20" s="1"/>
  <c r="W17" i="1"/>
  <c r="K34" i="20" s="1"/>
  <c r="L34" i="20" s="1"/>
  <c r="I34" i="20"/>
  <c r="J34" i="20" s="1"/>
  <c r="W25" i="1"/>
  <c r="K42" i="20" s="1"/>
  <c r="L42" i="20" s="1"/>
  <c r="I42" i="20"/>
  <c r="J42" i="20" s="1"/>
  <c r="W53" i="1"/>
  <c r="K70" i="20" s="1"/>
  <c r="L70" i="20" s="1"/>
  <c r="I70" i="20"/>
  <c r="J70" i="20" s="1"/>
  <c r="W18" i="1"/>
  <c r="K35" i="20" s="1"/>
  <c r="L35" i="20" s="1"/>
  <c r="I35" i="20"/>
  <c r="J35" i="20" s="1"/>
  <c r="W12" i="1"/>
  <c r="K27" i="20" s="1"/>
  <c r="L27" i="20" s="1"/>
  <c r="I27" i="20"/>
  <c r="J27" i="20" s="1"/>
  <c r="W20" i="1"/>
  <c r="K37" i="20" s="1"/>
  <c r="L37" i="20" s="1"/>
  <c r="I37" i="20"/>
  <c r="J37" i="20" s="1"/>
  <c r="W28" i="1"/>
  <c r="K45" i="20" s="1"/>
  <c r="L45" i="20" s="1"/>
  <c r="I45" i="20"/>
  <c r="J45" i="20" s="1"/>
  <c r="W26" i="1"/>
  <c r="K43" i="20" s="1"/>
  <c r="L43" i="20" s="1"/>
  <c r="I43" i="20"/>
  <c r="J43" i="20" s="1"/>
  <c r="W19" i="1"/>
  <c r="K36" i="20" s="1"/>
  <c r="L36" i="20" s="1"/>
  <c r="I36" i="20"/>
  <c r="J36" i="20" s="1"/>
  <c r="W27" i="1"/>
  <c r="K44" i="20" s="1"/>
  <c r="L44" i="20" s="1"/>
  <c r="I44" i="20"/>
  <c r="J44" i="20" s="1"/>
  <c r="W55" i="1"/>
  <c r="K72" i="20" s="1"/>
  <c r="L72" i="20" s="1"/>
  <c r="I72" i="20"/>
  <c r="J72" i="20" s="1"/>
  <c r="W14" i="1"/>
  <c r="K31" i="20" s="1"/>
  <c r="L31" i="20" s="1"/>
  <c r="I31" i="20"/>
  <c r="J31" i="20" s="1"/>
  <c r="W30" i="1"/>
  <c r="K47" i="20" s="1"/>
  <c r="L47" i="20" s="1"/>
  <c r="I47" i="20"/>
  <c r="J47" i="20" s="1"/>
  <c r="W13" i="1"/>
  <c r="K30" i="20" s="1"/>
  <c r="L30" i="20" s="1"/>
  <c r="I30" i="20"/>
  <c r="J30" i="20" s="1"/>
  <c r="W21" i="1"/>
  <c r="K38" i="20" s="1"/>
  <c r="L38" i="20" s="1"/>
  <c r="I38" i="20"/>
  <c r="J38" i="20" s="1"/>
  <c r="W29" i="1"/>
  <c r="K46" i="20" s="1"/>
  <c r="L46" i="20" s="1"/>
  <c r="I46" i="20"/>
  <c r="J46" i="20" s="1"/>
  <c r="W22" i="1"/>
  <c r="K39" i="20" s="1"/>
  <c r="L39" i="20" s="1"/>
  <c r="I39" i="20"/>
  <c r="J39" i="20" s="1"/>
  <c r="W15" i="1"/>
  <c r="K32" i="20" s="1"/>
  <c r="L32" i="20" s="1"/>
  <c r="I32" i="20"/>
  <c r="J32" i="20" s="1"/>
  <c r="W23" i="1"/>
  <c r="K40" i="20" s="1"/>
  <c r="L40" i="20" s="1"/>
  <c r="I40" i="20"/>
  <c r="J40" i="20" s="1"/>
  <c r="W51" i="1"/>
  <c r="K68" i="20" s="1"/>
  <c r="L68" i="20" s="1"/>
  <c r="I68" i="20"/>
  <c r="J68" i="20" s="1"/>
  <c r="W54" i="1"/>
  <c r="K71" i="20" s="1"/>
  <c r="L71" i="20" s="1"/>
  <c r="I71" i="20"/>
  <c r="J71" i="20" s="1"/>
  <c r="J193" i="1"/>
  <c r="J194" i="1"/>
  <c r="J195" i="1"/>
  <c r="J333" i="1"/>
  <c r="J1380" i="1"/>
  <c r="J1374" i="1"/>
  <c r="J1368" i="1"/>
  <c r="J1372" i="1"/>
  <c r="J1376" i="1"/>
  <c r="J1370" i="1"/>
  <c r="J1378" i="1"/>
  <c r="J1366" i="1"/>
  <c r="J1377" i="1"/>
  <c r="J1371" i="1"/>
  <c r="J1375" i="1"/>
  <c r="J1379" i="1"/>
  <c r="J1373" i="1"/>
  <c r="J1367" i="1"/>
  <c r="J1369" i="1"/>
  <c r="J192" i="1"/>
  <c r="G164" i="20"/>
  <c r="G342" i="17" s="1"/>
  <c r="G693" i="20"/>
  <c r="G691" i="20"/>
  <c r="G690" i="20"/>
  <c r="G692" i="20"/>
  <c r="G689" i="20"/>
  <c r="J1134" i="1"/>
  <c r="G767" i="20"/>
  <c r="G765" i="20"/>
  <c r="G766" i="20"/>
  <c r="G768" i="20"/>
  <c r="W1275" i="1"/>
  <c r="K767" i="20" s="1"/>
  <c r="L767" i="20" s="1"/>
  <c r="I767" i="20"/>
  <c r="J767" i="20" s="1"/>
  <c r="W1272" i="1"/>
  <c r="K766" i="20" s="1"/>
  <c r="L766" i="20" s="1"/>
  <c r="I766" i="20"/>
  <c r="J766" i="20" s="1"/>
  <c r="W1269" i="1"/>
  <c r="K765" i="20" s="1"/>
  <c r="L765" i="20" s="1"/>
  <c r="I765" i="20"/>
  <c r="J765" i="20" s="1"/>
  <c r="W1266" i="1"/>
  <c r="K768" i="20" s="1"/>
  <c r="L768" i="20" s="1"/>
  <c r="I768" i="20"/>
  <c r="J768" i="20" s="1"/>
  <c r="J1190" i="1"/>
  <c r="J956" i="1"/>
  <c r="G77" i="17"/>
  <c r="G230" i="20"/>
  <c r="G124" i="20"/>
  <c r="G303" i="17" s="1"/>
  <c r="J458" i="1"/>
  <c r="J903" i="1"/>
  <c r="J897" i="1"/>
  <c r="J906" i="1"/>
  <c r="J901" i="1"/>
  <c r="G233" i="20"/>
  <c r="G235" i="20"/>
  <c r="G232" i="20"/>
  <c r="G236" i="20"/>
  <c r="G411" i="17" s="1"/>
  <c r="G231" i="20"/>
  <c r="G234" i="20"/>
  <c r="G322" i="20"/>
  <c r="G278" i="20"/>
  <c r="J408" i="1"/>
  <c r="J400" i="1"/>
  <c r="J418" i="1"/>
  <c r="J405" i="1"/>
  <c r="J397" i="1"/>
  <c r="J410" i="1"/>
  <c r="J402" i="1"/>
  <c r="J394" i="1"/>
  <c r="J406" i="1"/>
  <c r="J398" i="1"/>
  <c r="J407" i="1"/>
  <c r="J399" i="1"/>
  <c r="J415" i="1"/>
  <c r="J404" i="1"/>
  <c r="J396" i="1"/>
  <c r="J403" i="1"/>
  <c r="J395" i="1"/>
  <c r="J409" i="1"/>
  <c r="J401" i="1"/>
  <c r="J393" i="1"/>
  <c r="J414" i="1"/>
  <c r="W391" i="1"/>
  <c r="W392" i="1"/>
  <c r="J1050" i="1"/>
  <c r="J1008" i="1"/>
  <c r="J957" i="1"/>
  <c r="G339" i="20"/>
  <c r="J627" i="1"/>
  <c r="J819" i="1"/>
  <c r="J1191" i="1"/>
  <c r="J749" i="1"/>
  <c r="J1049" i="1"/>
  <c r="J1001" i="1"/>
  <c r="J1094" i="1"/>
  <c r="J248" i="1"/>
  <c r="J1078" i="1"/>
  <c r="J553" i="1"/>
  <c r="J198" i="1"/>
  <c r="J936" i="1"/>
  <c r="J184" i="1"/>
  <c r="K250" i="20"/>
  <c r="L250" i="20" s="1"/>
  <c r="K262" i="20"/>
  <c r="L262" i="20" s="1"/>
  <c r="K266" i="20"/>
  <c r="L266" i="20" s="1"/>
  <c r="K270" i="20"/>
  <c r="L270" i="20" s="1"/>
  <c r="K274" i="20"/>
  <c r="L274" i="20" s="1"/>
  <c r="K293" i="20"/>
  <c r="L293" i="20" s="1"/>
  <c r="K297" i="20"/>
  <c r="L297" i="20" s="1"/>
  <c r="K306" i="20"/>
  <c r="L306" i="20" s="1"/>
  <c r="K310" i="20"/>
  <c r="L310" i="20" s="1"/>
  <c r="J1209" i="1"/>
  <c r="J1007" i="1"/>
  <c r="J628" i="1"/>
  <c r="J588" i="1"/>
  <c r="J1353" i="1"/>
  <c r="J718" i="1"/>
  <c r="J1326" i="1"/>
  <c r="J636" i="1"/>
  <c r="K440" i="20"/>
  <c r="L440" i="20" s="1"/>
  <c r="K314" i="20"/>
  <c r="L314" i="20" s="1"/>
  <c r="K330" i="20"/>
  <c r="L330" i="20" s="1"/>
  <c r="K56" i="20"/>
  <c r="L56" i="20" s="1"/>
  <c r="K60" i="20"/>
  <c r="L60" i="20" s="1"/>
  <c r="K64" i="20"/>
  <c r="L64" i="20" s="1"/>
  <c r="K321" i="20"/>
  <c r="L321" i="20" s="1"/>
  <c r="K341" i="20"/>
  <c r="L341" i="20" s="1"/>
  <c r="K345" i="20"/>
  <c r="L345" i="20" s="1"/>
  <c r="K349" i="20"/>
  <c r="L349" i="20" s="1"/>
  <c r="K353" i="20"/>
  <c r="L353" i="20" s="1"/>
  <c r="K357" i="20"/>
  <c r="L357" i="20" s="1"/>
  <c r="K361" i="20"/>
  <c r="L361" i="20" s="1"/>
  <c r="K365" i="20"/>
  <c r="L365" i="20" s="1"/>
  <c r="K369" i="20"/>
  <c r="L369" i="20" s="1"/>
  <c r="K373" i="20"/>
  <c r="L373" i="20" s="1"/>
  <c r="K406" i="20"/>
  <c r="L406" i="20" s="1"/>
  <c r="K564" i="20"/>
  <c r="L564" i="20" s="1"/>
  <c r="K378" i="20"/>
  <c r="L378" i="20" s="1"/>
  <c r="K392" i="20"/>
  <c r="L392" i="20" s="1"/>
  <c r="K572" i="20"/>
  <c r="L572" i="20" s="1"/>
  <c r="K580" i="20"/>
  <c r="L580" i="20" s="1"/>
  <c r="K588" i="20"/>
  <c r="L588" i="20" s="1"/>
  <c r="K620" i="20"/>
  <c r="L620" i="20" s="1"/>
  <c r="J1351" i="1"/>
  <c r="J1207" i="1"/>
  <c r="J1093" i="1"/>
  <c r="J778" i="1"/>
  <c r="J531" i="1"/>
  <c r="J1303" i="1"/>
  <c r="J1161" i="1"/>
  <c r="J855" i="1"/>
  <c r="J741" i="1"/>
  <c r="J1478" i="1"/>
  <c r="J1159" i="1"/>
  <c r="J854" i="1"/>
  <c r="J722" i="1"/>
  <c r="J1285" i="1"/>
  <c r="J846" i="1"/>
  <c r="J1389" i="1"/>
  <c r="J1239" i="1"/>
  <c r="J1101" i="1"/>
  <c r="J876" i="1"/>
  <c r="J1384" i="1"/>
  <c r="J1238" i="1"/>
  <c r="J1096" i="1"/>
  <c r="J989" i="1"/>
  <c r="J824" i="1"/>
  <c r="K628" i="20"/>
  <c r="L628" i="20" s="1"/>
  <c r="K655" i="20"/>
  <c r="L655" i="20" s="1"/>
  <c r="K679" i="20"/>
  <c r="L679" i="20" s="1"/>
  <c r="K687" i="20"/>
  <c r="L687" i="20" s="1"/>
  <c r="K700" i="20"/>
  <c r="L700" i="20" s="1"/>
  <c r="K133" i="20"/>
  <c r="L133" i="20" s="1"/>
  <c r="K147" i="20"/>
  <c r="L147" i="20" s="1"/>
  <c r="K163" i="20"/>
  <c r="L163" i="20" s="1"/>
  <c r="K178" i="20"/>
  <c r="L178" i="20" s="1"/>
  <c r="K194" i="20"/>
  <c r="L194" i="20" s="1"/>
  <c r="K210" i="20"/>
  <c r="L210" i="20" s="1"/>
  <c r="K218" i="20"/>
  <c r="L218" i="20" s="1"/>
  <c r="K82" i="20"/>
  <c r="L82" i="20" s="1"/>
  <c r="K107" i="20"/>
  <c r="L107" i="20" s="1"/>
  <c r="K117" i="20"/>
  <c r="L117" i="20" s="1"/>
  <c r="K459" i="20"/>
  <c r="L459" i="20" s="1"/>
  <c r="K467" i="20"/>
  <c r="L467" i="20" s="1"/>
  <c r="K481" i="20"/>
  <c r="L481" i="20" s="1"/>
  <c r="K541" i="20"/>
  <c r="L541" i="20" s="1"/>
  <c r="K558" i="20"/>
  <c r="L558" i="20" s="1"/>
  <c r="K155" i="20"/>
  <c r="L155" i="20" s="1"/>
  <c r="K170" i="20"/>
  <c r="L170" i="20" s="1"/>
  <c r="K186" i="20"/>
  <c r="L186" i="20" s="1"/>
  <c r="K202" i="20"/>
  <c r="L202" i="20" s="1"/>
  <c r="K226" i="20"/>
  <c r="L226" i="20" s="1"/>
  <c r="K76" i="20"/>
  <c r="L76" i="20" s="1"/>
  <c r="K101" i="20"/>
  <c r="L101" i="20" s="1"/>
  <c r="K473" i="20"/>
  <c r="L473" i="20" s="1"/>
  <c r="K509" i="20"/>
  <c r="L509" i="20" s="1"/>
  <c r="K517" i="20"/>
  <c r="L517" i="20" s="1"/>
  <c r="K533" i="20"/>
  <c r="L533" i="20" s="1"/>
  <c r="K547" i="20"/>
  <c r="L547" i="20" s="1"/>
  <c r="K244" i="20"/>
  <c r="K249" i="20"/>
  <c r="L249" i="20" s="1"/>
  <c r="K55" i="20"/>
  <c r="L55" i="20" s="1"/>
  <c r="K59" i="20"/>
  <c r="L59" i="20" s="1"/>
  <c r="K63" i="20"/>
  <c r="L63" i="20" s="1"/>
  <c r="K336" i="20"/>
  <c r="L336" i="20" s="1"/>
  <c r="K148" i="20"/>
  <c r="L148" i="20" s="1"/>
  <c r="K179" i="20"/>
  <c r="L179" i="20" s="1"/>
  <c r="K187" i="20"/>
  <c r="L187" i="20" s="1"/>
  <c r="K211" i="20"/>
  <c r="L211" i="20" s="1"/>
  <c r="K227" i="20"/>
  <c r="L227" i="20" s="1"/>
  <c r="K134" i="20"/>
  <c r="L134" i="20" s="1"/>
  <c r="K156" i="20"/>
  <c r="L156" i="20" s="1"/>
  <c r="K171" i="20"/>
  <c r="L171" i="20" s="1"/>
  <c r="K195" i="20"/>
  <c r="L195" i="20" s="1"/>
  <c r="K203" i="20"/>
  <c r="L203" i="20" s="1"/>
  <c r="K219" i="20"/>
  <c r="L219" i="20" s="1"/>
  <c r="K83" i="20"/>
  <c r="L83" i="20" s="1"/>
  <c r="K108" i="20"/>
  <c r="L108" i="20" s="1"/>
  <c r="K460" i="20"/>
  <c r="L460" i="20" s="1"/>
  <c r="K474" i="20"/>
  <c r="L474" i="20" s="1"/>
  <c r="K510" i="20"/>
  <c r="L510" i="20" s="1"/>
  <c r="K534" i="20"/>
  <c r="L534" i="20" s="1"/>
  <c r="K548" i="20"/>
  <c r="L548" i="20" s="1"/>
  <c r="K565" i="20"/>
  <c r="L565" i="20" s="1"/>
  <c r="K573" i="20"/>
  <c r="L573" i="20" s="1"/>
  <c r="K581" i="20"/>
  <c r="L581" i="20" s="1"/>
  <c r="K589" i="20"/>
  <c r="L589" i="20" s="1"/>
  <c r="K621" i="20"/>
  <c r="L621" i="20" s="1"/>
  <c r="K629" i="20"/>
  <c r="L629" i="20" s="1"/>
  <c r="K656" i="20"/>
  <c r="L656" i="20" s="1"/>
  <c r="K680" i="20"/>
  <c r="L680" i="20" s="1"/>
  <c r="K688" i="20"/>
  <c r="L688" i="20" s="1"/>
  <c r="K701" i="20"/>
  <c r="L701" i="20" s="1"/>
  <c r="K77" i="20"/>
  <c r="L77" i="20" s="1"/>
  <c r="K102" i="20"/>
  <c r="L102" i="20" s="1"/>
  <c r="K118" i="20"/>
  <c r="L118" i="20" s="1"/>
  <c r="K468" i="20"/>
  <c r="L468" i="20" s="1"/>
  <c r="K482" i="20"/>
  <c r="L482" i="20" s="1"/>
  <c r="K518" i="20"/>
  <c r="L518" i="20" s="1"/>
  <c r="K542" i="20"/>
  <c r="L542" i="20" s="1"/>
  <c r="K559" i="20"/>
  <c r="L559" i="20" s="1"/>
  <c r="K141" i="20"/>
  <c r="L141" i="20" s="1"/>
  <c r="K157" i="20"/>
  <c r="L157" i="20" s="1"/>
  <c r="K180" i="20"/>
  <c r="L180" i="20" s="1"/>
  <c r="K196" i="20"/>
  <c r="L196" i="20" s="1"/>
  <c r="K204" i="20"/>
  <c r="L204" i="20" s="1"/>
  <c r="K212" i="20"/>
  <c r="L212" i="20" s="1"/>
  <c r="K220" i="20"/>
  <c r="L220" i="20" s="1"/>
  <c r="K228" i="20"/>
  <c r="L228" i="20" s="1"/>
  <c r="K78" i="20"/>
  <c r="L78" i="20" s="1"/>
  <c r="K135" i="20"/>
  <c r="L135" i="20" s="1"/>
  <c r="K149" i="20"/>
  <c r="L149" i="20" s="1"/>
  <c r="K172" i="20"/>
  <c r="L172" i="20" s="1"/>
  <c r="K188" i="20"/>
  <c r="L188" i="20" s="1"/>
  <c r="K84" i="20"/>
  <c r="L84" i="20" s="1"/>
  <c r="K95" i="20"/>
  <c r="L95" i="20" s="1"/>
  <c r="K103" i="20"/>
  <c r="L103" i="20" s="1"/>
  <c r="K109" i="20"/>
  <c r="L109" i="20" s="1"/>
  <c r="K113" i="20"/>
  <c r="L113" i="20" s="1"/>
  <c r="K119" i="20"/>
  <c r="L119" i="20" s="1"/>
  <c r="K125" i="20"/>
  <c r="L125" i="20" s="1"/>
  <c r="K461" i="20"/>
  <c r="L461" i="20" s="1"/>
  <c r="K469" i="20"/>
  <c r="L469" i="20" s="1"/>
  <c r="K475" i="20"/>
  <c r="L475" i="20" s="1"/>
  <c r="K483" i="20"/>
  <c r="L483" i="20" s="1"/>
  <c r="K511" i="20"/>
  <c r="L511" i="20" s="1"/>
  <c r="K519" i="20"/>
  <c r="L519" i="20" s="1"/>
  <c r="K535" i="20"/>
  <c r="L535" i="20" s="1"/>
  <c r="K550" i="20"/>
  <c r="L550" i="20" s="1"/>
  <c r="K560" i="20"/>
  <c r="L560" i="20" s="1"/>
  <c r="K303" i="20"/>
  <c r="L303" i="20" s="1"/>
  <c r="K320" i="20"/>
  <c r="L320" i="20" s="1"/>
  <c r="K344" i="20"/>
  <c r="L344" i="20" s="1"/>
  <c r="K348" i="20"/>
  <c r="L348" i="20" s="1"/>
  <c r="K352" i="20"/>
  <c r="L352" i="20" s="1"/>
  <c r="K356" i="20"/>
  <c r="L356" i="20" s="1"/>
  <c r="K360" i="20"/>
  <c r="L360" i="20" s="1"/>
  <c r="K364" i="20"/>
  <c r="L364" i="20" s="1"/>
  <c r="K368" i="20"/>
  <c r="L368" i="20" s="1"/>
  <c r="K372" i="20"/>
  <c r="L372" i="20" s="1"/>
  <c r="K391" i="20"/>
  <c r="L391" i="20" s="1"/>
  <c r="K411" i="20"/>
  <c r="L411" i="20" s="1"/>
  <c r="K416" i="20"/>
  <c r="L416" i="20" s="1"/>
  <c r="K574" i="20"/>
  <c r="L574" i="20" s="1"/>
  <c r="K582" i="20"/>
  <c r="L582" i="20" s="1"/>
  <c r="K590" i="20"/>
  <c r="L590" i="20" s="1"/>
  <c r="K622" i="20"/>
  <c r="L622" i="20" s="1"/>
  <c r="K630" i="20"/>
  <c r="L630" i="20" s="1"/>
  <c r="K657" i="20"/>
  <c r="L657" i="20" s="1"/>
  <c r="K681" i="20"/>
  <c r="L681" i="20" s="1"/>
  <c r="K694" i="20"/>
  <c r="L694" i="20" s="1"/>
  <c r="K702" i="20"/>
  <c r="L702" i="20" s="1"/>
  <c r="K146" i="20"/>
  <c r="L146" i="20" s="1"/>
  <c r="K154" i="20"/>
  <c r="L154" i="20" s="1"/>
  <c r="K162" i="20"/>
  <c r="L162" i="20" s="1"/>
  <c r="K169" i="20"/>
  <c r="L169" i="20" s="1"/>
  <c r="K177" i="20"/>
  <c r="L177" i="20" s="1"/>
  <c r="K185" i="20"/>
  <c r="L185" i="20" s="1"/>
  <c r="K193" i="20"/>
  <c r="L193" i="20" s="1"/>
  <c r="K201" i="20"/>
  <c r="L201" i="20" s="1"/>
  <c r="K209" i="20"/>
  <c r="L209" i="20" s="1"/>
  <c r="K217" i="20"/>
  <c r="L217" i="20" s="1"/>
  <c r="K225" i="20"/>
  <c r="L225" i="20" s="1"/>
  <c r="K81" i="20"/>
  <c r="L81" i="20" s="1"/>
  <c r="K100" i="20"/>
  <c r="L100" i="20" s="1"/>
  <c r="K106" i="20"/>
  <c r="L106" i="20" s="1"/>
  <c r="K116" i="20"/>
  <c r="L116" i="20" s="1"/>
  <c r="K130" i="20"/>
  <c r="L130" i="20" s="1"/>
  <c r="K458" i="20"/>
  <c r="L458" i="20" s="1"/>
  <c r="K466" i="20"/>
  <c r="L466" i="20" s="1"/>
  <c r="K480" i="20"/>
  <c r="L480" i="20" s="1"/>
  <c r="K508" i="20"/>
  <c r="L508" i="20" s="1"/>
  <c r="K516" i="20"/>
  <c r="L516" i="20" s="1"/>
  <c r="K524" i="20"/>
  <c r="L524" i="20" s="1"/>
  <c r="K532" i="20"/>
  <c r="L532" i="20" s="1"/>
  <c r="K540" i="20"/>
  <c r="L540" i="20" s="1"/>
  <c r="K546" i="20"/>
  <c r="L546" i="20" s="1"/>
  <c r="K556" i="20"/>
  <c r="L556" i="20" s="1"/>
  <c r="K246" i="20"/>
  <c r="L246" i="20" s="1"/>
  <c r="K263" i="20"/>
  <c r="L263" i="20" s="1"/>
  <c r="K566" i="20"/>
  <c r="L566" i="20" s="1"/>
  <c r="K267" i="20"/>
  <c r="L267" i="20" s="1"/>
  <c r="K271" i="20"/>
  <c r="L271" i="20" s="1"/>
  <c r="K275" i="20"/>
  <c r="L275" i="20" s="1"/>
  <c r="K294" i="20"/>
  <c r="L294" i="20" s="1"/>
  <c r="K298" i="20"/>
  <c r="L298" i="20" s="1"/>
  <c r="K307" i="20"/>
  <c r="L307" i="20" s="1"/>
  <c r="K311" i="20"/>
  <c r="L311" i="20" s="1"/>
  <c r="K315" i="20"/>
  <c r="L315" i="20" s="1"/>
  <c r="K376" i="20"/>
  <c r="L376" i="20" s="1"/>
  <c r="K563" i="20"/>
  <c r="K571" i="20"/>
  <c r="L571" i="20" s="1"/>
  <c r="K579" i="20"/>
  <c r="L579" i="20" s="1"/>
  <c r="K587" i="20"/>
  <c r="L587" i="20" s="1"/>
  <c r="K619" i="20"/>
  <c r="L619" i="20" s="1"/>
  <c r="K627" i="20"/>
  <c r="L627" i="20" s="1"/>
  <c r="K654" i="20"/>
  <c r="L654" i="20" s="1"/>
  <c r="K662" i="20"/>
  <c r="L662" i="20" s="1"/>
  <c r="K686" i="20"/>
  <c r="L686" i="20" s="1"/>
  <c r="K699" i="20"/>
  <c r="L699" i="20" s="1"/>
  <c r="K660" i="20"/>
  <c r="L660" i="20" s="1"/>
  <c r="K684" i="20"/>
  <c r="L684" i="20" s="1"/>
  <c r="K58" i="20"/>
  <c r="L58" i="20" s="1"/>
  <c r="K62" i="20"/>
  <c r="L62" i="20" s="1"/>
  <c r="K66" i="20"/>
  <c r="L66" i="20" s="1"/>
  <c r="K137" i="20"/>
  <c r="L137"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K86" i="20"/>
  <c r="L86" i="20" s="1"/>
  <c r="K97" i="20"/>
  <c r="L97" i="20" s="1"/>
  <c r="K121" i="20"/>
  <c r="L121" i="20" s="1"/>
  <c r="K127" i="20"/>
  <c r="L127" i="20" s="1"/>
  <c r="K455" i="20"/>
  <c r="L455" i="20" s="1"/>
  <c r="K463" i="20"/>
  <c r="L463" i="20" s="1"/>
  <c r="K471" i="20"/>
  <c r="L471" i="20" s="1"/>
  <c r="K477" i="20"/>
  <c r="L477" i="20" s="1"/>
  <c r="K485" i="20"/>
  <c r="L485" i="20" s="1"/>
  <c r="K513" i="20"/>
  <c r="L513" i="20" s="1"/>
  <c r="K521" i="20"/>
  <c r="L521" i="20" s="1"/>
  <c r="K529" i="20"/>
  <c r="L529" i="20" s="1"/>
  <c r="K537" i="20"/>
  <c r="L537" i="20" s="1"/>
  <c r="K552" i="20"/>
  <c r="L552" i="20" s="1"/>
  <c r="K302" i="20"/>
  <c r="L302" i="20" s="1"/>
  <c r="K319" i="20"/>
  <c r="L319" i="20" s="1"/>
  <c r="K323" i="20"/>
  <c r="L323" i="20" s="1"/>
  <c r="K343" i="20"/>
  <c r="L343" i="20" s="1"/>
  <c r="K347" i="20"/>
  <c r="L347" i="20" s="1"/>
  <c r="K351" i="20"/>
  <c r="L351" i="20" s="1"/>
  <c r="K355" i="20"/>
  <c r="L355" i="20" s="1"/>
  <c r="K359" i="20"/>
  <c r="L359" i="20" s="1"/>
  <c r="K363" i="20"/>
  <c r="L363" i="20" s="1"/>
  <c r="K367" i="20"/>
  <c r="L367" i="20" s="1"/>
  <c r="K371" i="20"/>
  <c r="L371" i="20" s="1"/>
  <c r="K380" i="20"/>
  <c r="L380" i="20" s="1"/>
  <c r="K390" i="20"/>
  <c r="L390" i="20" s="1"/>
  <c r="K415" i="20"/>
  <c r="L415" i="20" s="1"/>
  <c r="K568" i="20"/>
  <c r="L568" i="20" s="1"/>
  <c r="K576" i="20"/>
  <c r="L576" i="20" s="1"/>
  <c r="K584" i="20"/>
  <c r="L584" i="20" s="1"/>
  <c r="K592" i="20"/>
  <c r="L592" i="20" s="1"/>
  <c r="K624" i="20"/>
  <c r="L624" i="20" s="1"/>
  <c r="K659" i="20"/>
  <c r="L659" i="20" s="1"/>
  <c r="K683" i="20"/>
  <c r="L683" i="20" s="1"/>
  <c r="K696" i="20"/>
  <c r="L696" i="20" s="1"/>
  <c r="K138" i="20"/>
  <c r="L138" i="20" s="1"/>
  <c r="K144" i="20"/>
  <c r="L144" i="20" s="1"/>
  <c r="K152" i="20"/>
  <c r="L152" i="20" s="1"/>
  <c r="K160" i="20"/>
  <c r="L160" i="20" s="1"/>
  <c r="K167" i="20"/>
  <c r="L167" i="20" s="1"/>
  <c r="K175" i="20"/>
  <c r="L175" i="20" s="1"/>
  <c r="K183" i="20"/>
  <c r="L183" i="20" s="1"/>
  <c r="K191" i="20"/>
  <c r="L191" i="20" s="1"/>
  <c r="K199" i="20"/>
  <c r="L199" i="20" s="1"/>
  <c r="K207" i="20"/>
  <c r="L207" i="20" s="1"/>
  <c r="K215" i="20"/>
  <c r="L215" i="20" s="1"/>
  <c r="K223" i="20"/>
  <c r="L223" i="20" s="1"/>
  <c r="L75" i="20"/>
  <c r="K87" i="20"/>
  <c r="L87" i="20" s="1"/>
  <c r="K91" i="20"/>
  <c r="L91" i="20" s="1"/>
  <c r="K98" i="20"/>
  <c r="L98" i="20" s="1"/>
  <c r="K122" i="20"/>
  <c r="L122" i="20" s="1"/>
  <c r="K128" i="20"/>
  <c r="L128" i="20" s="1"/>
  <c r="K456" i="20"/>
  <c r="L456" i="20" s="1"/>
  <c r="K464" i="20"/>
  <c r="L464" i="20" s="1"/>
  <c r="K478" i="20"/>
  <c r="L478" i="20" s="1"/>
  <c r="K514" i="20"/>
  <c r="L514" i="20" s="1"/>
  <c r="K522" i="20"/>
  <c r="L522" i="20" s="1"/>
  <c r="K530" i="20"/>
  <c r="L530" i="20" s="1"/>
  <c r="K538" i="20"/>
  <c r="L538" i="20" s="1"/>
  <c r="K544" i="20"/>
  <c r="L544" i="20" s="1"/>
  <c r="K554" i="20"/>
  <c r="L554" i="20" s="1"/>
  <c r="K248" i="20"/>
  <c r="L248" i="20" s="1"/>
  <c r="K252" i="20"/>
  <c r="L252" i="20" s="1"/>
  <c r="K256" i="20"/>
  <c r="L256" i="20" s="1"/>
  <c r="K264" i="20"/>
  <c r="L264" i="20" s="1"/>
  <c r="K295" i="20"/>
  <c r="L295" i="20" s="1"/>
  <c r="K299" i="20"/>
  <c r="L299" i="20" s="1"/>
  <c r="K308" i="20"/>
  <c r="L308" i="20" s="1"/>
  <c r="K312" i="20"/>
  <c r="L312" i="20" s="1"/>
  <c r="K316" i="20"/>
  <c r="L316" i="20" s="1"/>
  <c r="K328" i="20"/>
  <c r="L328" i="20" s="1"/>
  <c r="K387" i="20"/>
  <c r="L387" i="20" s="1"/>
  <c r="K569" i="20"/>
  <c r="L569" i="20" s="1"/>
  <c r="K577" i="20"/>
  <c r="L577" i="20" s="1"/>
  <c r="K585" i="20"/>
  <c r="L585" i="20" s="1"/>
  <c r="K593" i="20"/>
  <c r="L593" i="20" s="1"/>
  <c r="K625" i="20"/>
  <c r="L625" i="20" s="1"/>
  <c r="K697" i="20"/>
  <c r="L697" i="20" s="1"/>
  <c r="L26" i="20"/>
  <c r="L453" i="20"/>
  <c r="K136" i="20"/>
  <c r="L136" i="20" s="1"/>
  <c r="K142" i="20"/>
  <c r="L142" i="20" s="1"/>
  <c r="K150" i="20"/>
  <c r="L150" i="20" s="1"/>
  <c r="K158" i="20"/>
  <c r="L158" i="20" s="1"/>
  <c r="K173" i="20"/>
  <c r="L173" i="20" s="1"/>
  <c r="K181" i="20"/>
  <c r="L181" i="20" s="1"/>
  <c r="K189" i="20"/>
  <c r="L189" i="20" s="1"/>
  <c r="K197" i="20"/>
  <c r="L197" i="20" s="1"/>
  <c r="K205" i="20"/>
  <c r="L205" i="20" s="1"/>
  <c r="K213" i="20"/>
  <c r="L213" i="20" s="1"/>
  <c r="K221" i="20"/>
  <c r="L221" i="20" s="1"/>
  <c r="K229" i="20"/>
  <c r="L229" i="20" s="1"/>
  <c r="K85" i="20"/>
  <c r="L85" i="20" s="1"/>
  <c r="K96" i="20"/>
  <c r="L96" i="20" s="1"/>
  <c r="K104" i="20"/>
  <c r="L104" i="20" s="1"/>
  <c r="K110" i="20"/>
  <c r="L110" i="20" s="1"/>
  <c r="K114" i="20"/>
  <c r="L114" i="20" s="1"/>
  <c r="K120" i="20"/>
  <c r="L120" i="20" s="1"/>
  <c r="K126" i="20"/>
  <c r="L126" i="20" s="1"/>
  <c r="K454" i="20"/>
  <c r="L454" i="20" s="1"/>
  <c r="K462" i="20"/>
  <c r="L462" i="20" s="1"/>
  <c r="K470" i="20"/>
  <c r="L470" i="20" s="1"/>
  <c r="K476" i="20"/>
  <c r="L476" i="20" s="1"/>
  <c r="K484" i="20"/>
  <c r="L484" i="20" s="1"/>
  <c r="K512" i="20"/>
  <c r="L512" i="20" s="1"/>
  <c r="K520" i="20"/>
  <c r="L520" i="20" s="1"/>
  <c r="K528" i="20"/>
  <c r="L528" i="20" s="1"/>
  <c r="K536" i="20"/>
  <c r="L536" i="20" s="1"/>
  <c r="K551" i="20"/>
  <c r="L551" i="20" s="1"/>
  <c r="K253" i="20"/>
  <c r="L253" i="20" s="1"/>
  <c r="K265" i="20"/>
  <c r="L265" i="20" s="1"/>
  <c r="K269" i="20"/>
  <c r="L269" i="20" s="1"/>
  <c r="K273" i="20"/>
  <c r="L273" i="20" s="1"/>
  <c r="K277" i="20"/>
  <c r="L277" i="20" s="1"/>
  <c r="K296" i="20"/>
  <c r="L296" i="20" s="1"/>
  <c r="K300" i="20"/>
  <c r="L300" i="20" s="1"/>
  <c r="K305" i="20"/>
  <c r="L305" i="20" s="1"/>
  <c r="K309" i="20"/>
  <c r="L309" i="20" s="1"/>
  <c r="K313" i="20"/>
  <c r="L313" i="20" s="1"/>
  <c r="K317" i="20"/>
  <c r="L317" i="20" s="1"/>
  <c r="K329" i="20"/>
  <c r="L329" i="20" s="1"/>
  <c r="K335" i="20"/>
  <c r="L335" i="20" s="1"/>
  <c r="K567" i="20"/>
  <c r="L567" i="20" s="1"/>
  <c r="K575" i="20"/>
  <c r="L575" i="20" s="1"/>
  <c r="K583" i="20"/>
  <c r="L583" i="20" s="1"/>
  <c r="K591" i="20"/>
  <c r="L591" i="20" s="1"/>
  <c r="K623" i="20"/>
  <c r="L623" i="20" s="1"/>
  <c r="K658" i="20"/>
  <c r="L658" i="20" s="1"/>
  <c r="K682" i="20"/>
  <c r="L682" i="20" s="1"/>
  <c r="K695" i="20"/>
  <c r="L695" i="20" s="1"/>
  <c r="K57" i="20"/>
  <c r="L57" i="20" s="1"/>
  <c r="K61" i="20"/>
  <c r="L61" i="20" s="1"/>
  <c r="K65" i="20"/>
  <c r="L65" i="20" s="1"/>
  <c r="K139" i="20"/>
  <c r="L139" i="20" s="1"/>
  <c r="K145" i="20"/>
  <c r="L145" i="20" s="1"/>
  <c r="K153" i="20"/>
  <c r="L153" i="20" s="1"/>
  <c r="K161" i="20"/>
  <c r="L161" i="20" s="1"/>
  <c r="K168" i="20"/>
  <c r="L168" i="20" s="1"/>
  <c r="K176" i="20"/>
  <c r="L176" i="20" s="1"/>
  <c r="K184" i="20"/>
  <c r="L184" i="20" s="1"/>
  <c r="K192" i="20"/>
  <c r="L192" i="20" s="1"/>
  <c r="K200" i="20"/>
  <c r="L200" i="20" s="1"/>
  <c r="K208" i="20"/>
  <c r="L208" i="20" s="1"/>
  <c r="K216" i="20"/>
  <c r="L216" i="20" s="1"/>
  <c r="K224" i="20"/>
  <c r="L224" i="20" s="1"/>
  <c r="K80" i="20"/>
  <c r="L80" i="20" s="1"/>
  <c r="K88" i="20"/>
  <c r="L88" i="20" s="1"/>
  <c r="K92" i="20"/>
  <c r="L92" i="20" s="1"/>
  <c r="K99" i="20"/>
  <c r="L99" i="20" s="1"/>
  <c r="K123" i="20"/>
  <c r="L123" i="20" s="1"/>
  <c r="K129" i="20"/>
  <c r="L129" i="20" s="1"/>
  <c r="K457" i="20"/>
  <c r="L457" i="20" s="1"/>
  <c r="K465" i="20"/>
  <c r="L465" i="20" s="1"/>
  <c r="K479" i="20"/>
  <c r="L479" i="20" s="1"/>
  <c r="K507" i="20"/>
  <c r="L507" i="20" s="1"/>
  <c r="K515" i="20"/>
  <c r="L515" i="20" s="1"/>
  <c r="K523" i="20"/>
  <c r="L523" i="20" s="1"/>
  <c r="K531" i="20"/>
  <c r="L531" i="20" s="1"/>
  <c r="K539" i="20"/>
  <c r="L539" i="20" s="1"/>
  <c r="K545" i="20"/>
  <c r="L545" i="20" s="1"/>
  <c r="K555" i="20"/>
  <c r="L555" i="20" s="1"/>
  <c r="K322" i="20"/>
  <c r="L322" i="20" s="1"/>
  <c r="K342" i="20"/>
  <c r="L342" i="20" s="1"/>
  <c r="K346" i="20"/>
  <c r="L346" i="20" s="1"/>
  <c r="K350" i="20"/>
  <c r="L350" i="20" s="1"/>
  <c r="K354" i="20"/>
  <c r="L354" i="20" s="1"/>
  <c r="K358" i="20"/>
  <c r="L358" i="20" s="1"/>
  <c r="K362" i="20"/>
  <c r="L362" i="20" s="1"/>
  <c r="K366" i="20"/>
  <c r="L366" i="20" s="1"/>
  <c r="K370" i="20"/>
  <c r="L370" i="20" s="1"/>
  <c r="K374" i="20"/>
  <c r="L374" i="20" s="1"/>
  <c r="K379" i="20"/>
  <c r="L379" i="20" s="1"/>
  <c r="K389" i="20"/>
  <c r="L389" i="20" s="1"/>
  <c r="K393" i="20"/>
  <c r="L393" i="20" s="1"/>
  <c r="K414" i="20"/>
  <c r="L414" i="20" s="1"/>
  <c r="K441" i="20"/>
  <c r="L441" i="20" s="1"/>
  <c r="K570" i="20"/>
  <c r="L570" i="20" s="1"/>
  <c r="K578" i="20"/>
  <c r="L578" i="20" s="1"/>
  <c r="K586" i="20"/>
  <c r="L586" i="20" s="1"/>
  <c r="K594" i="20"/>
  <c r="L594" i="20" s="1"/>
  <c r="K626" i="20"/>
  <c r="L626" i="20" s="1"/>
  <c r="K661" i="20"/>
  <c r="L661" i="20" s="1"/>
  <c r="K685" i="20"/>
  <c r="L685" i="20" s="1"/>
  <c r="K698" i="20"/>
  <c r="L698"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61" i="1"/>
  <c r="J165" i="1"/>
  <c r="J133" i="1"/>
  <c r="J108" i="1"/>
  <c r="J1108" i="1"/>
  <c r="J1077" i="1"/>
  <c r="J935" i="1"/>
  <c r="J923" i="1"/>
  <c r="J777" i="1"/>
  <c r="J569" i="1"/>
  <c r="J156" i="1"/>
  <c r="J140" i="1"/>
  <c r="J115" i="1"/>
  <c r="J1107" i="1"/>
  <c r="J1099" i="1"/>
  <c r="J1089" i="1"/>
  <c r="J1076" i="1"/>
  <c r="J987" i="1"/>
  <c r="J899" i="1"/>
  <c r="J920" i="1"/>
  <c r="J919" i="1"/>
  <c r="J852" i="1"/>
  <c r="J863" i="1"/>
  <c r="J784" i="1"/>
  <c r="J776" i="1"/>
  <c r="J747" i="1"/>
  <c r="J738" i="1"/>
  <c r="J710" i="1"/>
  <c r="J620" i="1"/>
  <c r="J576" i="1"/>
  <c r="J568" i="1"/>
  <c r="J559" i="1"/>
  <c r="J551" i="1"/>
  <c r="J179" i="1"/>
  <c r="J171" i="1"/>
  <c r="J163" i="1"/>
  <c r="J155" i="1"/>
  <c r="J147" i="1"/>
  <c r="J139" i="1"/>
  <c r="J131" i="1"/>
  <c r="J122" i="1"/>
  <c r="J114" i="1"/>
  <c r="J106" i="1"/>
  <c r="J570" i="1"/>
  <c r="J157" i="1"/>
  <c r="J141" i="1"/>
  <c r="J116" i="1"/>
  <c r="J862" i="1"/>
  <c r="J871" i="1"/>
  <c r="J740" i="1"/>
  <c r="J577" i="1"/>
  <c r="J552" i="1"/>
  <c r="J180" i="1"/>
  <c r="J164" i="1"/>
  <c r="J132" i="1"/>
  <c r="J107" i="1"/>
  <c r="J1106" i="1"/>
  <c r="J1098" i="1"/>
  <c r="J1088" i="1"/>
  <c r="J1075" i="1"/>
  <c r="J986" i="1"/>
  <c r="J891" i="1"/>
  <c r="J883" i="1"/>
  <c r="J882" i="1"/>
  <c r="J833" i="1"/>
  <c r="J878" i="1"/>
  <c r="J783" i="1"/>
  <c r="J766" i="1"/>
  <c r="J746" i="1"/>
  <c r="J737" i="1"/>
  <c r="J702" i="1"/>
  <c r="J610" i="1"/>
  <c r="J575" i="1"/>
  <c r="J567" i="1"/>
  <c r="J558" i="1"/>
  <c r="J550" i="1"/>
  <c r="J524" i="1"/>
  <c r="J191" i="1"/>
  <c r="J178" i="1"/>
  <c r="J170" i="1"/>
  <c r="J162" i="1"/>
  <c r="J154" i="1"/>
  <c r="J146" i="1"/>
  <c r="J138" i="1"/>
  <c r="J130" i="1"/>
  <c r="J121" i="1"/>
  <c r="J113" i="1"/>
  <c r="J105" i="1"/>
  <c r="J748" i="1"/>
  <c r="J1105" i="1"/>
  <c r="J1097" i="1"/>
  <c r="J1087" i="1"/>
  <c r="J1074" i="1"/>
  <c r="J993" i="1"/>
  <c r="J985" i="1"/>
  <c r="J895" i="1"/>
  <c r="J845" i="1"/>
  <c r="J844" i="1"/>
  <c r="J835" i="1"/>
  <c r="J858" i="1"/>
  <c r="J782" i="1"/>
  <c r="J765" i="1"/>
  <c r="J745" i="1"/>
  <c r="J736" i="1"/>
  <c r="J694" i="1"/>
  <c r="J609" i="1"/>
  <c r="J574" i="1"/>
  <c r="J566" i="1"/>
  <c r="J557" i="1"/>
  <c r="J549" i="1"/>
  <c r="J523" i="1"/>
  <c r="J190" i="1"/>
  <c r="J177" i="1"/>
  <c r="J169" i="1"/>
  <c r="J161" i="1"/>
  <c r="J153" i="1"/>
  <c r="J145" i="1"/>
  <c r="J137" i="1"/>
  <c r="J129" i="1"/>
  <c r="J120" i="1"/>
  <c r="J112" i="1"/>
  <c r="J599" i="1"/>
  <c r="J541" i="1"/>
  <c r="J173" i="1"/>
  <c r="J149" i="1"/>
  <c r="J125" i="1"/>
  <c r="J1100" i="1"/>
  <c r="J988" i="1"/>
  <c r="J560" i="1"/>
  <c r="J172" i="1"/>
  <c r="J148" i="1"/>
  <c r="J124" i="1"/>
  <c r="J1104" i="1"/>
  <c r="J1086" i="1"/>
  <c r="J1073" i="1"/>
  <c r="J992" i="1"/>
  <c r="J984" i="1"/>
  <c r="J885" i="1"/>
  <c r="J843" i="1"/>
  <c r="J842" i="1"/>
  <c r="J867" i="1"/>
  <c r="J915" i="1"/>
  <c r="J781" i="1"/>
  <c r="J764" i="1"/>
  <c r="J744" i="1"/>
  <c r="J731" i="1"/>
  <c r="J660" i="1"/>
  <c r="J608" i="1"/>
  <c r="J573" i="1"/>
  <c r="J564" i="1"/>
  <c r="J556" i="1"/>
  <c r="J548" i="1"/>
  <c r="J522" i="1"/>
  <c r="J189" i="1"/>
  <c r="J176" i="1"/>
  <c r="J168" i="1"/>
  <c r="J160" i="1"/>
  <c r="J152" i="1"/>
  <c r="J144" i="1"/>
  <c r="J136" i="1"/>
  <c r="J128" i="1"/>
  <c r="J119" i="1"/>
  <c r="J111" i="1"/>
  <c r="J1092" i="1"/>
  <c r="J860" i="1"/>
  <c r="J540" i="1"/>
  <c r="J1103" i="1"/>
  <c r="J1095" i="1"/>
  <c r="J1080" i="1"/>
  <c r="J1072" i="1"/>
  <c r="J991" i="1"/>
  <c r="J870" i="1"/>
  <c r="J859" i="1"/>
  <c r="J909" i="1"/>
  <c r="J921" i="1"/>
  <c r="J826" i="1"/>
  <c r="J780" i="1"/>
  <c r="J751" i="1"/>
  <c r="J743" i="1"/>
  <c r="J724" i="1"/>
  <c r="J652" i="1"/>
  <c r="J601" i="1"/>
  <c r="J572" i="1"/>
  <c r="J563" i="1"/>
  <c r="J555" i="1"/>
  <c r="J547" i="1"/>
  <c r="J188" i="1"/>
  <c r="J175" i="1"/>
  <c r="J167" i="1"/>
  <c r="J159" i="1"/>
  <c r="J151" i="1"/>
  <c r="J143" i="1"/>
  <c r="J135" i="1"/>
  <c r="J127" i="1"/>
  <c r="J118" i="1"/>
  <c r="J110" i="1"/>
  <c r="J101" i="1"/>
  <c r="J1520" i="1"/>
  <c r="J1521" i="1"/>
  <c r="J1522" i="1"/>
  <c r="J1523" i="1"/>
  <c r="J1524" i="1"/>
  <c r="J1517" i="1"/>
  <c r="J1525" i="1"/>
  <c r="J1518" i="1"/>
  <c r="J1519" i="1"/>
  <c r="G297" i="19"/>
  <c r="G70" i="19"/>
  <c r="G136" i="19"/>
  <c r="G176" i="19"/>
  <c r="G201" i="19"/>
  <c r="G289" i="19"/>
  <c r="G616" i="19"/>
  <c r="G242" i="19"/>
  <c r="G542" i="19"/>
  <c r="G170" i="20"/>
  <c r="G245" i="20"/>
  <c r="G123" i="17" s="1"/>
  <c r="G332" i="20"/>
  <c r="G402" i="20"/>
  <c r="G480" i="20"/>
  <c r="G378" i="19"/>
  <c r="G177" i="19"/>
  <c r="G530" i="19"/>
  <c r="G92" i="19"/>
  <c r="G162" i="19"/>
  <c r="G227" i="19"/>
  <c r="G291" i="19"/>
  <c r="G355" i="19"/>
  <c r="G420" i="19"/>
  <c r="G485" i="19"/>
  <c r="G129" i="19"/>
  <c r="G526" i="19"/>
  <c r="G86" i="19"/>
  <c r="G155" i="19"/>
  <c r="G220" i="19"/>
  <c r="G284" i="19"/>
  <c r="G655" i="20"/>
  <c r="G403" i="19"/>
  <c r="G140" i="19"/>
  <c r="G213" i="19"/>
  <c r="G277" i="19"/>
  <c r="G341" i="19"/>
  <c r="G406" i="19"/>
  <c r="G605" i="19"/>
  <c r="G624" i="20"/>
  <c r="G419" i="19"/>
  <c r="G132" i="19"/>
  <c r="G74" i="19"/>
  <c r="G133" i="19"/>
  <c r="G206" i="19"/>
  <c r="G270" i="19"/>
  <c r="G434" i="19"/>
  <c r="G79" i="17"/>
  <c r="G218" i="19"/>
  <c r="G45" i="19"/>
  <c r="G60" i="19"/>
  <c r="G118" i="19"/>
  <c r="G182" i="19"/>
  <c r="G247" i="19"/>
  <c r="G311" i="19"/>
  <c r="G376" i="19"/>
  <c r="G440" i="19"/>
  <c r="G82" i="19"/>
  <c r="G143" i="19"/>
  <c r="G81" i="20"/>
  <c r="G260" i="17" s="1"/>
  <c r="G578" i="20"/>
  <c r="G316" i="19"/>
  <c r="G381" i="19"/>
  <c r="G445" i="19"/>
  <c r="G510" i="19"/>
  <c r="G547" i="19"/>
  <c r="G140" i="20"/>
  <c r="G319" i="17" s="1"/>
  <c r="G204" i="20"/>
  <c r="G380" i="17" s="1"/>
  <c r="G299" i="20"/>
  <c r="G367" i="20"/>
  <c r="G458" i="20"/>
  <c r="G98" i="20"/>
  <c r="G277" i="17" s="1"/>
  <c r="G620" i="20"/>
  <c r="G334" i="19"/>
  <c r="G399" i="19"/>
  <c r="G464" i="19"/>
  <c r="G524" i="19"/>
  <c r="G556" i="19"/>
  <c r="G149" i="20"/>
  <c r="G328" i="17" s="1"/>
  <c r="G329" i="19"/>
  <c r="G112" i="19"/>
  <c r="G168" i="19"/>
  <c r="G217" i="19"/>
  <c r="G249" i="19"/>
  <c r="G370" i="19"/>
  <c r="G94" i="20"/>
  <c r="G273" i="17" s="1"/>
  <c r="G290" i="19"/>
  <c r="G550" i="19"/>
  <c r="G178" i="20"/>
  <c r="G254" i="20"/>
  <c r="G341" i="20"/>
  <c r="G410" i="20"/>
  <c r="G508" i="20"/>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9" i="20"/>
  <c r="G288" i="17" s="1"/>
  <c r="G250" i="19"/>
  <c r="G66" i="19"/>
  <c r="G68" i="19"/>
  <c r="G126" i="19"/>
  <c r="G190" i="19"/>
  <c r="G255" i="19"/>
  <c r="G319" i="19"/>
  <c r="G384" i="19"/>
  <c r="G449" i="19"/>
  <c r="G90" i="19"/>
  <c r="G151" i="19"/>
  <c r="G89" i="20"/>
  <c r="G268" i="17" s="1"/>
  <c r="G324" i="19"/>
  <c r="G389" i="19"/>
  <c r="G454" i="19"/>
  <c r="G518" i="19"/>
  <c r="G551" i="19"/>
  <c r="G147" i="20"/>
  <c r="G326" i="17" s="1"/>
  <c r="G212" i="20"/>
  <c r="G387" i="17" s="1"/>
  <c r="G307" i="20"/>
  <c r="G375" i="20"/>
  <c r="G466" i="20"/>
  <c r="G112" i="20"/>
  <c r="G291" i="17" s="1"/>
  <c r="G628" i="20"/>
  <c r="G342" i="19"/>
  <c r="G407" i="19"/>
  <c r="G472" i="19"/>
  <c r="G528" i="19"/>
  <c r="G560" i="19"/>
  <c r="G157" i="20"/>
  <c r="G336" i="17" s="1"/>
  <c r="G56" i="19"/>
  <c r="G144" i="19"/>
  <c r="G225" i="19"/>
  <c r="G241" i="19"/>
  <c r="G305" i="19"/>
  <c r="G410" i="19"/>
  <c r="G137" i="20"/>
  <c r="G316" i="17" s="1"/>
  <c r="G338" i="19"/>
  <c r="G562" i="19"/>
  <c r="G186" i="20"/>
  <c r="G363" i="17" s="1"/>
  <c r="G266" i="20"/>
  <c r="G349" i="20"/>
  <c r="G425" i="20"/>
  <c r="G516" i="20"/>
  <c r="G87" i="20"/>
  <c r="G266"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84" i="20"/>
  <c r="G298" i="19"/>
  <c r="G87" i="19"/>
  <c r="G75" i="19"/>
  <c r="G134" i="19"/>
  <c r="G199" i="19"/>
  <c r="G263" i="19"/>
  <c r="G327" i="19"/>
  <c r="G392" i="19"/>
  <c r="G31" i="19"/>
  <c r="G97" i="19"/>
  <c r="G159" i="19"/>
  <c r="G96" i="20"/>
  <c r="G275" i="17" s="1"/>
  <c r="G594" i="20"/>
  <c r="G332" i="19"/>
  <c r="G397" i="19"/>
  <c r="G462" i="19"/>
  <c r="G523" i="19"/>
  <c r="G555" i="19"/>
  <c r="G155" i="20"/>
  <c r="G334" i="17" s="1"/>
  <c r="G98" i="19"/>
  <c r="G192" i="19"/>
  <c r="G273" i="19"/>
  <c r="G281" i="19"/>
  <c r="G32" i="19"/>
  <c r="G426" i="19"/>
  <c r="G687" i="20"/>
  <c r="G387" i="19"/>
  <c r="G570" i="19"/>
  <c r="G194" i="20"/>
  <c r="G371" i="17" s="1"/>
  <c r="G274" i="20"/>
  <c r="G357" i="20"/>
  <c r="G433" i="20"/>
  <c r="G524" i="20"/>
  <c r="G123" i="20"/>
  <c r="G302"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79" i="20"/>
  <c r="G354" i="19"/>
  <c r="G124" i="19"/>
  <c r="G81" i="19"/>
  <c r="G142" i="19"/>
  <c r="G207" i="19"/>
  <c r="G271" i="19"/>
  <c r="G335" i="19"/>
  <c r="G400" i="19"/>
  <c r="G39" i="19"/>
  <c r="G104" i="19"/>
  <c r="G615" i="19"/>
  <c r="G104" i="20"/>
  <c r="G283" i="17" s="1"/>
  <c r="G626" i="20"/>
  <c r="G340" i="19"/>
  <c r="G405" i="19"/>
  <c r="G470" i="19"/>
  <c r="G527" i="19"/>
  <c r="G559" i="19"/>
  <c r="G163" i="20"/>
  <c r="G343" i="17" s="1"/>
  <c r="G228" i="20"/>
  <c r="G403" i="17" s="1"/>
  <c r="G323" i="20"/>
  <c r="G396" i="20"/>
  <c r="G482" i="20"/>
  <c r="G571" i="20"/>
  <c r="G126" i="20"/>
  <c r="G305" i="17" s="1"/>
  <c r="G683" i="20"/>
  <c r="G358" i="19"/>
  <c r="G423" i="19"/>
  <c r="G488" i="19"/>
  <c r="G536" i="19"/>
  <c r="G568" i="19"/>
  <c r="G174" i="20"/>
  <c r="G250" i="20"/>
  <c r="G336" i="20"/>
  <c r="G406" i="20"/>
  <c r="G512" i="20"/>
  <c r="G465" i="19"/>
  <c r="G611" i="19"/>
  <c r="G152" i="19"/>
  <c r="G265" i="19"/>
  <c r="G345" i="19"/>
  <c r="G337" i="19"/>
  <c r="G77" i="19"/>
  <c r="G459" i="19"/>
  <c r="G49" i="19"/>
  <c r="G435" i="19"/>
  <c r="G627" i="19"/>
  <c r="G202" i="20"/>
  <c r="G378" i="17" s="1"/>
  <c r="G297" i="20"/>
  <c r="G365" i="20"/>
  <c r="G441" i="20"/>
  <c r="G534" i="20"/>
  <c r="G592" i="20"/>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700" i="20"/>
  <c r="G395" i="19"/>
  <c r="G30" i="19"/>
  <c r="G89" i="19"/>
  <c r="G150" i="19"/>
  <c r="G215" i="19"/>
  <c r="G279" i="19"/>
  <c r="G343" i="19"/>
  <c r="G408" i="19"/>
  <c r="G55" i="19"/>
  <c r="G111" i="19"/>
  <c r="G607" i="19"/>
  <c r="G111" i="20"/>
  <c r="G290" i="17" s="1"/>
  <c r="G657" i="20"/>
  <c r="G348" i="19"/>
  <c r="G413" i="19"/>
  <c r="G478" i="19"/>
  <c r="G531" i="19"/>
  <c r="G563" i="19"/>
  <c r="G172" i="20"/>
  <c r="G248" i="20"/>
  <c r="G334" i="20"/>
  <c r="G404" i="20"/>
  <c r="G510" i="20"/>
  <c r="G133" i="20"/>
  <c r="G312" i="17" s="1"/>
  <c r="G696" i="20"/>
  <c r="G367" i="19"/>
  <c r="G431" i="19"/>
  <c r="G496" i="19"/>
  <c r="G540" i="19"/>
  <c r="G572" i="19"/>
  <c r="G182" i="20"/>
  <c r="G121" i="17" s="1"/>
  <c r="G262" i="20"/>
  <c r="G345" i="20"/>
  <c r="G414" i="20"/>
  <c r="G520" i="20"/>
  <c r="G473" i="19"/>
  <c r="G209" i="19"/>
  <c r="G321" i="19"/>
  <c r="G40" i="19"/>
  <c r="G62" i="19"/>
  <c r="G120" i="19"/>
  <c r="G475" i="19"/>
  <c r="G106" i="19"/>
  <c r="G484" i="19"/>
  <c r="G145" i="20"/>
  <c r="G324" i="17" s="1"/>
  <c r="G210" i="20"/>
  <c r="G385" i="17" s="1"/>
  <c r="G305" i="20"/>
  <c r="G373" i="20"/>
  <c r="G456" i="20"/>
  <c r="G542" i="20"/>
  <c r="G33" i="19"/>
  <c r="G411" i="19"/>
  <c r="G64" i="19"/>
  <c r="G138" i="19"/>
  <c r="G203" i="19"/>
  <c r="G267" i="19"/>
  <c r="G331" i="19"/>
  <c r="G396" i="19"/>
  <c r="G461" i="19"/>
  <c r="G386" i="19"/>
  <c r="G379" i="19"/>
  <c r="G58" i="19"/>
  <c r="G131" i="19"/>
  <c r="G195" i="19"/>
  <c r="G260" i="19"/>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7" i="20"/>
  <c r="G296" i="17" s="1"/>
  <c r="G681" i="20"/>
  <c r="G356" i="19"/>
  <c r="G421" i="19"/>
  <c r="G486" i="19"/>
  <c r="G535" i="19"/>
  <c r="G567" i="19"/>
  <c r="G180" i="20"/>
  <c r="G256" i="20"/>
  <c r="G343" i="20"/>
  <c r="G412" i="20"/>
  <c r="G518" i="20"/>
  <c r="G76" i="20"/>
  <c r="G255" i="17" s="1"/>
  <c r="G572" i="20"/>
  <c r="G310" i="19"/>
  <c r="G375" i="19"/>
  <c r="G439" i="19"/>
  <c r="G504" i="19"/>
  <c r="G544" i="19"/>
  <c r="G630" i="19"/>
  <c r="G190" i="20"/>
  <c r="G367" i="17" s="1"/>
  <c r="G270" i="20"/>
  <c r="G353" i="20"/>
  <c r="G429" i="20"/>
  <c r="G530" i="20"/>
  <c r="G481" i="19"/>
  <c r="G257" i="19"/>
  <c r="G184" i="19"/>
  <c r="G153" i="20"/>
  <c r="G332" i="17" s="1"/>
  <c r="G464" i="20"/>
  <c r="G72" i="19"/>
  <c r="G339" i="19"/>
  <c r="G427" i="19"/>
  <c r="G268" i="19"/>
  <c r="G196" i="19"/>
  <c r="G619" i="19"/>
  <c r="G59" i="19"/>
  <c r="G402" i="19"/>
  <c r="G47" i="19"/>
  <c r="G295" i="19"/>
  <c r="G127" i="19"/>
  <c r="G365" i="19"/>
  <c r="G571" i="19"/>
  <c r="G351" i="20"/>
  <c r="G563" i="20"/>
  <c r="G326" i="19"/>
  <c r="G512" i="19"/>
  <c r="G166" i="20"/>
  <c r="G345" i="17" s="1"/>
  <c r="G309" i="20"/>
  <c r="G437" i="20"/>
  <c r="G565" i="20"/>
  <c r="G595" i="19"/>
  <c r="G107" i="20"/>
  <c r="G286" i="17" s="1"/>
  <c r="G191" i="19"/>
  <c r="G256" i="19"/>
  <c r="G320" i="19"/>
  <c r="G385" i="19"/>
  <c r="G450" i="19"/>
  <c r="G514" i="19"/>
  <c r="G549" i="19"/>
  <c r="G143" i="20"/>
  <c r="G322" i="17" s="1"/>
  <c r="G463" i="19"/>
  <c r="G625" i="19"/>
  <c r="G82" i="20"/>
  <c r="G261" i="17" s="1"/>
  <c r="G171" i="20"/>
  <c r="G246" i="20"/>
  <c r="G124" i="17" s="1"/>
  <c r="G333" i="20"/>
  <c r="G403" i="20"/>
  <c r="G509" i="20"/>
  <c r="G585" i="20"/>
  <c r="G710" i="20"/>
  <c r="G749" i="20"/>
  <c r="G596" i="19"/>
  <c r="G120" i="20"/>
  <c r="G299" i="17" s="1"/>
  <c r="G189" i="20"/>
  <c r="G366" i="17" s="1"/>
  <c r="G269" i="20"/>
  <c r="G352" i="20"/>
  <c r="G428" i="20"/>
  <c r="G529" i="20"/>
  <c r="G627" i="20"/>
  <c r="G719" i="20"/>
  <c r="G758" i="20"/>
  <c r="G586" i="19"/>
  <c r="G122" i="20"/>
  <c r="G301" i="17" s="1"/>
  <c r="G183" i="20"/>
  <c r="G271" i="20"/>
  <c r="G354" i="20"/>
  <c r="G430" i="20"/>
  <c r="G521" i="20"/>
  <c r="G589" i="20"/>
  <c r="G712" i="20"/>
  <c r="G751" i="20"/>
  <c r="G264" i="20"/>
  <c r="G347" i="20"/>
  <c r="G416" i="20"/>
  <c r="G514" i="20"/>
  <c r="G582" i="20"/>
  <c r="G626" i="19"/>
  <c r="G88" i="20"/>
  <c r="G267" i="17" s="1"/>
  <c r="G144" i="20"/>
  <c r="G323" i="17" s="1"/>
  <c r="G209" i="20"/>
  <c r="G384" i="17" s="1"/>
  <c r="G304" i="20"/>
  <c r="G372" i="20"/>
  <c r="G455" i="20"/>
  <c r="G541" i="20"/>
  <c r="G654" i="20"/>
  <c r="G721" i="20"/>
  <c r="G760" i="20"/>
  <c r="G217" i="20"/>
  <c r="G392" i="17" s="1"/>
  <c r="G312" i="20"/>
  <c r="G380" i="20"/>
  <c r="G313" i="19"/>
  <c r="G233" i="19"/>
  <c r="G161" i="20"/>
  <c r="G340" i="17" s="1"/>
  <c r="G472" i="20"/>
  <c r="G85" i="19"/>
  <c r="G347" i="19"/>
  <c r="G476" i="19"/>
  <c r="G276" i="19"/>
  <c r="G205" i="19"/>
  <c r="G613" i="19"/>
  <c r="G67" i="19"/>
  <c r="G418" i="19"/>
  <c r="G54" i="19"/>
  <c r="G303" i="19"/>
  <c r="G135" i="19"/>
  <c r="G373" i="19"/>
  <c r="G631" i="19"/>
  <c r="G359" i="20"/>
  <c r="G83" i="20"/>
  <c r="G262" i="17" s="1"/>
  <c r="G350" i="19"/>
  <c r="G520" i="19"/>
  <c r="G198" i="20"/>
  <c r="G374" i="17" s="1"/>
  <c r="G317" i="20"/>
  <c r="G460" i="20"/>
  <c r="G457" i="19"/>
  <c r="G587" i="19"/>
  <c r="G113" i="20"/>
  <c r="G292" i="17" s="1"/>
  <c r="G200" i="19"/>
  <c r="G264" i="19"/>
  <c r="G328" i="19"/>
  <c r="G393" i="19"/>
  <c r="G458" i="19"/>
  <c r="G521" i="19"/>
  <c r="G553" i="19"/>
  <c r="G151" i="20"/>
  <c r="G330" i="17" s="1"/>
  <c r="G471" i="19"/>
  <c r="G620" i="19"/>
  <c r="G97" i="20"/>
  <c r="G276" i="17" s="1"/>
  <c r="G179" i="20"/>
  <c r="G357" i="17" s="1"/>
  <c r="G255" i="20"/>
  <c r="G342" i="20"/>
  <c r="G411" i="20"/>
  <c r="G517" i="20"/>
  <c r="G593" i="20"/>
  <c r="G714" i="20"/>
  <c r="G753" i="20"/>
  <c r="G588" i="19"/>
  <c r="G127" i="20"/>
  <c r="G306" i="17" s="1"/>
  <c r="G277" i="20"/>
  <c r="G360" i="20"/>
  <c r="G436" i="20"/>
  <c r="G537" i="20"/>
  <c r="G658" i="20"/>
  <c r="G762" i="20"/>
  <c r="G86" i="17"/>
  <c r="G129" i="20"/>
  <c r="G308" i="17" s="1"/>
  <c r="G191" i="20"/>
  <c r="G368" i="17" s="1"/>
  <c r="G294" i="20"/>
  <c r="G362" i="20"/>
  <c r="G438" i="20"/>
  <c r="G531" i="20"/>
  <c r="G621" i="20"/>
  <c r="G716" i="20"/>
  <c r="G755" i="20"/>
  <c r="G272" i="20"/>
  <c r="G355" i="20"/>
  <c r="G431" i="20"/>
  <c r="G522" i="20"/>
  <c r="G590" i="20"/>
  <c r="G621" i="19"/>
  <c r="G95" i="20"/>
  <c r="G274" i="17" s="1"/>
  <c r="G152" i="20"/>
  <c r="G331" i="17" s="1"/>
  <c r="G48" i="19"/>
  <c r="G491" i="19"/>
  <c r="G218" i="20"/>
  <c r="G393" i="17" s="1"/>
  <c r="G146" i="19"/>
  <c r="G404" i="19"/>
  <c r="G65" i="19"/>
  <c r="G115" i="20"/>
  <c r="G294" i="17" s="1"/>
  <c r="G261" i="19"/>
  <c r="G102" i="20"/>
  <c r="G281" i="17" s="1"/>
  <c r="G117" i="19"/>
  <c r="G515" i="19"/>
  <c r="G103" i="19"/>
  <c r="G359" i="19"/>
  <c r="G591" i="19"/>
  <c r="G429" i="19"/>
  <c r="G188" i="20"/>
  <c r="G365" i="17" s="1"/>
  <c r="G388" i="20"/>
  <c r="G90" i="20"/>
  <c r="G269" i="17" s="1"/>
  <c r="G383" i="19"/>
  <c r="G532" i="19"/>
  <c r="G206" i="20"/>
  <c r="G328" i="20"/>
  <c r="G468" i="20"/>
  <c r="G489" i="19"/>
  <c r="G121" i="20"/>
  <c r="G300" i="17" s="1"/>
  <c r="G208" i="19"/>
  <c r="G272" i="19"/>
  <c r="G336" i="19"/>
  <c r="G401" i="19"/>
  <c r="G466" i="19"/>
  <c r="G525" i="19"/>
  <c r="G557" i="19"/>
  <c r="G159" i="20"/>
  <c r="G338" i="17" s="1"/>
  <c r="G479" i="19"/>
  <c r="G614" i="19"/>
  <c r="G105" i="20"/>
  <c r="G284" i="17" s="1"/>
  <c r="G187" i="20"/>
  <c r="G364" i="17" s="1"/>
  <c r="G267" i="20"/>
  <c r="G350" i="20"/>
  <c r="G426" i="20"/>
  <c r="G527" i="20"/>
  <c r="G625" i="20"/>
  <c r="G718" i="20"/>
  <c r="G757" i="20"/>
  <c r="G134" i="20"/>
  <c r="G313" i="17" s="1"/>
  <c r="G205" i="20"/>
  <c r="G381" i="17" s="1"/>
  <c r="G300" i="20"/>
  <c r="G368" i="20"/>
  <c r="G459" i="20"/>
  <c r="G682" i="20"/>
  <c r="G734" i="20"/>
  <c r="G633" i="19"/>
  <c r="G79" i="20"/>
  <c r="G258" i="17" s="1"/>
  <c r="G136" i="20"/>
  <c r="G315" i="17" s="1"/>
  <c r="G199" i="20"/>
  <c r="G375" i="17" s="1"/>
  <c r="G302" i="20"/>
  <c r="G370" i="20"/>
  <c r="G453" i="20"/>
  <c r="G539" i="20"/>
  <c r="G629" i="20"/>
  <c r="G114" i="17" s="1"/>
  <c r="G720" i="20"/>
  <c r="G759" i="20"/>
  <c r="G295" i="20"/>
  <c r="G363" i="20"/>
  <c r="G439" i="20"/>
  <c r="G532" i="20"/>
  <c r="G622" i="20"/>
  <c r="G608" i="19"/>
  <c r="G103" i="20"/>
  <c r="G282" i="17" s="1"/>
  <c r="G160" i="20"/>
  <c r="G339" i="17" s="1"/>
  <c r="G225" i="20"/>
  <c r="G400" i="17" s="1"/>
  <c r="G320" i="20"/>
  <c r="G393" i="20"/>
  <c r="G471" i="20"/>
  <c r="G686" i="20"/>
  <c r="G736" i="20"/>
  <c r="G91" i="19"/>
  <c r="G507" i="19"/>
  <c r="G226" i="20"/>
  <c r="G401" i="17" s="1"/>
  <c r="G569" i="20"/>
  <c r="G154" i="19"/>
  <c r="G412" i="19"/>
  <c r="G79" i="19"/>
  <c r="G576" i="20"/>
  <c r="G269" i="19"/>
  <c r="G130" i="20"/>
  <c r="G309" i="17" s="1"/>
  <c r="G125" i="19"/>
  <c r="G609" i="19"/>
  <c r="G110" i="19"/>
  <c r="G368" i="19"/>
  <c r="G437" i="19"/>
  <c r="G196" i="20"/>
  <c r="G373" i="17" s="1"/>
  <c r="G427" i="20"/>
  <c r="G119" i="20"/>
  <c r="G298" i="17" s="1"/>
  <c r="G391" i="19"/>
  <c r="G548" i="19"/>
  <c r="G214" i="20"/>
  <c r="G389" i="17" s="1"/>
  <c r="G361" i="20"/>
  <c r="G476" i="20"/>
  <c r="G497" i="19"/>
  <c r="G85" i="17"/>
  <c r="G128" i="20"/>
  <c r="G307" i="17" s="1"/>
  <c r="G216" i="19"/>
  <c r="G280" i="19"/>
  <c r="G344" i="19"/>
  <c r="G409" i="19"/>
  <c r="G474" i="19"/>
  <c r="G529" i="19"/>
  <c r="G561" i="19"/>
  <c r="G168" i="20"/>
  <c r="G347" i="17" s="1"/>
  <c r="G487" i="19"/>
  <c r="G606" i="19"/>
  <c r="G118" i="20"/>
  <c r="G297" i="17" s="1"/>
  <c r="G195" i="20"/>
  <c r="G372" i="17" s="1"/>
  <c r="G275" i="20"/>
  <c r="G358" i="20"/>
  <c r="G434" i="20"/>
  <c r="G535" i="20"/>
  <c r="G656" i="20"/>
  <c r="G722" i="20"/>
  <c r="G761" i="20"/>
  <c r="G148" i="20"/>
  <c r="G327" i="17" s="1"/>
  <c r="G213" i="20"/>
  <c r="G388" i="17" s="1"/>
  <c r="G308" i="20"/>
  <c r="G376" i="20"/>
  <c r="G467" i="20"/>
  <c r="G695" i="20"/>
  <c r="G738" i="20"/>
  <c r="G628" i="19"/>
  <c r="G86" i="20"/>
  <c r="G265" i="17" s="1"/>
  <c r="G142" i="20"/>
  <c r="G321" i="17" s="1"/>
  <c r="G207" i="20"/>
  <c r="G382" i="17" s="1"/>
  <c r="G310" i="20"/>
  <c r="G378" i="20"/>
  <c r="G461" i="20"/>
  <c r="G660" i="20"/>
  <c r="G731" i="20"/>
  <c r="G763" i="20"/>
  <c r="G303" i="20"/>
  <c r="G371" i="20"/>
  <c r="G454" i="20"/>
  <c r="G540" i="20"/>
  <c r="G630" i="20"/>
  <c r="G600" i="19"/>
  <c r="G110" i="20"/>
  <c r="G289" i="17" s="1"/>
  <c r="G169" i="20"/>
  <c r="G348" i="17" s="1"/>
  <c r="G244" i="20"/>
  <c r="G177" i="17" s="1"/>
  <c r="G331" i="20"/>
  <c r="G401" i="20"/>
  <c r="G479" i="20"/>
  <c r="G568" i="20"/>
  <c r="G699" i="20"/>
  <c r="G740" i="20"/>
  <c r="G744" i="20"/>
  <c r="G748" i="20"/>
  <c r="G83" i="19"/>
  <c r="G145" i="19"/>
  <c r="G313" i="20"/>
  <c r="G71" i="19"/>
  <c r="G211" i="19"/>
  <c r="G469" i="19"/>
  <c r="G139" i="19"/>
  <c r="G306" i="19"/>
  <c r="G325" i="19"/>
  <c r="G330" i="19"/>
  <c r="G181" i="19"/>
  <c r="G113" i="19"/>
  <c r="G166" i="19"/>
  <c r="G424" i="19"/>
  <c r="G132" i="20"/>
  <c r="G311" i="17" s="1"/>
  <c r="G494" i="19"/>
  <c r="G220" i="20"/>
  <c r="G395" i="17" s="1"/>
  <c r="G435" i="20"/>
  <c r="G580" i="20"/>
  <c r="G415" i="19"/>
  <c r="G552" i="19"/>
  <c r="G222" i="20"/>
  <c r="G397" i="17" s="1"/>
  <c r="G369" i="20"/>
  <c r="G484" i="20"/>
  <c r="G505" i="19"/>
  <c r="G78" i="20"/>
  <c r="G257" i="17" s="1"/>
  <c r="G135" i="20"/>
  <c r="G314" i="17" s="1"/>
  <c r="G224" i="19"/>
  <c r="G288" i="19"/>
  <c r="G352" i="19"/>
  <c r="G417" i="19"/>
  <c r="G482" i="19"/>
  <c r="G533" i="19"/>
  <c r="G565" i="19"/>
  <c r="G176" i="20"/>
  <c r="G354" i="17" s="1"/>
  <c r="G495" i="19"/>
  <c r="G598" i="19"/>
  <c r="G125" i="20"/>
  <c r="G304" i="17" s="1"/>
  <c r="G203" i="20"/>
  <c r="G379" i="17" s="1"/>
  <c r="G298" i="20"/>
  <c r="G366" i="20"/>
  <c r="G457" i="20"/>
  <c r="G178" i="17"/>
  <c r="G680" i="20"/>
  <c r="G733" i="20"/>
  <c r="G629" i="19"/>
  <c r="G77" i="20"/>
  <c r="G256" i="17" s="1"/>
  <c r="G156" i="20"/>
  <c r="G335" i="17" s="1"/>
  <c r="G221" i="20"/>
  <c r="G396" i="17" s="1"/>
  <c r="G316" i="20"/>
  <c r="G389" i="20"/>
  <c r="G475" i="20"/>
  <c r="G564" i="20"/>
  <c r="G703" i="20"/>
  <c r="G742" i="20"/>
  <c r="G617" i="19"/>
  <c r="G92" i="20"/>
  <c r="G150" i="20"/>
  <c r="G329" i="17" s="1"/>
  <c r="G215" i="20"/>
  <c r="G318" i="20"/>
  <c r="G391" i="20"/>
  <c r="G469" i="20"/>
  <c r="G684" i="20"/>
  <c r="G735" i="20"/>
  <c r="G208" i="20"/>
  <c r="G383" i="17" s="1"/>
  <c r="G311" i="20"/>
  <c r="G379" i="20"/>
  <c r="G462" i="20"/>
  <c r="G661" i="20"/>
  <c r="G592" i="19"/>
  <c r="G116" i="20"/>
  <c r="G295" i="17" s="1"/>
  <c r="G177" i="20"/>
  <c r="G355" i="17" s="1"/>
  <c r="G253" i="20"/>
  <c r="G340" i="20"/>
  <c r="G409" i="20"/>
  <c r="G507" i="20"/>
  <c r="G575" i="20"/>
  <c r="G705" i="20"/>
  <c r="G128" i="19"/>
  <c r="G193" i="19"/>
  <c r="G321" i="20"/>
  <c r="G121" i="19"/>
  <c r="G219" i="19"/>
  <c r="G477" i="19"/>
  <c r="G147" i="19"/>
  <c r="G346" i="19"/>
  <c r="G333" i="19"/>
  <c r="G371" i="19"/>
  <c r="G189" i="19"/>
  <c r="G161" i="19"/>
  <c r="G174" i="19"/>
  <c r="G432" i="19"/>
  <c r="G139" i="20"/>
  <c r="G318" i="17" s="1"/>
  <c r="G502" i="19"/>
  <c r="G268" i="20"/>
  <c r="G474" i="20"/>
  <c r="G588" i="20"/>
  <c r="G448" i="19"/>
  <c r="G564" i="19"/>
  <c r="G237" i="20"/>
  <c r="G412" i="17" s="1"/>
  <c r="G377" i="20"/>
  <c r="G538" i="20"/>
  <c r="G513" i="19"/>
  <c r="G85" i="20"/>
  <c r="G264" i="17" s="1"/>
  <c r="G167" i="19"/>
  <c r="G232" i="19"/>
  <c r="G296" i="19"/>
  <c r="G360" i="19"/>
  <c r="G425" i="19"/>
  <c r="G490" i="19"/>
  <c r="G537" i="19"/>
  <c r="G569" i="19"/>
  <c r="G184" i="20"/>
  <c r="G361" i="17" s="1"/>
  <c r="G503" i="19"/>
  <c r="G590" i="19"/>
  <c r="G146" i="20"/>
  <c r="G325" i="17" s="1"/>
  <c r="G211" i="20"/>
  <c r="G306" i="20"/>
  <c r="G374" i="20"/>
  <c r="G465" i="20"/>
  <c r="G688" i="20"/>
  <c r="G737" i="20"/>
  <c r="G623" i="19"/>
  <c r="G84" i="20"/>
  <c r="G263" i="17" s="1"/>
  <c r="G165" i="20"/>
  <c r="G344" i="17" s="1"/>
  <c r="G229" i="20"/>
  <c r="G404" i="17" s="1"/>
  <c r="G327" i="20"/>
  <c r="G397" i="20"/>
  <c r="G483" i="20"/>
  <c r="G579" i="20"/>
  <c r="G707" i="20"/>
  <c r="G746" i="20"/>
  <c r="G610" i="19"/>
  <c r="G101" i="20"/>
  <c r="G280" i="17" s="1"/>
  <c r="G158" i="20"/>
  <c r="G337" i="17" s="1"/>
  <c r="G223" i="20"/>
  <c r="G398" i="17" s="1"/>
  <c r="G329" i="20"/>
  <c r="G399" i="20"/>
  <c r="G477" i="20"/>
  <c r="G566" i="20"/>
  <c r="G697" i="20"/>
  <c r="G739" i="20"/>
  <c r="G216" i="20"/>
  <c r="G391" i="17" s="1"/>
  <c r="G319" i="20"/>
  <c r="G392" i="20"/>
  <c r="G470" i="20"/>
  <c r="G685" i="20"/>
  <c r="G584" i="19"/>
  <c r="G185" i="20"/>
  <c r="G265" i="20"/>
  <c r="G348" i="20"/>
  <c r="G424" i="20"/>
  <c r="G515" i="20"/>
  <c r="G583" i="20"/>
  <c r="G709" i="20"/>
  <c r="G105" i="19"/>
  <c r="G522" i="19"/>
  <c r="G386" i="20"/>
  <c r="G460" i="19"/>
  <c r="G275" i="19"/>
  <c r="G585" i="19"/>
  <c r="G204" i="19"/>
  <c r="G94" i="19"/>
  <c r="G390" i="19"/>
  <c r="G101" i="19"/>
  <c r="G254" i="19"/>
  <c r="G508" i="19"/>
  <c r="G231" i="19"/>
  <c r="G69" i="19"/>
  <c r="G694" i="20"/>
  <c r="G539" i="19"/>
  <c r="G276" i="20"/>
  <c r="G528" i="20"/>
  <c r="G659" i="20"/>
  <c r="G456" i="19"/>
  <c r="G624" i="19"/>
  <c r="G293" i="20"/>
  <c r="G390" i="20"/>
  <c r="G618" i="19"/>
  <c r="G91" i="20"/>
  <c r="G270" i="17" s="1"/>
  <c r="G175" i="19"/>
  <c r="G240" i="19"/>
  <c r="G304" i="19"/>
  <c r="G369" i="19"/>
  <c r="G433" i="19"/>
  <c r="G498" i="19"/>
  <c r="G541" i="19"/>
  <c r="G573" i="19"/>
  <c r="G192" i="20"/>
  <c r="G369" i="17" s="1"/>
  <c r="G160" i="19"/>
  <c r="G398" i="19"/>
  <c r="G315" i="20"/>
  <c r="G603" i="19"/>
  <c r="G545" i="19"/>
  <c r="G162" i="20"/>
  <c r="G341" i="17" s="1"/>
  <c r="G481" i="20"/>
  <c r="G604" i="19"/>
  <c r="G344" i="20"/>
  <c r="G715" i="20"/>
  <c r="G175" i="20"/>
  <c r="G513" i="20"/>
  <c r="G252" i="20"/>
  <c r="G574" i="20"/>
  <c r="G201" i="20"/>
  <c r="G377" i="17" s="1"/>
  <c r="G523" i="20"/>
  <c r="G111" i="17" s="1"/>
  <c r="G732" i="20"/>
  <c r="G108" i="20"/>
  <c r="G287" i="17" s="1"/>
  <c r="G131" i="20"/>
  <c r="G310" i="17" s="1"/>
  <c r="G612" i="19"/>
  <c r="G463" i="20"/>
  <c r="G534" i="19"/>
  <c r="G108" i="19"/>
  <c r="G536" i="20"/>
  <c r="G100" i="20"/>
  <c r="G279" i="17" s="1"/>
  <c r="G634" i="19"/>
  <c r="G219" i="20"/>
  <c r="G394" i="17" s="1"/>
  <c r="G570" i="20"/>
  <c r="G99" i="20"/>
  <c r="G278" i="17" s="1"/>
  <c r="G405" i="20"/>
  <c r="G750" i="20"/>
  <c r="G251" i="20"/>
  <c r="G573" i="20"/>
  <c r="G330" i="20"/>
  <c r="G698" i="20"/>
  <c r="G273" i="20"/>
  <c r="G533" i="20"/>
  <c r="G752" i="20"/>
  <c r="G364" i="20"/>
  <c r="G76" i="19"/>
  <c r="G741" i="20"/>
  <c r="G478" i="20"/>
  <c r="G154" i="20"/>
  <c r="G333" i="17" s="1"/>
  <c r="G485" i="20"/>
  <c r="G717" i="20"/>
  <c r="G394" i="20"/>
  <c r="G262" i="19"/>
  <c r="G318" i="19"/>
  <c r="G183" i="19"/>
  <c r="G200" i="20"/>
  <c r="G376" i="17" s="1"/>
  <c r="G227" i="20"/>
  <c r="G402" i="17" s="1"/>
  <c r="G577" i="20"/>
  <c r="G106" i="20"/>
  <c r="G285" i="17" s="1"/>
  <c r="G413" i="20"/>
  <c r="G754" i="20"/>
  <c r="G263" i="20"/>
  <c r="G581" i="20"/>
  <c r="G338" i="20"/>
  <c r="G632" i="19"/>
  <c r="G296" i="20"/>
  <c r="G756" i="20"/>
  <c r="G84" i="19"/>
  <c r="G407" i="20"/>
  <c r="G432" i="20"/>
  <c r="G335" i="20"/>
  <c r="G567" i="20"/>
  <c r="G500" i="19"/>
  <c r="G554" i="19"/>
  <c r="G480" i="19"/>
  <c r="G248" i="19"/>
  <c r="G511" i="19"/>
  <c r="G314" i="20"/>
  <c r="G701" i="20"/>
  <c r="G173" i="20"/>
  <c r="G511" i="20"/>
  <c r="G602" i="19"/>
  <c r="G337" i="20"/>
  <c r="G704" i="20"/>
  <c r="G400" i="20"/>
  <c r="G80" i="17"/>
  <c r="G356" i="20"/>
  <c r="G591" i="20"/>
  <c r="G377" i="19"/>
  <c r="G587" i="20"/>
  <c r="G473" i="20"/>
  <c r="G224" i="20"/>
  <c r="G399" i="17" s="1"/>
  <c r="G283" i="19"/>
  <c r="G239" i="19"/>
  <c r="G141" i="20"/>
  <c r="G320" i="17" s="1"/>
  <c r="G312" i="19"/>
  <c r="G519" i="19"/>
  <c r="G706" i="20"/>
  <c r="G181" i="20"/>
  <c r="G519" i="20"/>
  <c r="G594" i="19"/>
  <c r="G346" i="20"/>
  <c r="G708" i="20"/>
  <c r="G408" i="20"/>
  <c r="G80" i="20"/>
  <c r="G259" i="17" s="1"/>
  <c r="G623" i="20"/>
  <c r="G301" i="20"/>
  <c r="G387" i="20"/>
  <c r="G249" i="20"/>
  <c r="G743" i="20"/>
  <c r="G662" i="20"/>
  <c r="G711" i="20"/>
  <c r="G193" i="20"/>
  <c r="G370" i="17" s="1"/>
  <c r="G212" i="19"/>
  <c r="G702" i="20"/>
  <c r="G398" i="20"/>
  <c r="G441" i="19"/>
  <c r="G75" i="20"/>
  <c r="G254" i="17" s="1"/>
  <c r="G395" i="20"/>
  <c r="G745" i="20"/>
  <c r="G261" i="20"/>
  <c r="G619" i="20"/>
  <c r="G114" i="20"/>
  <c r="G293" i="17" s="1"/>
  <c r="G415" i="20"/>
  <c r="G747" i="20"/>
  <c r="G138" i="20"/>
  <c r="G317" i="17" s="1"/>
  <c r="G440" i="20"/>
  <c r="G713" i="20"/>
  <c r="G116" i="19"/>
  <c r="G543" i="19"/>
  <c r="G506" i="19"/>
  <c r="G167" i="20"/>
  <c r="G346" i="17" s="1"/>
  <c r="G78" i="17"/>
  <c r="J1102" i="1"/>
  <c r="J1079" i="1"/>
  <c r="J1071" i="1"/>
  <c r="J990" i="1"/>
  <c r="J857" i="1"/>
  <c r="J916" i="1"/>
  <c r="J848" i="1"/>
  <c r="J873" i="1"/>
  <c r="J825" i="1"/>
  <c r="J779" i="1"/>
  <c r="J750" i="1"/>
  <c r="J742" i="1"/>
  <c r="J723" i="1"/>
  <c r="J644" i="1"/>
  <c r="J600" i="1"/>
  <c r="J571" i="1"/>
  <c r="J562" i="1"/>
  <c r="J554" i="1"/>
  <c r="J542" i="1"/>
  <c r="J187" i="1"/>
  <c r="J174" i="1"/>
  <c r="J166" i="1"/>
  <c r="J158" i="1"/>
  <c r="J150" i="1"/>
  <c r="J142" i="1"/>
  <c r="J134" i="1"/>
  <c r="J126" i="1"/>
  <c r="J117" i="1"/>
  <c r="J109"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34" i="20"/>
  <c r="J334" i="20" s="1"/>
  <c r="I266" i="19"/>
  <c r="J266" i="19" s="1"/>
  <c r="L266" i="19" s="1"/>
  <c r="I292" i="19"/>
  <c r="J292" i="19" s="1"/>
  <c r="L292" i="19" s="1"/>
  <c r="I361" i="20"/>
  <c r="J361" i="20" s="1"/>
  <c r="I392" i="20"/>
  <c r="J392" i="20" s="1"/>
  <c r="I318" i="19"/>
  <c r="J318" i="19" s="1"/>
  <c r="L318" i="19" s="1"/>
  <c r="I440" i="20"/>
  <c r="J440" i="20" s="1"/>
  <c r="I359" i="19"/>
  <c r="J359" i="19" s="1"/>
  <c r="L359" i="19" s="1"/>
  <c r="I580" i="20"/>
  <c r="J580" i="20" s="1"/>
  <c r="I465" i="19"/>
  <c r="J465" i="19" s="1"/>
  <c r="I620" i="20"/>
  <c r="J620" i="20" s="1"/>
  <c r="I481" i="19"/>
  <c r="J481" i="19" s="1"/>
  <c r="I655" i="20"/>
  <c r="J655" i="20" s="1"/>
  <c r="I493" i="19"/>
  <c r="J493" i="19" s="1"/>
  <c r="I700" i="20"/>
  <c r="J700" i="20" s="1"/>
  <c r="I517" i="19"/>
  <c r="J517" i="19" s="1"/>
  <c r="I173" i="20"/>
  <c r="J173" i="20" s="1"/>
  <c r="I139" i="19"/>
  <c r="J139" i="19" s="1"/>
  <c r="L139" i="19" s="1"/>
  <c r="I189" i="20"/>
  <c r="J189" i="20" s="1"/>
  <c r="I155" i="19"/>
  <c r="J155" i="19" s="1"/>
  <c r="L155" i="19" s="1"/>
  <c r="I205" i="20"/>
  <c r="J205" i="20" s="1"/>
  <c r="I171" i="19"/>
  <c r="J171" i="19" s="1"/>
  <c r="L171" i="19" s="1"/>
  <c r="I221" i="20"/>
  <c r="J221" i="20" s="1"/>
  <c r="I187" i="19"/>
  <c r="J187" i="19" s="1"/>
  <c r="L187" i="19" s="1"/>
  <c r="I120" i="20"/>
  <c r="J120" i="20" s="1"/>
  <c r="I87" i="19"/>
  <c r="J87" i="19" s="1"/>
  <c r="L87" i="19" s="1"/>
  <c r="I536" i="20"/>
  <c r="J536" i="20" s="1"/>
  <c r="I424" i="19"/>
  <c r="J424" i="19" s="1"/>
  <c r="L424" i="19" s="1"/>
  <c r="I551" i="20"/>
  <c r="J551" i="20" s="1"/>
  <c r="I438" i="19"/>
  <c r="J438" i="19" s="1"/>
  <c r="L438" i="19" s="1"/>
  <c r="I211" i="19"/>
  <c r="J211" i="19" s="1"/>
  <c r="L211" i="19" s="1"/>
  <c r="I261" i="20"/>
  <c r="J261" i="20" s="1"/>
  <c r="I300" i="20"/>
  <c r="J300" i="20" s="1"/>
  <c r="I235" i="19"/>
  <c r="J235" i="19" s="1"/>
  <c r="L235" i="19" s="1"/>
  <c r="I329" i="20"/>
  <c r="J329" i="20" s="1"/>
  <c r="I261" i="19"/>
  <c r="J261" i="19" s="1"/>
  <c r="L261" i="19" s="1"/>
  <c r="I413" i="20"/>
  <c r="J413" i="20" s="1"/>
  <c r="I339" i="19"/>
  <c r="J339" i="19" s="1"/>
  <c r="L339" i="19" s="1"/>
  <c r="I583" i="20"/>
  <c r="J583" i="20" s="1"/>
  <c r="I468" i="19"/>
  <c r="J468" i="19" s="1"/>
  <c r="I682" i="20"/>
  <c r="J682" i="20" s="1"/>
  <c r="I504" i="19"/>
  <c r="J504" i="19" s="1"/>
  <c r="I57" i="20"/>
  <c r="J57" i="20" s="1"/>
  <c r="I31" i="19"/>
  <c r="J31" i="19" s="1"/>
  <c r="L31" i="19" s="1"/>
  <c r="I61" i="20"/>
  <c r="J61" i="20" s="1"/>
  <c r="I35" i="19"/>
  <c r="J35" i="19" s="1"/>
  <c r="L35" i="19" s="1"/>
  <c r="I65" i="20"/>
  <c r="J65" i="20" s="1"/>
  <c r="I39" i="19"/>
  <c r="J39" i="19" s="1"/>
  <c r="L39" i="19" s="1"/>
  <c r="I139" i="20"/>
  <c r="J139" i="20" s="1"/>
  <c r="I106" i="19"/>
  <c r="J106" i="19" s="1"/>
  <c r="L106" i="19" s="1"/>
  <c r="I112" i="19"/>
  <c r="J112" i="19" s="1"/>
  <c r="L112" i="19" s="1"/>
  <c r="I145" i="20"/>
  <c r="J145" i="20" s="1"/>
  <c r="I120" i="19"/>
  <c r="J120" i="19" s="1"/>
  <c r="L120" i="19" s="1"/>
  <c r="I153" i="20"/>
  <c r="J153" i="20" s="1"/>
  <c r="I128" i="19"/>
  <c r="J128" i="19" s="1"/>
  <c r="L128" i="19" s="1"/>
  <c r="I161" i="20"/>
  <c r="J161" i="20" s="1"/>
  <c r="I134" i="19"/>
  <c r="J134" i="19" s="1"/>
  <c r="L134" i="19" s="1"/>
  <c r="I168" i="20"/>
  <c r="J168" i="20" s="1"/>
  <c r="I142" i="19"/>
  <c r="J142" i="19" s="1"/>
  <c r="L142" i="19" s="1"/>
  <c r="I176" i="20"/>
  <c r="J176" i="20" s="1"/>
  <c r="I150" i="19"/>
  <c r="J150" i="19" s="1"/>
  <c r="L150" i="19" s="1"/>
  <c r="I184" i="20"/>
  <c r="J184" i="20" s="1"/>
  <c r="I158" i="19"/>
  <c r="J158" i="19" s="1"/>
  <c r="L158" i="19" s="1"/>
  <c r="I192" i="20"/>
  <c r="J192" i="20" s="1"/>
  <c r="I200" i="20"/>
  <c r="J200" i="20" s="1"/>
  <c r="I166" i="19"/>
  <c r="J166" i="19" s="1"/>
  <c r="L166" i="19" s="1"/>
  <c r="I174" i="19"/>
  <c r="J174" i="19" s="1"/>
  <c r="L174" i="19" s="1"/>
  <c r="I208" i="20"/>
  <c r="J208" i="20" s="1"/>
  <c r="I182" i="19"/>
  <c r="J182" i="19" s="1"/>
  <c r="L182" i="19" s="1"/>
  <c r="I216" i="20"/>
  <c r="J216" i="20" s="1"/>
  <c r="I224" i="20"/>
  <c r="J224" i="20" s="1"/>
  <c r="I190" i="19"/>
  <c r="J190" i="19" s="1"/>
  <c r="L190" i="19" s="1"/>
  <c r="I80" i="20"/>
  <c r="J80" i="20" s="1"/>
  <c r="I48" i="19"/>
  <c r="J48" i="19" s="1"/>
  <c r="L48" i="19" s="1"/>
  <c r="I88" i="20"/>
  <c r="J88" i="20" s="1"/>
  <c r="I56" i="19"/>
  <c r="J56" i="19" s="1"/>
  <c r="L56" i="19" s="1"/>
  <c r="I92" i="20"/>
  <c r="J92" i="20" s="1"/>
  <c r="I60" i="19"/>
  <c r="J60" i="19" s="1"/>
  <c r="L60" i="19" s="1"/>
  <c r="I99" i="20"/>
  <c r="J99" i="20" s="1"/>
  <c r="I66" i="19"/>
  <c r="J66" i="19" s="1"/>
  <c r="L66" i="19" s="1"/>
  <c r="I123" i="20"/>
  <c r="J123" i="20" s="1"/>
  <c r="I90" i="19"/>
  <c r="J90" i="19" s="1"/>
  <c r="L90" i="19" s="1"/>
  <c r="I129" i="20"/>
  <c r="J129" i="20" s="1"/>
  <c r="I96" i="19"/>
  <c r="J96" i="19" s="1"/>
  <c r="L96" i="19" s="1"/>
  <c r="I367" i="19"/>
  <c r="J367" i="19" s="1"/>
  <c r="L367" i="19" s="1"/>
  <c r="I457" i="20"/>
  <c r="J457" i="20" s="1"/>
  <c r="I375" i="19"/>
  <c r="J375" i="19" s="1"/>
  <c r="L375" i="19" s="1"/>
  <c r="I465" i="20"/>
  <c r="J465" i="20" s="1"/>
  <c r="I479" i="20"/>
  <c r="J479" i="20" s="1"/>
  <c r="I389" i="19"/>
  <c r="J389" i="19" s="1"/>
  <c r="L389" i="19" s="1"/>
  <c r="I507" i="20"/>
  <c r="J507" i="20" s="1"/>
  <c r="I397" i="19"/>
  <c r="J397" i="19" s="1"/>
  <c r="L397" i="19" s="1"/>
  <c r="I515" i="20"/>
  <c r="J515" i="20" s="1"/>
  <c r="I405" i="19"/>
  <c r="J405" i="19" s="1"/>
  <c r="L405" i="19" s="1"/>
  <c r="I523" i="20"/>
  <c r="J523" i="20" s="1"/>
  <c r="I413" i="19"/>
  <c r="J413" i="19" s="1"/>
  <c r="L413" i="19" s="1"/>
  <c r="I419" i="19"/>
  <c r="J419" i="19" s="1"/>
  <c r="L419" i="19" s="1"/>
  <c r="I531" i="20"/>
  <c r="J531" i="20" s="1"/>
  <c r="I427" i="19"/>
  <c r="J427" i="19" s="1"/>
  <c r="L427" i="19" s="1"/>
  <c r="I539" i="20"/>
  <c r="J539" i="20" s="1"/>
  <c r="I545" i="20"/>
  <c r="J545" i="20" s="1"/>
  <c r="I433" i="19"/>
  <c r="J433" i="19" s="1"/>
  <c r="L433" i="19" s="1"/>
  <c r="I555" i="20"/>
  <c r="J555" i="20" s="1"/>
  <c r="I441" i="19"/>
  <c r="J441" i="19" s="1"/>
  <c r="L441" i="19" s="1"/>
  <c r="I322" i="20"/>
  <c r="J322" i="20" s="1"/>
  <c r="I257" i="19"/>
  <c r="J257" i="19" s="1"/>
  <c r="L257" i="19" s="1"/>
  <c r="I342" i="20"/>
  <c r="J342" i="20" s="1"/>
  <c r="I273" i="19"/>
  <c r="J273" i="19" s="1"/>
  <c r="L273" i="19" s="1"/>
  <c r="I346" i="20"/>
  <c r="J346" i="20" s="1"/>
  <c r="I277" i="19"/>
  <c r="J277" i="19" s="1"/>
  <c r="L277" i="19" s="1"/>
  <c r="I350" i="20"/>
  <c r="J350" i="20" s="1"/>
  <c r="I281" i="19"/>
  <c r="J281" i="19" s="1"/>
  <c r="L281" i="19" s="1"/>
  <c r="I354" i="20"/>
  <c r="J354" i="20" s="1"/>
  <c r="I285" i="19"/>
  <c r="J285" i="19" s="1"/>
  <c r="L285" i="19" s="1"/>
  <c r="I358" i="20"/>
  <c r="J358" i="20" s="1"/>
  <c r="I289" i="19"/>
  <c r="J289" i="19" s="1"/>
  <c r="L289" i="19" s="1"/>
  <c r="I362" i="20"/>
  <c r="J362" i="20" s="1"/>
  <c r="I293" i="19"/>
  <c r="J293" i="19" s="1"/>
  <c r="L293" i="19" s="1"/>
  <c r="I366" i="20"/>
  <c r="J366" i="20" s="1"/>
  <c r="I297" i="19"/>
  <c r="J297" i="19" s="1"/>
  <c r="L297" i="19" s="1"/>
  <c r="I370" i="20"/>
  <c r="J370" i="20" s="1"/>
  <c r="I301" i="19"/>
  <c r="J301" i="19" s="1"/>
  <c r="L301" i="19" s="1"/>
  <c r="I374" i="20"/>
  <c r="J374" i="20" s="1"/>
  <c r="I305" i="19"/>
  <c r="J305" i="19" s="1"/>
  <c r="L305" i="19" s="1"/>
  <c r="I379" i="20"/>
  <c r="J379" i="20" s="1"/>
  <c r="I310" i="19"/>
  <c r="J310" i="19" s="1"/>
  <c r="L310" i="19" s="1"/>
  <c r="I389" i="20"/>
  <c r="J389" i="20" s="1"/>
  <c r="I315" i="19"/>
  <c r="J315" i="19" s="1"/>
  <c r="L315" i="19" s="1"/>
  <c r="I393" i="20"/>
  <c r="J393" i="20" s="1"/>
  <c r="I319" i="19"/>
  <c r="J319" i="19" s="1"/>
  <c r="L319" i="19" s="1"/>
  <c r="I400" i="20"/>
  <c r="J400" i="20" s="1"/>
  <c r="I326" i="19"/>
  <c r="J326" i="19" s="1"/>
  <c r="L326" i="19" s="1"/>
  <c r="I407" i="20"/>
  <c r="J407" i="20" s="1"/>
  <c r="I333" i="19"/>
  <c r="J333" i="19" s="1"/>
  <c r="L333" i="19" s="1"/>
  <c r="I340" i="19"/>
  <c r="J340" i="19" s="1"/>
  <c r="L340" i="19" s="1"/>
  <c r="I414" i="20"/>
  <c r="J414" i="20" s="1"/>
  <c r="I426" i="20"/>
  <c r="J426" i="20" s="1"/>
  <c r="I345" i="19"/>
  <c r="J345" i="19" s="1"/>
  <c r="L345" i="19" s="1"/>
  <c r="I434" i="20"/>
  <c r="J434" i="20" s="1"/>
  <c r="I353" i="19"/>
  <c r="J353" i="19" s="1"/>
  <c r="L353" i="19" s="1"/>
  <c r="I441" i="20"/>
  <c r="J441" i="20" s="1"/>
  <c r="I360" i="19"/>
  <c r="J360" i="19" s="1"/>
  <c r="L360" i="19" s="1"/>
  <c r="I570" i="20"/>
  <c r="J570" i="20" s="1"/>
  <c r="I455" i="19"/>
  <c r="J455" i="19" s="1"/>
  <c r="I578" i="20"/>
  <c r="J578" i="20" s="1"/>
  <c r="I463" i="19"/>
  <c r="J463" i="19" s="1"/>
  <c r="I586" i="20"/>
  <c r="J586" i="20" s="1"/>
  <c r="I471" i="19"/>
  <c r="J471" i="19" s="1"/>
  <c r="I594" i="20"/>
  <c r="J594" i="20" s="1"/>
  <c r="I479" i="19"/>
  <c r="J479" i="19" s="1"/>
  <c r="I626" i="20"/>
  <c r="J626" i="20" s="1"/>
  <c r="I487" i="19"/>
  <c r="J487" i="19" s="1"/>
  <c r="I661" i="20"/>
  <c r="J661" i="20" s="1"/>
  <c r="I499" i="19"/>
  <c r="J499" i="19" s="1"/>
  <c r="I685" i="20"/>
  <c r="J685" i="20" s="1"/>
  <c r="I507" i="19"/>
  <c r="J507" i="19" s="1"/>
  <c r="I698" i="20"/>
  <c r="J698" i="20" s="1"/>
  <c r="I515" i="19"/>
  <c r="J515" i="19" s="1"/>
  <c r="I56" i="20"/>
  <c r="J56" i="20" s="1"/>
  <c r="I30" i="19"/>
  <c r="J30" i="19" s="1"/>
  <c r="L30" i="19" s="1"/>
  <c r="I122" i="19"/>
  <c r="J122" i="19" s="1"/>
  <c r="L122" i="19" s="1"/>
  <c r="I155" i="20"/>
  <c r="J155" i="20" s="1"/>
  <c r="I82" i="20"/>
  <c r="J82" i="20" s="1"/>
  <c r="I50" i="19"/>
  <c r="J50" i="19" s="1"/>
  <c r="L50" i="19" s="1"/>
  <c r="I101" i="20"/>
  <c r="J101" i="20" s="1"/>
  <c r="I68" i="19"/>
  <c r="J68" i="19" s="1"/>
  <c r="L68" i="19" s="1"/>
  <c r="I459" i="20"/>
  <c r="J459" i="20" s="1"/>
  <c r="I369" i="19"/>
  <c r="J369" i="19" s="1"/>
  <c r="L369" i="19" s="1"/>
  <c r="I435" i="19"/>
  <c r="J435" i="19" s="1"/>
  <c r="L435" i="19" s="1"/>
  <c r="I547" i="20"/>
  <c r="J547" i="20" s="1"/>
  <c r="I280" i="19"/>
  <c r="J280" i="19" s="1"/>
  <c r="L280" i="19" s="1"/>
  <c r="I349" i="20"/>
  <c r="J349" i="20" s="1"/>
  <c r="I304" i="19"/>
  <c r="J304" i="19" s="1"/>
  <c r="L304" i="19" s="1"/>
  <c r="I373" i="20"/>
  <c r="J373" i="20" s="1"/>
  <c r="I412" i="20"/>
  <c r="J412" i="20" s="1"/>
  <c r="I338" i="19"/>
  <c r="J338" i="19" s="1"/>
  <c r="L338" i="19" s="1"/>
  <c r="I150" i="20"/>
  <c r="J150" i="20" s="1"/>
  <c r="I117" i="19"/>
  <c r="J117" i="19" s="1"/>
  <c r="L117" i="19" s="1"/>
  <c r="I114" i="20"/>
  <c r="J114" i="20" s="1"/>
  <c r="I81" i="19"/>
  <c r="J81" i="19" s="1"/>
  <c r="L81" i="19" s="1"/>
  <c r="I470" i="20"/>
  <c r="J470" i="20" s="1"/>
  <c r="I380" i="19"/>
  <c r="J380" i="19" s="1"/>
  <c r="L380" i="19" s="1"/>
  <c r="I253" i="20"/>
  <c r="J253" i="20" s="1"/>
  <c r="I207" i="19"/>
  <c r="J207" i="19" s="1"/>
  <c r="L207" i="19" s="1"/>
  <c r="I231" i="19"/>
  <c r="J231" i="19" s="1"/>
  <c r="L231" i="19" s="1"/>
  <c r="I296" i="20"/>
  <c r="J296" i="20" s="1"/>
  <c r="I399" i="20"/>
  <c r="J399" i="20" s="1"/>
  <c r="I325" i="19"/>
  <c r="J325" i="19" s="1"/>
  <c r="L325" i="19" s="1"/>
  <c r="I575" i="20"/>
  <c r="J575" i="20" s="1"/>
  <c r="I460" i="19"/>
  <c r="J460" i="19" s="1"/>
  <c r="I695" i="20"/>
  <c r="J695" i="20" s="1"/>
  <c r="I512" i="19"/>
  <c r="J512" i="19" s="1"/>
  <c r="I624" i="19"/>
  <c r="J624" i="19" s="1"/>
  <c r="L624" i="19" s="1"/>
  <c r="I631" i="19"/>
  <c r="J631" i="19" s="1"/>
  <c r="L631" i="19" s="1"/>
  <c r="I101" i="19"/>
  <c r="J101" i="19" s="1"/>
  <c r="L101" i="19" s="1"/>
  <c r="I134" i="20"/>
  <c r="J134" i="20" s="1"/>
  <c r="I115" i="19"/>
  <c r="J115" i="19" s="1"/>
  <c r="L115" i="19" s="1"/>
  <c r="I148" i="20"/>
  <c r="J148" i="20" s="1"/>
  <c r="I156" i="20"/>
  <c r="J156" i="20" s="1"/>
  <c r="I123" i="19"/>
  <c r="J123" i="19" s="1"/>
  <c r="L123" i="19" s="1"/>
  <c r="I165" i="20"/>
  <c r="J165" i="20" s="1"/>
  <c r="I131" i="19"/>
  <c r="J131" i="19" s="1"/>
  <c r="L131" i="19" s="1"/>
  <c r="I137" i="19"/>
  <c r="J137" i="19" s="1"/>
  <c r="L137" i="19" s="1"/>
  <c r="I171" i="20"/>
  <c r="J171" i="20" s="1"/>
  <c r="I145" i="19"/>
  <c r="J145" i="19" s="1"/>
  <c r="L145" i="19" s="1"/>
  <c r="I179" i="20"/>
  <c r="J179" i="20" s="1"/>
  <c r="I153" i="19"/>
  <c r="J153" i="19" s="1"/>
  <c r="L153" i="19" s="1"/>
  <c r="I187" i="20"/>
  <c r="J187" i="20" s="1"/>
  <c r="I161" i="19"/>
  <c r="J161" i="19" s="1"/>
  <c r="L161" i="19" s="1"/>
  <c r="I195" i="20"/>
  <c r="J195" i="20" s="1"/>
  <c r="I169" i="19"/>
  <c r="J169" i="19" s="1"/>
  <c r="L169" i="19" s="1"/>
  <c r="I203" i="20"/>
  <c r="J203" i="20" s="1"/>
  <c r="I177" i="19"/>
  <c r="J177" i="19" s="1"/>
  <c r="L177" i="19" s="1"/>
  <c r="I211" i="20"/>
  <c r="J211" i="20" s="1"/>
  <c r="I219" i="20"/>
  <c r="J219" i="20" s="1"/>
  <c r="I185" i="19"/>
  <c r="J185" i="19" s="1"/>
  <c r="L185" i="19" s="1"/>
  <c r="I227" i="20"/>
  <c r="J227" i="20" s="1"/>
  <c r="I193" i="19"/>
  <c r="J193" i="19" s="1"/>
  <c r="L193" i="19" s="1"/>
  <c r="I45" i="19"/>
  <c r="J45" i="19" s="1"/>
  <c r="L45" i="19" s="1"/>
  <c r="I77" i="20"/>
  <c r="J77" i="20" s="1"/>
  <c r="I83" i="20"/>
  <c r="J83" i="20" s="1"/>
  <c r="I51" i="19"/>
  <c r="J51" i="19" s="1"/>
  <c r="L51" i="19" s="1"/>
  <c r="I102" i="20"/>
  <c r="J102" i="20" s="1"/>
  <c r="I69" i="19"/>
  <c r="J69" i="19" s="1"/>
  <c r="L69" i="19" s="1"/>
  <c r="I108" i="20"/>
  <c r="J108" i="20" s="1"/>
  <c r="I75" i="19"/>
  <c r="J75" i="19" s="1"/>
  <c r="L75" i="19" s="1"/>
  <c r="I118" i="20"/>
  <c r="J118" i="20" s="1"/>
  <c r="I85" i="19"/>
  <c r="J85" i="19" s="1"/>
  <c r="L85" i="19" s="1"/>
  <c r="I460" i="20"/>
  <c r="J460" i="20" s="1"/>
  <c r="I370" i="19"/>
  <c r="J370" i="19" s="1"/>
  <c r="L370" i="19" s="1"/>
  <c r="I468" i="20"/>
  <c r="J468" i="20" s="1"/>
  <c r="I378" i="19"/>
  <c r="J378" i="19" s="1"/>
  <c r="L378" i="19" s="1"/>
  <c r="I474" i="20"/>
  <c r="J474" i="20" s="1"/>
  <c r="I384" i="19"/>
  <c r="J384" i="19" s="1"/>
  <c r="L384" i="19" s="1"/>
  <c r="I482" i="20"/>
  <c r="J482" i="20" s="1"/>
  <c r="I392" i="19"/>
  <c r="J392" i="19" s="1"/>
  <c r="L392" i="19" s="1"/>
  <c r="I510" i="20"/>
  <c r="J510" i="20" s="1"/>
  <c r="I400" i="19"/>
  <c r="J400" i="19" s="1"/>
  <c r="L400" i="19" s="1"/>
  <c r="I518" i="20"/>
  <c r="J518" i="20" s="1"/>
  <c r="I408" i="19"/>
  <c r="J408" i="19" s="1"/>
  <c r="L408" i="19" s="1"/>
  <c r="I534" i="20"/>
  <c r="J534" i="20" s="1"/>
  <c r="I422" i="19"/>
  <c r="J422" i="19" s="1"/>
  <c r="L422" i="19" s="1"/>
  <c r="I542" i="20"/>
  <c r="J542" i="20" s="1"/>
  <c r="I430" i="19"/>
  <c r="J430" i="19" s="1"/>
  <c r="L430" i="19" s="1"/>
  <c r="I548" i="20"/>
  <c r="J548" i="20" s="1"/>
  <c r="I436" i="19"/>
  <c r="J436" i="19" s="1"/>
  <c r="L436" i="19" s="1"/>
  <c r="I559" i="20"/>
  <c r="J559" i="20" s="1"/>
  <c r="I444" i="19"/>
  <c r="J444" i="19" s="1"/>
  <c r="L444" i="19" s="1"/>
  <c r="I245" i="20"/>
  <c r="J245" i="20" s="1"/>
  <c r="I200" i="19"/>
  <c r="J200" i="19" s="1"/>
  <c r="L200" i="19" s="1"/>
  <c r="I250" i="20"/>
  <c r="J250" i="20" s="1"/>
  <c r="I204" i="19"/>
  <c r="J204" i="19" s="1"/>
  <c r="L204" i="19" s="1"/>
  <c r="I254" i="20"/>
  <c r="J254" i="20" s="1"/>
  <c r="I208" i="19"/>
  <c r="J208" i="19" s="1"/>
  <c r="L208" i="19" s="1"/>
  <c r="I262" i="20"/>
  <c r="J262" i="20" s="1"/>
  <c r="I212" i="19"/>
  <c r="J212" i="19" s="1"/>
  <c r="L212" i="19" s="1"/>
  <c r="I216" i="19"/>
  <c r="J216" i="19" s="1"/>
  <c r="L216" i="19" s="1"/>
  <c r="I266" i="20"/>
  <c r="J266" i="20" s="1"/>
  <c r="I220" i="19"/>
  <c r="J220" i="19" s="1"/>
  <c r="L220" i="19" s="1"/>
  <c r="I270" i="20"/>
  <c r="J270" i="20" s="1"/>
  <c r="I274" i="20"/>
  <c r="J274" i="20" s="1"/>
  <c r="I224" i="19"/>
  <c r="J224" i="19" s="1"/>
  <c r="L224" i="19" s="1"/>
  <c r="I228" i="19"/>
  <c r="J228" i="19" s="1"/>
  <c r="L228" i="19" s="1"/>
  <c r="I293" i="20"/>
  <c r="J293" i="20" s="1"/>
  <c r="I232" i="19"/>
  <c r="J232" i="19" s="1"/>
  <c r="L232" i="19" s="1"/>
  <c r="I297" i="20"/>
  <c r="J297" i="20" s="1"/>
  <c r="I236" i="19"/>
  <c r="J236" i="19" s="1"/>
  <c r="L236" i="19" s="1"/>
  <c r="I301" i="20"/>
  <c r="J301" i="20" s="1"/>
  <c r="I306" i="20"/>
  <c r="J306" i="20" s="1"/>
  <c r="I241" i="19"/>
  <c r="J241" i="19" s="1"/>
  <c r="L241" i="19" s="1"/>
  <c r="I310" i="20"/>
  <c r="J310" i="20" s="1"/>
  <c r="I245" i="19"/>
  <c r="J245" i="19" s="1"/>
  <c r="L245" i="19" s="1"/>
  <c r="I314" i="20"/>
  <c r="J314" i="20" s="1"/>
  <c r="I249" i="19"/>
  <c r="J249" i="19" s="1"/>
  <c r="L249" i="19" s="1"/>
  <c r="I318" i="20"/>
  <c r="J318" i="20" s="1"/>
  <c r="I253" i="19"/>
  <c r="J253" i="19" s="1"/>
  <c r="L253" i="19" s="1"/>
  <c r="I330" i="20"/>
  <c r="J330" i="20" s="1"/>
  <c r="I262" i="19"/>
  <c r="J262" i="19" s="1"/>
  <c r="L262" i="19" s="1"/>
  <c r="I268" i="19"/>
  <c r="J268" i="19" s="1"/>
  <c r="L268" i="19" s="1"/>
  <c r="I336" i="20"/>
  <c r="J336" i="20" s="1"/>
  <c r="I401" i="20"/>
  <c r="J401" i="20" s="1"/>
  <c r="I327" i="19"/>
  <c r="J327" i="19" s="1"/>
  <c r="L327" i="19" s="1"/>
  <c r="I408" i="20"/>
  <c r="J408" i="20" s="1"/>
  <c r="I334" i="19"/>
  <c r="J334" i="19" s="1"/>
  <c r="L334" i="19" s="1"/>
  <c r="I427" i="20"/>
  <c r="J427" i="20" s="1"/>
  <c r="I346" i="19"/>
  <c r="J346" i="19" s="1"/>
  <c r="L346" i="19" s="1"/>
  <c r="I435" i="20"/>
  <c r="J435" i="20" s="1"/>
  <c r="I354" i="19"/>
  <c r="J354" i="19" s="1"/>
  <c r="L354" i="19" s="1"/>
  <c r="I565" i="20"/>
  <c r="J565" i="20" s="1"/>
  <c r="I450" i="19"/>
  <c r="J450" i="19" s="1"/>
  <c r="I573" i="20"/>
  <c r="J573" i="20" s="1"/>
  <c r="I458" i="19"/>
  <c r="J458" i="19" s="1"/>
  <c r="I466" i="19"/>
  <c r="J466" i="19" s="1"/>
  <c r="I581" i="20"/>
  <c r="J581" i="20" s="1"/>
  <c r="I589" i="20"/>
  <c r="J589" i="20" s="1"/>
  <c r="I474" i="19"/>
  <c r="J474" i="19" s="1"/>
  <c r="I482" i="19"/>
  <c r="J482" i="19" s="1"/>
  <c r="I621" i="20"/>
  <c r="J621" i="20" s="1"/>
  <c r="I629" i="20"/>
  <c r="J629" i="20" s="1"/>
  <c r="I490" i="19"/>
  <c r="J490" i="19" s="1"/>
  <c r="I656" i="20"/>
  <c r="J656" i="20" s="1"/>
  <c r="I494" i="19"/>
  <c r="J494" i="19" s="1"/>
  <c r="I680" i="20"/>
  <c r="J680" i="20" s="1"/>
  <c r="I502" i="19"/>
  <c r="J502" i="19" s="1"/>
  <c r="I688" i="20"/>
  <c r="J688" i="20" s="1"/>
  <c r="I510" i="19"/>
  <c r="J510" i="19" s="1"/>
  <c r="I701" i="20"/>
  <c r="J701" i="20" s="1"/>
  <c r="I518" i="19"/>
  <c r="J518" i="19" s="1"/>
  <c r="I136" i="19"/>
  <c r="J136" i="19" s="1"/>
  <c r="L136" i="19" s="1"/>
  <c r="I170" i="20"/>
  <c r="J170" i="20" s="1"/>
  <c r="I152" i="19"/>
  <c r="J152" i="19" s="1"/>
  <c r="L152" i="19" s="1"/>
  <c r="I186" i="20"/>
  <c r="J186" i="20" s="1"/>
  <c r="I168" i="19"/>
  <c r="J168" i="19" s="1"/>
  <c r="L168" i="19" s="1"/>
  <c r="I202" i="20"/>
  <c r="J202" i="20" s="1"/>
  <c r="I184" i="19"/>
  <c r="J184" i="19" s="1"/>
  <c r="L184" i="19" s="1"/>
  <c r="I218" i="20"/>
  <c r="J218" i="20" s="1"/>
  <c r="I117" i="20"/>
  <c r="J117" i="20" s="1"/>
  <c r="I84" i="19"/>
  <c r="J84" i="19" s="1"/>
  <c r="L84" i="19" s="1"/>
  <c r="I443" i="19"/>
  <c r="J443" i="19" s="1"/>
  <c r="L443" i="19" s="1"/>
  <c r="I558" i="20"/>
  <c r="J558" i="20" s="1"/>
  <c r="I272" i="19"/>
  <c r="J272" i="19" s="1"/>
  <c r="L272" i="19" s="1"/>
  <c r="I341" i="20"/>
  <c r="J341" i="20" s="1"/>
  <c r="I296" i="19"/>
  <c r="J296" i="19" s="1"/>
  <c r="L296" i="19" s="1"/>
  <c r="I365" i="20"/>
  <c r="J365" i="20" s="1"/>
  <c r="I332" i="19"/>
  <c r="J332" i="19" s="1"/>
  <c r="L332" i="19" s="1"/>
  <c r="I406" i="20"/>
  <c r="J406" i="20" s="1"/>
  <c r="I147" i="19"/>
  <c r="J147" i="19" s="1"/>
  <c r="L147" i="19" s="1"/>
  <c r="I181" i="20"/>
  <c r="J181" i="20" s="1"/>
  <c r="I197" i="20"/>
  <c r="J197" i="20" s="1"/>
  <c r="I163" i="19"/>
  <c r="J163" i="19" s="1"/>
  <c r="L163" i="19" s="1"/>
  <c r="I179" i="19"/>
  <c r="J179" i="19" s="1"/>
  <c r="L179" i="19" s="1"/>
  <c r="I213" i="20"/>
  <c r="J213" i="20" s="1"/>
  <c r="I229" i="20"/>
  <c r="J229" i="20" s="1"/>
  <c r="I195" i="19"/>
  <c r="J195" i="19" s="1"/>
  <c r="L195" i="19" s="1"/>
  <c r="I77" i="19"/>
  <c r="J77" i="19" s="1"/>
  <c r="L77" i="19" s="1"/>
  <c r="I110" i="20"/>
  <c r="J110" i="20" s="1"/>
  <c r="I484" i="20"/>
  <c r="J484" i="20" s="1"/>
  <c r="I394" i="19"/>
  <c r="J394" i="19" s="1"/>
  <c r="L394" i="19" s="1"/>
  <c r="I520" i="20"/>
  <c r="J520" i="20" s="1"/>
  <c r="I410" i="19"/>
  <c r="J410" i="19" s="1"/>
  <c r="L410" i="19" s="1"/>
  <c r="I269" i="20"/>
  <c r="J269" i="20" s="1"/>
  <c r="I219" i="19"/>
  <c r="J219" i="19" s="1"/>
  <c r="L219" i="19" s="1"/>
  <c r="I244" i="19"/>
  <c r="J244" i="19" s="1"/>
  <c r="L244" i="19" s="1"/>
  <c r="I309" i="20"/>
  <c r="J309" i="20" s="1"/>
  <c r="I567" i="20"/>
  <c r="J567" i="20" s="1"/>
  <c r="I452" i="19"/>
  <c r="J452" i="19" s="1"/>
  <c r="I58" i="20"/>
  <c r="J58" i="20" s="1"/>
  <c r="I32" i="19"/>
  <c r="J32" i="19" s="1"/>
  <c r="L32" i="19" s="1"/>
  <c r="I62" i="20"/>
  <c r="J62" i="20" s="1"/>
  <c r="I36" i="19"/>
  <c r="J36" i="19" s="1"/>
  <c r="L36" i="19" s="1"/>
  <c r="I66" i="20"/>
  <c r="J66" i="20" s="1"/>
  <c r="I40" i="19"/>
  <c r="J40" i="19" s="1"/>
  <c r="L40" i="19" s="1"/>
  <c r="I137" i="20"/>
  <c r="J137" i="20" s="1"/>
  <c r="I104" i="19"/>
  <c r="J104" i="19" s="1"/>
  <c r="L104" i="19" s="1"/>
  <c r="I110" i="19"/>
  <c r="J110" i="19" s="1"/>
  <c r="L110" i="19" s="1"/>
  <c r="I143" i="20"/>
  <c r="J143" i="20" s="1"/>
  <c r="I118" i="19"/>
  <c r="J118" i="19" s="1"/>
  <c r="L118" i="19" s="1"/>
  <c r="I151" i="20"/>
  <c r="J151" i="20" s="1"/>
  <c r="I159" i="20"/>
  <c r="J159" i="20" s="1"/>
  <c r="I126" i="19"/>
  <c r="J126" i="19" s="1"/>
  <c r="L126" i="19" s="1"/>
  <c r="I132" i="19"/>
  <c r="J132" i="19" s="1"/>
  <c r="L132" i="19" s="1"/>
  <c r="I166" i="20"/>
  <c r="J166" i="20" s="1"/>
  <c r="I140" i="19"/>
  <c r="J140" i="19" s="1"/>
  <c r="L140" i="19" s="1"/>
  <c r="I174" i="20"/>
  <c r="J174" i="20" s="1"/>
  <c r="I148" i="19"/>
  <c r="J148" i="19" s="1"/>
  <c r="L148" i="19" s="1"/>
  <c r="I182" i="20"/>
  <c r="J182" i="20" s="1"/>
  <c r="I156" i="19"/>
  <c r="J156" i="19" s="1"/>
  <c r="L156" i="19" s="1"/>
  <c r="I190" i="20"/>
  <c r="J190" i="20" s="1"/>
  <c r="I164" i="19"/>
  <c r="J164" i="19" s="1"/>
  <c r="L164" i="19" s="1"/>
  <c r="I198" i="20"/>
  <c r="J198" i="20" s="1"/>
  <c r="I172" i="19"/>
  <c r="J172" i="19" s="1"/>
  <c r="L172" i="19" s="1"/>
  <c r="I206" i="20"/>
  <c r="J206" i="20" s="1"/>
  <c r="I180" i="19"/>
  <c r="J180" i="19" s="1"/>
  <c r="L180" i="19" s="1"/>
  <c r="I214" i="20"/>
  <c r="J214" i="20" s="1"/>
  <c r="I188" i="19"/>
  <c r="J188" i="19" s="1"/>
  <c r="L188" i="19" s="1"/>
  <c r="I222" i="20"/>
  <c r="J222" i="20" s="1"/>
  <c r="I237" i="20"/>
  <c r="J237" i="20" s="1"/>
  <c r="I196" i="19"/>
  <c r="J196" i="19" s="1"/>
  <c r="L196" i="19" s="1"/>
  <c r="I86" i="20"/>
  <c r="J86" i="20" s="1"/>
  <c r="I54" i="19"/>
  <c r="J54" i="19" s="1"/>
  <c r="L54" i="19" s="1"/>
  <c r="I97" i="20"/>
  <c r="J97" i="20" s="1"/>
  <c r="I64" i="19"/>
  <c r="J64" i="19" s="1"/>
  <c r="L64" i="19" s="1"/>
  <c r="I115" i="20"/>
  <c r="J115" i="20" s="1"/>
  <c r="I82" i="19"/>
  <c r="J82" i="19" s="1"/>
  <c r="L82" i="19" s="1"/>
  <c r="I121" i="20"/>
  <c r="J121" i="20" s="1"/>
  <c r="I88" i="19"/>
  <c r="J88" i="19" s="1"/>
  <c r="L88" i="19" s="1"/>
  <c r="I127" i="20"/>
  <c r="J127" i="20" s="1"/>
  <c r="I94" i="19"/>
  <c r="J94" i="19" s="1"/>
  <c r="L94" i="19" s="1"/>
  <c r="I455" i="20"/>
  <c r="J455" i="20" s="1"/>
  <c r="I365" i="19"/>
  <c r="J365" i="19" s="1"/>
  <c r="L365" i="19" s="1"/>
  <c r="I463" i="20"/>
  <c r="J463" i="20" s="1"/>
  <c r="I373" i="19"/>
  <c r="J373" i="19" s="1"/>
  <c r="L373" i="19" s="1"/>
  <c r="I471" i="20"/>
  <c r="J471" i="20" s="1"/>
  <c r="I381" i="19"/>
  <c r="J381" i="19" s="1"/>
  <c r="L381" i="19" s="1"/>
  <c r="I387" i="19"/>
  <c r="J387" i="19" s="1"/>
  <c r="L387" i="19" s="1"/>
  <c r="I477" i="20"/>
  <c r="J477" i="20" s="1"/>
  <c r="I395" i="19"/>
  <c r="J395" i="19" s="1"/>
  <c r="L395" i="19" s="1"/>
  <c r="I485" i="20"/>
  <c r="J485" i="20" s="1"/>
  <c r="I403" i="19"/>
  <c r="J403" i="19" s="1"/>
  <c r="L403" i="19" s="1"/>
  <c r="I513" i="20"/>
  <c r="J513" i="20" s="1"/>
  <c r="I411" i="19"/>
  <c r="J411" i="19" s="1"/>
  <c r="L411" i="19" s="1"/>
  <c r="I521" i="20"/>
  <c r="J521" i="20" s="1"/>
  <c r="I529" i="20"/>
  <c r="J529" i="20" s="1"/>
  <c r="I417" i="19"/>
  <c r="J417" i="19" s="1"/>
  <c r="L417" i="19" s="1"/>
  <c r="I537" i="20"/>
  <c r="J537" i="20" s="1"/>
  <c r="I425" i="19"/>
  <c r="J425" i="19" s="1"/>
  <c r="L425" i="19" s="1"/>
  <c r="I439" i="19"/>
  <c r="J439" i="19" s="1"/>
  <c r="L439" i="19" s="1"/>
  <c r="I552" i="20"/>
  <c r="J552" i="20" s="1"/>
  <c r="I302" i="20"/>
  <c r="J302" i="20" s="1"/>
  <c r="I237" i="19"/>
  <c r="J237" i="19" s="1"/>
  <c r="L237" i="19" s="1"/>
  <c r="I319" i="20"/>
  <c r="J319" i="20" s="1"/>
  <c r="I254" i="19"/>
  <c r="J254" i="19" s="1"/>
  <c r="L254" i="19" s="1"/>
  <c r="I323" i="20"/>
  <c r="J323" i="20" s="1"/>
  <c r="I258" i="19"/>
  <c r="J258" i="19" s="1"/>
  <c r="L258" i="19" s="1"/>
  <c r="I343" i="20"/>
  <c r="J343" i="20" s="1"/>
  <c r="I274" i="19"/>
  <c r="J274" i="19" s="1"/>
  <c r="L274" i="19" s="1"/>
  <c r="I347" i="20"/>
  <c r="J347" i="20" s="1"/>
  <c r="I278" i="19"/>
  <c r="J278" i="19" s="1"/>
  <c r="L278" i="19" s="1"/>
  <c r="I351" i="20"/>
  <c r="J351" i="20" s="1"/>
  <c r="I282" i="19"/>
  <c r="J282" i="19" s="1"/>
  <c r="L282" i="19" s="1"/>
  <c r="I355" i="20"/>
  <c r="J355" i="20" s="1"/>
  <c r="I286" i="19"/>
  <c r="J286" i="19" s="1"/>
  <c r="L286" i="19" s="1"/>
  <c r="I359" i="20"/>
  <c r="J359" i="20" s="1"/>
  <c r="I290" i="19"/>
  <c r="J290" i="19" s="1"/>
  <c r="L290" i="19" s="1"/>
  <c r="I363" i="20"/>
  <c r="J363" i="20" s="1"/>
  <c r="I294" i="19"/>
  <c r="J294" i="19" s="1"/>
  <c r="L294" i="19" s="1"/>
  <c r="I367" i="20"/>
  <c r="J367" i="20" s="1"/>
  <c r="I298" i="19"/>
  <c r="J298" i="19" s="1"/>
  <c r="L298" i="19" s="1"/>
  <c r="I371" i="20"/>
  <c r="J371" i="20" s="1"/>
  <c r="I302" i="19"/>
  <c r="J302" i="19" s="1"/>
  <c r="L302" i="19" s="1"/>
  <c r="I375" i="20"/>
  <c r="J375" i="20" s="1"/>
  <c r="I306" i="19"/>
  <c r="J306" i="19" s="1"/>
  <c r="L306" i="19" s="1"/>
  <c r="I380" i="20"/>
  <c r="J380" i="20" s="1"/>
  <c r="I311" i="19"/>
  <c r="J311" i="19" s="1"/>
  <c r="L311" i="19" s="1"/>
  <c r="I390" i="20"/>
  <c r="J390" i="20" s="1"/>
  <c r="I316" i="19"/>
  <c r="J316" i="19" s="1"/>
  <c r="L316" i="19" s="1"/>
  <c r="I320" i="19"/>
  <c r="J320" i="19" s="1"/>
  <c r="L320" i="19" s="1"/>
  <c r="I394" i="20"/>
  <c r="J394" i="20" s="1"/>
  <c r="I328" i="19"/>
  <c r="J328" i="19" s="1"/>
  <c r="L328" i="19" s="1"/>
  <c r="I402" i="20"/>
  <c r="J402" i="20" s="1"/>
  <c r="I409" i="20"/>
  <c r="J409" i="20" s="1"/>
  <c r="I335" i="19"/>
  <c r="J335" i="19" s="1"/>
  <c r="L335" i="19" s="1"/>
  <c r="I415" i="20"/>
  <c r="J415" i="20" s="1"/>
  <c r="I341" i="19"/>
  <c r="J341" i="19" s="1"/>
  <c r="L341" i="19" s="1"/>
  <c r="I428" i="20"/>
  <c r="J428" i="20" s="1"/>
  <c r="I347" i="19"/>
  <c r="J347" i="19" s="1"/>
  <c r="L347" i="19" s="1"/>
  <c r="I436" i="20"/>
  <c r="J436" i="20" s="1"/>
  <c r="I355" i="19"/>
  <c r="J355" i="19" s="1"/>
  <c r="L355" i="19" s="1"/>
  <c r="I568" i="20"/>
  <c r="J568" i="20" s="1"/>
  <c r="I453" i="19"/>
  <c r="J453" i="19" s="1"/>
  <c r="I576" i="20"/>
  <c r="J576" i="20" s="1"/>
  <c r="I461" i="19"/>
  <c r="J461" i="19" s="1"/>
  <c r="I584" i="20"/>
  <c r="J584" i="20" s="1"/>
  <c r="I469" i="19"/>
  <c r="J469" i="19" s="1"/>
  <c r="I592" i="20"/>
  <c r="J592" i="20" s="1"/>
  <c r="I477" i="19"/>
  <c r="J477" i="19" s="1"/>
  <c r="I624" i="20"/>
  <c r="J624" i="20" s="1"/>
  <c r="I485" i="19"/>
  <c r="J485" i="19" s="1"/>
  <c r="I659" i="20"/>
  <c r="J659" i="20" s="1"/>
  <c r="I497" i="19"/>
  <c r="J497" i="19" s="1"/>
  <c r="I683" i="20"/>
  <c r="J683" i="20" s="1"/>
  <c r="I505" i="19"/>
  <c r="J505" i="19" s="1"/>
  <c r="I696" i="20"/>
  <c r="J696" i="20" s="1"/>
  <c r="I513" i="19"/>
  <c r="J513" i="19" s="1"/>
  <c r="I64" i="20"/>
  <c r="J64" i="20" s="1"/>
  <c r="I38" i="19"/>
  <c r="J38" i="19" s="1"/>
  <c r="L38" i="19" s="1"/>
  <c r="I114" i="19"/>
  <c r="J114" i="19" s="1"/>
  <c r="L114" i="19" s="1"/>
  <c r="I147" i="20"/>
  <c r="J147" i="20" s="1"/>
  <c r="I130" i="19"/>
  <c r="J130" i="19" s="1"/>
  <c r="L130" i="19" s="1"/>
  <c r="I163" i="20"/>
  <c r="J163" i="20" s="1"/>
  <c r="I176" i="19"/>
  <c r="J176" i="19" s="1"/>
  <c r="L176" i="19" s="1"/>
  <c r="I210" i="20"/>
  <c r="J210" i="20" s="1"/>
  <c r="I107" i="20"/>
  <c r="J107" i="20" s="1"/>
  <c r="I74" i="19"/>
  <c r="J74" i="19" s="1"/>
  <c r="L74" i="19" s="1"/>
  <c r="I467" i="20"/>
  <c r="J467" i="20" s="1"/>
  <c r="I377" i="19"/>
  <c r="J377" i="19" s="1"/>
  <c r="L377" i="19" s="1"/>
  <c r="I541" i="20"/>
  <c r="J541" i="20" s="1"/>
  <c r="I429" i="19"/>
  <c r="J429" i="19" s="1"/>
  <c r="L429" i="19" s="1"/>
  <c r="I256" i="19"/>
  <c r="J256" i="19" s="1"/>
  <c r="L256" i="19" s="1"/>
  <c r="I321" i="20"/>
  <c r="J321" i="20" s="1"/>
  <c r="I353" i="20"/>
  <c r="J353" i="20" s="1"/>
  <c r="I284" i="19"/>
  <c r="J284" i="19" s="1"/>
  <c r="L284" i="19" s="1"/>
  <c r="I432" i="20"/>
  <c r="J432" i="20" s="1"/>
  <c r="I351" i="19"/>
  <c r="J351" i="19" s="1"/>
  <c r="L351" i="19" s="1"/>
  <c r="I85" i="20"/>
  <c r="J85" i="20" s="1"/>
  <c r="I53" i="19"/>
  <c r="J53" i="19" s="1"/>
  <c r="L53" i="19" s="1"/>
  <c r="I104" i="20"/>
  <c r="J104" i="20" s="1"/>
  <c r="I71" i="19"/>
  <c r="J71" i="19" s="1"/>
  <c r="L71" i="19" s="1"/>
  <c r="I462" i="20"/>
  <c r="J462" i="20" s="1"/>
  <c r="I372" i="19"/>
  <c r="J372" i="19" s="1"/>
  <c r="L372" i="19" s="1"/>
  <c r="I476" i="20"/>
  <c r="J476" i="20" s="1"/>
  <c r="I386" i="19"/>
  <c r="J386" i="19" s="1"/>
  <c r="L386" i="19" s="1"/>
  <c r="I512" i="20"/>
  <c r="J512" i="20" s="1"/>
  <c r="I402" i="19"/>
  <c r="J402" i="19" s="1"/>
  <c r="L402" i="19" s="1"/>
  <c r="I199" i="19"/>
  <c r="I244" i="20"/>
  <c r="I273" i="20"/>
  <c r="J273" i="20" s="1"/>
  <c r="I223" i="19"/>
  <c r="J223" i="19" s="1"/>
  <c r="L223" i="19" s="1"/>
  <c r="I248" i="19"/>
  <c r="J248" i="19" s="1"/>
  <c r="L248" i="19" s="1"/>
  <c r="I313" i="20"/>
  <c r="J313" i="20" s="1"/>
  <c r="I433" i="20"/>
  <c r="J433" i="20" s="1"/>
  <c r="I352" i="19"/>
  <c r="J352" i="19" s="1"/>
  <c r="L352" i="19" s="1"/>
  <c r="I607" i="19"/>
  <c r="J607" i="19" s="1"/>
  <c r="L607" i="19" s="1"/>
  <c r="I611" i="19"/>
  <c r="J611" i="19" s="1"/>
  <c r="L611" i="19" s="1"/>
  <c r="I616" i="19"/>
  <c r="J616" i="19" s="1"/>
  <c r="L616" i="19" s="1"/>
  <c r="I26" i="20"/>
  <c r="I28" i="19"/>
  <c r="I113" i="19"/>
  <c r="J113" i="19" s="1"/>
  <c r="L113" i="19" s="1"/>
  <c r="I146" i="20"/>
  <c r="J146" i="20" s="1"/>
  <c r="I154" i="20"/>
  <c r="J154" i="20" s="1"/>
  <c r="I121" i="19"/>
  <c r="J121" i="19" s="1"/>
  <c r="L121" i="19" s="1"/>
  <c r="I129" i="19"/>
  <c r="J129" i="19" s="1"/>
  <c r="L129" i="19" s="1"/>
  <c r="I162" i="20"/>
  <c r="J162" i="20" s="1"/>
  <c r="I169" i="20"/>
  <c r="J169" i="20" s="1"/>
  <c r="I135" i="19"/>
  <c r="J135" i="19" s="1"/>
  <c r="L135" i="19" s="1"/>
  <c r="I177" i="20"/>
  <c r="J177" i="20" s="1"/>
  <c r="I143" i="19"/>
  <c r="J143" i="19" s="1"/>
  <c r="L143" i="19" s="1"/>
  <c r="I185" i="20"/>
  <c r="J185" i="20" s="1"/>
  <c r="I151" i="19"/>
  <c r="J151" i="19" s="1"/>
  <c r="L151" i="19" s="1"/>
  <c r="I193" i="20"/>
  <c r="J193" i="20" s="1"/>
  <c r="I159" i="19"/>
  <c r="J159" i="19" s="1"/>
  <c r="L159" i="19" s="1"/>
  <c r="I201" i="20"/>
  <c r="J201" i="20" s="1"/>
  <c r="I167" i="19"/>
  <c r="J167" i="19" s="1"/>
  <c r="L167" i="19" s="1"/>
  <c r="I209" i="20"/>
  <c r="J209" i="20" s="1"/>
  <c r="I175" i="19"/>
  <c r="J175" i="19" s="1"/>
  <c r="L175" i="19" s="1"/>
  <c r="I217" i="20"/>
  <c r="J217" i="20" s="1"/>
  <c r="I183" i="19"/>
  <c r="J183" i="19" s="1"/>
  <c r="L183" i="19" s="1"/>
  <c r="I225" i="20"/>
  <c r="J225" i="20" s="1"/>
  <c r="I191" i="19"/>
  <c r="J191" i="19" s="1"/>
  <c r="L191" i="19" s="1"/>
  <c r="I81" i="20"/>
  <c r="J81" i="20" s="1"/>
  <c r="I49" i="19"/>
  <c r="J49" i="19" s="1"/>
  <c r="L49" i="19" s="1"/>
  <c r="I94" i="20"/>
  <c r="J94" i="20" s="1"/>
  <c r="I61" i="19"/>
  <c r="J61" i="19" s="1"/>
  <c r="L61" i="19" s="1"/>
  <c r="I100" i="20"/>
  <c r="J100" i="20" s="1"/>
  <c r="I67" i="19"/>
  <c r="J67" i="19" s="1"/>
  <c r="L67" i="19" s="1"/>
  <c r="I106" i="20"/>
  <c r="J106" i="20" s="1"/>
  <c r="I73" i="19"/>
  <c r="J73" i="19" s="1"/>
  <c r="L73" i="19" s="1"/>
  <c r="I116" i="20"/>
  <c r="J116" i="20" s="1"/>
  <c r="I83" i="19"/>
  <c r="J83" i="19" s="1"/>
  <c r="L83" i="19" s="1"/>
  <c r="I97" i="19"/>
  <c r="J97" i="19" s="1"/>
  <c r="L97" i="19" s="1"/>
  <c r="I130" i="20"/>
  <c r="J130" i="20" s="1"/>
  <c r="I458" i="20"/>
  <c r="J458" i="20" s="1"/>
  <c r="I368" i="19"/>
  <c r="J368" i="19" s="1"/>
  <c r="L368" i="19" s="1"/>
  <c r="I466" i="20"/>
  <c r="J466" i="20" s="1"/>
  <c r="I376" i="19"/>
  <c r="J376" i="19" s="1"/>
  <c r="L376" i="19" s="1"/>
  <c r="I480" i="20"/>
  <c r="J480" i="20" s="1"/>
  <c r="I390" i="19"/>
  <c r="J390" i="19" s="1"/>
  <c r="L390" i="19" s="1"/>
  <c r="I508" i="20"/>
  <c r="J508" i="20" s="1"/>
  <c r="I398" i="19"/>
  <c r="J398" i="19" s="1"/>
  <c r="L398" i="19" s="1"/>
  <c r="I516" i="20"/>
  <c r="J516" i="20" s="1"/>
  <c r="I406" i="19"/>
  <c r="J406" i="19" s="1"/>
  <c r="L406" i="19" s="1"/>
  <c r="I524" i="20"/>
  <c r="J524" i="20" s="1"/>
  <c r="I414" i="19"/>
  <c r="J414" i="19" s="1"/>
  <c r="L414" i="19" s="1"/>
  <c r="I532" i="20"/>
  <c r="J532" i="20" s="1"/>
  <c r="I420" i="19"/>
  <c r="J420" i="19" s="1"/>
  <c r="L420" i="19" s="1"/>
  <c r="I540" i="20"/>
  <c r="J540" i="20" s="1"/>
  <c r="I428" i="19"/>
  <c r="J428" i="19" s="1"/>
  <c r="L428" i="19" s="1"/>
  <c r="I546" i="20"/>
  <c r="J546" i="20" s="1"/>
  <c r="I434" i="19"/>
  <c r="J434" i="19" s="1"/>
  <c r="L434" i="19" s="1"/>
  <c r="I556" i="20"/>
  <c r="J556" i="20" s="1"/>
  <c r="I442" i="19"/>
  <c r="J442" i="19" s="1"/>
  <c r="L442" i="19" s="1"/>
  <c r="I246" i="20"/>
  <c r="J246" i="20" s="1"/>
  <c r="I201" i="19"/>
  <c r="J201" i="19" s="1"/>
  <c r="L201" i="19" s="1"/>
  <c r="I251" i="20"/>
  <c r="J251" i="20" s="1"/>
  <c r="I205" i="19"/>
  <c r="J205" i="19" s="1"/>
  <c r="L205" i="19" s="1"/>
  <c r="I255" i="20"/>
  <c r="J255" i="20" s="1"/>
  <c r="I209" i="19"/>
  <c r="J209" i="19" s="1"/>
  <c r="L209" i="19" s="1"/>
  <c r="I263" i="20"/>
  <c r="J263" i="20" s="1"/>
  <c r="I213" i="19"/>
  <c r="J213" i="19" s="1"/>
  <c r="L213" i="19" s="1"/>
  <c r="I267" i="20"/>
  <c r="J267" i="20" s="1"/>
  <c r="I217" i="19"/>
  <c r="J217" i="19" s="1"/>
  <c r="L217" i="19" s="1"/>
  <c r="I271" i="20"/>
  <c r="J271" i="20" s="1"/>
  <c r="I221" i="19"/>
  <c r="J221" i="19" s="1"/>
  <c r="L221" i="19" s="1"/>
  <c r="I275" i="20"/>
  <c r="J275" i="20" s="1"/>
  <c r="I225" i="19"/>
  <c r="J225" i="19" s="1"/>
  <c r="L225" i="19" s="1"/>
  <c r="I294" i="20"/>
  <c r="J294" i="20" s="1"/>
  <c r="I229" i="19"/>
  <c r="J229" i="19" s="1"/>
  <c r="L229" i="19" s="1"/>
  <c r="I298" i="20"/>
  <c r="J298" i="20" s="1"/>
  <c r="I233" i="19"/>
  <c r="J233" i="19" s="1"/>
  <c r="L233" i="19" s="1"/>
  <c r="I307" i="20"/>
  <c r="J307" i="20" s="1"/>
  <c r="I242" i="19"/>
  <c r="J242" i="19" s="1"/>
  <c r="L242" i="19" s="1"/>
  <c r="I311" i="20"/>
  <c r="J311" i="20" s="1"/>
  <c r="I246" i="19"/>
  <c r="J246" i="19" s="1"/>
  <c r="L246" i="19" s="1"/>
  <c r="I315" i="20"/>
  <c r="J315" i="20" s="1"/>
  <c r="I250" i="19"/>
  <c r="J250" i="19" s="1"/>
  <c r="L250" i="19" s="1"/>
  <c r="I331" i="20"/>
  <c r="J331" i="20" s="1"/>
  <c r="I263" i="19"/>
  <c r="J263" i="19" s="1"/>
  <c r="L263" i="19" s="1"/>
  <c r="I337" i="20"/>
  <c r="J337" i="20" s="1"/>
  <c r="I269" i="19"/>
  <c r="J269" i="19" s="1"/>
  <c r="L269" i="19" s="1"/>
  <c r="I376" i="20"/>
  <c r="J376" i="20" s="1"/>
  <c r="I307" i="19"/>
  <c r="J307" i="19" s="1"/>
  <c r="L307" i="19" s="1"/>
  <c r="I395" i="20"/>
  <c r="J395" i="20" s="1"/>
  <c r="I321" i="19"/>
  <c r="J321" i="19" s="1"/>
  <c r="L321" i="19" s="1"/>
  <c r="I403" i="20"/>
  <c r="J403" i="20" s="1"/>
  <c r="I329" i="19"/>
  <c r="J329" i="19" s="1"/>
  <c r="L329" i="19" s="1"/>
  <c r="I336" i="19"/>
  <c r="J336" i="19" s="1"/>
  <c r="L336" i="19" s="1"/>
  <c r="I410" i="20"/>
  <c r="J410" i="20" s="1"/>
  <c r="I429" i="20"/>
  <c r="J429" i="20" s="1"/>
  <c r="I348" i="19"/>
  <c r="J348" i="19" s="1"/>
  <c r="L348" i="19" s="1"/>
  <c r="I437" i="20"/>
  <c r="J437" i="20" s="1"/>
  <c r="I356" i="19"/>
  <c r="J356" i="19" s="1"/>
  <c r="L356" i="19" s="1"/>
  <c r="I563" i="20"/>
  <c r="I448" i="19"/>
  <c r="I571" i="20"/>
  <c r="J571" i="20" s="1"/>
  <c r="I456" i="19"/>
  <c r="J456" i="19" s="1"/>
  <c r="I579" i="20"/>
  <c r="J579" i="20" s="1"/>
  <c r="I464" i="19"/>
  <c r="J464" i="19" s="1"/>
  <c r="I587" i="20"/>
  <c r="J587" i="20" s="1"/>
  <c r="I472" i="19"/>
  <c r="J472" i="19" s="1"/>
  <c r="I619" i="20"/>
  <c r="J619" i="20" s="1"/>
  <c r="I480" i="19"/>
  <c r="J480" i="19" s="1"/>
  <c r="I627" i="20"/>
  <c r="J627" i="20" s="1"/>
  <c r="I488" i="19"/>
  <c r="J488" i="19" s="1"/>
  <c r="I654" i="20"/>
  <c r="J654" i="20" s="1"/>
  <c r="I492" i="19"/>
  <c r="J492" i="19" s="1"/>
  <c r="I662" i="20"/>
  <c r="J662" i="20" s="1"/>
  <c r="I500" i="19"/>
  <c r="J500" i="19" s="1"/>
  <c r="I686" i="20"/>
  <c r="J686" i="20" s="1"/>
  <c r="I508" i="19"/>
  <c r="J508" i="19" s="1"/>
  <c r="I699" i="20"/>
  <c r="J699" i="20" s="1"/>
  <c r="I516" i="19"/>
  <c r="J516" i="19" s="1"/>
  <c r="I133" i="20"/>
  <c r="J133" i="20" s="1"/>
  <c r="I100" i="19"/>
  <c r="J100" i="19" s="1"/>
  <c r="L100" i="19" s="1"/>
  <c r="I76" i="20"/>
  <c r="J76" i="20" s="1"/>
  <c r="I44" i="19"/>
  <c r="J44" i="19" s="1"/>
  <c r="L44" i="19" s="1"/>
  <c r="I363" i="19"/>
  <c r="I453" i="20"/>
  <c r="I383" i="19"/>
  <c r="J383" i="19" s="1"/>
  <c r="L383" i="19" s="1"/>
  <c r="I473" i="20"/>
  <c r="J473" i="20" s="1"/>
  <c r="I399" i="19"/>
  <c r="J399" i="19" s="1"/>
  <c r="L399" i="19" s="1"/>
  <c r="I509" i="20"/>
  <c r="J509" i="20" s="1"/>
  <c r="I415" i="19"/>
  <c r="J415" i="19" s="1"/>
  <c r="L415" i="19" s="1"/>
  <c r="I527" i="20"/>
  <c r="J527" i="20" s="1"/>
  <c r="I276" i="19"/>
  <c r="J276" i="19" s="1"/>
  <c r="L276" i="19" s="1"/>
  <c r="I345" i="20"/>
  <c r="J345" i="20" s="1"/>
  <c r="I300" i="19"/>
  <c r="J300" i="19" s="1"/>
  <c r="L300" i="19" s="1"/>
  <c r="I369" i="20"/>
  <c r="J369" i="20" s="1"/>
  <c r="I324" i="19"/>
  <c r="J324" i="19" s="1"/>
  <c r="L324" i="19" s="1"/>
  <c r="I398" i="20"/>
  <c r="J398" i="20" s="1"/>
  <c r="I564" i="20"/>
  <c r="J564" i="20" s="1"/>
  <c r="I449" i="19"/>
  <c r="J449" i="19" s="1"/>
  <c r="I687" i="20"/>
  <c r="J687" i="20" s="1"/>
  <c r="I509" i="19"/>
  <c r="J509" i="19" s="1"/>
  <c r="I109" i="19"/>
  <c r="J109" i="19" s="1"/>
  <c r="L109" i="19" s="1"/>
  <c r="I142" i="20"/>
  <c r="J142" i="20" s="1"/>
  <c r="I125" i="19"/>
  <c r="J125" i="19" s="1"/>
  <c r="L125" i="19" s="1"/>
  <c r="I158" i="20"/>
  <c r="J158" i="20" s="1"/>
  <c r="I126" i="20"/>
  <c r="J126" i="20" s="1"/>
  <c r="I93" i="19"/>
  <c r="J93" i="19" s="1"/>
  <c r="L93" i="19" s="1"/>
  <c r="I215" i="19"/>
  <c r="J215" i="19" s="1"/>
  <c r="L215" i="19" s="1"/>
  <c r="I265" i="20"/>
  <c r="J265" i="20" s="1"/>
  <c r="I305" i="20"/>
  <c r="J305" i="20" s="1"/>
  <c r="I240" i="19"/>
  <c r="J240" i="19" s="1"/>
  <c r="L240" i="19" s="1"/>
  <c r="I335" i="20"/>
  <c r="J335" i="20" s="1"/>
  <c r="I267" i="19"/>
  <c r="J267" i="19" s="1"/>
  <c r="L267" i="19" s="1"/>
  <c r="I388" i="20"/>
  <c r="J388" i="20" s="1"/>
  <c r="I314" i="19"/>
  <c r="J314" i="19" s="1"/>
  <c r="L314" i="19" s="1"/>
  <c r="I425" i="20"/>
  <c r="J425" i="20" s="1"/>
  <c r="I344" i="19"/>
  <c r="J344" i="19" s="1"/>
  <c r="L344" i="19" s="1"/>
  <c r="I623" i="20"/>
  <c r="J623" i="20" s="1"/>
  <c r="I484" i="19"/>
  <c r="J484" i="19" s="1"/>
  <c r="I658" i="20"/>
  <c r="J658" i="20" s="1"/>
  <c r="I496" i="19"/>
  <c r="J496" i="19" s="1"/>
  <c r="I605" i="19"/>
  <c r="J605" i="19" s="1"/>
  <c r="L605" i="19" s="1"/>
  <c r="I609" i="19"/>
  <c r="J609" i="19" s="1"/>
  <c r="L609" i="19" s="1"/>
  <c r="I613" i="19"/>
  <c r="J613" i="19" s="1"/>
  <c r="L613" i="19" s="1"/>
  <c r="I29" i="19"/>
  <c r="J29" i="19" s="1"/>
  <c r="L29" i="19" s="1"/>
  <c r="I55" i="20"/>
  <c r="J55" i="20" s="1"/>
  <c r="I33" i="19"/>
  <c r="J33" i="19" s="1"/>
  <c r="L33" i="19" s="1"/>
  <c r="I59" i="20"/>
  <c r="J59" i="20" s="1"/>
  <c r="I63" i="20"/>
  <c r="J63" i="20" s="1"/>
  <c r="I37" i="19"/>
  <c r="J37" i="19" s="1"/>
  <c r="L37" i="19" s="1"/>
  <c r="I131" i="20"/>
  <c r="J131" i="20" s="1"/>
  <c r="I98" i="19"/>
  <c r="J98" i="19" s="1"/>
  <c r="L98" i="19" s="1"/>
  <c r="I135" i="20"/>
  <c r="J135" i="20" s="1"/>
  <c r="I102" i="19"/>
  <c r="J102" i="19" s="1"/>
  <c r="L102" i="19" s="1"/>
  <c r="I108" i="19"/>
  <c r="J108" i="19" s="1"/>
  <c r="L108" i="19" s="1"/>
  <c r="I141" i="20"/>
  <c r="J141" i="20" s="1"/>
  <c r="I116" i="19"/>
  <c r="J116" i="19" s="1"/>
  <c r="L116" i="19" s="1"/>
  <c r="I149" i="20"/>
  <c r="J149" i="20" s="1"/>
  <c r="I124" i="19"/>
  <c r="J124" i="19" s="1"/>
  <c r="L124" i="19" s="1"/>
  <c r="I157" i="20"/>
  <c r="J157" i="20" s="1"/>
  <c r="I138" i="19"/>
  <c r="J138" i="19" s="1"/>
  <c r="L138" i="19" s="1"/>
  <c r="I172" i="20"/>
  <c r="J172" i="20" s="1"/>
  <c r="I146" i="19"/>
  <c r="J146" i="19" s="1"/>
  <c r="L146" i="19" s="1"/>
  <c r="I180" i="20"/>
  <c r="J180" i="20" s="1"/>
  <c r="I154" i="19"/>
  <c r="J154" i="19" s="1"/>
  <c r="L154" i="19" s="1"/>
  <c r="I188" i="20"/>
  <c r="J188" i="20" s="1"/>
  <c r="I162" i="19"/>
  <c r="J162" i="19" s="1"/>
  <c r="L162" i="19" s="1"/>
  <c r="I196" i="20"/>
  <c r="J196" i="20" s="1"/>
  <c r="I170" i="19"/>
  <c r="J170" i="19" s="1"/>
  <c r="L170" i="19" s="1"/>
  <c r="I204" i="20"/>
  <c r="J204" i="20" s="1"/>
  <c r="I178" i="19"/>
  <c r="J178" i="19" s="1"/>
  <c r="L178" i="19" s="1"/>
  <c r="I212" i="20"/>
  <c r="J212" i="20" s="1"/>
  <c r="I186" i="19"/>
  <c r="J186" i="19" s="1"/>
  <c r="L186" i="19" s="1"/>
  <c r="I220" i="20"/>
  <c r="J220" i="20" s="1"/>
  <c r="I228" i="20"/>
  <c r="J228" i="20" s="1"/>
  <c r="I194" i="19"/>
  <c r="J194" i="19" s="1"/>
  <c r="L194" i="19" s="1"/>
  <c r="I78" i="20"/>
  <c r="J78" i="20" s="1"/>
  <c r="I46" i="19"/>
  <c r="J46" i="19" s="1"/>
  <c r="L46" i="19" s="1"/>
  <c r="I84" i="20"/>
  <c r="J84" i="20" s="1"/>
  <c r="I52" i="19"/>
  <c r="J52" i="19" s="1"/>
  <c r="L52" i="19" s="1"/>
  <c r="I95" i="20"/>
  <c r="J95" i="20" s="1"/>
  <c r="I62" i="19"/>
  <c r="J62" i="19" s="1"/>
  <c r="L62" i="19" s="1"/>
  <c r="I103" i="20"/>
  <c r="J103" i="20" s="1"/>
  <c r="I70" i="19"/>
  <c r="J70" i="19" s="1"/>
  <c r="L70" i="19" s="1"/>
  <c r="I109" i="20"/>
  <c r="J109" i="20" s="1"/>
  <c r="I76" i="19"/>
  <c r="J76" i="19" s="1"/>
  <c r="L76" i="19" s="1"/>
  <c r="I113" i="20"/>
  <c r="J113" i="20" s="1"/>
  <c r="I80" i="19"/>
  <c r="J80" i="19" s="1"/>
  <c r="L80" i="19" s="1"/>
  <c r="I119" i="20"/>
  <c r="J119" i="20" s="1"/>
  <c r="I86" i="19"/>
  <c r="J86" i="19" s="1"/>
  <c r="L86" i="19" s="1"/>
  <c r="I125" i="20"/>
  <c r="J125" i="20" s="1"/>
  <c r="I92" i="19"/>
  <c r="J92" i="19" s="1"/>
  <c r="L92" i="19" s="1"/>
  <c r="I371" i="19"/>
  <c r="J371" i="19" s="1"/>
  <c r="L371" i="19" s="1"/>
  <c r="I461" i="20"/>
  <c r="J461" i="20" s="1"/>
  <c r="I379" i="19"/>
  <c r="J379" i="19" s="1"/>
  <c r="L379" i="19" s="1"/>
  <c r="I469" i="20"/>
  <c r="J469" i="20" s="1"/>
  <c r="I475" i="20"/>
  <c r="J475" i="20" s="1"/>
  <c r="I385" i="19"/>
  <c r="J385" i="19" s="1"/>
  <c r="L385" i="19" s="1"/>
  <c r="I483" i="20"/>
  <c r="J483" i="20" s="1"/>
  <c r="I393" i="19"/>
  <c r="J393" i="19" s="1"/>
  <c r="L393" i="19" s="1"/>
  <c r="I511" i="20"/>
  <c r="J511" i="20" s="1"/>
  <c r="I401" i="19"/>
  <c r="J401" i="19" s="1"/>
  <c r="L401" i="19" s="1"/>
  <c r="I519" i="20"/>
  <c r="J519" i="20" s="1"/>
  <c r="I409" i="19"/>
  <c r="J409" i="19" s="1"/>
  <c r="L409" i="19" s="1"/>
  <c r="I423" i="19"/>
  <c r="J423" i="19" s="1"/>
  <c r="L423" i="19" s="1"/>
  <c r="I535" i="20"/>
  <c r="J535" i="20" s="1"/>
  <c r="I431" i="19"/>
  <c r="J431" i="19" s="1"/>
  <c r="L431" i="19" s="1"/>
  <c r="I543" i="20"/>
  <c r="J543" i="20" s="1"/>
  <c r="I550" i="20"/>
  <c r="J550" i="20" s="1"/>
  <c r="I437" i="19"/>
  <c r="J437" i="19" s="1"/>
  <c r="L437" i="19" s="1"/>
  <c r="I560" i="20"/>
  <c r="J560" i="20" s="1"/>
  <c r="I445" i="19"/>
  <c r="J445" i="19" s="1"/>
  <c r="L445" i="19" s="1"/>
  <c r="I303" i="20"/>
  <c r="J303" i="20" s="1"/>
  <c r="I238" i="19"/>
  <c r="J238" i="19" s="1"/>
  <c r="L238" i="19" s="1"/>
  <c r="I320" i="20"/>
  <c r="J320" i="20" s="1"/>
  <c r="I255" i="19"/>
  <c r="J255" i="19" s="1"/>
  <c r="L255" i="19" s="1"/>
  <c r="I327" i="20"/>
  <c r="J327" i="20" s="1"/>
  <c r="I259" i="19"/>
  <c r="J259" i="19" s="1"/>
  <c r="L259" i="19" s="1"/>
  <c r="I264" i="19"/>
  <c r="J264" i="19" s="1"/>
  <c r="L264" i="19" s="1"/>
  <c r="I332" i="20"/>
  <c r="J332" i="20" s="1"/>
  <c r="I338" i="20"/>
  <c r="J338" i="20" s="1"/>
  <c r="I270" i="19"/>
  <c r="J270" i="19" s="1"/>
  <c r="L270" i="19" s="1"/>
  <c r="I344" i="20"/>
  <c r="J344" i="20" s="1"/>
  <c r="I275" i="19"/>
  <c r="J275" i="19" s="1"/>
  <c r="L275" i="19" s="1"/>
  <c r="I348" i="20"/>
  <c r="J348" i="20" s="1"/>
  <c r="I279" i="19"/>
  <c r="J279" i="19" s="1"/>
  <c r="L279" i="19" s="1"/>
  <c r="I352" i="20"/>
  <c r="J352" i="20" s="1"/>
  <c r="I283" i="19"/>
  <c r="J283" i="19" s="1"/>
  <c r="L283" i="19" s="1"/>
  <c r="I356" i="20"/>
  <c r="J356" i="20" s="1"/>
  <c r="I287" i="19"/>
  <c r="J287" i="19" s="1"/>
  <c r="L287" i="19" s="1"/>
  <c r="I360" i="20"/>
  <c r="J360" i="20" s="1"/>
  <c r="I291" i="19"/>
  <c r="J291" i="19" s="1"/>
  <c r="L291" i="19" s="1"/>
  <c r="I364" i="20"/>
  <c r="J364" i="20" s="1"/>
  <c r="I295" i="19"/>
  <c r="J295" i="19" s="1"/>
  <c r="L295" i="19" s="1"/>
  <c r="I368" i="20"/>
  <c r="J368" i="20" s="1"/>
  <c r="I299" i="19"/>
  <c r="J299" i="19" s="1"/>
  <c r="L299" i="19" s="1"/>
  <c r="I372" i="20"/>
  <c r="J372" i="20" s="1"/>
  <c r="I303" i="19"/>
  <c r="J303" i="19" s="1"/>
  <c r="L303" i="19" s="1"/>
  <c r="I312" i="19"/>
  <c r="J312" i="19" s="1"/>
  <c r="L312" i="19" s="1"/>
  <c r="I386" i="20"/>
  <c r="J386" i="20" s="1"/>
  <c r="I391" i="20"/>
  <c r="J391" i="20" s="1"/>
  <c r="I317" i="19"/>
  <c r="J317" i="19" s="1"/>
  <c r="L317" i="19" s="1"/>
  <c r="I396" i="20"/>
  <c r="J396" i="20" s="1"/>
  <c r="I322" i="19"/>
  <c r="J322" i="19" s="1"/>
  <c r="L322" i="19" s="1"/>
  <c r="I404" i="20"/>
  <c r="J404" i="20" s="1"/>
  <c r="I330" i="19"/>
  <c r="J330" i="19" s="1"/>
  <c r="L330" i="19" s="1"/>
  <c r="I411" i="20"/>
  <c r="J411" i="20" s="1"/>
  <c r="I337" i="19"/>
  <c r="J337" i="19" s="1"/>
  <c r="L337" i="19" s="1"/>
  <c r="I416" i="20"/>
  <c r="J416" i="20" s="1"/>
  <c r="I342" i="19"/>
  <c r="J342" i="19" s="1"/>
  <c r="L342" i="19" s="1"/>
  <c r="I430" i="20"/>
  <c r="J430" i="20" s="1"/>
  <c r="I349" i="19"/>
  <c r="J349" i="19" s="1"/>
  <c r="L349" i="19" s="1"/>
  <c r="I438" i="20"/>
  <c r="J438" i="20" s="1"/>
  <c r="I357" i="19"/>
  <c r="J357" i="19" s="1"/>
  <c r="L357" i="19" s="1"/>
  <c r="I566" i="20"/>
  <c r="J566" i="20" s="1"/>
  <c r="I451" i="19"/>
  <c r="J451" i="19" s="1"/>
  <c r="I574" i="20"/>
  <c r="J574" i="20" s="1"/>
  <c r="I459" i="19"/>
  <c r="J459" i="19" s="1"/>
  <c r="I582" i="20"/>
  <c r="J582" i="20" s="1"/>
  <c r="I467" i="19"/>
  <c r="J467" i="19" s="1"/>
  <c r="I590" i="20"/>
  <c r="J590" i="20" s="1"/>
  <c r="I475" i="19"/>
  <c r="J475" i="19" s="1"/>
  <c r="I622" i="20"/>
  <c r="J622" i="20" s="1"/>
  <c r="I483" i="19"/>
  <c r="J483" i="19" s="1"/>
  <c r="I630" i="20"/>
  <c r="J630" i="20" s="1"/>
  <c r="I491" i="19"/>
  <c r="J491" i="19" s="1"/>
  <c r="I657" i="20"/>
  <c r="J657" i="20" s="1"/>
  <c r="I495" i="19"/>
  <c r="J495" i="19" s="1"/>
  <c r="I681" i="20"/>
  <c r="J681" i="20" s="1"/>
  <c r="I503" i="19"/>
  <c r="J503" i="19" s="1"/>
  <c r="I694" i="20"/>
  <c r="J694" i="20" s="1"/>
  <c r="I511" i="19"/>
  <c r="J511" i="19" s="1"/>
  <c r="I702" i="20"/>
  <c r="J702" i="20" s="1"/>
  <c r="I519" i="19"/>
  <c r="J519" i="19" s="1"/>
  <c r="I60" i="20"/>
  <c r="J60" i="20" s="1"/>
  <c r="I34" i="19"/>
  <c r="J34" i="19" s="1"/>
  <c r="L34" i="19" s="1"/>
  <c r="I144" i="19"/>
  <c r="J144" i="19" s="1"/>
  <c r="L144" i="19" s="1"/>
  <c r="I178" i="20"/>
  <c r="J178" i="20" s="1"/>
  <c r="I160" i="19"/>
  <c r="J160" i="19" s="1"/>
  <c r="L160" i="19" s="1"/>
  <c r="I194" i="20"/>
  <c r="J194" i="20" s="1"/>
  <c r="I226" i="20"/>
  <c r="J226" i="20" s="1"/>
  <c r="I192" i="19"/>
  <c r="J192" i="19" s="1"/>
  <c r="L192" i="19" s="1"/>
  <c r="I391" i="19"/>
  <c r="J391" i="19" s="1"/>
  <c r="L391" i="19" s="1"/>
  <c r="I481" i="20"/>
  <c r="J481" i="20" s="1"/>
  <c r="I407" i="19"/>
  <c r="J407" i="19" s="1"/>
  <c r="L407" i="19" s="1"/>
  <c r="I517" i="20"/>
  <c r="J517" i="20" s="1"/>
  <c r="I533" i="20"/>
  <c r="J533" i="20" s="1"/>
  <c r="I421" i="19"/>
  <c r="J421" i="19" s="1"/>
  <c r="L421" i="19" s="1"/>
  <c r="I304" i="20"/>
  <c r="J304" i="20" s="1"/>
  <c r="I239" i="19"/>
  <c r="J239" i="19" s="1"/>
  <c r="L239" i="19" s="1"/>
  <c r="I288" i="19"/>
  <c r="J288" i="19" s="1"/>
  <c r="L288" i="19" s="1"/>
  <c r="I357" i="20"/>
  <c r="J357" i="20" s="1"/>
  <c r="I378" i="20"/>
  <c r="J378" i="20" s="1"/>
  <c r="I309" i="19"/>
  <c r="J309" i="19" s="1"/>
  <c r="L309" i="19" s="1"/>
  <c r="I424" i="20"/>
  <c r="J424" i="20" s="1"/>
  <c r="I343" i="19"/>
  <c r="J343" i="19" s="1"/>
  <c r="L343" i="19" s="1"/>
  <c r="I572" i="20"/>
  <c r="J572" i="20" s="1"/>
  <c r="I457" i="19"/>
  <c r="J457" i="19" s="1"/>
  <c r="I588" i="20"/>
  <c r="J588" i="20" s="1"/>
  <c r="I473" i="19"/>
  <c r="J473" i="19" s="1"/>
  <c r="I628" i="20"/>
  <c r="J628" i="20" s="1"/>
  <c r="I489" i="19"/>
  <c r="J489" i="19" s="1"/>
  <c r="I679" i="20"/>
  <c r="J679" i="20" s="1"/>
  <c r="I501" i="19"/>
  <c r="J501" i="19" s="1"/>
  <c r="I136" i="20"/>
  <c r="J136" i="20" s="1"/>
  <c r="I103" i="19"/>
  <c r="J103" i="19" s="1"/>
  <c r="L103" i="19" s="1"/>
  <c r="I96" i="20"/>
  <c r="J96" i="20" s="1"/>
  <c r="I63" i="19"/>
  <c r="J63" i="19" s="1"/>
  <c r="L63" i="19" s="1"/>
  <c r="I454" i="20"/>
  <c r="J454" i="20" s="1"/>
  <c r="I364" i="19"/>
  <c r="J364" i="19" s="1"/>
  <c r="L364" i="19" s="1"/>
  <c r="I528" i="20"/>
  <c r="J528" i="20" s="1"/>
  <c r="I416" i="19"/>
  <c r="J416" i="19" s="1"/>
  <c r="L416" i="19" s="1"/>
  <c r="I249" i="20"/>
  <c r="J249" i="20" s="1"/>
  <c r="I203" i="19"/>
  <c r="J203" i="19" s="1"/>
  <c r="L203" i="19" s="1"/>
  <c r="I227" i="19"/>
  <c r="J227" i="19" s="1"/>
  <c r="L227" i="19" s="1"/>
  <c r="I277" i="20"/>
  <c r="J277" i="20" s="1"/>
  <c r="I317" i="20"/>
  <c r="J317" i="20" s="1"/>
  <c r="I252" i="19"/>
  <c r="J252" i="19" s="1"/>
  <c r="L252" i="19" s="1"/>
  <c r="I591" i="20"/>
  <c r="J591" i="20" s="1"/>
  <c r="I476" i="19"/>
  <c r="J476" i="19" s="1"/>
  <c r="I595" i="19"/>
  <c r="J595" i="19" s="1"/>
  <c r="L595" i="19" s="1"/>
  <c r="I621" i="19"/>
  <c r="J621" i="19" s="1"/>
  <c r="L621" i="19" s="1"/>
  <c r="I627" i="19"/>
  <c r="J627" i="19" s="1"/>
  <c r="L627" i="19" s="1"/>
  <c r="I138" i="20"/>
  <c r="J138" i="20" s="1"/>
  <c r="I105" i="19"/>
  <c r="J105" i="19" s="1"/>
  <c r="L105" i="19" s="1"/>
  <c r="I144" i="20"/>
  <c r="J144" i="20" s="1"/>
  <c r="I111" i="19"/>
  <c r="J111" i="19" s="1"/>
  <c r="L111" i="19" s="1"/>
  <c r="I152" i="20"/>
  <c r="J152" i="20" s="1"/>
  <c r="I119" i="19"/>
  <c r="J119" i="19" s="1"/>
  <c r="L119" i="19" s="1"/>
  <c r="I160" i="20"/>
  <c r="J160" i="20" s="1"/>
  <c r="I127" i="19"/>
  <c r="J127" i="19" s="1"/>
  <c r="L127" i="19" s="1"/>
  <c r="I133" i="19"/>
  <c r="J133" i="19" s="1"/>
  <c r="L133" i="19" s="1"/>
  <c r="I167" i="20"/>
  <c r="J167" i="20" s="1"/>
  <c r="I141" i="19"/>
  <c r="J141" i="19" s="1"/>
  <c r="L141" i="19" s="1"/>
  <c r="I175" i="20"/>
  <c r="J175" i="20" s="1"/>
  <c r="I183" i="20"/>
  <c r="J183" i="20" s="1"/>
  <c r="I149" i="19"/>
  <c r="J149" i="19" s="1"/>
  <c r="L149" i="19" s="1"/>
  <c r="I157" i="19"/>
  <c r="J157" i="19" s="1"/>
  <c r="L157" i="19" s="1"/>
  <c r="I191" i="20"/>
  <c r="J191" i="20" s="1"/>
  <c r="I165" i="19"/>
  <c r="J165" i="19" s="1"/>
  <c r="L165" i="19" s="1"/>
  <c r="I199" i="20"/>
  <c r="J199" i="20" s="1"/>
  <c r="I207" i="20"/>
  <c r="J207" i="20" s="1"/>
  <c r="I173" i="19"/>
  <c r="J173" i="19" s="1"/>
  <c r="L173" i="19" s="1"/>
  <c r="I215" i="20"/>
  <c r="J215" i="20" s="1"/>
  <c r="I181" i="19"/>
  <c r="J181" i="19" s="1"/>
  <c r="L181" i="19" s="1"/>
  <c r="I223" i="20"/>
  <c r="J223" i="20" s="1"/>
  <c r="I189" i="19"/>
  <c r="J189" i="19" s="1"/>
  <c r="L189" i="19" s="1"/>
  <c r="I75" i="20"/>
  <c r="I43" i="19"/>
  <c r="I87" i="20"/>
  <c r="J87" i="20" s="1"/>
  <c r="I55" i="19"/>
  <c r="J55" i="19" s="1"/>
  <c r="L55" i="19" s="1"/>
  <c r="I91" i="20"/>
  <c r="J91" i="20" s="1"/>
  <c r="I59" i="19"/>
  <c r="J59" i="19" s="1"/>
  <c r="L59" i="19" s="1"/>
  <c r="I98" i="20"/>
  <c r="J98" i="20" s="1"/>
  <c r="I65" i="19"/>
  <c r="J65" i="19" s="1"/>
  <c r="L65" i="19" s="1"/>
  <c r="I122" i="20"/>
  <c r="J122" i="20" s="1"/>
  <c r="I89" i="19"/>
  <c r="J89" i="19" s="1"/>
  <c r="L89" i="19" s="1"/>
  <c r="I128" i="20"/>
  <c r="J128" i="20" s="1"/>
  <c r="I95" i="19"/>
  <c r="J95" i="19" s="1"/>
  <c r="L95" i="19" s="1"/>
  <c r="I456" i="20"/>
  <c r="J456" i="20" s="1"/>
  <c r="I366" i="19"/>
  <c r="J366" i="19" s="1"/>
  <c r="L366" i="19" s="1"/>
  <c r="I464" i="20"/>
  <c r="J464" i="20" s="1"/>
  <c r="I374" i="19"/>
  <c r="J374" i="19" s="1"/>
  <c r="L374" i="19" s="1"/>
  <c r="I472" i="20"/>
  <c r="J472" i="20" s="1"/>
  <c r="I382" i="19"/>
  <c r="J382" i="19" s="1"/>
  <c r="L382" i="19" s="1"/>
  <c r="I478" i="20"/>
  <c r="J478" i="20" s="1"/>
  <c r="I388" i="19"/>
  <c r="J388" i="19" s="1"/>
  <c r="L388" i="19" s="1"/>
  <c r="I396" i="19"/>
  <c r="J396" i="19" s="1"/>
  <c r="L396" i="19" s="1"/>
  <c r="I514" i="20"/>
  <c r="J514" i="20" s="1"/>
  <c r="I404" i="19"/>
  <c r="J404" i="19" s="1"/>
  <c r="L404" i="19" s="1"/>
  <c r="I522" i="20"/>
  <c r="J522" i="20" s="1"/>
  <c r="I412" i="19"/>
  <c r="J412" i="19" s="1"/>
  <c r="L412" i="19" s="1"/>
  <c r="I530" i="20"/>
  <c r="J530" i="20" s="1"/>
  <c r="I418" i="19"/>
  <c r="J418" i="19" s="1"/>
  <c r="L418" i="19" s="1"/>
  <c r="I538" i="20"/>
  <c r="J538" i="20" s="1"/>
  <c r="I426" i="19"/>
  <c r="J426" i="19" s="1"/>
  <c r="L426" i="19" s="1"/>
  <c r="I544" i="20"/>
  <c r="J544" i="20" s="1"/>
  <c r="I432" i="19"/>
  <c r="J432" i="19" s="1"/>
  <c r="L432" i="19" s="1"/>
  <c r="I554" i="20"/>
  <c r="J554" i="20" s="1"/>
  <c r="I440" i="19"/>
  <c r="J440" i="19" s="1"/>
  <c r="L440" i="19" s="1"/>
  <c r="I248" i="20"/>
  <c r="J248" i="20" s="1"/>
  <c r="I202" i="19"/>
  <c r="J202" i="19" s="1"/>
  <c r="L202" i="19" s="1"/>
  <c r="I252" i="20"/>
  <c r="J252" i="20" s="1"/>
  <c r="I206" i="19"/>
  <c r="J206" i="19" s="1"/>
  <c r="L206" i="19" s="1"/>
  <c r="I256" i="20"/>
  <c r="J256" i="20" s="1"/>
  <c r="I210" i="19"/>
  <c r="J210" i="19" s="1"/>
  <c r="L210" i="19" s="1"/>
  <c r="I264" i="20"/>
  <c r="J264" i="20" s="1"/>
  <c r="I214" i="19"/>
  <c r="J214" i="19" s="1"/>
  <c r="L214" i="19" s="1"/>
  <c r="I268" i="20"/>
  <c r="J268" i="20" s="1"/>
  <c r="I218" i="19"/>
  <c r="J218" i="19" s="1"/>
  <c r="L218" i="19" s="1"/>
  <c r="I272" i="20"/>
  <c r="J272" i="20" s="1"/>
  <c r="I222" i="19"/>
  <c r="J222" i="19" s="1"/>
  <c r="L222" i="19" s="1"/>
  <c r="I276" i="20"/>
  <c r="J276" i="20" s="1"/>
  <c r="I226" i="19"/>
  <c r="J226" i="19" s="1"/>
  <c r="L226" i="19" s="1"/>
  <c r="I295" i="20"/>
  <c r="J295" i="20" s="1"/>
  <c r="I230" i="19"/>
  <c r="J230" i="19" s="1"/>
  <c r="L230" i="19" s="1"/>
  <c r="I299" i="20"/>
  <c r="J299" i="20" s="1"/>
  <c r="I234" i="19"/>
  <c r="J234" i="19" s="1"/>
  <c r="L234" i="19" s="1"/>
  <c r="I243" i="19"/>
  <c r="J243" i="19" s="1"/>
  <c r="L243" i="19" s="1"/>
  <c r="I308" i="20"/>
  <c r="J308" i="20" s="1"/>
  <c r="I312" i="20"/>
  <c r="J312" i="20" s="1"/>
  <c r="I247" i="19"/>
  <c r="J247" i="19" s="1"/>
  <c r="L247" i="19" s="1"/>
  <c r="I316" i="20"/>
  <c r="J316" i="20" s="1"/>
  <c r="I251" i="19"/>
  <c r="J251" i="19" s="1"/>
  <c r="L251" i="19" s="1"/>
  <c r="I260" i="19"/>
  <c r="J260" i="19" s="1"/>
  <c r="L260" i="19" s="1"/>
  <c r="I328" i="20"/>
  <c r="J328" i="20" s="1"/>
  <c r="I333" i="20"/>
  <c r="J333" i="20" s="1"/>
  <c r="I265" i="19"/>
  <c r="J265" i="19" s="1"/>
  <c r="L265" i="19" s="1"/>
  <c r="I340" i="20"/>
  <c r="J340" i="20" s="1"/>
  <c r="I271" i="19"/>
  <c r="J271" i="19" s="1"/>
  <c r="L271" i="19" s="1"/>
  <c r="I308" i="19"/>
  <c r="J308" i="19" s="1"/>
  <c r="L308" i="19" s="1"/>
  <c r="I377" i="20"/>
  <c r="J377" i="20" s="1"/>
  <c r="I387" i="20"/>
  <c r="J387" i="20" s="1"/>
  <c r="I313" i="19"/>
  <c r="J313" i="19" s="1"/>
  <c r="L313" i="19" s="1"/>
  <c r="I397" i="20"/>
  <c r="J397" i="20" s="1"/>
  <c r="I323" i="19"/>
  <c r="J323" i="19" s="1"/>
  <c r="L323" i="19" s="1"/>
  <c r="I405" i="20"/>
  <c r="J405" i="20" s="1"/>
  <c r="I331" i="19"/>
  <c r="J331" i="19" s="1"/>
  <c r="L331" i="19" s="1"/>
  <c r="I431" i="20"/>
  <c r="J431" i="20" s="1"/>
  <c r="I350" i="19"/>
  <c r="J350" i="19" s="1"/>
  <c r="L350" i="19" s="1"/>
  <c r="I439" i="20"/>
  <c r="J439" i="20" s="1"/>
  <c r="I358" i="19"/>
  <c r="J358" i="19" s="1"/>
  <c r="L358" i="19" s="1"/>
  <c r="I569" i="20"/>
  <c r="J569" i="20" s="1"/>
  <c r="I454" i="19"/>
  <c r="J454" i="19" s="1"/>
  <c r="I462" i="19"/>
  <c r="J462" i="19" s="1"/>
  <c r="I577" i="20"/>
  <c r="J577" i="20" s="1"/>
  <c r="I470" i="19"/>
  <c r="J470" i="19" s="1"/>
  <c r="I585" i="20"/>
  <c r="J585" i="20" s="1"/>
  <c r="I478" i="19"/>
  <c r="J478" i="19" s="1"/>
  <c r="I593" i="20"/>
  <c r="J593" i="20" s="1"/>
  <c r="I625" i="20"/>
  <c r="J625" i="20" s="1"/>
  <c r="I486" i="19"/>
  <c r="J486" i="19" s="1"/>
  <c r="I660" i="20"/>
  <c r="J660" i="20" s="1"/>
  <c r="I498" i="19"/>
  <c r="J498" i="19" s="1"/>
  <c r="I684" i="20"/>
  <c r="J684" i="20" s="1"/>
  <c r="I506" i="19"/>
  <c r="J506" i="19" s="1"/>
  <c r="I697" i="20"/>
  <c r="J697" i="20" s="1"/>
  <c r="I514" i="19"/>
  <c r="J514" i="19" s="1"/>
  <c r="J1135" i="1"/>
  <c r="J716" i="1"/>
  <c r="J708" i="1"/>
  <c r="J700" i="1"/>
  <c r="J692" i="1"/>
  <c r="J658" i="1"/>
  <c r="J650" i="1"/>
  <c r="J642" i="1"/>
  <c r="J634" i="1"/>
  <c r="J626" i="1"/>
  <c r="J185" i="1"/>
  <c r="J715" i="1"/>
  <c r="J707" i="1"/>
  <c r="J699" i="1"/>
  <c r="J691" i="1"/>
  <c r="J657" i="1"/>
  <c r="J649" i="1"/>
  <c r="J641" i="1"/>
  <c r="J633" i="1"/>
  <c r="J625" i="1"/>
  <c r="J714" i="1"/>
  <c r="J706" i="1"/>
  <c r="J698" i="1"/>
  <c r="J690" i="1"/>
  <c r="J656" i="1"/>
  <c r="J648" i="1"/>
  <c r="J640" i="1"/>
  <c r="J632" i="1"/>
  <c r="J624" i="1"/>
  <c r="J488" i="1"/>
  <c r="J713" i="1"/>
  <c r="J697" i="1"/>
  <c r="J655" i="1"/>
  <c r="J639" i="1"/>
  <c r="J631" i="1"/>
  <c r="J1277" i="1"/>
  <c r="J720" i="1"/>
  <c r="J712" i="1"/>
  <c r="J704" i="1"/>
  <c r="J696" i="1"/>
  <c r="J662" i="1"/>
  <c r="J654" i="1"/>
  <c r="J646" i="1"/>
  <c r="J638" i="1"/>
  <c r="J630" i="1"/>
  <c r="J622" i="1"/>
  <c r="J445" i="1"/>
  <c r="J721" i="1"/>
  <c r="J705" i="1"/>
  <c r="J689" i="1"/>
  <c r="J647" i="1"/>
  <c r="J623" i="1"/>
  <c r="J1275" i="1"/>
  <c r="J719" i="1"/>
  <c r="J711" i="1"/>
  <c r="J703" i="1"/>
  <c r="J695" i="1"/>
  <c r="J661" i="1"/>
  <c r="J653" i="1"/>
  <c r="J645" i="1"/>
  <c r="J637" i="1"/>
  <c r="J629" i="1"/>
  <c r="J621" i="1"/>
  <c r="J377" i="1"/>
  <c r="J104" i="1"/>
  <c r="J880" i="1"/>
  <c r="J717" i="1"/>
  <c r="J709" i="1"/>
  <c r="J701" i="1"/>
  <c r="J693" i="1"/>
  <c r="J659" i="1"/>
  <c r="J651" i="1"/>
  <c r="J643" i="1"/>
  <c r="J635" i="1"/>
  <c r="J291" i="1"/>
  <c r="J483" i="1"/>
  <c r="J438" i="1"/>
  <c r="J370" i="1"/>
  <c r="J328" i="1"/>
  <c r="J284" i="1"/>
  <c r="J241" i="1"/>
  <c r="J1129" i="1"/>
  <c r="J1038" i="1"/>
  <c r="J943" i="1"/>
  <c r="J790" i="1"/>
  <c r="J759" i="1"/>
  <c r="J598" i="1"/>
  <c r="J480" i="1"/>
  <c r="J437" i="1"/>
  <c r="J369" i="1"/>
  <c r="J325" i="1"/>
  <c r="J283" i="1"/>
  <c r="J240" i="1"/>
  <c r="J183" i="1"/>
  <c r="J791" i="1"/>
  <c r="J1127" i="1"/>
  <c r="J1037" i="1"/>
  <c r="J942" i="1"/>
  <c r="J754" i="1"/>
  <c r="J617" i="1"/>
  <c r="J581" i="1"/>
  <c r="J544" i="1"/>
  <c r="J479" i="1"/>
  <c r="J436" i="1"/>
  <c r="J368" i="1"/>
  <c r="J324" i="1"/>
  <c r="J282" i="1"/>
  <c r="J239" i="1"/>
  <c r="J182" i="1"/>
  <c r="J1117" i="1"/>
  <c r="J1030" i="1"/>
  <c r="J977" i="1"/>
  <c r="J890" i="1"/>
  <c r="J773" i="1"/>
  <c r="J580" i="1"/>
  <c r="J543" i="1"/>
  <c r="J510" i="1"/>
  <c r="J468" i="1"/>
  <c r="J423" i="1"/>
  <c r="J355" i="1"/>
  <c r="J313" i="1"/>
  <c r="J269" i="1"/>
  <c r="J225" i="1"/>
  <c r="J181" i="1"/>
  <c r="J1116" i="1"/>
  <c r="J1029" i="1"/>
  <c r="J976" i="1"/>
  <c r="J894" i="1"/>
  <c r="J772" i="1"/>
  <c r="J503" i="1"/>
  <c r="J460" i="1"/>
  <c r="J392" i="1"/>
  <c r="J348" i="1"/>
  <c r="J306" i="1"/>
  <c r="J263" i="1"/>
  <c r="J217" i="1"/>
  <c r="J1147" i="1"/>
  <c r="J1109" i="1"/>
  <c r="J1058" i="1"/>
  <c r="J1016" i="1"/>
  <c r="J965" i="1"/>
  <c r="J771" i="1"/>
  <c r="J502" i="1"/>
  <c r="J459" i="1"/>
  <c r="J389" i="1"/>
  <c r="J347" i="1"/>
  <c r="J305" i="1"/>
  <c r="J260" i="1"/>
  <c r="J216" i="1"/>
  <c r="J1146" i="1"/>
  <c r="J1057" i="1"/>
  <c r="J1015" i="1"/>
  <c r="J964" i="1"/>
  <c r="J501" i="1"/>
  <c r="J388" i="1"/>
  <c r="J346" i="1"/>
  <c r="J304" i="1"/>
  <c r="J259" i="1"/>
  <c r="J215" i="1"/>
  <c r="J186" i="1"/>
  <c r="J1166" i="1"/>
  <c r="J1509" i="1"/>
  <c r="J1510" i="1"/>
  <c r="J1254" i="1"/>
  <c r="J1439" i="1"/>
  <c r="J1447" i="1"/>
  <c r="J1409" i="1"/>
  <c r="J1417" i="1"/>
  <c r="J1425" i="1"/>
  <c r="J1255" i="1"/>
  <c r="J1434" i="1"/>
  <c r="J1442" i="1"/>
  <c r="J1450" i="1"/>
  <c r="J1412" i="1"/>
  <c r="J1420" i="1"/>
  <c r="J1435" i="1"/>
  <c r="J1421" i="1"/>
  <c r="J1245" i="1"/>
  <c r="J1437" i="1"/>
  <c r="J1415" i="1"/>
  <c r="J1423" i="1"/>
  <c r="J1256" i="1"/>
  <c r="J1446" i="1"/>
  <c r="J1416" i="1"/>
  <c r="J1511" i="1"/>
  <c r="J1505" i="1"/>
  <c r="J1440" i="1"/>
  <c r="J1448" i="1"/>
  <c r="J1410" i="1"/>
  <c r="J1418" i="1"/>
  <c r="J1426" i="1"/>
  <c r="J1504" i="1"/>
  <c r="J1441" i="1"/>
  <c r="J1449" i="1"/>
  <c r="J1411" i="1"/>
  <c r="J1419" i="1"/>
  <c r="J1512" i="1"/>
  <c r="J1253" i="1"/>
  <c r="J1443" i="1"/>
  <c r="J1413" i="1"/>
  <c r="J1445" i="1"/>
  <c r="J1438" i="1"/>
  <c r="J1408" i="1"/>
  <c r="J1424" i="1"/>
  <c r="J1513" i="1"/>
  <c r="J1506" i="1"/>
  <c r="J1514" i="1"/>
  <c r="J1507" i="1"/>
  <c r="J1516" i="1"/>
  <c r="J1252" i="1"/>
  <c r="J1436" i="1"/>
  <c r="J1444" i="1"/>
  <c r="J1414" i="1"/>
  <c r="J1422" i="1"/>
  <c r="J1508" i="1"/>
  <c r="J565" i="1"/>
  <c r="J686" i="1"/>
  <c r="J726" i="1"/>
  <c r="J804" i="1"/>
  <c r="J812" i="1"/>
  <c r="J861" i="1"/>
  <c r="J938" i="1"/>
  <c r="J687" i="1"/>
  <c r="J727" i="1"/>
  <c r="J813" i="1"/>
  <c r="J892" i="1"/>
  <c r="J888" i="1"/>
  <c r="J900" i="1"/>
  <c r="J939" i="1"/>
  <c r="J725" i="1"/>
  <c r="J808" i="1"/>
  <c r="J821" i="1"/>
  <c r="J886" i="1"/>
  <c r="J905" i="1"/>
  <c r="J926" i="1"/>
  <c r="J729" i="1"/>
  <c r="J796" i="1"/>
  <c r="J893" i="1"/>
  <c r="J940" i="1"/>
  <c r="J797" i="1"/>
  <c r="J728" i="1"/>
  <c r="J795" i="1"/>
  <c r="J809" i="1"/>
  <c r="J822" i="1"/>
  <c r="J865" i="1"/>
  <c r="J927" i="1"/>
  <c r="J937" i="1"/>
  <c r="J810" i="1"/>
  <c r="J911" i="1"/>
  <c r="J928" i="1"/>
  <c r="J730" i="1"/>
  <c r="J688" i="1"/>
  <c r="J811" i="1"/>
  <c r="J850" i="1"/>
  <c r="J1350" i="1"/>
  <c r="J1269" i="1"/>
  <c r="J1233" i="1"/>
  <c r="J1185" i="1"/>
  <c r="J1145" i="1"/>
  <c r="J1126" i="1"/>
  <c r="J1091" i="1"/>
  <c r="J1070" i="1"/>
  <c r="J1048" i="1"/>
  <c r="J1026" i="1"/>
  <c r="J1006" i="1"/>
  <c r="J975" i="1"/>
  <c r="J953" i="1"/>
  <c r="J934" i="1"/>
  <c r="J829" i="1"/>
  <c r="J818" i="1"/>
  <c r="J789" i="1"/>
  <c r="J612" i="1"/>
  <c r="J591" i="1"/>
  <c r="J520" i="1"/>
  <c r="J500" i="1"/>
  <c r="J478" i="1"/>
  <c r="J455" i="1"/>
  <c r="J435" i="1"/>
  <c r="J387" i="1"/>
  <c r="J365" i="1"/>
  <c r="J345" i="1"/>
  <c r="J323" i="1"/>
  <c r="J301" i="1"/>
  <c r="J281" i="1"/>
  <c r="J258" i="1"/>
  <c r="J236" i="1"/>
  <c r="J214" i="1"/>
  <c r="J1345" i="1"/>
  <c r="J1279" i="1"/>
  <c r="J1231" i="1"/>
  <c r="J1183" i="1"/>
  <c r="J1143" i="1"/>
  <c r="J1125" i="1"/>
  <c r="J1090" i="1"/>
  <c r="J1069" i="1"/>
  <c r="J1047" i="1"/>
  <c r="J1025" i="1"/>
  <c r="J1005" i="1"/>
  <c r="J974" i="1"/>
  <c r="J952" i="1"/>
  <c r="J933" i="1"/>
  <c r="J828" i="1"/>
  <c r="J817" i="1"/>
  <c r="J788" i="1"/>
  <c r="J590" i="1"/>
  <c r="J534" i="1"/>
  <c r="J515" i="1"/>
  <c r="J493" i="1"/>
  <c r="J471" i="1"/>
  <c r="J450" i="1"/>
  <c r="J428" i="1"/>
  <c r="J380" i="1"/>
  <c r="J360" i="1"/>
  <c r="J338" i="1"/>
  <c r="J316" i="1"/>
  <c r="J296" i="1"/>
  <c r="J274" i="1"/>
  <c r="J251" i="1"/>
  <c r="J231" i="1"/>
  <c r="J203" i="1"/>
  <c r="J1392" i="1"/>
  <c r="J1329" i="1"/>
  <c r="J1292" i="1"/>
  <c r="J1215" i="1"/>
  <c r="J1167" i="1"/>
  <c r="J1138" i="1"/>
  <c r="J1119" i="1"/>
  <c r="J1062" i="1"/>
  <c r="J1040" i="1"/>
  <c r="J1018" i="1"/>
  <c r="J997" i="1"/>
  <c r="J967" i="1"/>
  <c r="J945" i="1"/>
  <c r="J932" i="1"/>
  <c r="J902" i="1"/>
  <c r="J827" i="1"/>
  <c r="J807" i="1"/>
  <c r="J763" i="1"/>
  <c r="J589" i="1"/>
  <c r="J533" i="1"/>
  <c r="J512" i="1"/>
  <c r="J492" i="1"/>
  <c r="J470" i="1"/>
  <c r="J447" i="1"/>
  <c r="J427" i="1"/>
  <c r="J379" i="1"/>
  <c r="J357" i="1"/>
  <c r="J337" i="1"/>
  <c r="J315" i="1"/>
  <c r="J293" i="1"/>
  <c r="J273" i="1"/>
  <c r="J250" i="1"/>
  <c r="J227" i="1"/>
  <c r="J202" i="1"/>
  <c r="J1390" i="1"/>
  <c r="J1327" i="1"/>
  <c r="J1477" i="1"/>
  <c r="J1214" i="1"/>
  <c r="J1137" i="1"/>
  <c r="J1118" i="1"/>
  <c r="J1061" i="1"/>
  <c r="J1039" i="1"/>
  <c r="J1017" i="1"/>
  <c r="J996" i="1"/>
  <c r="J966" i="1"/>
  <c r="J944" i="1"/>
  <c r="J925" i="1"/>
  <c r="J896" i="1"/>
  <c r="J806" i="1"/>
  <c r="J774" i="1"/>
  <c r="J762" i="1"/>
  <c r="J532" i="1"/>
  <c r="J511" i="1"/>
  <c r="J491" i="1"/>
  <c r="J469" i="1"/>
  <c r="J446" i="1"/>
  <c r="J426" i="1"/>
  <c r="J378" i="1"/>
  <c r="J356" i="1"/>
  <c r="J336" i="1"/>
  <c r="J314" i="1"/>
  <c r="J292" i="1"/>
  <c r="J272" i="1"/>
  <c r="J249" i="1"/>
  <c r="J226" i="1"/>
  <c r="J201" i="1"/>
  <c r="J15" i="1"/>
  <c r="J13" i="1"/>
  <c r="J28" i="1"/>
  <c r="J1158" i="1"/>
  <c r="J1177" i="1"/>
  <c r="J1199" i="1"/>
  <c r="J1222" i="1"/>
  <c r="J1241" i="1"/>
  <c r="J1290" i="1"/>
  <c r="J1274" i="1"/>
  <c r="J1305" i="1"/>
  <c r="J1343" i="1"/>
  <c r="J1381" i="1"/>
  <c r="J1400" i="1"/>
  <c r="J29" i="1"/>
  <c r="J1169" i="1"/>
  <c r="J1193" i="1"/>
  <c r="J1217" i="1"/>
  <c r="J1250" i="1"/>
  <c r="J1261" i="1"/>
  <c r="J1294" i="1"/>
  <c r="J1334" i="1"/>
  <c r="J1358" i="1"/>
  <c r="J1397" i="1"/>
  <c r="J1151" i="1"/>
  <c r="J1175" i="1"/>
  <c r="J1225" i="1"/>
  <c r="J1258" i="1"/>
  <c r="J1337" i="1"/>
  <c r="J1405" i="1"/>
  <c r="J1153" i="1"/>
  <c r="J1206" i="1"/>
  <c r="J1278" i="1"/>
  <c r="J1382" i="1"/>
  <c r="J1150" i="1"/>
  <c r="J1174" i="1"/>
  <c r="J1198" i="1"/>
  <c r="J1223" i="1"/>
  <c r="J1251" i="1"/>
  <c r="J1262" i="1"/>
  <c r="J1295" i="1"/>
  <c r="J1335" i="1"/>
  <c r="J1359" i="1"/>
  <c r="J1398" i="1"/>
  <c r="J16" i="1"/>
  <c r="J1201" i="1"/>
  <c r="J1288" i="1"/>
  <c r="J1297" i="1"/>
  <c r="J1361" i="1"/>
  <c r="J1182" i="1"/>
  <c r="J1284" i="1"/>
  <c r="J1342" i="1"/>
  <c r="J1230" i="1"/>
  <c r="J1302" i="1"/>
  <c r="J1406" i="1"/>
  <c r="J917" i="1"/>
  <c r="J803" i="1"/>
  <c r="J907" i="1"/>
  <c r="J802" i="1"/>
  <c r="J733" i="1"/>
  <c r="J196" i="1"/>
  <c r="J204" i="1"/>
  <c r="J212" i="1"/>
  <c r="J220" i="1"/>
  <c r="J228" i="1"/>
  <c r="J197" i="1"/>
  <c r="J205" i="1"/>
  <c r="J213" i="1"/>
  <c r="J199" i="1"/>
  <c r="J209" i="1"/>
  <c r="J219" i="1"/>
  <c r="J229" i="1"/>
  <c r="J237" i="1"/>
  <c r="J245" i="1"/>
  <c r="J253" i="1"/>
  <c r="J261" i="1"/>
  <c r="J270" i="1"/>
  <c r="J278" i="1"/>
  <c r="J286" i="1"/>
  <c r="J294" i="1"/>
  <c r="J302" i="1"/>
  <c r="J310" i="1"/>
  <c r="J318" i="1"/>
  <c r="J326" i="1"/>
  <c r="J334" i="1"/>
  <c r="J342" i="1"/>
  <c r="J350" i="1"/>
  <c r="J358" i="1"/>
  <c r="J366" i="1"/>
  <c r="J374" i="1"/>
  <c r="J382" i="1"/>
  <c r="J390" i="1"/>
  <c r="J424" i="1"/>
  <c r="J432" i="1"/>
  <c r="J440" i="1"/>
  <c r="J448" i="1"/>
  <c r="J456" i="1"/>
  <c r="J465" i="1"/>
  <c r="J473" i="1"/>
  <c r="J481" i="1"/>
  <c r="J489" i="1"/>
  <c r="J505" i="1"/>
  <c r="J521" i="1"/>
  <c r="J529" i="1"/>
  <c r="J537" i="1"/>
  <c r="J545" i="1"/>
  <c r="J578" i="1"/>
  <c r="J792" i="1"/>
  <c r="J832" i="1"/>
  <c r="J898" i="1"/>
  <c r="J930" i="1"/>
  <c r="J200" i="1"/>
  <c r="J210" i="1"/>
  <c r="J221" i="1"/>
  <c r="J230" i="1"/>
  <c r="J238" i="1"/>
  <c r="J246" i="1"/>
  <c r="J254" i="1"/>
  <c r="J262" i="1"/>
  <c r="J271" i="1"/>
  <c r="J279" i="1"/>
  <c r="J287" i="1"/>
  <c r="J295" i="1"/>
  <c r="J303" i="1"/>
  <c r="J311" i="1"/>
  <c r="J319" i="1"/>
  <c r="J327" i="1"/>
  <c r="J335" i="1"/>
  <c r="J343" i="1"/>
  <c r="J351" i="1"/>
  <c r="J359" i="1"/>
  <c r="J367" i="1"/>
  <c r="J375" i="1"/>
  <c r="J383" i="1"/>
  <c r="J391" i="1"/>
  <c r="J425" i="1"/>
  <c r="J433" i="1"/>
  <c r="J441" i="1"/>
  <c r="J449" i="1"/>
  <c r="J466" i="1"/>
  <c r="J474" i="1"/>
  <c r="J482" i="1"/>
  <c r="J490" i="1"/>
  <c r="J498" i="1"/>
  <c r="J506" i="1"/>
  <c r="J530" i="1"/>
  <c r="J538" i="1"/>
  <c r="J579" i="1"/>
  <c r="J793" i="1"/>
  <c r="J931" i="1"/>
  <c r="J100" i="1"/>
  <c r="J206" i="1"/>
  <c r="J218" i="1"/>
  <c r="J232" i="1"/>
  <c r="J242" i="1"/>
  <c r="J252" i="1"/>
  <c r="J264" i="1"/>
  <c r="J275" i="1"/>
  <c r="J285" i="1"/>
  <c r="J297" i="1"/>
  <c r="J307" i="1"/>
  <c r="J317" i="1"/>
  <c r="J329" i="1"/>
  <c r="J339" i="1"/>
  <c r="J349" i="1"/>
  <c r="J361" i="1"/>
  <c r="J371" i="1"/>
  <c r="J381" i="1"/>
  <c r="J419" i="1"/>
  <c r="J439" i="1"/>
  <c r="J451" i="1"/>
  <c r="J461" i="1"/>
  <c r="J472" i="1"/>
  <c r="J484" i="1"/>
  <c r="J494" i="1"/>
  <c r="J504" i="1"/>
  <c r="J516" i="1"/>
  <c r="J525" i="1"/>
  <c r="J535" i="1"/>
  <c r="J582" i="1"/>
  <c r="J794" i="1"/>
  <c r="J830" i="1"/>
  <c r="J223" i="1"/>
  <c r="J244" i="1"/>
  <c r="J267" i="1"/>
  <c r="J289" i="1"/>
  <c r="J309" i="1"/>
  <c r="J331" i="1"/>
  <c r="J353" i="1"/>
  <c r="J373" i="1"/>
  <c r="J421" i="1"/>
  <c r="J443" i="1"/>
  <c r="J453" i="1"/>
  <c r="J476" i="1"/>
  <c r="J496" i="1"/>
  <c r="J518" i="1"/>
  <c r="J539" i="1"/>
  <c r="J869" i="1"/>
  <c r="J103" i="1"/>
  <c r="J224" i="1"/>
  <c r="J247" i="1"/>
  <c r="J268" i="1"/>
  <c r="J290" i="1"/>
  <c r="J322" i="1"/>
  <c r="J344" i="1"/>
  <c r="J376" i="1"/>
  <c r="J434" i="1"/>
  <c r="J467" i="1"/>
  <c r="J499" i="1"/>
  <c r="J528" i="1"/>
  <c r="J884" i="1"/>
  <c r="J929" i="1"/>
  <c r="J207" i="1"/>
  <c r="J222" i="1"/>
  <c r="J233" i="1"/>
  <c r="J243" i="1"/>
  <c r="J255" i="1"/>
  <c r="J265" i="1"/>
  <c r="J276" i="1"/>
  <c r="J288" i="1"/>
  <c r="J298" i="1"/>
  <c r="J308" i="1"/>
  <c r="J320" i="1"/>
  <c r="J330" i="1"/>
  <c r="J340" i="1"/>
  <c r="J352" i="1"/>
  <c r="J362" i="1"/>
  <c r="J372" i="1"/>
  <c r="J384" i="1"/>
  <c r="J420" i="1"/>
  <c r="J430" i="1"/>
  <c r="J442" i="1"/>
  <c r="J452" i="1"/>
  <c r="J462" i="1"/>
  <c r="J475" i="1"/>
  <c r="J485" i="1"/>
  <c r="J495" i="1"/>
  <c r="J507" i="1"/>
  <c r="J517" i="1"/>
  <c r="J526" i="1"/>
  <c r="J536" i="1"/>
  <c r="J583" i="1"/>
  <c r="J831" i="1"/>
  <c r="J856" i="1"/>
  <c r="J102" i="1"/>
  <c r="J208" i="1"/>
  <c r="J234" i="1"/>
  <c r="J256" i="1"/>
  <c r="J277" i="1"/>
  <c r="J299" i="1"/>
  <c r="J321" i="1"/>
  <c r="J341" i="1"/>
  <c r="J363" i="1"/>
  <c r="J385" i="1"/>
  <c r="J431" i="1"/>
  <c r="J463" i="1"/>
  <c r="J486" i="1"/>
  <c r="J508" i="1"/>
  <c r="J527" i="1"/>
  <c r="J739" i="1"/>
  <c r="J786" i="1"/>
  <c r="J300" i="1"/>
  <c r="J354" i="1"/>
  <c r="J386" i="1"/>
  <c r="J444" i="1"/>
  <c r="J477" i="1"/>
  <c r="J509" i="1"/>
  <c r="J787" i="1"/>
  <c r="J211" i="1"/>
  <c r="J235" i="1"/>
  <c r="J257" i="1"/>
  <c r="J280" i="1"/>
  <c r="J312" i="1"/>
  <c r="J332" i="1"/>
  <c r="J364" i="1"/>
  <c r="J422" i="1"/>
  <c r="J454" i="1"/>
  <c r="J487" i="1"/>
  <c r="J519" i="1"/>
  <c r="J913" i="1"/>
  <c r="J820" i="1"/>
  <c r="J732" i="1"/>
  <c r="J586" i="1"/>
  <c r="J594" i="1"/>
  <c r="J602" i="1"/>
  <c r="J618" i="1"/>
  <c r="J752" i="1"/>
  <c r="J760" i="1"/>
  <c r="J768" i="1"/>
  <c r="J946" i="1"/>
  <c r="J954" i="1"/>
  <c r="J962" i="1"/>
  <c r="J970" i="1"/>
  <c r="J978" i="1"/>
  <c r="J994" i="1"/>
  <c r="J1003" i="1"/>
  <c r="J1011" i="1"/>
  <c r="J1019" i="1"/>
  <c r="J1027" i="1"/>
  <c r="J1035" i="1"/>
  <c r="J1043" i="1"/>
  <c r="J1051" i="1"/>
  <c r="J1059" i="1"/>
  <c r="J1067" i="1"/>
  <c r="J1112" i="1"/>
  <c r="J1120" i="1"/>
  <c r="J1128" i="1"/>
  <c r="J1136" i="1"/>
  <c r="J1144" i="1"/>
  <c r="J587" i="1"/>
  <c r="J595" i="1"/>
  <c r="J603" i="1"/>
  <c r="J611" i="1"/>
  <c r="J619" i="1"/>
  <c r="J753" i="1"/>
  <c r="J761" i="1"/>
  <c r="J769" i="1"/>
  <c r="J785" i="1"/>
  <c r="J805" i="1"/>
  <c r="J947" i="1"/>
  <c r="J955" i="1"/>
  <c r="J963" i="1"/>
  <c r="J971" i="1"/>
  <c r="J979" i="1"/>
  <c r="J995" i="1"/>
  <c r="J1004" i="1"/>
  <c r="J1012" i="1"/>
  <c r="J1020" i="1"/>
  <c r="J1028" i="1"/>
  <c r="J1036" i="1"/>
  <c r="J1044" i="1"/>
  <c r="J1052" i="1"/>
  <c r="J1060" i="1"/>
  <c r="J1068" i="1"/>
  <c r="J1113" i="1"/>
  <c r="J592" i="1"/>
  <c r="J604" i="1"/>
  <c r="J613" i="1"/>
  <c r="J683" i="1"/>
  <c r="J755" i="1"/>
  <c r="J775" i="1"/>
  <c r="J948" i="1"/>
  <c r="J958" i="1"/>
  <c r="J968" i="1"/>
  <c r="J980" i="1"/>
  <c r="J998" i="1"/>
  <c r="J1009" i="1"/>
  <c r="J1021" i="1"/>
  <c r="J1031" i="1"/>
  <c r="J1041" i="1"/>
  <c r="J1053" i="1"/>
  <c r="J1063" i="1"/>
  <c r="J1110" i="1"/>
  <c r="J1121" i="1"/>
  <c r="J1130" i="1"/>
  <c r="J1139" i="1"/>
  <c r="J1148" i="1"/>
  <c r="J584" i="1"/>
  <c r="J606" i="1"/>
  <c r="J767" i="1"/>
  <c r="J960" i="1"/>
  <c r="J972" i="1"/>
  <c r="J1013" i="1"/>
  <c r="J1033" i="1"/>
  <c r="J1055" i="1"/>
  <c r="J1114" i="1"/>
  <c r="J1132" i="1"/>
  <c r="J607" i="1"/>
  <c r="J758" i="1"/>
  <c r="J961" i="1"/>
  <c r="J1024" i="1"/>
  <c r="J1056" i="1"/>
  <c r="J1124" i="1"/>
  <c r="J593" i="1"/>
  <c r="J605" i="1"/>
  <c r="J614" i="1"/>
  <c r="J684" i="1"/>
  <c r="J756" i="1"/>
  <c r="J949" i="1"/>
  <c r="J959" i="1"/>
  <c r="J969" i="1"/>
  <c r="J981" i="1"/>
  <c r="J999" i="1"/>
  <c r="J1010" i="1"/>
  <c r="J1022" i="1"/>
  <c r="J1032" i="1"/>
  <c r="J1042" i="1"/>
  <c r="J1054" i="1"/>
  <c r="J1064" i="1"/>
  <c r="J1111" i="1"/>
  <c r="J1122" i="1"/>
  <c r="J1131" i="1"/>
  <c r="J1140" i="1"/>
  <c r="J596" i="1"/>
  <c r="J615" i="1"/>
  <c r="J685" i="1"/>
  <c r="J757" i="1"/>
  <c r="J950" i="1"/>
  <c r="J982" i="1"/>
  <c r="J1000" i="1"/>
  <c r="J1023" i="1"/>
  <c r="J1045" i="1"/>
  <c r="J1065" i="1"/>
  <c r="J1123" i="1"/>
  <c r="J1141" i="1"/>
  <c r="J585" i="1"/>
  <c r="J616" i="1"/>
  <c r="J941" i="1"/>
  <c r="J973" i="1"/>
  <c r="J1002" i="1"/>
  <c r="J1034" i="1"/>
  <c r="J1066" i="1"/>
  <c r="J1133" i="1"/>
  <c r="J597" i="1"/>
  <c r="J770" i="1"/>
  <c r="J951" i="1"/>
  <c r="J983" i="1"/>
  <c r="J1014" i="1"/>
  <c r="J1046" i="1"/>
  <c r="J1115" i="1"/>
  <c r="J1142" i="1"/>
  <c r="J497" i="1"/>
  <c r="J513" i="1"/>
  <c r="J123" i="1"/>
  <c r="J457" i="1"/>
  <c r="J514" i="1"/>
  <c r="J546" i="1"/>
  <c r="J429" i="1"/>
  <c r="J51" i="1"/>
  <c r="J12" i="1"/>
  <c r="J23" i="1"/>
  <c r="J21" i="1"/>
  <c r="J20" i="1"/>
  <c r="J1407" i="1"/>
  <c r="J1399" i="1"/>
  <c r="J1391" i="1"/>
  <c r="J1383" i="1"/>
  <c r="J1360" i="1"/>
  <c r="J1352" i="1"/>
  <c r="J1344" i="1"/>
  <c r="J1336" i="1"/>
  <c r="J1328" i="1"/>
  <c r="J1304" i="1"/>
  <c r="J1296" i="1"/>
  <c r="J1276" i="1"/>
  <c r="J1280" i="1"/>
  <c r="J1257" i="1"/>
  <c r="J1291" i="1"/>
  <c r="J1286" i="1"/>
  <c r="J1287" i="1"/>
  <c r="J1240" i="1"/>
  <c r="J1232" i="1"/>
  <c r="J1224" i="1"/>
  <c r="J1216" i="1"/>
  <c r="J1208" i="1"/>
  <c r="J1200" i="1"/>
  <c r="J1192" i="1"/>
  <c r="J1184" i="1"/>
  <c r="J1176" i="1"/>
  <c r="J1168" i="1"/>
  <c r="J1160" i="1"/>
  <c r="J1152" i="1"/>
  <c r="J30" i="1"/>
  <c r="J22" i="1"/>
  <c r="J14" i="1"/>
  <c r="J1404" i="1"/>
  <c r="J1396" i="1"/>
  <c r="J1388" i="1"/>
  <c r="J1365" i="1"/>
  <c r="J1357" i="1"/>
  <c r="J1349" i="1"/>
  <c r="J1341" i="1"/>
  <c r="J1333" i="1"/>
  <c r="J1325" i="1"/>
  <c r="J1301" i="1"/>
  <c r="J1293" i="1"/>
  <c r="J1273" i="1"/>
  <c r="J1283" i="1"/>
  <c r="J1260" i="1"/>
  <c r="J1476" i="1"/>
  <c r="J1248" i="1"/>
  <c r="J1249" i="1"/>
  <c r="J1237" i="1"/>
  <c r="J1229" i="1"/>
  <c r="J1221" i="1"/>
  <c r="J1213" i="1"/>
  <c r="J1205" i="1"/>
  <c r="J1197" i="1"/>
  <c r="J1189" i="1"/>
  <c r="J1181" i="1"/>
  <c r="J1173" i="1"/>
  <c r="J1165" i="1"/>
  <c r="J1157" i="1"/>
  <c r="J1149" i="1"/>
  <c r="J800" i="1"/>
  <c r="J55" i="1"/>
  <c r="J27" i="1"/>
  <c r="J19" i="1"/>
  <c r="J9" i="1"/>
  <c r="J1403" i="1"/>
  <c r="J1395" i="1"/>
  <c r="J1387" i="1"/>
  <c r="J1364" i="1"/>
  <c r="J1356" i="1"/>
  <c r="J1348" i="1"/>
  <c r="J1340" i="1"/>
  <c r="J1332" i="1"/>
  <c r="J1324" i="1"/>
  <c r="J1300" i="1"/>
  <c r="J1268" i="1"/>
  <c r="J1272" i="1"/>
  <c r="J1282" i="1"/>
  <c r="J1265" i="1"/>
  <c r="J1475" i="1"/>
  <c r="J1247" i="1"/>
  <c r="J1244" i="1"/>
  <c r="J1236" i="1"/>
  <c r="J1228" i="1"/>
  <c r="J1220" i="1"/>
  <c r="J1212" i="1"/>
  <c r="J1204" i="1"/>
  <c r="J1196" i="1"/>
  <c r="J1188" i="1"/>
  <c r="J1180" i="1"/>
  <c r="J1172" i="1"/>
  <c r="J1164" i="1"/>
  <c r="J1156" i="1"/>
  <c r="J799" i="1"/>
  <c r="J54" i="1"/>
  <c r="J26" i="1"/>
  <c r="J18" i="1"/>
  <c r="J1402" i="1"/>
  <c r="J1394" i="1"/>
  <c r="J1386" i="1"/>
  <c r="J1363" i="1"/>
  <c r="J1355" i="1"/>
  <c r="J1347" i="1"/>
  <c r="J1339" i="1"/>
  <c r="J1331" i="1"/>
  <c r="J1307" i="1"/>
  <c r="J1299" i="1"/>
  <c r="J1267" i="1"/>
  <c r="J1271" i="1"/>
  <c r="J1281" i="1"/>
  <c r="J1264" i="1"/>
  <c r="J1480" i="1"/>
  <c r="J1246" i="1"/>
  <c r="J1243" i="1"/>
  <c r="J1235" i="1"/>
  <c r="J1227" i="1"/>
  <c r="J1219" i="1"/>
  <c r="J1211" i="1"/>
  <c r="J1203" i="1"/>
  <c r="J1195" i="1"/>
  <c r="J1187" i="1"/>
  <c r="J1179" i="1"/>
  <c r="J1171" i="1"/>
  <c r="J1163" i="1"/>
  <c r="J1155" i="1"/>
  <c r="J798" i="1"/>
  <c r="J53" i="1"/>
  <c r="J25" i="1"/>
  <c r="J17" i="1"/>
  <c r="J1401" i="1"/>
  <c r="J1393" i="1"/>
  <c r="J1385" i="1"/>
  <c r="J1362" i="1"/>
  <c r="J1354" i="1"/>
  <c r="J1346" i="1"/>
  <c r="J1338" i="1"/>
  <c r="J1330" i="1"/>
  <c r="J1306" i="1"/>
  <c r="J1298" i="1"/>
  <c r="J1266" i="1"/>
  <c r="J1270" i="1"/>
  <c r="J1259" i="1"/>
  <c r="J1263" i="1"/>
  <c r="J1479" i="1"/>
  <c r="J1289" i="1"/>
  <c r="J1242" i="1"/>
  <c r="J1234" i="1"/>
  <c r="J1226" i="1"/>
  <c r="J1218" i="1"/>
  <c r="J1210" i="1"/>
  <c r="J1202" i="1"/>
  <c r="J1194" i="1"/>
  <c r="J1186" i="1"/>
  <c r="J1178" i="1"/>
  <c r="J1170" i="1"/>
  <c r="J1162" i="1"/>
  <c r="J1154" i="1"/>
  <c r="J52" i="1"/>
  <c r="J24" i="1"/>
  <c r="G414" i="17" l="1"/>
  <c r="G7" i="17"/>
  <c r="G272" i="17"/>
  <c r="G271" i="17"/>
  <c r="K261" i="20"/>
  <c r="L261" i="20" s="1"/>
  <c r="N261" i="20" s="1"/>
  <c r="O261" i="20" s="1"/>
  <c r="VQV247" i="20"/>
  <c r="VQR247" i="20" s="1"/>
  <c r="VQN247" i="20" s="1"/>
  <c r="VQJ247" i="20" s="1"/>
  <c r="VQU247" i="20"/>
  <c r="K281" i="20"/>
  <c r="L281" i="20" s="1"/>
  <c r="N281" i="20" s="1"/>
  <c r="O281" i="20" s="1"/>
  <c r="N288" i="20"/>
  <c r="O288" i="20" s="1"/>
  <c r="K272" i="20"/>
  <c r="L272" i="20" s="1"/>
  <c r="N272" i="20" s="1"/>
  <c r="O272" i="20" s="1"/>
  <c r="K254" i="20"/>
  <c r="L254" i="20" s="1"/>
  <c r="N254" i="20" s="1"/>
  <c r="O254" i="20" s="1"/>
  <c r="G50" i="17"/>
  <c r="G252" i="17"/>
  <c r="H213" i="21" s="1"/>
  <c r="O213" i="21" s="1"/>
  <c r="N486" i="20"/>
  <c r="O486" i="20" s="1"/>
  <c r="G390" i="17"/>
  <c r="H241" i="21" s="1"/>
  <c r="O241" i="21" s="1"/>
  <c r="G96" i="17"/>
  <c r="H253" i="21" s="1"/>
  <c r="O253" i="21" s="1"/>
  <c r="G356" i="17"/>
  <c r="H235" i="21" s="1"/>
  <c r="O235" i="21" s="1"/>
  <c r="G407" i="17"/>
  <c r="H244" i="21" s="1"/>
  <c r="O244" i="21" s="1"/>
  <c r="G410" i="17"/>
  <c r="H247" i="21" s="1"/>
  <c r="O247" i="21" s="1"/>
  <c r="G405" i="17"/>
  <c r="H242" i="21" s="1"/>
  <c r="O242" i="21" s="1"/>
  <c r="G359" i="17"/>
  <c r="H237" i="21" s="1"/>
  <c r="O237" i="21" s="1"/>
  <c r="G362" i="17"/>
  <c r="H239" i="21" s="1"/>
  <c r="O239" i="21" s="1"/>
  <c r="G360" i="17"/>
  <c r="H238" i="21" s="1"/>
  <c r="O238" i="21" s="1"/>
  <c r="G408" i="17"/>
  <c r="H245" i="21" s="1"/>
  <c r="O245" i="21" s="1"/>
  <c r="G351" i="17"/>
  <c r="H232" i="21" s="1"/>
  <c r="O232" i="21" s="1"/>
  <c r="G353" i="17"/>
  <c r="H234" i="21" s="1"/>
  <c r="O234" i="21" s="1"/>
  <c r="G386" i="17"/>
  <c r="H240" i="21" s="1"/>
  <c r="O240" i="21" s="1"/>
  <c r="G352" i="17"/>
  <c r="H233" i="21" s="1"/>
  <c r="O233" i="21" s="1"/>
  <c r="G409" i="17"/>
  <c r="H246" i="21" s="1"/>
  <c r="O246" i="21" s="1"/>
  <c r="G94" i="17"/>
  <c r="H250" i="21" s="1"/>
  <c r="O250" i="21" s="1"/>
  <c r="G350" i="17"/>
  <c r="H231" i="21" s="1"/>
  <c r="O231" i="21" s="1"/>
  <c r="H251" i="21"/>
  <c r="O251" i="21" s="1"/>
  <c r="G406" i="17"/>
  <c r="H243" i="21" s="1"/>
  <c r="O243" i="21" s="1"/>
  <c r="G122" i="17"/>
  <c r="H252" i="21" s="1"/>
  <c r="O252" i="21" s="1"/>
  <c r="G358" i="17"/>
  <c r="H236" i="21" s="1"/>
  <c r="O236" i="21" s="1"/>
  <c r="G349" i="17"/>
  <c r="H230" i="21" s="1"/>
  <c r="O230" i="21" s="1"/>
  <c r="N553" i="20"/>
  <c r="O553" i="20" s="1"/>
  <c r="H179" i="21"/>
  <c r="O179" i="21" s="1"/>
  <c r="H186" i="21"/>
  <c r="O186" i="21" s="1"/>
  <c r="H183" i="21"/>
  <c r="O183" i="21" s="1"/>
  <c r="H185" i="21"/>
  <c r="O185" i="21" s="1"/>
  <c r="H181" i="21"/>
  <c r="O181" i="21" s="1"/>
  <c r="H178" i="21"/>
  <c r="O178" i="21" s="1"/>
  <c r="H187" i="21"/>
  <c r="O187" i="21" s="1"/>
  <c r="H180" i="21"/>
  <c r="O180" i="21" s="1"/>
  <c r="H188" i="21"/>
  <c r="O188" i="21" s="1"/>
  <c r="H182" i="21"/>
  <c r="O182" i="21" s="1"/>
  <c r="H177" i="21"/>
  <c r="O177" i="21" s="1"/>
  <c r="H184" i="21"/>
  <c r="O184" i="21" s="1"/>
  <c r="K282" i="20"/>
  <c r="L282" i="20" s="1"/>
  <c r="N282" i="20" s="1"/>
  <c r="O282"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78" i="20"/>
  <c r="L278" i="20" s="1"/>
  <c r="N278" i="20" s="1"/>
  <c r="O278" i="20" s="1"/>
  <c r="K280" i="20"/>
  <c r="L280" i="20" s="1"/>
  <c r="N280" i="20" s="1"/>
  <c r="O280" i="20" s="1"/>
  <c r="K245" i="20"/>
  <c r="L245" i="20" s="1"/>
  <c r="N245" i="20" s="1"/>
  <c r="O245" i="20" s="1"/>
  <c r="N285" i="20"/>
  <c r="O285" i="20" s="1"/>
  <c r="N284" i="20"/>
  <c r="O284" i="20" s="1"/>
  <c r="K287" i="20"/>
  <c r="L287" i="20" s="1"/>
  <c r="N287" i="20" s="1"/>
  <c r="O287" i="20" s="1"/>
  <c r="N279" i="20"/>
  <c r="O279" i="20" s="1"/>
  <c r="N283" i="20"/>
  <c r="O283"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48" i="21"/>
  <c r="O248" i="21" s="1"/>
  <c r="N765" i="20"/>
  <c r="N768" i="20"/>
  <c r="N766" i="20"/>
  <c r="N767" i="20"/>
  <c r="L563" i="20"/>
  <c r="L244" i="20"/>
  <c r="N659" i="20"/>
  <c r="K237" i="20"/>
  <c r="L237" i="20" s="1"/>
  <c r="N237" i="20" s="1"/>
  <c r="O237" i="20" s="1"/>
  <c r="N619" i="20"/>
  <c r="N688" i="20"/>
  <c r="N565" i="20"/>
  <c r="N564" i="20"/>
  <c r="N588" i="20"/>
  <c r="N620" i="20"/>
  <c r="N628" i="20"/>
  <c r="N572" i="20"/>
  <c r="N679" i="20"/>
  <c r="N700" i="20"/>
  <c r="N655" i="20"/>
  <c r="N580" i="20"/>
  <c r="N687" i="20"/>
  <c r="N586" i="20"/>
  <c r="N701" i="20"/>
  <c r="N573" i="20"/>
  <c r="N627" i="20"/>
  <c r="N593" i="20"/>
  <c r="N681" i="20"/>
  <c r="N581" i="20"/>
  <c r="N702" i="20"/>
  <c r="N574" i="20"/>
  <c r="N654" i="20"/>
  <c r="N625" i="20"/>
  <c r="N694" i="20"/>
  <c r="N566" i="20"/>
  <c r="N589" i="20"/>
  <c r="N582" i="20"/>
  <c r="N629" i="20"/>
  <c r="N661" i="20"/>
  <c r="N591" i="20"/>
  <c r="N682" i="20"/>
  <c r="N680" i="20"/>
  <c r="N684" i="20"/>
  <c r="N577" i="20"/>
  <c r="N630" i="20"/>
  <c r="N621" i="20"/>
  <c r="N656" i="20"/>
  <c r="N622" i="20"/>
  <c r="N585" i="20"/>
  <c r="N587" i="20"/>
  <c r="N570" i="20"/>
  <c r="N624" i="20"/>
  <c r="N658" i="20"/>
  <c r="N657" i="20"/>
  <c r="N579" i="20"/>
  <c r="N660" i="20"/>
  <c r="N584" i="20"/>
  <c r="N698" i="20"/>
  <c r="N623" i="20"/>
  <c r="N699" i="20"/>
  <c r="N571" i="20"/>
  <c r="N685" i="20"/>
  <c r="N590" i="20"/>
  <c r="N697" i="20"/>
  <c r="N662" i="20"/>
  <c r="N696" i="20"/>
  <c r="N686" i="20"/>
  <c r="N568" i="20"/>
  <c r="N626" i="20"/>
  <c r="N583" i="20"/>
  <c r="N567" i="20"/>
  <c r="N683" i="20"/>
  <c r="N569" i="20"/>
  <c r="N576" i="20"/>
  <c r="K73" i="20"/>
  <c r="L73" i="20" s="1"/>
  <c r="N578" i="20"/>
  <c r="N592" i="20"/>
  <c r="N695" i="20"/>
  <c r="K769" i="20"/>
  <c r="L769" i="20" s="1"/>
  <c r="N575" i="20"/>
  <c r="N594" i="20"/>
  <c r="K561" i="20"/>
  <c r="L561" i="20" s="1"/>
  <c r="Q439" i="20"/>
  <c r="N439" i="20"/>
  <c r="O439" i="20" s="1"/>
  <c r="Q248" i="20"/>
  <c r="N248" i="20"/>
  <c r="O248" i="20" s="1"/>
  <c r="Q128" i="20"/>
  <c r="N128" i="20"/>
  <c r="O128" i="20" s="1"/>
  <c r="Q517" i="20"/>
  <c r="N517" i="20"/>
  <c r="O517" i="20" s="1"/>
  <c r="Q535" i="20"/>
  <c r="N535" i="20"/>
  <c r="O535" i="20" s="1"/>
  <c r="Q188" i="20"/>
  <c r="N188" i="20"/>
  <c r="O188" i="20" s="1"/>
  <c r="Q377" i="20"/>
  <c r="N377" i="20"/>
  <c r="O377" i="20" s="1"/>
  <c r="Q199" i="20"/>
  <c r="N199" i="20"/>
  <c r="O199" i="20" s="1"/>
  <c r="Q167" i="20"/>
  <c r="N167" i="20"/>
  <c r="O167" i="20" s="1"/>
  <c r="Q317" i="20"/>
  <c r="N317" i="20"/>
  <c r="O317" i="20" s="1"/>
  <c r="Q454" i="20"/>
  <c r="N454" i="20"/>
  <c r="O454" i="20" s="1"/>
  <c r="Q378" i="20"/>
  <c r="N378" i="20"/>
  <c r="O378" i="20" s="1"/>
  <c r="Q438" i="20"/>
  <c r="N438" i="20"/>
  <c r="O438" i="20" s="1"/>
  <c r="Q404" i="20"/>
  <c r="N404" i="20"/>
  <c r="O404" i="20" s="1"/>
  <c r="Q372" i="20"/>
  <c r="N372" i="20"/>
  <c r="O372" i="20" s="1"/>
  <c r="Q356" i="20"/>
  <c r="N356" i="20"/>
  <c r="O356" i="20" s="1"/>
  <c r="Q338" i="20"/>
  <c r="N338" i="20"/>
  <c r="O338" i="20" s="1"/>
  <c r="Q303" i="20"/>
  <c r="N303" i="20"/>
  <c r="O303" i="20" s="1"/>
  <c r="Q475" i="20"/>
  <c r="N475" i="20"/>
  <c r="O475" i="20" s="1"/>
  <c r="Q119" i="20"/>
  <c r="N119" i="20"/>
  <c r="O119" i="20" s="1"/>
  <c r="Q95" i="20"/>
  <c r="N95" i="20"/>
  <c r="O95" i="20" s="1"/>
  <c r="Q63" i="20"/>
  <c r="N63" i="20"/>
  <c r="O63" i="20" s="1"/>
  <c r="Q158" i="20"/>
  <c r="N158" i="20"/>
  <c r="O158" i="20" s="1"/>
  <c r="Q398" i="20"/>
  <c r="N398" i="20"/>
  <c r="O398" i="20" s="1"/>
  <c r="Q509" i="20"/>
  <c r="N509" i="20"/>
  <c r="O509" i="20" s="1"/>
  <c r="Q437" i="20"/>
  <c r="N437" i="20"/>
  <c r="O437" i="20" s="1"/>
  <c r="Q395" i="20"/>
  <c r="N395" i="20"/>
  <c r="O395" i="20" s="1"/>
  <c r="Q315" i="20"/>
  <c r="N315" i="20"/>
  <c r="O315" i="20" s="1"/>
  <c r="Q294" i="20"/>
  <c r="N294" i="20"/>
  <c r="O294" i="20" s="1"/>
  <c r="Q263" i="20"/>
  <c r="N263" i="20"/>
  <c r="O263" i="20" s="1"/>
  <c r="Q556" i="20"/>
  <c r="N556" i="20"/>
  <c r="O556" i="20" s="1"/>
  <c r="Q524" i="20"/>
  <c r="N524" i="20"/>
  <c r="O524" i="20" s="1"/>
  <c r="Q466" i="20"/>
  <c r="N466" i="20"/>
  <c r="O466" i="20" s="1"/>
  <c r="Q106" i="20"/>
  <c r="N106" i="20"/>
  <c r="O106" i="20" s="1"/>
  <c r="Q225" i="20"/>
  <c r="N225" i="20"/>
  <c r="O225" i="20" s="1"/>
  <c r="Q193" i="20"/>
  <c r="N193" i="20"/>
  <c r="O193" i="20" s="1"/>
  <c r="Q321" i="20"/>
  <c r="N321" i="20"/>
  <c r="O321" i="20" s="1"/>
  <c r="Q210" i="20"/>
  <c r="N210" i="20"/>
  <c r="O210" i="20" s="1"/>
  <c r="Q402" i="20"/>
  <c r="N402" i="20"/>
  <c r="O402" i="20" s="1"/>
  <c r="Q552" i="20"/>
  <c r="N552" i="20"/>
  <c r="O552" i="20" s="1"/>
  <c r="Q513" i="20"/>
  <c r="N513" i="20"/>
  <c r="O513" i="20" s="1"/>
  <c r="Q222" i="20"/>
  <c r="N222" i="20"/>
  <c r="O222" i="20" s="1"/>
  <c r="Q190" i="20"/>
  <c r="N190" i="20"/>
  <c r="O190" i="20" s="1"/>
  <c r="Q309" i="20"/>
  <c r="N309" i="20"/>
  <c r="O309" i="20" s="1"/>
  <c r="Q110" i="20"/>
  <c r="N110" i="20"/>
  <c r="O110" i="20" s="1"/>
  <c r="Q181" i="20"/>
  <c r="N181" i="20"/>
  <c r="O181" i="20" s="1"/>
  <c r="Q558" i="20"/>
  <c r="N558" i="20"/>
  <c r="O558" i="20" s="1"/>
  <c r="Q186" i="20"/>
  <c r="N186" i="20"/>
  <c r="O186" i="20" s="1"/>
  <c r="Q336" i="20"/>
  <c r="N336" i="20"/>
  <c r="O336" i="20" s="1"/>
  <c r="Q293" i="20"/>
  <c r="N293" i="20"/>
  <c r="O293" i="20" s="1"/>
  <c r="Q187" i="20"/>
  <c r="N187" i="20"/>
  <c r="O187" i="20" s="1"/>
  <c r="Q414" i="20"/>
  <c r="N414" i="20"/>
  <c r="O414" i="20" s="1"/>
  <c r="Q465" i="20"/>
  <c r="N465" i="20"/>
  <c r="O465" i="20" s="1"/>
  <c r="Q192" i="20"/>
  <c r="N192" i="20"/>
  <c r="O192" i="20" s="1"/>
  <c r="Q161" i="20"/>
  <c r="N161" i="20"/>
  <c r="O161" i="20" s="1"/>
  <c r="Q261" i="20"/>
  <c r="Q405" i="20"/>
  <c r="N405" i="20"/>
  <c r="O405" i="20" s="1"/>
  <c r="Q299" i="20"/>
  <c r="N299" i="20"/>
  <c r="O299" i="20" s="1"/>
  <c r="Q478" i="20"/>
  <c r="N478" i="20"/>
  <c r="O478" i="20" s="1"/>
  <c r="Q144" i="20"/>
  <c r="N144" i="20"/>
  <c r="O144" i="20" s="1"/>
  <c r="Q431" i="20"/>
  <c r="N431" i="20"/>
  <c r="O431" i="20" s="1"/>
  <c r="Q295" i="20"/>
  <c r="N295" i="20"/>
  <c r="O295" i="20" s="1"/>
  <c r="Q554" i="20"/>
  <c r="N554" i="20"/>
  <c r="O554" i="20" s="1"/>
  <c r="Q472" i="20"/>
  <c r="N472" i="20"/>
  <c r="O472" i="20" s="1"/>
  <c r="I242" i="20"/>
  <c r="J242" i="20" s="1"/>
  <c r="Q277" i="20"/>
  <c r="N277" i="20"/>
  <c r="O277" i="20" s="1"/>
  <c r="Q481" i="20"/>
  <c r="N481" i="20"/>
  <c r="O481" i="20" s="1"/>
  <c r="Q469" i="20"/>
  <c r="N469" i="20"/>
  <c r="O469" i="20" s="1"/>
  <c r="Q180" i="20"/>
  <c r="N180" i="20"/>
  <c r="O180" i="20" s="1"/>
  <c r="Q59" i="20"/>
  <c r="N59" i="20"/>
  <c r="O59" i="20" s="1"/>
  <c r="Q335" i="20"/>
  <c r="N335" i="20"/>
  <c r="O335" i="20" s="1"/>
  <c r="Q133" i="20"/>
  <c r="N133" i="20"/>
  <c r="O133" i="20" s="1"/>
  <c r="Q104" i="20"/>
  <c r="N104" i="20"/>
  <c r="O104" i="20" s="1"/>
  <c r="Q436" i="20"/>
  <c r="N436" i="20"/>
  <c r="O436" i="20" s="1"/>
  <c r="Q375" i="20"/>
  <c r="N375" i="20"/>
  <c r="O375" i="20" s="1"/>
  <c r="Q359" i="20"/>
  <c r="N359" i="20"/>
  <c r="O359" i="20" s="1"/>
  <c r="Q343" i="20"/>
  <c r="N343" i="20"/>
  <c r="O343" i="20" s="1"/>
  <c r="Q463" i="20"/>
  <c r="N463" i="20"/>
  <c r="O463" i="20" s="1"/>
  <c r="Q115" i="20"/>
  <c r="N115" i="20"/>
  <c r="O115" i="20" s="1"/>
  <c r="Q159" i="20"/>
  <c r="N159" i="20"/>
  <c r="O159" i="20" s="1"/>
  <c r="Q66" i="20"/>
  <c r="N66" i="20"/>
  <c r="O66" i="20" s="1"/>
  <c r="Q435" i="20"/>
  <c r="N435" i="20"/>
  <c r="O435" i="20" s="1"/>
  <c r="Q310" i="20"/>
  <c r="N310" i="20"/>
  <c r="O310" i="20" s="1"/>
  <c r="Q262" i="20"/>
  <c r="N262" i="20"/>
  <c r="O262" i="20" s="1"/>
  <c r="Q559" i="20"/>
  <c r="N559" i="20"/>
  <c r="O559" i="20" s="1"/>
  <c r="Q518" i="20"/>
  <c r="N518" i="20"/>
  <c r="O518" i="20" s="1"/>
  <c r="Q468" i="20"/>
  <c r="N468" i="20"/>
  <c r="O468" i="20" s="1"/>
  <c r="Q102" i="20"/>
  <c r="N102" i="20"/>
  <c r="O102" i="20" s="1"/>
  <c r="Q219" i="20"/>
  <c r="N219" i="20"/>
  <c r="O219" i="20" s="1"/>
  <c r="Q156" i="20"/>
  <c r="N156" i="20"/>
  <c r="O156" i="20" s="1"/>
  <c r="Q253" i="20"/>
  <c r="N253" i="20"/>
  <c r="O253" i="20" s="1"/>
  <c r="Q412" i="20"/>
  <c r="N412" i="20"/>
  <c r="O412" i="20" s="1"/>
  <c r="Q459" i="20"/>
  <c r="N459" i="20"/>
  <c r="O459" i="20" s="1"/>
  <c r="Q56" i="20"/>
  <c r="N56" i="20"/>
  <c r="O56" i="20" s="1"/>
  <c r="Q389" i="20"/>
  <c r="N389" i="20"/>
  <c r="O389" i="20" s="1"/>
  <c r="Q366" i="20"/>
  <c r="N366" i="20"/>
  <c r="O366" i="20" s="1"/>
  <c r="Q350" i="20"/>
  <c r="N350" i="20"/>
  <c r="O350" i="20" s="1"/>
  <c r="Q555" i="20"/>
  <c r="N555" i="20"/>
  <c r="O555" i="20" s="1"/>
  <c r="Q523" i="20"/>
  <c r="N523" i="20"/>
  <c r="O523" i="20" s="1"/>
  <c r="Q99" i="20"/>
  <c r="N99" i="20"/>
  <c r="O99" i="20" s="1"/>
  <c r="Q224" i="20"/>
  <c r="N224" i="20"/>
  <c r="O224" i="20" s="1"/>
  <c r="Q65" i="20"/>
  <c r="N65" i="20"/>
  <c r="O65" i="20" s="1"/>
  <c r="Q221" i="20"/>
  <c r="N221" i="20"/>
  <c r="O221" i="20" s="1"/>
  <c r="Q440" i="20"/>
  <c r="N440" i="20"/>
  <c r="O440" i="20" s="1"/>
  <c r="Q268" i="20"/>
  <c r="N268" i="20"/>
  <c r="O268" i="20" s="1"/>
  <c r="Q87" i="20"/>
  <c r="N87" i="20"/>
  <c r="O87" i="20" s="1"/>
  <c r="Q316" i="20"/>
  <c r="N316" i="20"/>
  <c r="O316" i="20" s="1"/>
  <c r="Q264" i="20"/>
  <c r="N264" i="20"/>
  <c r="O264" i="20" s="1"/>
  <c r="Q522" i="20"/>
  <c r="N522" i="20"/>
  <c r="O522" i="20" s="1"/>
  <c r="Q122" i="20"/>
  <c r="N122" i="20"/>
  <c r="O122" i="20" s="1"/>
  <c r="Q138" i="20"/>
  <c r="N138" i="20"/>
  <c r="O138" i="20" s="1"/>
  <c r="Q357" i="20"/>
  <c r="N357" i="20"/>
  <c r="O357" i="20" s="1"/>
  <c r="Q332" i="20"/>
  <c r="N332" i="20"/>
  <c r="O332" i="20" s="1"/>
  <c r="Q212" i="20"/>
  <c r="N212" i="20"/>
  <c r="O212" i="20" s="1"/>
  <c r="Q141" i="20"/>
  <c r="N141" i="20"/>
  <c r="O141" i="20" s="1"/>
  <c r="Q191" i="20"/>
  <c r="N191" i="20"/>
  <c r="O191" i="20" s="1"/>
  <c r="Q96" i="20"/>
  <c r="N96" i="20"/>
  <c r="O96" i="20" s="1"/>
  <c r="Q60" i="20"/>
  <c r="N60" i="20"/>
  <c r="O60" i="20" s="1"/>
  <c r="Q430" i="20"/>
  <c r="N430" i="20"/>
  <c r="O430" i="20" s="1"/>
  <c r="Q396" i="20"/>
  <c r="N396" i="20"/>
  <c r="O396" i="20" s="1"/>
  <c r="Q368" i="20"/>
  <c r="N368" i="20"/>
  <c r="O368" i="20" s="1"/>
  <c r="Q352" i="20"/>
  <c r="N352" i="20"/>
  <c r="O352" i="20" s="1"/>
  <c r="Q560" i="20"/>
  <c r="N560" i="20"/>
  <c r="O560" i="20" s="1"/>
  <c r="Q519" i="20"/>
  <c r="N519" i="20"/>
  <c r="O519" i="20" s="1"/>
  <c r="Q113" i="20"/>
  <c r="N113" i="20"/>
  <c r="O113" i="20" s="1"/>
  <c r="Q84" i="20"/>
  <c r="N84" i="20"/>
  <c r="O84" i="20" s="1"/>
  <c r="Q142" i="20"/>
  <c r="N142" i="20"/>
  <c r="O142" i="20" s="1"/>
  <c r="Q369" i="20"/>
  <c r="N369" i="20"/>
  <c r="O369" i="20" s="1"/>
  <c r="Q473" i="20"/>
  <c r="N473" i="20"/>
  <c r="O473" i="20" s="1"/>
  <c r="Q429" i="20"/>
  <c r="N429" i="20"/>
  <c r="O429" i="20" s="1"/>
  <c r="Q376" i="20"/>
  <c r="N376" i="20"/>
  <c r="O376" i="20" s="1"/>
  <c r="Q311" i="20"/>
  <c r="N311" i="20"/>
  <c r="O311" i="20" s="1"/>
  <c r="Q275" i="20"/>
  <c r="N275" i="20"/>
  <c r="O275" i="20" s="1"/>
  <c r="Q255" i="20"/>
  <c r="N255" i="20"/>
  <c r="O255" i="20" s="1"/>
  <c r="Q546" i="20"/>
  <c r="N546" i="20"/>
  <c r="O546" i="20" s="1"/>
  <c r="Q516" i="20"/>
  <c r="N516" i="20"/>
  <c r="O516" i="20" s="1"/>
  <c r="Q458" i="20"/>
  <c r="N458" i="20"/>
  <c r="O458" i="20" s="1"/>
  <c r="Q100" i="20"/>
  <c r="N100" i="20"/>
  <c r="O100" i="20" s="1"/>
  <c r="Q217" i="20"/>
  <c r="N217" i="20"/>
  <c r="O217" i="20" s="1"/>
  <c r="Q185" i="20"/>
  <c r="N185" i="20"/>
  <c r="O185" i="20" s="1"/>
  <c r="Q154" i="20"/>
  <c r="N154" i="20"/>
  <c r="O154" i="20" s="1"/>
  <c r="Q163" i="20"/>
  <c r="N163" i="20"/>
  <c r="O163" i="20" s="1"/>
  <c r="Q394" i="20"/>
  <c r="N394" i="20"/>
  <c r="O394" i="20" s="1"/>
  <c r="Q485" i="20"/>
  <c r="N485" i="20"/>
  <c r="O485" i="20" s="1"/>
  <c r="Q214" i="20"/>
  <c r="N214" i="20"/>
  <c r="O214" i="20" s="1"/>
  <c r="Q182" i="20"/>
  <c r="N182" i="20"/>
  <c r="O182" i="20" s="1"/>
  <c r="Q151" i="20"/>
  <c r="N151" i="20"/>
  <c r="O151" i="20" s="1"/>
  <c r="Q406" i="20"/>
  <c r="N406" i="20"/>
  <c r="O406" i="20" s="1"/>
  <c r="Q170" i="20"/>
  <c r="N170" i="20"/>
  <c r="O170" i="20" s="1"/>
  <c r="Q211" i="20"/>
  <c r="N211" i="20"/>
  <c r="O211" i="20" s="1"/>
  <c r="Q179" i="20"/>
  <c r="N179" i="20"/>
  <c r="O179" i="20" s="1"/>
  <c r="Q148" i="20"/>
  <c r="N148" i="20"/>
  <c r="O148" i="20" s="1"/>
  <c r="Q373" i="20"/>
  <c r="N373" i="20"/>
  <c r="O373" i="20" s="1"/>
  <c r="Q457" i="20"/>
  <c r="N457" i="20"/>
  <c r="O457" i="20" s="1"/>
  <c r="Q216" i="20"/>
  <c r="N216" i="20"/>
  <c r="O216" i="20" s="1"/>
  <c r="Q184" i="20"/>
  <c r="N184" i="20"/>
  <c r="O184" i="20" s="1"/>
  <c r="Q153" i="20"/>
  <c r="N153" i="20"/>
  <c r="O153" i="20" s="1"/>
  <c r="Q276" i="20"/>
  <c r="N276" i="20"/>
  <c r="O276" i="20" s="1"/>
  <c r="Q464" i="20"/>
  <c r="N464" i="20"/>
  <c r="O464" i="20" s="1"/>
  <c r="Q461" i="20"/>
  <c r="N461" i="20"/>
  <c r="O461" i="20" s="1"/>
  <c r="Q146" i="20"/>
  <c r="N146" i="20"/>
  <c r="O146" i="20" s="1"/>
  <c r="Q541" i="20"/>
  <c r="N541" i="20"/>
  <c r="O541" i="20" s="1"/>
  <c r="Q371" i="20"/>
  <c r="N371" i="20"/>
  <c r="O371" i="20" s="1"/>
  <c r="Q455" i="20"/>
  <c r="N455" i="20"/>
  <c r="O455" i="20" s="1"/>
  <c r="Q269" i="20"/>
  <c r="N269" i="20"/>
  <c r="O269" i="20" s="1"/>
  <c r="Q229" i="20"/>
  <c r="N229" i="20"/>
  <c r="O229" i="20" s="1"/>
  <c r="Q117" i="20"/>
  <c r="N117" i="20"/>
  <c r="O117" i="20" s="1"/>
  <c r="Q427" i="20"/>
  <c r="N427" i="20"/>
  <c r="O427" i="20" s="1"/>
  <c r="Q330" i="20"/>
  <c r="N330" i="20"/>
  <c r="O330" i="20" s="1"/>
  <c r="Q306" i="20"/>
  <c r="N306" i="20"/>
  <c r="O306" i="20" s="1"/>
  <c r="Q274" i="20"/>
  <c r="N274" i="20"/>
  <c r="O274" i="20" s="1"/>
  <c r="Q254" i="20"/>
  <c r="Q548" i="20"/>
  <c r="N548" i="20"/>
  <c r="O548" i="20" s="1"/>
  <c r="Q510" i="20"/>
  <c r="N510" i="20"/>
  <c r="O510" i="20" s="1"/>
  <c r="Q460" i="20"/>
  <c r="N460" i="20"/>
  <c r="O460" i="20" s="1"/>
  <c r="Q83" i="20"/>
  <c r="N83" i="20"/>
  <c r="O83" i="20" s="1"/>
  <c r="Q470" i="20"/>
  <c r="N470" i="20"/>
  <c r="O470" i="20" s="1"/>
  <c r="Q101" i="20"/>
  <c r="N101" i="20"/>
  <c r="O101" i="20" s="1"/>
  <c r="Q441" i="20"/>
  <c r="N441" i="20"/>
  <c r="O441" i="20" s="1"/>
  <c r="Q407" i="20"/>
  <c r="N407" i="20"/>
  <c r="O407" i="20" s="1"/>
  <c r="Q379" i="20"/>
  <c r="N379" i="20"/>
  <c r="O379" i="20" s="1"/>
  <c r="Q362" i="20"/>
  <c r="N362" i="20"/>
  <c r="O362" i="20" s="1"/>
  <c r="Q346" i="20"/>
  <c r="N346" i="20"/>
  <c r="O346" i="20" s="1"/>
  <c r="Q545" i="20"/>
  <c r="N545" i="20"/>
  <c r="O545" i="20" s="1"/>
  <c r="Q515" i="20"/>
  <c r="N515" i="20"/>
  <c r="O515" i="20" s="1"/>
  <c r="Q92" i="20"/>
  <c r="N92" i="20"/>
  <c r="O92" i="20" s="1"/>
  <c r="Q61" i="20"/>
  <c r="N61" i="20"/>
  <c r="O61" i="20" s="1"/>
  <c r="Q413" i="20"/>
  <c r="N413" i="20"/>
  <c r="O413" i="20" s="1"/>
  <c r="Q551" i="20"/>
  <c r="N551" i="20"/>
  <c r="O551" i="20" s="1"/>
  <c r="Q205" i="20"/>
  <c r="N205" i="20"/>
  <c r="O205" i="20" s="1"/>
  <c r="Q392" i="20"/>
  <c r="N392" i="20"/>
  <c r="O392" i="20" s="1"/>
  <c r="Q256" i="20"/>
  <c r="N256" i="20"/>
  <c r="O256" i="20" s="1"/>
  <c r="Q98" i="20"/>
  <c r="N98" i="20"/>
  <c r="O98" i="20" s="1"/>
  <c r="Q204" i="20"/>
  <c r="N204" i="20"/>
  <c r="O204" i="20" s="1"/>
  <c r="Q305" i="20"/>
  <c r="N305" i="20"/>
  <c r="O305" i="20" s="1"/>
  <c r="Q433" i="20"/>
  <c r="N433" i="20"/>
  <c r="O433" i="20" s="1"/>
  <c r="Q537" i="20"/>
  <c r="N537" i="20"/>
  <c r="O537" i="20" s="1"/>
  <c r="Q308" i="20"/>
  <c r="N308" i="20"/>
  <c r="O308" i="20" s="1"/>
  <c r="Q249" i="20"/>
  <c r="N249" i="20"/>
  <c r="O249" i="20" s="1"/>
  <c r="Q304" i="20"/>
  <c r="N304" i="20"/>
  <c r="O304" i="20" s="1"/>
  <c r="Q226" i="20"/>
  <c r="N226" i="20"/>
  <c r="O226" i="20" s="1"/>
  <c r="Q416" i="20"/>
  <c r="N416" i="20"/>
  <c r="O416" i="20" s="1"/>
  <c r="Q391" i="20"/>
  <c r="N391" i="20"/>
  <c r="O391" i="20" s="1"/>
  <c r="Q364" i="20"/>
  <c r="N364" i="20"/>
  <c r="O364" i="20" s="1"/>
  <c r="Q348" i="20"/>
  <c r="N348" i="20"/>
  <c r="O348" i="20" s="1"/>
  <c r="Q327" i="20"/>
  <c r="N327" i="20"/>
  <c r="O327" i="20" s="1"/>
  <c r="Q550" i="20"/>
  <c r="N550" i="20"/>
  <c r="O550" i="20" s="1"/>
  <c r="Q511" i="20"/>
  <c r="N511" i="20"/>
  <c r="O511" i="20" s="1"/>
  <c r="Q109" i="20"/>
  <c r="N109" i="20"/>
  <c r="O109" i="20" s="1"/>
  <c r="Q78" i="20"/>
  <c r="N78" i="20"/>
  <c r="O78" i="20" s="1"/>
  <c r="Q135" i="20"/>
  <c r="N135" i="20"/>
  <c r="O135" i="20" s="1"/>
  <c r="Q265" i="20"/>
  <c r="N265" i="20"/>
  <c r="O265" i="20" s="1"/>
  <c r="Q345" i="20"/>
  <c r="N345" i="20"/>
  <c r="O345" i="20" s="1"/>
  <c r="I561" i="20"/>
  <c r="J561" i="20" s="1"/>
  <c r="Q337" i="20"/>
  <c r="N337" i="20"/>
  <c r="O337" i="20" s="1"/>
  <c r="Q307" i="20"/>
  <c r="N307" i="20"/>
  <c r="O307" i="20" s="1"/>
  <c r="Q271" i="20"/>
  <c r="N271" i="20"/>
  <c r="O271" i="20" s="1"/>
  <c r="Q251" i="20"/>
  <c r="N251" i="20"/>
  <c r="O251" i="20" s="1"/>
  <c r="Q540" i="20"/>
  <c r="N540" i="20"/>
  <c r="O540" i="20" s="1"/>
  <c r="Q508" i="20"/>
  <c r="N508" i="20"/>
  <c r="O508" i="20" s="1"/>
  <c r="Q94" i="20"/>
  <c r="N94" i="20"/>
  <c r="O94" i="20" s="1"/>
  <c r="Q209" i="20"/>
  <c r="N209" i="20"/>
  <c r="O209" i="20" s="1"/>
  <c r="Q177" i="20"/>
  <c r="N177" i="20"/>
  <c r="O177" i="20" s="1"/>
  <c r="Q313" i="20"/>
  <c r="N313" i="20"/>
  <c r="O313" i="20" s="1"/>
  <c r="Q147" i="20"/>
  <c r="N147" i="20"/>
  <c r="O147" i="20" s="1"/>
  <c r="Q477" i="20"/>
  <c r="N477" i="20"/>
  <c r="O477" i="20" s="1"/>
  <c r="Q206" i="20"/>
  <c r="N206" i="20"/>
  <c r="O206" i="20" s="1"/>
  <c r="Q174" i="20"/>
  <c r="N174" i="20"/>
  <c r="O174" i="20" s="1"/>
  <c r="Q143" i="20"/>
  <c r="N143" i="20"/>
  <c r="O143" i="20" s="1"/>
  <c r="Q213" i="20"/>
  <c r="N213" i="20"/>
  <c r="O213" i="20" s="1"/>
  <c r="Q365" i="20"/>
  <c r="N365" i="20"/>
  <c r="O365" i="20" s="1"/>
  <c r="Q218" i="20"/>
  <c r="N218" i="20"/>
  <c r="O218" i="20" s="1"/>
  <c r="Q301" i="20"/>
  <c r="N301" i="20"/>
  <c r="O301" i="20" s="1"/>
  <c r="Q270" i="20"/>
  <c r="N270" i="20"/>
  <c r="O270" i="20" s="1"/>
  <c r="Q77" i="20"/>
  <c r="N77" i="20"/>
  <c r="O77" i="20" s="1"/>
  <c r="Q203" i="20"/>
  <c r="N203" i="20"/>
  <c r="O203" i="20" s="1"/>
  <c r="Q171" i="20"/>
  <c r="N171" i="20"/>
  <c r="O171" i="20" s="1"/>
  <c r="Q134" i="20"/>
  <c r="N134" i="20"/>
  <c r="O134" i="20" s="1"/>
  <c r="Q349" i="20"/>
  <c r="N349" i="20"/>
  <c r="O349" i="20" s="1"/>
  <c r="Q539" i="20"/>
  <c r="N539" i="20"/>
  <c r="O539" i="20" s="1"/>
  <c r="Q208" i="20"/>
  <c r="N208" i="20"/>
  <c r="O208" i="20" s="1"/>
  <c r="Q176" i="20"/>
  <c r="N176" i="20"/>
  <c r="O176" i="20" s="1"/>
  <c r="Q145" i="20"/>
  <c r="N145" i="20"/>
  <c r="O145" i="20" s="1"/>
  <c r="Q361" i="20"/>
  <c r="N361" i="20"/>
  <c r="O361" i="20" s="1"/>
  <c r="Q312" i="20"/>
  <c r="N312" i="20"/>
  <c r="O312" i="20" s="1"/>
  <c r="Q514" i="20"/>
  <c r="N514" i="20"/>
  <c r="O514" i="20" s="1"/>
  <c r="Q160" i="20"/>
  <c r="N160" i="20"/>
  <c r="O160" i="20" s="1"/>
  <c r="Q55" i="20"/>
  <c r="N55" i="20"/>
  <c r="O55" i="20" s="1"/>
  <c r="Q130" i="20"/>
  <c r="N130" i="20"/>
  <c r="O130" i="20" s="1"/>
  <c r="Q85" i="20"/>
  <c r="N85" i="20"/>
  <c r="O85" i="20" s="1"/>
  <c r="Q428" i="20"/>
  <c r="N428" i="20"/>
  <c r="O428" i="20" s="1"/>
  <c r="Q323" i="20"/>
  <c r="N323" i="20"/>
  <c r="O323" i="20" s="1"/>
  <c r="Q62" i="20"/>
  <c r="N62" i="20"/>
  <c r="O62" i="20" s="1"/>
  <c r="Q333" i="20"/>
  <c r="N333" i="20"/>
  <c r="O333" i="20" s="1"/>
  <c r="Q252" i="20"/>
  <c r="N252" i="20"/>
  <c r="O252" i="20" s="1"/>
  <c r="Q91" i="20"/>
  <c r="N91" i="20"/>
  <c r="O91" i="20" s="1"/>
  <c r="Q215" i="20"/>
  <c r="N215" i="20"/>
  <c r="O215" i="20" s="1"/>
  <c r="Q152" i="20"/>
  <c r="N152" i="20"/>
  <c r="O152" i="20" s="1"/>
  <c r="Q194" i="20"/>
  <c r="N194" i="20"/>
  <c r="O194" i="20" s="1"/>
  <c r="Q386" i="20"/>
  <c r="N386" i="20"/>
  <c r="O386" i="20" s="1"/>
  <c r="Q543" i="20"/>
  <c r="N543" i="20"/>
  <c r="O543" i="20" s="1"/>
  <c r="Q196" i="20"/>
  <c r="N196" i="20"/>
  <c r="O196" i="20" s="1"/>
  <c r="Q157" i="20"/>
  <c r="N157" i="20"/>
  <c r="O157" i="20" s="1"/>
  <c r="Q425" i="20"/>
  <c r="N425" i="20"/>
  <c r="O425" i="20" s="1"/>
  <c r="Q476" i="20"/>
  <c r="N476" i="20"/>
  <c r="O476" i="20" s="1"/>
  <c r="Q432" i="20"/>
  <c r="N432" i="20"/>
  <c r="O432" i="20" s="1"/>
  <c r="Q467" i="20"/>
  <c r="N467" i="20"/>
  <c r="O467" i="20" s="1"/>
  <c r="Q415" i="20"/>
  <c r="N415" i="20"/>
  <c r="O415" i="20" s="1"/>
  <c r="Q390" i="20"/>
  <c r="N390" i="20"/>
  <c r="O390" i="20" s="1"/>
  <c r="Q367" i="20"/>
  <c r="N367" i="20"/>
  <c r="O367" i="20" s="1"/>
  <c r="Q351" i="20"/>
  <c r="N351" i="20"/>
  <c r="O351" i="20" s="1"/>
  <c r="Q319" i="20"/>
  <c r="N319" i="20"/>
  <c r="O319" i="20" s="1"/>
  <c r="Q529" i="20"/>
  <c r="N529" i="20"/>
  <c r="O529" i="20" s="1"/>
  <c r="Q127" i="20"/>
  <c r="N127" i="20"/>
  <c r="O127" i="20" s="1"/>
  <c r="Q86" i="20"/>
  <c r="N86" i="20"/>
  <c r="O86" i="20" s="1"/>
  <c r="Q58" i="20"/>
  <c r="N58" i="20"/>
  <c r="O58" i="20" s="1"/>
  <c r="Q520" i="20"/>
  <c r="N520" i="20"/>
  <c r="O520" i="20" s="1"/>
  <c r="Q408" i="20"/>
  <c r="N408" i="20"/>
  <c r="O408" i="20" s="1"/>
  <c r="Q318" i="20"/>
  <c r="N318" i="20"/>
  <c r="O318" i="20" s="1"/>
  <c r="Q250" i="20"/>
  <c r="N250" i="20"/>
  <c r="O250" i="20" s="1"/>
  <c r="Q542" i="20"/>
  <c r="N542" i="20"/>
  <c r="O542" i="20" s="1"/>
  <c r="Q482" i="20"/>
  <c r="N482" i="20"/>
  <c r="O482" i="20" s="1"/>
  <c r="Q118" i="20"/>
  <c r="N118" i="20"/>
  <c r="O118" i="20" s="1"/>
  <c r="Q399" i="20"/>
  <c r="N399" i="20"/>
  <c r="O399" i="20" s="1"/>
  <c r="Q114" i="20"/>
  <c r="N114" i="20"/>
  <c r="O114" i="20" s="1"/>
  <c r="Q82" i="20"/>
  <c r="N82" i="20"/>
  <c r="O82" i="20" s="1"/>
  <c r="Q434" i="20"/>
  <c r="N434" i="20"/>
  <c r="O434" i="20" s="1"/>
  <c r="Q400" i="20"/>
  <c r="N400" i="20"/>
  <c r="O400" i="20" s="1"/>
  <c r="Q374" i="20"/>
  <c r="N374" i="20"/>
  <c r="O374" i="20" s="1"/>
  <c r="Q358" i="20"/>
  <c r="N358" i="20"/>
  <c r="O358" i="20" s="1"/>
  <c r="Q342" i="20"/>
  <c r="N342" i="20"/>
  <c r="O342" i="20" s="1"/>
  <c r="Q507" i="20"/>
  <c r="N507" i="20"/>
  <c r="O507" i="20" s="1"/>
  <c r="Q129" i="20"/>
  <c r="N129" i="20"/>
  <c r="O129" i="20" s="1"/>
  <c r="Q88" i="20"/>
  <c r="N88" i="20"/>
  <c r="O88" i="20" s="1"/>
  <c r="Q57" i="20"/>
  <c r="N57" i="20"/>
  <c r="O57" i="20" s="1"/>
  <c r="Q329" i="20"/>
  <c r="N329" i="20"/>
  <c r="O329" i="20" s="1"/>
  <c r="Q536" i="20"/>
  <c r="N536" i="20"/>
  <c r="O536" i="20" s="1"/>
  <c r="Q189" i="20"/>
  <c r="N189" i="20"/>
  <c r="O189" i="20" s="1"/>
  <c r="Q340" i="20"/>
  <c r="N340" i="20"/>
  <c r="O340" i="20" s="1"/>
  <c r="Q544" i="20"/>
  <c r="N544" i="20"/>
  <c r="O544" i="20" s="1"/>
  <c r="Q223" i="20"/>
  <c r="N223" i="20"/>
  <c r="O223" i="20" s="1"/>
  <c r="Q172" i="20"/>
  <c r="N172" i="20"/>
  <c r="O172" i="20" s="1"/>
  <c r="Q410" i="20"/>
  <c r="N410" i="20"/>
  <c r="O410" i="20" s="1"/>
  <c r="Q512" i="20"/>
  <c r="N512" i="20"/>
  <c r="O512" i="20" s="1"/>
  <c r="Q355" i="20"/>
  <c r="N355" i="20"/>
  <c r="O355" i="20" s="1"/>
  <c r="Q97" i="20"/>
  <c r="N97" i="20"/>
  <c r="O97" i="20" s="1"/>
  <c r="Q136" i="20"/>
  <c r="N136" i="20"/>
  <c r="O136" i="20" s="1"/>
  <c r="Q397" i="20"/>
  <c r="N397" i="20"/>
  <c r="O397" i="20" s="1"/>
  <c r="Q272" i="20"/>
  <c r="Q538" i="20"/>
  <c r="N538" i="20"/>
  <c r="O538" i="20" s="1"/>
  <c r="Q456" i="20"/>
  <c r="N456" i="20"/>
  <c r="O456" i="20" s="1"/>
  <c r="Q183" i="20"/>
  <c r="N183" i="20"/>
  <c r="O183" i="20" s="1"/>
  <c r="Q328" i="20"/>
  <c r="N328" i="20"/>
  <c r="O328" i="20" s="1"/>
  <c r="Q175" i="20"/>
  <c r="N175" i="20"/>
  <c r="O175" i="20" s="1"/>
  <c r="Q528" i="20"/>
  <c r="N528" i="20"/>
  <c r="O528" i="20" s="1"/>
  <c r="Q424" i="20"/>
  <c r="N424" i="20"/>
  <c r="O424" i="20" s="1"/>
  <c r="Q533" i="20"/>
  <c r="N533" i="20"/>
  <c r="O533" i="20" s="1"/>
  <c r="Q411" i="20"/>
  <c r="N411" i="20"/>
  <c r="O411" i="20" s="1"/>
  <c r="Q360" i="20"/>
  <c r="N360" i="20"/>
  <c r="O360" i="20" s="1"/>
  <c r="Q344" i="20"/>
  <c r="N344" i="20"/>
  <c r="O344" i="20" s="1"/>
  <c r="Q320" i="20"/>
  <c r="N320" i="20"/>
  <c r="O320" i="20" s="1"/>
  <c r="Q483" i="20"/>
  <c r="N483" i="20"/>
  <c r="O483" i="20" s="1"/>
  <c r="Q125" i="20"/>
  <c r="N125" i="20"/>
  <c r="O125" i="20" s="1"/>
  <c r="Q103" i="20"/>
  <c r="N103" i="20"/>
  <c r="O103" i="20" s="1"/>
  <c r="Q228" i="20"/>
  <c r="N228" i="20"/>
  <c r="O228" i="20" s="1"/>
  <c r="Q131" i="20"/>
  <c r="N131" i="20"/>
  <c r="O131" i="20" s="1"/>
  <c r="Q527" i="20"/>
  <c r="N527" i="20"/>
  <c r="O527" i="20" s="1"/>
  <c r="I769" i="20"/>
  <c r="J769" i="20" s="1"/>
  <c r="Q403" i="20"/>
  <c r="N403" i="20"/>
  <c r="O403" i="20" s="1"/>
  <c r="Q331" i="20"/>
  <c r="N331" i="20"/>
  <c r="O331" i="20" s="1"/>
  <c r="Q298" i="20"/>
  <c r="N298" i="20"/>
  <c r="O298" i="20" s="1"/>
  <c r="Q267" i="20"/>
  <c r="N267" i="20"/>
  <c r="O267" i="20" s="1"/>
  <c r="Q246" i="20"/>
  <c r="N246" i="20"/>
  <c r="O246" i="20" s="1"/>
  <c r="Q532" i="20"/>
  <c r="N532" i="20"/>
  <c r="O532" i="20" s="1"/>
  <c r="Q480" i="20"/>
  <c r="N480" i="20"/>
  <c r="O480" i="20" s="1"/>
  <c r="Q116" i="20"/>
  <c r="N116" i="20"/>
  <c r="O116" i="20" s="1"/>
  <c r="Q81" i="20"/>
  <c r="N81" i="20"/>
  <c r="O81" i="20" s="1"/>
  <c r="Q201" i="20"/>
  <c r="N201" i="20"/>
  <c r="O201" i="20" s="1"/>
  <c r="Q169" i="20"/>
  <c r="N169" i="20"/>
  <c r="O169" i="20" s="1"/>
  <c r="I73" i="20"/>
  <c r="J73" i="20" s="1"/>
  <c r="Q521" i="20"/>
  <c r="N521" i="20"/>
  <c r="O521" i="20" s="1"/>
  <c r="Q198" i="20"/>
  <c r="N198" i="20"/>
  <c r="O198" i="20" s="1"/>
  <c r="Q166" i="20"/>
  <c r="N166" i="20"/>
  <c r="O166" i="20" s="1"/>
  <c r="Q341" i="20"/>
  <c r="N341" i="20"/>
  <c r="O341" i="20" s="1"/>
  <c r="Q202" i="20"/>
  <c r="N202" i="20"/>
  <c r="O202" i="20" s="1"/>
  <c r="Q297" i="20"/>
  <c r="N297" i="20"/>
  <c r="O297" i="20" s="1"/>
  <c r="Q266" i="20"/>
  <c r="N266" i="20"/>
  <c r="O266" i="20" s="1"/>
  <c r="Q195" i="20"/>
  <c r="N195" i="20"/>
  <c r="O195" i="20" s="1"/>
  <c r="Q296" i="20"/>
  <c r="N296" i="20"/>
  <c r="O296" i="20" s="1"/>
  <c r="Q547" i="20"/>
  <c r="N547" i="20"/>
  <c r="O547" i="20" s="1"/>
  <c r="Q155" i="20"/>
  <c r="N155" i="20"/>
  <c r="O155" i="20" s="1"/>
  <c r="Q531" i="20"/>
  <c r="N531" i="20"/>
  <c r="O531" i="20" s="1"/>
  <c r="Q168" i="20"/>
  <c r="N168" i="20"/>
  <c r="O168" i="20" s="1"/>
  <c r="Q387" i="20"/>
  <c r="N387" i="20"/>
  <c r="O387" i="20" s="1"/>
  <c r="Q530" i="20"/>
  <c r="N530" i="20"/>
  <c r="O530" i="20" s="1"/>
  <c r="Q207" i="20"/>
  <c r="N207" i="20"/>
  <c r="O207" i="20" s="1"/>
  <c r="Q178" i="20"/>
  <c r="N178" i="20"/>
  <c r="O178" i="20" s="1"/>
  <c r="Q220" i="20"/>
  <c r="N220" i="20"/>
  <c r="O220" i="20" s="1"/>
  <c r="Q149" i="20"/>
  <c r="N149" i="20"/>
  <c r="O149" i="20" s="1"/>
  <c r="Q388" i="20"/>
  <c r="N388" i="20"/>
  <c r="O388" i="20" s="1"/>
  <c r="Q126" i="20"/>
  <c r="N126" i="20"/>
  <c r="O126" i="20" s="1"/>
  <c r="Q76" i="20"/>
  <c r="N76" i="20"/>
  <c r="O76" i="20" s="1"/>
  <c r="Q162" i="20"/>
  <c r="N162" i="20"/>
  <c r="O162" i="20" s="1"/>
  <c r="Q273" i="20"/>
  <c r="N273" i="20"/>
  <c r="O273" i="20" s="1"/>
  <c r="Q462" i="20"/>
  <c r="N462" i="20"/>
  <c r="O462" i="20" s="1"/>
  <c r="Q353" i="20"/>
  <c r="N353" i="20"/>
  <c r="O353" i="20" s="1"/>
  <c r="Q107" i="20"/>
  <c r="N107" i="20"/>
  <c r="O107" i="20" s="1"/>
  <c r="Q64" i="20"/>
  <c r="N64" i="20"/>
  <c r="O64" i="20" s="1"/>
  <c r="Q409" i="20"/>
  <c r="N409" i="20"/>
  <c r="O409" i="20" s="1"/>
  <c r="Q380" i="20"/>
  <c r="N380" i="20"/>
  <c r="O380" i="20" s="1"/>
  <c r="Q363" i="20"/>
  <c r="N363" i="20"/>
  <c r="O363" i="20" s="1"/>
  <c r="Q347" i="20"/>
  <c r="N347" i="20"/>
  <c r="O347" i="20" s="1"/>
  <c r="Q302" i="20"/>
  <c r="N302" i="20"/>
  <c r="O302" i="20" s="1"/>
  <c r="Q471" i="20"/>
  <c r="N471" i="20"/>
  <c r="O471" i="20" s="1"/>
  <c r="Q121" i="20"/>
  <c r="N121" i="20"/>
  <c r="O121" i="20" s="1"/>
  <c r="Q237" i="20"/>
  <c r="Q137" i="20"/>
  <c r="N137" i="20"/>
  <c r="O137" i="20" s="1"/>
  <c r="Q484" i="20"/>
  <c r="N484" i="20"/>
  <c r="O484" i="20" s="1"/>
  <c r="Q197" i="20"/>
  <c r="N197" i="20"/>
  <c r="O197" i="20" s="1"/>
  <c r="Q401" i="20"/>
  <c r="N401" i="20"/>
  <c r="O401" i="20" s="1"/>
  <c r="Q314" i="20"/>
  <c r="N314" i="20"/>
  <c r="O314" i="20" s="1"/>
  <c r="Q245" i="20"/>
  <c r="Q534" i="20"/>
  <c r="N534" i="20"/>
  <c r="O534" i="20" s="1"/>
  <c r="Q474" i="20"/>
  <c r="N474" i="20"/>
  <c r="O474" i="20" s="1"/>
  <c r="Q108" i="20"/>
  <c r="N108" i="20"/>
  <c r="O108" i="20" s="1"/>
  <c r="Q227" i="20"/>
  <c r="N227" i="20"/>
  <c r="O227" i="20" s="1"/>
  <c r="Q165" i="20"/>
  <c r="N165" i="20"/>
  <c r="O165" i="20" s="1"/>
  <c r="Q150" i="20"/>
  <c r="N150" i="20"/>
  <c r="O150" i="20" s="1"/>
  <c r="Q426" i="20"/>
  <c r="N426" i="20"/>
  <c r="O426" i="20" s="1"/>
  <c r="Q393" i="20"/>
  <c r="N393" i="20"/>
  <c r="O393" i="20" s="1"/>
  <c r="Q370" i="20"/>
  <c r="N370" i="20"/>
  <c r="O370" i="20" s="1"/>
  <c r="Q354" i="20"/>
  <c r="N354" i="20"/>
  <c r="O354" i="20" s="1"/>
  <c r="Q322" i="20"/>
  <c r="N322" i="20"/>
  <c r="O322" i="20" s="1"/>
  <c r="Q479" i="20"/>
  <c r="N479" i="20"/>
  <c r="O479" i="20" s="1"/>
  <c r="Q123" i="20"/>
  <c r="N123" i="20"/>
  <c r="O123" i="20" s="1"/>
  <c r="Q80" i="20"/>
  <c r="N80" i="20"/>
  <c r="O80" i="20" s="1"/>
  <c r="Q200" i="20"/>
  <c r="N200" i="20"/>
  <c r="O200" i="20" s="1"/>
  <c r="Q139" i="20"/>
  <c r="N139" i="20"/>
  <c r="O139" i="20" s="1"/>
  <c r="Q300" i="20"/>
  <c r="N300" i="20"/>
  <c r="O300" i="20" s="1"/>
  <c r="Q120" i="20"/>
  <c r="N120" i="20"/>
  <c r="O120" i="20" s="1"/>
  <c r="Q173" i="20"/>
  <c r="N173" i="20"/>
  <c r="O173" i="20" s="1"/>
  <c r="Q334" i="20"/>
  <c r="N334" i="20"/>
  <c r="O334" i="20" s="1"/>
  <c r="I635" i="19"/>
  <c r="J635" i="19" s="1"/>
  <c r="L635" i="19" s="1"/>
  <c r="J199" i="19"/>
  <c r="L199" i="19" s="1"/>
  <c r="I198" i="19"/>
  <c r="J198" i="19" s="1"/>
  <c r="L198" i="19" s="1"/>
  <c r="J363" i="19"/>
  <c r="L363" i="19" s="1"/>
  <c r="I446" i="19"/>
  <c r="J446" i="19" s="1"/>
  <c r="L446" i="19" s="1"/>
  <c r="I243" i="20"/>
  <c r="J243" i="20" s="1"/>
  <c r="J244" i="20"/>
  <c r="J453" i="20"/>
  <c r="J448" i="19"/>
  <c r="I574" i="19"/>
  <c r="J574" i="19" s="1"/>
  <c r="J28" i="19"/>
  <c r="L28" i="19" s="1"/>
  <c r="I41" i="19"/>
  <c r="J41" i="19" s="1"/>
  <c r="L41" i="19" s="1"/>
  <c r="J43" i="19"/>
  <c r="L43" i="19" s="1"/>
  <c r="I197" i="19"/>
  <c r="J197" i="19" s="1"/>
  <c r="L197" i="19" s="1"/>
  <c r="J563" i="20"/>
  <c r="J26" i="20"/>
  <c r="J75" i="20"/>
  <c r="H254" i="21" l="1"/>
  <c r="O254" i="21" s="1"/>
  <c r="O249" i="21" s="1"/>
  <c r="VQQ247" i="20"/>
  <c r="VQM247" i="20" s="1"/>
  <c r="VQI247" i="20" s="1"/>
  <c r="VQE247" i="20" s="1"/>
  <c r="VQP247" i="20"/>
  <c r="Q251" i="21"/>
  <c r="O229" i="21"/>
  <c r="O28" i="21"/>
  <c r="K243" i="20"/>
  <c r="L243" i="20" s="1"/>
  <c r="N243" i="20" s="1"/>
  <c r="H206" i="21"/>
  <c r="O206" i="21" s="1"/>
  <c r="O205" i="21" s="1"/>
  <c r="N563" i="20"/>
  <c r="K452" i="20"/>
  <c r="K562" i="20"/>
  <c r="L562" i="20" s="1"/>
  <c r="Q243" i="20"/>
  <c r="I25" i="20"/>
  <c r="J25" i="20" s="1"/>
  <c r="K242" i="20"/>
  <c r="L242" i="20" s="1"/>
  <c r="N242" i="20" s="1"/>
  <c r="O242" i="20" s="1"/>
  <c r="K25" i="20"/>
  <c r="L25" i="20" s="1"/>
  <c r="N769" i="20"/>
  <c r="Q242" i="20"/>
  <c r="Q75" i="20"/>
  <c r="N75" i="20"/>
  <c r="O75" i="20" s="1"/>
  <c r="Q73" i="20"/>
  <c r="N73" i="20"/>
  <c r="O73" i="20" s="1"/>
  <c r="Q26" i="20"/>
  <c r="N26" i="20"/>
  <c r="O26" i="20" s="1"/>
  <c r="Q561" i="20"/>
  <c r="N561" i="20"/>
  <c r="O561" i="20" s="1"/>
  <c r="Q453" i="20"/>
  <c r="N453" i="20"/>
  <c r="O453" i="20" s="1"/>
  <c r="Q244" i="20"/>
  <c r="N244" i="20"/>
  <c r="O244" i="20" s="1"/>
  <c r="I583" i="19"/>
  <c r="I581" i="19" s="1"/>
  <c r="I362" i="19"/>
  <c r="J362" i="19" s="1"/>
  <c r="L362" i="19" s="1"/>
  <c r="I42" i="19"/>
  <c r="J42" i="19" s="1"/>
  <c r="L42" i="19" s="1"/>
  <c r="I562" i="20"/>
  <c r="J562" i="20" s="1"/>
  <c r="I447" i="19"/>
  <c r="J447" i="19" s="1"/>
  <c r="L447" i="19" s="1"/>
  <c r="I27" i="19"/>
  <c r="I74" i="20"/>
  <c r="J74" i="20" s="1"/>
  <c r="I452" i="20"/>
  <c r="J452" i="20" s="1"/>
  <c r="VQL247" i="20" l="1"/>
  <c r="VQH247" i="20" s="1"/>
  <c r="VQD247" i="20" s="1"/>
  <c r="VPZ247" i="20" s="1"/>
  <c r="VQK247" i="20"/>
  <c r="L452" i="20"/>
  <c r="N452" i="20" s="1"/>
  <c r="Q562" i="20"/>
  <c r="N562" i="20"/>
  <c r="Q452" i="20"/>
  <c r="Q74" i="20"/>
  <c r="K74" i="20"/>
  <c r="L74" i="20" s="1"/>
  <c r="N74" i="20" s="1"/>
  <c r="N25" i="20"/>
  <c r="J583" i="19"/>
  <c r="L583" i="19" s="1"/>
  <c r="J27" i="19"/>
  <c r="I25" i="19"/>
  <c r="J24" i="20"/>
  <c r="J771" i="20" s="1"/>
  <c r="Q25" i="20"/>
  <c r="I24" i="20"/>
  <c r="VQG247" i="20" l="1"/>
  <c r="VQC247" i="20" s="1"/>
  <c r="VPY247" i="20" s="1"/>
  <c r="VPU247" i="20" s="1"/>
  <c r="VQF247" i="20"/>
  <c r="K24" i="20"/>
  <c r="L24" i="20"/>
  <c r="L771"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VQB247" i="20" l="1"/>
  <c r="VPX247" i="20" s="1"/>
  <c r="VPT247" i="20" s="1"/>
  <c r="VPP247" i="20" s="1"/>
  <c r="VQA247" i="20"/>
  <c r="N24" i="20"/>
  <c r="N771" i="20" s="1"/>
  <c r="BO12" i="20"/>
  <c r="BO9" i="20"/>
  <c r="BV16" i="21"/>
  <c r="BP13" i="20"/>
  <c r="BP12" i="20" s="1"/>
  <c r="VPW247" i="20" l="1"/>
  <c r="VPS247" i="20" s="1"/>
  <c r="VPO247" i="20" s="1"/>
  <c r="VPK247" i="20" s="1"/>
  <c r="VPV247" i="20"/>
  <c r="BV15" i="21"/>
  <c r="BW16" i="21"/>
  <c r="BQ13" i="20"/>
  <c r="BP9" i="20"/>
  <c r="VPR247" i="20" l="1"/>
  <c r="VPN247" i="20" s="1"/>
  <c r="VPJ247" i="20" s="1"/>
  <c r="VPF247" i="20" s="1"/>
  <c r="VPQ247" i="20"/>
  <c r="BX16" i="21"/>
  <c r="BW15" i="21"/>
  <c r="BQ12" i="20"/>
  <c r="BQ9" i="20"/>
  <c r="BR13" i="20"/>
  <c r="VPM247" i="20" l="1"/>
  <c r="VPI247" i="20" s="1"/>
  <c r="VPE247" i="20" s="1"/>
  <c r="VPA247" i="20" s="1"/>
  <c r="VPL247" i="20"/>
  <c r="BX15" i="21"/>
  <c r="BY16" i="21"/>
  <c r="BR9" i="20"/>
  <c r="BS13" i="20"/>
  <c r="BR12" i="20"/>
  <c r="VPH247" i="20" l="1"/>
  <c r="VPD247" i="20" s="1"/>
  <c r="VOZ247" i="20" s="1"/>
  <c r="VOV247" i="20" s="1"/>
  <c r="VPG247" i="20"/>
  <c r="BZ16" i="21"/>
  <c r="BY15" i="21"/>
  <c r="BT13" i="20"/>
  <c r="BS12" i="20"/>
  <c r="BS9" i="20"/>
  <c r="VPC247" i="20" l="1"/>
  <c r="VOY247" i="20" s="1"/>
  <c r="VOU247" i="20" s="1"/>
  <c r="VOQ247" i="20" s="1"/>
  <c r="VPB247" i="20"/>
  <c r="BZ15" i="21"/>
  <c r="CA16" i="21"/>
  <c r="BT12" i="20"/>
  <c r="BU13" i="20"/>
  <c r="BT9" i="20"/>
  <c r="VOX247" i="20" l="1"/>
  <c r="VOT247" i="20" s="1"/>
  <c r="VOP247" i="20" s="1"/>
  <c r="VOL247" i="20" s="1"/>
  <c r="VOW247" i="20"/>
  <c r="CB16" i="21"/>
  <c r="CA15" i="21"/>
  <c r="BU12" i="20"/>
  <c r="BU9" i="20"/>
  <c r="BV13" i="20"/>
  <c r="VOS247" i="20" l="1"/>
  <c r="VOO247" i="20" s="1"/>
  <c r="VOK247" i="20" s="1"/>
  <c r="VOG247" i="20" s="1"/>
  <c r="VOR247" i="20"/>
  <c r="CB15" i="21"/>
  <c r="CC16" i="21"/>
  <c r="BW13" i="20"/>
  <c r="BV12" i="20"/>
  <c r="BV9" i="20"/>
  <c r="VON247" i="20" l="1"/>
  <c r="VOJ247" i="20" s="1"/>
  <c r="VOF247" i="20" s="1"/>
  <c r="VOB247" i="20" s="1"/>
  <c r="VOM247" i="20"/>
  <c r="CC15" i="21"/>
  <c r="CD16" i="21"/>
  <c r="BX13" i="20"/>
  <c r="BW12" i="20"/>
  <c r="BW9" i="20"/>
  <c r="VOI247" i="20" l="1"/>
  <c r="VOE247" i="20" s="1"/>
  <c r="VOA247" i="20" s="1"/>
  <c r="VNW247" i="20" s="1"/>
  <c r="VOH247" i="20"/>
  <c r="CD15" i="21"/>
  <c r="CE16" i="21"/>
  <c r="BX12" i="20"/>
  <c r="BX9" i="20"/>
  <c r="BY13" i="20"/>
  <c r="VOD247" i="20" l="1"/>
  <c r="VNZ247" i="20" s="1"/>
  <c r="VNV247" i="20" s="1"/>
  <c r="VNR247" i="20" s="1"/>
  <c r="VOC247" i="20"/>
  <c r="CE15" i="21"/>
  <c r="CF16" i="21"/>
  <c r="BZ13" i="20"/>
  <c r="BY12" i="20"/>
  <c r="BY9" i="20"/>
  <c r="VNY247" i="20" l="1"/>
  <c r="VNU247" i="20" s="1"/>
  <c r="VNQ247" i="20" s="1"/>
  <c r="VNM247" i="20" s="1"/>
  <c r="VNX247" i="20"/>
  <c r="CG16" i="21"/>
  <c r="CF15" i="21"/>
  <c r="BZ9" i="20"/>
  <c r="CA13" i="20"/>
  <c r="BZ12" i="20"/>
  <c r="VNT247" i="20" l="1"/>
  <c r="VNP247" i="20" s="1"/>
  <c r="VNL247" i="20" s="1"/>
  <c r="VNH247" i="20" s="1"/>
  <c r="VNS247" i="20"/>
  <c r="CH16" i="21"/>
  <c r="CG15" i="21"/>
  <c r="CB13" i="20"/>
  <c r="CA12" i="20"/>
  <c r="CA9" i="20"/>
  <c r="VNO247" i="20" l="1"/>
  <c r="VNK247" i="20" s="1"/>
  <c r="VNG247" i="20" s="1"/>
  <c r="VNC247" i="20" s="1"/>
  <c r="VNN247" i="20"/>
  <c r="CI16" i="2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VNJ247" i="20" l="1"/>
  <c r="VNF247" i="20" s="1"/>
  <c r="VNB247" i="20" s="1"/>
  <c r="VMX247" i="20" s="1"/>
  <c r="VNI247" i="20"/>
  <c r="N148" i="2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M107" i="21" a="1"/>
  <c r="M107" i="21" s="1"/>
  <c r="L199" i="21" a="1"/>
  <c r="L199" i="21" s="1"/>
  <c r="M26" i="21" a="1"/>
  <c r="M26" i="21" s="1"/>
  <c r="P26" i="21" s="1"/>
  <c r="L186" i="21" a="1"/>
  <c r="L186" i="21" s="1"/>
  <c r="M179" i="21" a="1"/>
  <c r="M179" i="21" s="1"/>
  <c r="M27" i="21" a="1"/>
  <c r="M27" i="21" s="1"/>
  <c r="P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L201" i="21" a="1"/>
  <c r="L201" i="21" s="1"/>
  <c r="M124" i="21" a="1"/>
  <c r="M124" i="21" s="1"/>
  <c r="M127" i="21" a="1"/>
  <c r="M127" i="21" s="1"/>
  <c r="L153" i="21" a="1"/>
  <c r="L153" i="21" s="1"/>
  <c r="P153" i="21" s="1"/>
  <c r="M157" i="21" a="1"/>
  <c r="M157" i="21" s="1"/>
  <c r="P157" i="21" s="1"/>
  <c r="M200" i="21" a="1"/>
  <c r="M200" i="21" s="1"/>
  <c r="M158" i="21" a="1"/>
  <c r="M158" i="21" s="1"/>
  <c r="L168" i="21" a="1"/>
  <c r="L168" i="21" s="1"/>
  <c r="M163" i="21" a="1"/>
  <c r="M163" i="21" s="1"/>
  <c r="P163" i="21" s="1"/>
  <c r="M203" i="21" a="1"/>
  <c r="M203" i="21" s="1"/>
  <c r="L59" i="21" a="1"/>
  <c r="L59" i="21" s="1"/>
  <c r="L111" i="21" a="1"/>
  <c r="L111" i="21" s="1"/>
  <c r="P111" i="21" s="1"/>
  <c r="M82" i="21" a="1"/>
  <c r="M82" i="21" s="1"/>
  <c r="L116" i="21" a="1"/>
  <c r="L116" i="21" s="1"/>
  <c r="L196" i="21" a="1"/>
  <c r="L196" i="21" s="1"/>
  <c r="P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M187" i="21" a="1"/>
  <c r="M187" i="21" s="1"/>
  <c r="L135" i="21" a="1"/>
  <c r="L135" i="21" s="1"/>
  <c r="M194" i="21" a="1"/>
  <c r="M194" i="21" s="1"/>
  <c r="P194" i="21" s="1"/>
  <c r="M114" i="21" a="1"/>
  <c r="M114" i="21" s="1"/>
  <c r="M99" i="21" a="1"/>
  <c r="M99" i="21" s="1"/>
  <c r="L223" i="21" a="1"/>
  <c r="L223" i="21" s="1"/>
  <c r="M156" i="21" a="1"/>
  <c r="M156" i="21" s="1"/>
  <c r="M100" i="21" a="1"/>
  <c r="M100" i="21" s="1"/>
  <c r="L100" i="21" a="1"/>
  <c r="L100" i="21" s="1"/>
  <c r="L25" i="21" a="1"/>
  <c r="L25" i="21" s="1"/>
  <c r="P25" i="21" s="1"/>
  <c r="M51" i="21" a="1"/>
  <c r="M51" i="21" s="1"/>
  <c r="M173" i="21" a="1"/>
  <c r="M173" i="21" s="1"/>
  <c r="M182" i="21" a="1"/>
  <c r="M182" i="21" s="1"/>
  <c r="M223" i="21" a="1"/>
  <c r="M223" i="21" s="1"/>
  <c r="L117" i="21" a="1"/>
  <c r="L117" i="21" s="1"/>
  <c r="P117" i="21" s="1"/>
  <c r="M168" i="21" a="1"/>
  <c r="M168" i="21" s="1"/>
  <c r="L124" i="21" a="1"/>
  <c r="L124" i="21" s="1"/>
  <c r="L56" i="21" a="1"/>
  <c r="L56" i="21" s="1"/>
  <c r="L52" i="21" a="1"/>
  <c r="L52" i="21" s="1"/>
  <c r="L200" i="21" a="1"/>
  <c r="L200" i="21" s="1"/>
  <c r="P200" i="21" s="1"/>
  <c r="L126" i="21" a="1"/>
  <c r="L126" i="21" s="1"/>
  <c r="L222" i="21" a="1"/>
  <c r="L222" i="21" s="1"/>
  <c r="P222" i="21" s="1"/>
  <c r="M116" i="21" a="1"/>
  <c r="M116" i="21" s="1"/>
  <c r="L91" i="21" a="1"/>
  <c r="L91" i="21" s="1"/>
  <c r="P91" i="21" s="1"/>
  <c r="M60" i="21" a="1"/>
  <c r="M60" i="21" s="1"/>
  <c r="M221" i="21" a="1"/>
  <c r="M221" i="21" s="1"/>
  <c r="M224" i="21" a="1"/>
  <c r="M224" i="21" s="1"/>
  <c r="M178" i="21" a="1"/>
  <c r="M178" i="21" s="1"/>
  <c r="L180" i="21" a="1"/>
  <c r="L180" i="21" s="1"/>
  <c r="L179" i="21" a="1"/>
  <c r="L179" i="21" s="1"/>
  <c r="P179" i="21" s="1"/>
  <c r="Q179" i="21" s="1"/>
  <c r="L90" i="21" a="1"/>
  <c r="L90" i="21" s="1"/>
  <c r="P90" i="21" s="1"/>
  <c r="L110" i="21" a="1"/>
  <c r="L110" i="21" s="1"/>
  <c r="M53" i="21" a="1"/>
  <c r="M53" i="21" s="1"/>
  <c r="P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M195" i="21" a="1"/>
  <c r="M195" i="21" s="1"/>
  <c r="P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M188" i="21" a="1"/>
  <c r="M188" i="21" s="1"/>
  <c r="P188" i="21" s="1"/>
  <c r="Q188" i="21" s="1"/>
  <c r="M135" i="21" a="1"/>
  <c r="M135" i="21" s="1"/>
  <c r="L24" i="21" a="1"/>
  <c r="L24" i="21" s="1"/>
  <c r="L112" i="21" a="1"/>
  <c r="L112" i="21" s="1"/>
  <c r="P112" i="21" s="1"/>
  <c r="L187" i="21" a="1"/>
  <c r="L187" i="21" s="1"/>
  <c r="L183" i="21" a="1"/>
  <c r="L183" i="21" s="1"/>
  <c r="P183" i="21" s="1"/>
  <c r="Q183" i="21" s="1"/>
  <c r="L79" i="21" a="1"/>
  <c r="L79" i="21" s="1"/>
  <c r="L77" i="21" s="1"/>
  <c r="M58" i="21" a="1"/>
  <c r="M58" i="21" s="1"/>
  <c r="M23" i="21" a="1"/>
  <c r="M23" i="21" s="1"/>
  <c r="M20" i="21" a="1"/>
  <c r="M20" i="21" s="1"/>
  <c r="L150" i="21" a="1"/>
  <c r="L150" i="21" s="1"/>
  <c r="P150" i="21" s="1"/>
  <c r="L18" i="21" a="1"/>
  <c r="L18" i="21" s="1"/>
  <c r="P18" i="21" s="1"/>
  <c r="M126" i="21" a="1"/>
  <c r="M126" i="21" s="1"/>
  <c r="L23" i="21" a="1"/>
  <c r="L23" i="21" s="1"/>
  <c r="L115" i="21" a="1"/>
  <c r="L115" i="21" s="1"/>
  <c r="P115" i="21" s="1"/>
  <c r="L203" i="21" a="1"/>
  <c r="L203" i="21" s="1"/>
  <c r="L118" i="21" a="1"/>
  <c r="L118" i="21" s="1"/>
  <c r="P118" i="21" s="1"/>
  <c r="M201" i="21" a="1"/>
  <c r="M201" i="21" s="1"/>
  <c r="M59" i="21" a="1"/>
  <c r="M59" i="21" s="1"/>
  <c r="M24" i="21" a="1"/>
  <c r="M24" i="21" s="1"/>
  <c r="P24" i="21" s="1"/>
  <c r="L119" i="21" a="1"/>
  <c r="L119" i="21" s="1"/>
  <c r="L190" i="21" a="1"/>
  <c r="L190" i="21" s="1"/>
  <c r="P190" i="21" s="1"/>
  <c r="L54" i="21" a="1"/>
  <c r="L54" i="21" s="1"/>
  <c r="P54" i="21" s="1"/>
  <c r="M81" i="21" a="1"/>
  <c r="M81" i="21" s="1"/>
  <c r="L129" i="21" a="1"/>
  <c r="L129" i="21" s="1"/>
  <c r="P129" i="21" s="1"/>
  <c r="P128" i="21" s="1"/>
  <c r="L177" i="21" a="1"/>
  <c r="L177" i="21" s="1"/>
  <c r="M108" i="21" a="1"/>
  <c r="M108" i="21" s="1"/>
  <c r="L113" i="21" a="1"/>
  <c r="L113" i="21" s="1"/>
  <c r="P113" i="21" s="1"/>
  <c r="L166" i="21" a="1"/>
  <c r="L166" i="21" s="1"/>
  <c r="P166" i="21" s="1"/>
  <c r="P165" i="21" s="1"/>
  <c r="L221" i="21" a="1"/>
  <c r="L221" i="21" s="1"/>
  <c r="M192" i="21" a="1"/>
  <c r="M192" i="21" s="1"/>
  <c r="P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M76" i="21" a="1"/>
  <c r="M76" i="21" s="1"/>
  <c r="M74" i="21" a="1"/>
  <c r="M74" i="21" s="1"/>
  <c r="L48" i="21" a="1"/>
  <c r="L48" i="21" s="1"/>
  <c r="P48" i="21" s="1"/>
  <c r="M72" i="21" a="1"/>
  <c r="M72" i="21" s="1"/>
  <c r="L69" i="21" a="1"/>
  <c r="L69" i="21" s="1"/>
  <c r="L49" i="21" a="1"/>
  <c r="L49" i="21" s="1"/>
  <c r="P49" i="21" s="1"/>
  <c r="L64" i="21" a="1"/>
  <c r="L64" i="21" s="1"/>
  <c r="P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M22" i="21" a="1"/>
  <c r="M22" i="21" s="1"/>
  <c r="P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P170" i="21"/>
  <c r="P120" i="21"/>
  <c r="P164" i="21"/>
  <c r="P211" i="21"/>
  <c r="Q211" i="21" s="1"/>
  <c r="P140" i="21"/>
  <c r="P139" i="21" s="1"/>
  <c r="P217" i="21"/>
  <c r="Q217" i="21" s="1"/>
  <c r="P216" i="21"/>
  <c r="Q216" i="21" s="1"/>
  <c r="P143" i="21"/>
  <c r="P206" i="21"/>
  <c r="Q206" i="21" s="1"/>
  <c r="P215" i="21"/>
  <c r="Q215" i="21" s="1"/>
  <c r="P210" i="21"/>
  <c r="Q210" i="21" s="1"/>
  <c r="P208" i="21"/>
  <c r="Q208" i="21" s="1"/>
  <c r="P209" i="21"/>
  <c r="Q209" i="21" s="1"/>
  <c r="P213" i="21"/>
  <c r="Q213" i="21" s="1"/>
  <c r="P212" i="21"/>
  <c r="Q212" i="21" s="1"/>
  <c r="P214" i="21"/>
  <c r="Q214" i="21" s="1"/>
  <c r="P55" i="21"/>
  <c r="P101" i="2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P243" i="21"/>
  <c r="Q243" i="21" s="1"/>
  <c r="P38" i="21"/>
  <c r="Q38" i="21" s="1"/>
  <c r="P245" i="21"/>
  <c r="Q245" i="21" s="1"/>
  <c r="P34" i="21"/>
  <c r="Q34" i="21" s="1"/>
  <c r="P240" i="21"/>
  <c r="Q240" i="21" s="1"/>
  <c r="P43" i="21"/>
  <c r="Q43" i="21" s="1"/>
  <c r="P32" i="21"/>
  <c r="Q32" i="21" s="1"/>
  <c r="P162" i="21"/>
  <c r="P237" i="21"/>
  <c r="Q237" i="21" s="1"/>
  <c r="M88" i="21"/>
  <c r="L96" i="21"/>
  <c r="P175" i="2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108" i="21" l="1"/>
  <c r="VNE247" i="20"/>
  <c r="VNA247" i="20" s="1"/>
  <c r="VMW247" i="20" s="1"/>
  <c r="VMS247" i="20" s="1"/>
  <c r="VND247" i="20"/>
  <c r="P187" i="21"/>
  <c r="Q187" i="21" s="1"/>
  <c r="P116" i="21"/>
  <c r="P73" i="21"/>
  <c r="P158" i="21"/>
  <c r="P252" i="21"/>
  <c r="Q252" i="21" s="1"/>
  <c r="P248" i="21"/>
  <c r="Q248" i="21" s="1"/>
  <c r="P228" i="21"/>
  <c r="P180" i="21"/>
  <c r="Q180" i="21" s="1"/>
  <c r="P81" i="21"/>
  <c r="P203" i="21"/>
  <c r="L123" i="21"/>
  <c r="P202" i="21"/>
  <c r="P59" i="21"/>
  <c r="P133" i="21"/>
  <c r="M136" i="21"/>
  <c r="P126" i="21"/>
  <c r="P182" i="21"/>
  <c r="Q182" i="21" s="1"/>
  <c r="P78" i="21"/>
  <c r="P137" i="21"/>
  <c r="P124" i="21"/>
  <c r="P114" i="21"/>
  <c r="M249" i="21"/>
  <c r="L249" i="21"/>
  <c r="P253" i="21"/>
  <c r="Q253" i="21" s="1"/>
  <c r="P223" i="21"/>
  <c r="P127" i="21"/>
  <c r="L17" i="21"/>
  <c r="L193" i="21"/>
  <c r="P171" i="21"/>
  <c r="P107" i="21"/>
  <c r="P47" i="21"/>
  <c r="P135" i="21"/>
  <c r="P250" i="21"/>
  <c r="L148" i="21"/>
  <c r="P227" i="21"/>
  <c r="P197" i="21"/>
  <c r="P224" i="21"/>
  <c r="P51" i="21"/>
  <c r="M198" i="21"/>
  <c r="L98" i="21"/>
  <c r="P172" i="21"/>
  <c r="P199" i="21"/>
  <c r="L50" i="21"/>
  <c r="M123" i="21"/>
  <c r="M220" i="21"/>
  <c r="I169" i="21"/>
  <c r="I167" i="21" s="1"/>
  <c r="I165" i="21" s="1"/>
  <c r="I161" i="21" s="1"/>
  <c r="L121" i="21"/>
  <c r="P66" i="21"/>
  <c r="P52" i="21"/>
  <c r="P58" i="21"/>
  <c r="P97" i="21"/>
  <c r="M28" i="21"/>
  <c r="P99" i="21"/>
  <c r="P75" i="21"/>
  <c r="P119" i="21"/>
  <c r="P79" i="21"/>
  <c r="P204" i="21"/>
  <c r="L28" i="21"/>
  <c r="P156" i="21"/>
  <c r="P110" i="21"/>
  <c r="P168" i="21"/>
  <c r="P173" i="21"/>
  <c r="P100" i="21"/>
  <c r="M83" i="21"/>
  <c r="M46" i="21"/>
  <c r="P72" i="21"/>
  <c r="P221" i="21"/>
  <c r="P177" i="21"/>
  <c r="Q177" i="21" s="1"/>
  <c r="L19" i="21"/>
  <c r="P20" i="21"/>
  <c r="P76" i="21"/>
  <c r="M80" i="21"/>
  <c r="P74" i="21"/>
  <c r="M152" i="21"/>
  <c r="P67" i="21"/>
  <c r="P65" i="21"/>
  <c r="L198" i="21"/>
  <c r="P82" i="21"/>
  <c r="L88" i="21"/>
  <c r="L152" i="21"/>
  <c r="L220" i="21"/>
  <c r="P184" i="21"/>
  <c r="Q184" i="21" s="1"/>
  <c r="P45" i="21"/>
  <c r="P44" i="21" s="1"/>
  <c r="L106" i="21"/>
  <c r="M176" i="21"/>
  <c r="M169" i="21" s="1"/>
  <c r="M167" i="21" s="1"/>
  <c r="M165" i="21" s="1"/>
  <c r="M161" i="21" s="1"/>
  <c r="M106" i="21"/>
  <c r="P56" i="21"/>
  <c r="M193" i="21"/>
  <c r="P149" i="21"/>
  <c r="P148" i="21" s="1"/>
  <c r="P95" i="21"/>
  <c r="P94" i="21" s="1"/>
  <c r="P160" i="21"/>
  <c r="P23" i="21"/>
  <c r="M148" i="21"/>
  <c r="P35" i="21"/>
  <c r="Q35" i="21" s="1"/>
  <c r="M98" i="21"/>
  <c r="P207" i="21"/>
  <c r="Q207" i="21" s="1"/>
  <c r="P178" i="21"/>
  <c r="Q178" i="21" s="1"/>
  <c r="M50" i="21"/>
  <c r="P69" i="21"/>
  <c r="M77" i="21"/>
  <c r="P71" i="21"/>
  <c r="L189" i="21"/>
  <c r="L176" i="21"/>
  <c r="L169" i="21" s="1"/>
  <c r="L167" i="21" s="1"/>
  <c r="L165" i="21" s="1"/>
  <c r="L161" i="21" s="1"/>
  <c r="P134" i="21"/>
  <c r="M19" i="21"/>
  <c r="P146" i="21"/>
  <c r="P201" i="21"/>
  <c r="P131" i="21"/>
  <c r="P186" i="21"/>
  <c r="Q186" i="21" s="1"/>
  <c r="P103" i="21"/>
  <c r="P102" i="21" s="1"/>
  <c r="P93" i="21"/>
  <c r="P92" i="21" s="1"/>
  <c r="L46" i="21"/>
  <c r="P84" i="21"/>
  <c r="P147" i="21"/>
  <c r="P138" i="21"/>
  <c r="M61" i="21"/>
  <c r="P145" i="21"/>
  <c r="L229" i="21"/>
  <c r="P105" i="21"/>
  <c r="P104" i="21" s="1"/>
  <c r="P68" i="21"/>
  <c r="P57" i="21"/>
  <c r="P70" i="21"/>
  <c r="P85" i="21"/>
  <c r="P226" i="21"/>
  <c r="L61" i="21"/>
  <c r="M189" i="21"/>
  <c r="P87" i="21"/>
  <c r="L136" i="21"/>
  <c r="P141" i="21"/>
  <c r="P161" i="21"/>
  <c r="P88" i="21"/>
  <c r="P17" i="21"/>
  <c r="P189" i="21"/>
  <c r="Q176" i="21"/>
  <c r="P174" i="21"/>
  <c r="Q205" i="21"/>
  <c r="CD12" i="20"/>
  <c r="CD9" i="20"/>
  <c r="CE13" i="20"/>
  <c r="VMZ247" i="20" l="1"/>
  <c r="VMV247" i="20" s="1"/>
  <c r="VMR247" i="20" s="1"/>
  <c r="VMN247" i="20" s="1"/>
  <c r="VMY247" i="20"/>
  <c r="P136" i="21"/>
  <c r="P46" i="21"/>
  <c r="P229" i="21"/>
  <c r="Q229" i="21" s="1"/>
  <c r="Q250" i="21"/>
  <c r="P249" i="21"/>
  <c r="Q249" i="21" s="1"/>
  <c r="P123" i="21"/>
  <c r="P193" i="21"/>
  <c r="P96" i="21"/>
  <c r="P98" i="21"/>
  <c r="P152" i="21"/>
  <c r="P77" i="21"/>
  <c r="P106" i="21"/>
  <c r="L144" i="21"/>
  <c r="L141" i="21" s="1"/>
  <c r="L139" i="21" s="1"/>
  <c r="L132" i="21" s="1"/>
  <c r="P80" i="21"/>
  <c r="P132" i="21"/>
  <c r="P130" i="21" s="1"/>
  <c r="P220" i="21"/>
  <c r="P159" i="21"/>
  <c r="M144" i="21"/>
  <c r="M141" i="21" s="1"/>
  <c r="M139" i="21" s="1"/>
  <c r="M132" i="21" s="1"/>
  <c r="Q45" i="21"/>
  <c r="P28" i="21"/>
  <c r="Q28" i="21" s="1"/>
  <c r="P19" i="21"/>
  <c r="P198" i="21"/>
  <c r="P144" i="21"/>
  <c r="P50" i="21"/>
  <c r="P61" i="21"/>
  <c r="P86" i="21"/>
  <c r="P83" i="21"/>
  <c r="P167" i="21"/>
  <c r="Q44" i="21"/>
  <c r="CF13" i="20"/>
  <c r="CE12" i="20"/>
  <c r="CE9" i="20"/>
  <c r="VMU247" i="20" l="1"/>
  <c r="VMQ247" i="20" s="1"/>
  <c r="VMM247" i="20" s="1"/>
  <c r="VMI247" i="20" s="1"/>
  <c r="VMT247" i="20"/>
  <c r="M130" i="21"/>
  <c r="M128" i="21" s="1"/>
  <c r="M44" i="21" s="1"/>
  <c r="L130" i="21"/>
  <c r="L128" i="21" s="1"/>
  <c r="L44" i="21" s="1"/>
  <c r="Q169" i="21"/>
  <c r="CG13" i="20"/>
  <c r="CF12" i="20"/>
  <c r="CF9" i="20"/>
  <c r="VMP247" i="20" l="1"/>
  <c r="VML247" i="20" s="1"/>
  <c r="VMH247" i="20" s="1"/>
  <c r="VMD247" i="20" s="1"/>
  <c r="VMO247" i="20"/>
  <c r="CG9" i="20"/>
  <c r="CH13" i="20"/>
  <c r="CG12" i="20"/>
  <c r="VMK247" i="20" l="1"/>
  <c r="VMG247" i="20" s="1"/>
  <c r="VMC247" i="20" s="1"/>
  <c r="VLY247" i="20" s="1"/>
  <c r="VMJ247" i="20"/>
  <c r="CI13" i="20"/>
  <c r="CH12" i="20"/>
  <c r="CH9" i="20"/>
  <c r="VMF247" i="20" l="1"/>
  <c r="VMB247" i="20" s="1"/>
  <c r="VLX247" i="20" s="1"/>
  <c r="VLT247" i="20" s="1"/>
  <c r="VME247" i="20"/>
  <c r="CI12" i="20"/>
  <c r="CI9" i="20"/>
  <c r="CJ13" i="20"/>
  <c r="VMA247" i="20" l="1"/>
  <c r="VLW247" i="20" s="1"/>
  <c r="VLS247" i="20" s="1"/>
  <c r="VLO247" i="20" s="1"/>
  <c r="VLZ247" i="20"/>
  <c r="CJ9" i="20"/>
  <c r="CK13" i="20"/>
  <c r="CJ12" i="20"/>
  <c r="VLV247" i="20" l="1"/>
  <c r="VLR247" i="20" s="1"/>
  <c r="VLN247" i="20" s="1"/>
  <c r="VLJ247" i="20" s="1"/>
  <c r="VLU247" i="20"/>
  <c r="CL13" i="20"/>
  <c r="CK12" i="20"/>
  <c r="CK9" i="20"/>
  <c r="VLQ247" i="20" l="1"/>
  <c r="VLM247" i="20" s="1"/>
  <c r="VLI247" i="20" s="1"/>
  <c r="VLE247" i="20" s="1"/>
  <c r="VLP247" i="20"/>
  <c r="CL12" i="20"/>
  <c r="CL9" i="20"/>
  <c r="CM13" i="20"/>
  <c r="VLL247" i="20" l="1"/>
  <c r="VLH247" i="20" s="1"/>
  <c r="VLD247" i="20" s="1"/>
  <c r="VKZ247" i="20" s="1"/>
  <c r="VLK247" i="20"/>
  <c r="CN13" i="20"/>
  <c r="CM12" i="20"/>
  <c r="CM9" i="20"/>
  <c r="VLG247" i="20" l="1"/>
  <c r="VLC247" i="20" s="1"/>
  <c r="VKY247" i="20" s="1"/>
  <c r="VKU247" i="20" s="1"/>
  <c r="VLF247" i="20"/>
  <c r="CO13" i="20"/>
  <c r="CN12" i="20"/>
  <c r="CN9" i="20"/>
  <c r="VLB247" i="20" l="1"/>
  <c r="VKX247" i="20" s="1"/>
  <c r="VKT247" i="20" s="1"/>
  <c r="VKP247" i="20" s="1"/>
  <c r="VLA247" i="20"/>
  <c r="CO9" i="20"/>
  <c r="CP13" i="20"/>
  <c r="CO12" i="20"/>
  <c r="VKW247" i="20" l="1"/>
  <c r="VKS247" i="20" s="1"/>
  <c r="VKO247" i="20" s="1"/>
  <c r="VKK247" i="20" s="1"/>
  <c r="VKV247" i="20"/>
  <c r="CQ13" i="20"/>
  <c r="CP12" i="20"/>
  <c r="CP9" i="20"/>
  <c r="VKR247" i="20" l="1"/>
  <c r="VKN247" i="20" s="1"/>
  <c r="VKJ247" i="20" s="1"/>
  <c r="VKF247" i="20" s="1"/>
  <c r="VKQ247" i="20"/>
  <c r="CQ12" i="20"/>
  <c r="CQ9" i="20"/>
  <c r="CR13" i="20"/>
  <c r="VKM247" i="20" l="1"/>
  <c r="VKI247" i="20" s="1"/>
  <c r="VKE247" i="20" s="1"/>
  <c r="VKA247" i="20" s="1"/>
  <c r="VKL247" i="20"/>
  <c r="CR9" i="20"/>
  <c r="CS13" i="20"/>
  <c r="CR12" i="20"/>
  <c r="VKH247" i="20" l="1"/>
  <c r="VKD247" i="20" s="1"/>
  <c r="VJZ247" i="20" s="1"/>
  <c r="VJV247" i="20" s="1"/>
  <c r="VKG247" i="20"/>
  <c r="CT13" i="20"/>
  <c r="CS12" i="20"/>
  <c r="CS9" i="20"/>
  <c r="VKC247" i="20" l="1"/>
  <c r="VJY247" i="20" s="1"/>
  <c r="VJU247" i="20" s="1"/>
  <c r="VJQ247" i="20" s="1"/>
  <c r="VKB247" i="20"/>
  <c r="CT12" i="20"/>
  <c r="CT9" i="20"/>
  <c r="CU13" i="20"/>
  <c r="VJX247" i="20" l="1"/>
  <c r="VJT247" i="20" s="1"/>
  <c r="VJP247" i="20" s="1"/>
  <c r="VJL247" i="20" s="1"/>
  <c r="VJW247" i="20"/>
  <c r="CV13" i="20"/>
  <c r="CU12" i="20"/>
  <c r="CU9" i="20"/>
  <c r="VJS247" i="20" l="1"/>
  <c r="VJO247" i="20" s="1"/>
  <c r="VJK247" i="20" s="1"/>
  <c r="VJG247" i="20" s="1"/>
  <c r="VJR247" i="20"/>
  <c r="CW13" i="20"/>
  <c r="CV12" i="20"/>
  <c r="CV9" i="20"/>
  <c r="VJN247" i="20" l="1"/>
  <c r="VJJ247" i="20" s="1"/>
  <c r="VJF247" i="20" s="1"/>
  <c r="VJB247" i="20" s="1"/>
  <c r="VJM247" i="20"/>
  <c r="CW9" i="20"/>
  <c r="CX13" i="20"/>
  <c r="CW12" i="20"/>
  <c r="VJI247" i="20" l="1"/>
  <c r="VJE247" i="20" s="1"/>
  <c r="VJA247" i="20" s="1"/>
  <c r="VIW247" i="20" s="1"/>
  <c r="VJH247" i="20"/>
  <c r="CY13" i="20"/>
  <c r="CX12" i="20"/>
  <c r="CX9" i="20"/>
  <c r="VJD247" i="20" l="1"/>
  <c r="VIZ247" i="20" s="1"/>
  <c r="VIV247" i="20" s="1"/>
  <c r="VIR247" i="20" s="1"/>
  <c r="VJC247" i="20"/>
  <c r="CY12" i="20"/>
  <c r="CY9" i="20"/>
  <c r="CZ13" i="20"/>
  <c r="VIY247" i="20" l="1"/>
  <c r="VIU247" i="20" s="1"/>
  <c r="VIQ247" i="20" s="1"/>
  <c r="VIM247" i="20" s="1"/>
  <c r="VIX247" i="20"/>
  <c r="CZ9" i="20"/>
  <c r="DA13" i="20"/>
  <c r="CZ12" i="20"/>
  <c r="VIT247" i="20" l="1"/>
  <c r="VIP247" i="20" s="1"/>
  <c r="VIL247" i="20" s="1"/>
  <c r="VIH247" i="20" s="1"/>
  <c r="VIS247" i="20"/>
  <c r="DB13" i="20"/>
  <c r="DA12" i="20"/>
  <c r="DA9" i="20"/>
  <c r="VIO247" i="20" l="1"/>
  <c r="VIK247" i="20" s="1"/>
  <c r="VIG247" i="20" s="1"/>
  <c r="VIC247" i="20" s="1"/>
  <c r="VIN247" i="20"/>
  <c r="DB12" i="20"/>
  <c r="DB9" i="20"/>
  <c r="DC13" i="20"/>
  <c r="VIJ247" i="20" l="1"/>
  <c r="VIF247" i="20" s="1"/>
  <c r="VIB247" i="20" s="1"/>
  <c r="VHX247" i="20" s="1"/>
  <c r="VII247" i="20"/>
  <c r="DD13" i="20"/>
  <c r="DC12" i="20"/>
  <c r="DC9" i="20"/>
  <c r="VIE247" i="20" l="1"/>
  <c r="VIA247" i="20" s="1"/>
  <c r="VHW247" i="20" s="1"/>
  <c r="VHS247" i="20" s="1"/>
  <c r="VID247" i="20"/>
  <c r="DE13" i="20"/>
  <c r="DD12" i="20"/>
  <c r="DD9" i="20"/>
  <c r="VHZ247" i="20" l="1"/>
  <c r="VHV247" i="20" s="1"/>
  <c r="VHR247" i="20" s="1"/>
  <c r="VHN247" i="20" s="1"/>
  <c r="VHY247" i="20"/>
  <c r="DE9" i="20"/>
  <c r="DF13" i="20"/>
  <c r="DE12" i="20"/>
  <c r="VHU247" i="20" l="1"/>
  <c r="VHQ247" i="20" s="1"/>
  <c r="VHM247" i="20" s="1"/>
  <c r="VHI247" i="20" s="1"/>
  <c r="VHT247" i="20"/>
  <c r="DG13" i="20"/>
  <c r="DF12" i="20"/>
  <c r="DF9" i="20"/>
  <c r="VHP247" i="20" l="1"/>
  <c r="VHL247" i="20" s="1"/>
  <c r="VHH247" i="20" s="1"/>
  <c r="VHD247" i="20" s="1"/>
  <c r="VHO247" i="20"/>
  <c r="DG12" i="20"/>
  <c r="DG9" i="20"/>
  <c r="DH13" i="20"/>
  <c r="VHK247" i="20" l="1"/>
  <c r="VHG247" i="20" s="1"/>
  <c r="VHC247" i="20" s="1"/>
  <c r="VGY247" i="20" s="1"/>
  <c r="VHJ247" i="20"/>
  <c r="DH9" i="20"/>
  <c r="DI13" i="20"/>
  <c r="DH12" i="20"/>
  <c r="VHF247" i="20" l="1"/>
  <c r="VHB247" i="20" s="1"/>
  <c r="VGX247" i="20" s="1"/>
  <c r="VGT247" i="20" s="1"/>
  <c r="VHE247" i="20"/>
  <c r="DJ13" i="20"/>
  <c r="DI12" i="20"/>
  <c r="DI9" i="20"/>
  <c r="VHA247" i="20" l="1"/>
  <c r="VGW247" i="20" s="1"/>
  <c r="VGS247" i="20" s="1"/>
  <c r="VGO247" i="20" s="1"/>
  <c r="VGZ247" i="20"/>
  <c r="DJ12" i="20"/>
  <c r="DJ9" i="20"/>
  <c r="DK13" i="20"/>
  <c r="VGV247" i="20" l="1"/>
  <c r="VGR247" i="20" s="1"/>
  <c r="VGN247" i="20" s="1"/>
  <c r="VGJ247" i="20" s="1"/>
  <c r="VGU247" i="20"/>
  <c r="DL13" i="20"/>
  <c r="DK12" i="20"/>
  <c r="DK9" i="20"/>
  <c r="VGQ247" i="20" l="1"/>
  <c r="VGM247" i="20" s="1"/>
  <c r="VGI247" i="20" s="1"/>
  <c r="VGE247" i="20" s="1"/>
  <c r="VGP247" i="20"/>
  <c r="DM13" i="20"/>
  <c r="DL12" i="20"/>
  <c r="DL9" i="20"/>
  <c r="VGL247" i="20" l="1"/>
  <c r="VGH247" i="20" s="1"/>
  <c r="VGD247" i="20" s="1"/>
  <c r="VFZ247" i="20" s="1"/>
  <c r="VGK247" i="20"/>
  <c r="DM9" i="20"/>
  <c r="DN13" i="20"/>
  <c r="DM12" i="20"/>
  <c r="VGG247" i="20" l="1"/>
  <c r="VGC247" i="20" s="1"/>
  <c r="VFY247" i="20" s="1"/>
  <c r="VFU247" i="20" s="1"/>
  <c r="VGF247" i="20"/>
  <c r="DO13" i="20"/>
  <c r="DN12" i="20"/>
  <c r="DN9" i="20"/>
  <c r="VGB247" i="20" l="1"/>
  <c r="VFX247" i="20" s="1"/>
  <c r="VFT247" i="20" s="1"/>
  <c r="VFP247" i="20" s="1"/>
  <c r="VGA247" i="20"/>
  <c r="DO12" i="20"/>
  <c r="DO9" i="20"/>
  <c r="DP13" i="20"/>
  <c r="VFW247" i="20" l="1"/>
  <c r="VFS247" i="20" s="1"/>
  <c r="VFO247" i="20" s="1"/>
  <c r="VFK247" i="20" s="1"/>
  <c r="VFV247" i="20"/>
  <c r="DP9" i="20"/>
  <c r="DQ13" i="20"/>
  <c r="DP12" i="20"/>
  <c r="VFR247" i="20" l="1"/>
  <c r="VFN247" i="20" s="1"/>
  <c r="VFJ247" i="20" s="1"/>
  <c r="VFF247" i="20" s="1"/>
  <c r="VFQ247" i="20"/>
  <c r="DR13" i="20"/>
  <c r="DQ12" i="20"/>
  <c r="DQ9" i="20"/>
  <c r="VFM247" i="20" l="1"/>
  <c r="VFI247" i="20" s="1"/>
  <c r="VFE247" i="20" s="1"/>
  <c r="VFA247" i="20" s="1"/>
  <c r="VFL247" i="20"/>
  <c r="DR12" i="20"/>
  <c r="DR9" i="20"/>
  <c r="DS13" i="20"/>
  <c r="VFH247" i="20" l="1"/>
  <c r="VFD247" i="20" s="1"/>
  <c r="VEZ247" i="20" s="1"/>
  <c r="VEV247" i="20" s="1"/>
  <c r="VFG247" i="20"/>
  <c r="DT13" i="20"/>
  <c r="DS12" i="20"/>
  <c r="DS9" i="20"/>
  <c r="VFC247" i="20" l="1"/>
  <c r="VEY247" i="20" s="1"/>
  <c r="VEU247" i="20" s="1"/>
  <c r="VEQ247" i="20" s="1"/>
  <c r="VFB247" i="20"/>
  <c r="DU13" i="20"/>
  <c r="DT12" i="20"/>
  <c r="DT9" i="20"/>
  <c r="VEX247" i="20" l="1"/>
  <c r="VET247" i="20" s="1"/>
  <c r="VEP247" i="20" s="1"/>
  <c r="VEL247" i="20" s="1"/>
  <c r="VEW247" i="20"/>
  <c r="DU9" i="20"/>
  <c r="DV13" i="20"/>
  <c r="DU12" i="20"/>
  <c r="VES247" i="20" l="1"/>
  <c r="VEO247" i="20" s="1"/>
  <c r="VEK247" i="20" s="1"/>
  <c r="VEG247" i="20" s="1"/>
  <c r="VER247" i="20"/>
  <c r="DW13" i="20"/>
  <c r="DV12" i="20"/>
  <c r="DV9" i="20"/>
  <c r="VEN247" i="20" l="1"/>
  <c r="VEJ247" i="20" s="1"/>
  <c r="VEF247" i="20" s="1"/>
  <c r="VEB247" i="20" s="1"/>
  <c r="VEM247" i="20"/>
  <c r="DW12" i="20"/>
  <c r="DW9" i="20"/>
  <c r="DX13" i="20"/>
  <c r="VEI247" i="20" l="1"/>
  <c r="VEE247" i="20" s="1"/>
  <c r="VEA247" i="20" s="1"/>
  <c r="VDW247" i="20" s="1"/>
  <c r="VEH247" i="20"/>
  <c r="DX9" i="20"/>
  <c r="DY13" i="20"/>
  <c r="DX12" i="20"/>
  <c r="VED247" i="20" l="1"/>
  <c r="VDZ247" i="20" s="1"/>
  <c r="VDV247" i="20" s="1"/>
  <c r="VDR247" i="20" s="1"/>
  <c r="VEC247" i="20"/>
  <c r="DZ13" i="20"/>
  <c r="DY12" i="20"/>
  <c r="DY9" i="20"/>
  <c r="VDY247" i="20" l="1"/>
  <c r="VDU247" i="20" s="1"/>
  <c r="VDQ247" i="20" s="1"/>
  <c r="VDM247" i="20" s="1"/>
  <c r="VDX247" i="20"/>
  <c r="DZ12" i="20"/>
  <c r="DZ9" i="20"/>
  <c r="EA13" i="20"/>
  <c r="VDT247" i="20" l="1"/>
  <c r="VDP247" i="20" s="1"/>
  <c r="VDL247" i="20" s="1"/>
  <c r="VDH247" i="20" s="1"/>
  <c r="VDS247" i="20"/>
  <c r="EB13" i="20"/>
  <c r="EA12" i="20"/>
  <c r="EA9" i="20"/>
  <c r="VDO247" i="20" l="1"/>
  <c r="VDK247" i="20" s="1"/>
  <c r="VDG247" i="20" s="1"/>
  <c r="VDC247" i="20" s="1"/>
  <c r="VDN247" i="20"/>
  <c r="EC13" i="20"/>
  <c r="EB12" i="20"/>
  <c r="EB9" i="20"/>
  <c r="VDJ247" i="20" l="1"/>
  <c r="VDF247" i="20" s="1"/>
  <c r="VDB247" i="20" s="1"/>
  <c r="VCX247" i="20" s="1"/>
  <c r="VDI247" i="20"/>
  <c r="EC9" i="20"/>
  <c r="ED13" i="20"/>
  <c r="EC12" i="20"/>
  <c r="VDE247" i="20" l="1"/>
  <c r="VDA247" i="20" s="1"/>
  <c r="VCW247" i="20" s="1"/>
  <c r="VCS247" i="20" s="1"/>
  <c r="VDD247" i="20"/>
  <c r="EE13" i="20"/>
  <c r="ED12" i="20"/>
  <c r="ED9" i="20"/>
  <c r="VCZ247" i="20" l="1"/>
  <c r="VCV247" i="20" s="1"/>
  <c r="VCR247" i="20" s="1"/>
  <c r="VCN247" i="20" s="1"/>
  <c r="VCY247" i="20"/>
  <c r="EE12" i="20"/>
  <c r="EE9" i="20"/>
  <c r="EF13" i="20"/>
  <c r="VCU247" i="20" l="1"/>
  <c r="VCQ247" i="20" s="1"/>
  <c r="VCM247" i="20" s="1"/>
  <c r="VCI247" i="20" s="1"/>
  <c r="VCT247" i="20"/>
  <c r="EF9" i="20"/>
  <c r="EG13" i="20"/>
  <c r="EF12" i="20"/>
  <c r="VCP247" i="20" l="1"/>
  <c r="VCL247" i="20" s="1"/>
  <c r="VCH247" i="20" s="1"/>
  <c r="VCD247" i="20" s="1"/>
  <c r="VCO247" i="20"/>
  <c r="EH13" i="20"/>
  <c r="EG12" i="20"/>
  <c r="EG9" i="20"/>
  <c r="VCK247" i="20" l="1"/>
  <c r="VCG247" i="20" s="1"/>
  <c r="VCC247" i="20" s="1"/>
  <c r="VBY247" i="20" s="1"/>
  <c r="VCJ247" i="20"/>
  <c r="EH12" i="20"/>
  <c r="EH9" i="20"/>
  <c r="EI13" i="20"/>
  <c r="VCF247" i="20" l="1"/>
  <c r="VCB247" i="20" s="1"/>
  <c r="VBX247" i="20" s="1"/>
  <c r="VBT247" i="20" s="1"/>
  <c r="VCE247" i="20"/>
  <c r="EJ13" i="20"/>
  <c r="EI12" i="20"/>
  <c r="EI9" i="20"/>
  <c r="VCA247" i="20" l="1"/>
  <c r="VBW247" i="20" s="1"/>
  <c r="VBS247" i="20" s="1"/>
  <c r="VBO247" i="20" s="1"/>
  <c r="VBZ247" i="20"/>
  <c r="EK13" i="20"/>
  <c r="EJ12" i="20"/>
  <c r="EJ9" i="20"/>
  <c r="VBV247" i="20" l="1"/>
  <c r="VBR247" i="20" s="1"/>
  <c r="VBN247" i="20" s="1"/>
  <c r="VBJ247" i="20" s="1"/>
  <c r="VBU247" i="20"/>
  <c r="EK9" i="20"/>
  <c r="EL13" i="20"/>
  <c r="EK12" i="20"/>
  <c r="VBQ247" i="20" l="1"/>
  <c r="VBM247" i="20" s="1"/>
  <c r="VBI247" i="20" s="1"/>
  <c r="VBE247" i="20" s="1"/>
  <c r="VBP247" i="20"/>
  <c r="EM13" i="20"/>
  <c r="EL12" i="20"/>
  <c r="EL9" i="20"/>
  <c r="VBL247" i="20" l="1"/>
  <c r="VBH247" i="20" s="1"/>
  <c r="VBD247" i="20" s="1"/>
  <c r="VAZ247" i="20" s="1"/>
  <c r="VBK247" i="20"/>
  <c r="EM12" i="20"/>
  <c r="EM9" i="20"/>
  <c r="EN13" i="20"/>
  <c r="VBG247" i="20" l="1"/>
  <c r="VBC247" i="20" s="1"/>
  <c r="VAY247" i="20" s="1"/>
  <c r="VAU247" i="20" s="1"/>
  <c r="VBF247" i="20"/>
  <c r="EN9" i="20"/>
  <c r="EO13" i="20"/>
  <c r="EN12" i="20"/>
  <c r="VBB247" i="20" l="1"/>
  <c r="VAX247" i="20" s="1"/>
  <c r="VAT247" i="20" s="1"/>
  <c r="VAP247" i="20" s="1"/>
  <c r="VBA247" i="20"/>
  <c r="EP13" i="20"/>
  <c r="EO12" i="20"/>
  <c r="EO9" i="20"/>
  <c r="VAW247" i="20" l="1"/>
  <c r="VAS247" i="20" s="1"/>
  <c r="VAO247" i="20" s="1"/>
  <c r="VAK247" i="20" s="1"/>
  <c r="VAV247" i="20"/>
  <c r="EP12" i="20"/>
  <c r="EP9" i="20"/>
  <c r="EQ13" i="20"/>
  <c r="VAR247" i="20" l="1"/>
  <c r="VAN247" i="20" s="1"/>
  <c r="VAJ247" i="20" s="1"/>
  <c r="VAF247" i="20" s="1"/>
  <c r="VAQ247" i="20"/>
  <c r="ER13" i="20"/>
  <c r="EQ12" i="20"/>
  <c r="EQ9" i="20"/>
  <c r="VAM247" i="20" l="1"/>
  <c r="VAI247" i="20" s="1"/>
  <c r="VAE247" i="20" s="1"/>
  <c r="VAA247" i="20" s="1"/>
  <c r="VAL247" i="20"/>
  <c r="ER12" i="20"/>
  <c r="ES13" i="20"/>
  <c r="ER9" i="20"/>
  <c r="VAH247" i="20" l="1"/>
  <c r="VAD247" i="20" s="1"/>
  <c r="UZZ247" i="20" s="1"/>
  <c r="UZV247" i="20" s="1"/>
  <c r="VAG247" i="20"/>
  <c r="ES12" i="20"/>
  <c r="ES9" i="20"/>
  <c r="VAC247" i="20" l="1"/>
  <c r="UZY247" i="20" s="1"/>
  <c r="UZU247" i="20" s="1"/>
  <c r="UZQ247" i="20" s="1"/>
  <c r="VAB247" i="20"/>
  <c r="M562" i="20"/>
  <c r="O562" i="20" s="1"/>
  <c r="M20" i="20"/>
  <c r="M243" i="20"/>
  <c r="O243" i="20" s="1"/>
  <c r="M74" i="20"/>
  <c r="O74" i="20" s="1"/>
  <c r="M452" i="20"/>
  <c r="O452" i="20" s="1"/>
  <c r="M21" i="20"/>
  <c r="O21" i="20" s="1"/>
  <c r="M22" i="20"/>
  <c r="O22" i="20" s="1"/>
  <c r="M25" i="20"/>
  <c r="UZX247" i="20" l="1"/>
  <c r="UZT247" i="20" s="1"/>
  <c r="UZP247" i="20" s="1"/>
  <c r="UZL247" i="20" s="1"/>
  <c r="UZW247" i="20"/>
  <c r="M24" i="20"/>
  <c r="O25" i="20"/>
  <c r="M19" i="20"/>
  <c r="O19" i="20" s="1"/>
  <c r="O20" i="20"/>
  <c r="UZS247" i="20" l="1"/>
  <c r="UZO247" i="20" s="1"/>
  <c r="UZK247" i="20" s="1"/>
  <c r="UZG247" i="20" s="1"/>
  <c r="UZR247" i="20"/>
  <c r="O24" i="20"/>
  <c r="M771" i="20"/>
  <c r="O771" i="20" s="1"/>
  <c r="UZN247" i="20" l="1"/>
  <c r="UZJ247" i="20" s="1"/>
  <c r="UZF247" i="20" s="1"/>
  <c r="UZB247" i="20" s="1"/>
  <c r="UZM247" i="20"/>
  <c r="UZI247" i="20" l="1"/>
  <c r="UZE247" i="20" s="1"/>
  <c r="UZA247" i="20" s="1"/>
  <c r="UYW247" i="20" s="1"/>
  <c r="UZH247" i="20"/>
  <c r="UZD247" i="20" l="1"/>
  <c r="UYZ247" i="20" s="1"/>
  <c r="UYV247" i="20" s="1"/>
  <c r="UYR247" i="20" s="1"/>
  <c r="UZC247" i="20"/>
  <c r="UYY247" i="20" l="1"/>
  <c r="UYU247" i="20" s="1"/>
  <c r="UYQ247" i="20" s="1"/>
  <c r="UYM247" i="20" s="1"/>
  <c r="UYX247" i="20"/>
  <c r="UYT247" i="20" l="1"/>
  <c r="UYP247" i="20" s="1"/>
  <c r="UYL247" i="20" s="1"/>
  <c r="UYH247" i="20" s="1"/>
  <c r="UYS247" i="20"/>
  <c r="UYO247" i="20" l="1"/>
  <c r="UYK247" i="20" s="1"/>
  <c r="UYG247" i="20" s="1"/>
  <c r="UYC247" i="20" s="1"/>
  <c r="UYN247" i="20"/>
  <c r="UYJ247" i="20" l="1"/>
  <c r="UYF247" i="20" s="1"/>
  <c r="UYB247" i="20" s="1"/>
  <c r="UXX247" i="20" s="1"/>
  <c r="UYI247" i="20"/>
  <c r="UYE247" i="20" l="1"/>
  <c r="UYA247" i="20" s="1"/>
  <c r="UXW247" i="20" s="1"/>
  <c r="UXS247" i="20" s="1"/>
  <c r="UYD247" i="20"/>
  <c r="UXZ247" i="20" l="1"/>
  <c r="UXV247" i="20" s="1"/>
  <c r="UXR247" i="20" s="1"/>
  <c r="UXN247" i="20" s="1"/>
  <c r="UXY247" i="20"/>
  <c r="UXU247" i="20" l="1"/>
  <c r="UXQ247" i="20" s="1"/>
  <c r="UXM247" i="20" s="1"/>
  <c r="UXI247" i="20" s="1"/>
  <c r="UXT247" i="20"/>
  <c r="UXP247" i="20" l="1"/>
  <c r="UXL247" i="20" s="1"/>
  <c r="UXH247" i="20" s="1"/>
  <c r="UXD247" i="20" s="1"/>
  <c r="UXO247" i="20"/>
  <c r="UXK247" i="20" l="1"/>
  <c r="UXG247" i="20" s="1"/>
  <c r="UXC247" i="20" s="1"/>
  <c r="UWY247" i="20" s="1"/>
  <c r="UXJ247" i="20"/>
  <c r="UXF247" i="20" l="1"/>
  <c r="UXB247" i="20" s="1"/>
  <c r="UWX247" i="20" s="1"/>
  <c r="UWT247" i="20" s="1"/>
  <c r="UXE247" i="20"/>
  <c r="UXA247" i="20" l="1"/>
  <c r="UWW247" i="20" s="1"/>
  <c r="UWS247" i="20" s="1"/>
  <c r="UWO247" i="20" s="1"/>
  <c r="UWZ247" i="20"/>
  <c r="UWV247" i="20" l="1"/>
  <c r="UWR247" i="20" s="1"/>
  <c r="UWN247" i="20" s="1"/>
  <c r="UWJ247" i="20" s="1"/>
  <c r="UWU247" i="20"/>
  <c r="UWQ247" i="20" l="1"/>
  <c r="UWM247" i="20" s="1"/>
  <c r="UWI247" i="20" s="1"/>
  <c r="UWE247" i="20" s="1"/>
  <c r="UWP247" i="20"/>
  <c r="UWL247" i="20" l="1"/>
  <c r="UWH247" i="20" s="1"/>
  <c r="UWD247" i="20" s="1"/>
  <c r="UVZ247" i="20" s="1"/>
  <c r="UWK247" i="20"/>
  <c r="UWG247" i="20" l="1"/>
  <c r="UWC247" i="20" s="1"/>
  <c r="UVY247" i="20" s="1"/>
  <c r="UVU247" i="20" s="1"/>
  <c r="UWF247" i="20"/>
  <c r="UWB247" i="20" l="1"/>
  <c r="UVX247" i="20" s="1"/>
  <c r="UVT247" i="20" s="1"/>
  <c r="UVP247" i="20" s="1"/>
  <c r="UWA247" i="20"/>
  <c r="UVW247" i="20" l="1"/>
  <c r="UVS247" i="20" s="1"/>
  <c r="UVO247" i="20" s="1"/>
  <c r="UVK247" i="20" s="1"/>
  <c r="UVV247" i="20"/>
  <c r="UVR247" i="20" l="1"/>
  <c r="UVN247" i="20" s="1"/>
  <c r="UVJ247" i="20" s="1"/>
  <c r="UVF247" i="20" s="1"/>
  <c r="UVQ247" i="20"/>
  <c r="UVM247" i="20" l="1"/>
  <c r="UVI247" i="20" s="1"/>
  <c r="UVE247" i="20" s="1"/>
  <c r="UVA247" i="20" s="1"/>
  <c r="UVL247" i="20"/>
  <c r="UVH247" i="20" l="1"/>
  <c r="UVD247" i="20" s="1"/>
  <c r="UUZ247" i="20" s="1"/>
  <c r="UUV247" i="20" s="1"/>
  <c r="UVG247" i="20"/>
  <c r="UVC247" i="20" l="1"/>
  <c r="UUY247" i="20" s="1"/>
  <c r="UUU247" i="20" s="1"/>
  <c r="UUQ247" i="20" s="1"/>
  <c r="UVB247" i="20"/>
  <c r="UUX247" i="20" l="1"/>
  <c r="UUT247" i="20" s="1"/>
  <c r="UUP247" i="20" s="1"/>
  <c r="UUL247" i="20" s="1"/>
  <c r="UUW247" i="20"/>
  <c r="UUS247" i="20" l="1"/>
  <c r="UUO247" i="20" s="1"/>
  <c r="UUK247" i="20" s="1"/>
  <c r="UUG247" i="20" s="1"/>
  <c r="UUR247" i="20"/>
  <c r="UUN247" i="20" l="1"/>
  <c r="UUJ247" i="20" s="1"/>
  <c r="UUF247" i="20" s="1"/>
  <c r="UUB247" i="20" s="1"/>
  <c r="UUM247" i="20"/>
  <c r="UUI247" i="20" l="1"/>
  <c r="UUE247" i="20" s="1"/>
  <c r="UUA247" i="20" s="1"/>
  <c r="UTW247" i="20" s="1"/>
  <c r="UUH247" i="20"/>
  <c r="UUD247" i="20" l="1"/>
  <c r="UTZ247" i="20" s="1"/>
  <c r="UTV247" i="20" s="1"/>
  <c r="UTR247" i="20" s="1"/>
  <c r="UUC247" i="20"/>
  <c r="UTY247" i="20" l="1"/>
  <c r="UTU247" i="20" s="1"/>
  <c r="UTQ247" i="20" s="1"/>
  <c r="UTM247" i="20" s="1"/>
  <c r="UTX247" i="20"/>
  <c r="UTT247" i="20" l="1"/>
  <c r="UTP247" i="20" s="1"/>
  <c r="UTL247" i="20" s="1"/>
  <c r="UTH247" i="20" s="1"/>
  <c r="UTS247" i="20"/>
  <c r="UTO247" i="20" l="1"/>
  <c r="UTK247" i="20" s="1"/>
  <c r="UTG247" i="20" s="1"/>
  <c r="UTC247" i="20" s="1"/>
  <c r="UTN247" i="20"/>
  <c r="UTJ247" i="20" l="1"/>
  <c r="UTF247" i="20" s="1"/>
  <c r="UTB247" i="20" s="1"/>
  <c r="USX247" i="20" s="1"/>
  <c r="UTI247" i="20"/>
  <c r="UTE247" i="20" l="1"/>
  <c r="UTA247" i="20" s="1"/>
  <c r="USW247" i="20" s="1"/>
  <c r="USS247" i="20" s="1"/>
  <c r="UTD247" i="20"/>
  <c r="USZ247" i="20" l="1"/>
  <c r="USV247" i="20" s="1"/>
  <c r="USR247" i="20" s="1"/>
  <c r="USN247" i="20" s="1"/>
  <c r="USY247" i="20"/>
  <c r="USU247" i="20" l="1"/>
  <c r="USQ247" i="20" s="1"/>
  <c r="USM247" i="20" s="1"/>
  <c r="USI247" i="20" s="1"/>
  <c r="UST247" i="20"/>
  <c r="USP247" i="20" l="1"/>
  <c r="USL247" i="20" s="1"/>
  <c r="USH247" i="20" s="1"/>
  <c r="USD247" i="20" s="1"/>
  <c r="USO247" i="20"/>
  <c r="USK247" i="20" l="1"/>
  <c r="USG247" i="20" s="1"/>
  <c r="USC247" i="20" s="1"/>
  <c r="URY247" i="20" s="1"/>
  <c r="USJ247" i="20"/>
  <c r="USF247" i="20" l="1"/>
  <c r="USB247" i="20" s="1"/>
  <c r="URX247" i="20" s="1"/>
  <c r="URT247" i="20" s="1"/>
  <c r="USE247" i="20"/>
  <c r="USA247" i="20" l="1"/>
  <c r="URW247" i="20" s="1"/>
  <c r="URS247" i="20" s="1"/>
  <c r="URO247" i="20" s="1"/>
  <c r="URZ247" i="20"/>
  <c r="URV247" i="20" l="1"/>
  <c r="URR247" i="20" s="1"/>
  <c r="URN247" i="20" s="1"/>
  <c r="URJ247" i="20" s="1"/>
  <c r="URU247" i="20"/>
  <c r="URQ247" i="20" l="1"/>
  <c r="URM247" i="20" s="1"/>
  <c r="URI247" i="20" s="1"/>
  <c r="URE247" i="20" s="1"/>
  <c r="URP247" i="20"/>
  <c r="URL247" i="20" l="1"/>
  <c r="URH247" i="20" s="1"/>
  <c r="URD247" i="20" s="1"/>
  <c r="UQZ247" i="20" s="1"/>
  <c r="URK247" i="20"/>
  <c r="URG247" i="20" l="1"/>
  <c r="URC247" i="20" s="1"/>
  <c r="UQY247" i="20" s="1"/>
  <c r="UQU247" i="20" s="1"/>
  <c r="URF247" i="20"/>
  <c r="URB247" i="20" l="1"/>
  <c r="UQX247" i="20" s="1"/>
  <c r="UQT247" i="20" s="1"/>
  <c r="UQP247" i="20" s="1"/>
  <c r="URA247" i="20"/>
  <c r="UQW247" i="20" l="1"/>
  <c r="UQS247" i="20" s="1"/>
  <c r="UQO247" i="20" s="1"/>
  <c r="UQK247" i="20" s="1"/>
  <c r="UQV247" i="20"/>
  <c r="UQR247" i="20" l="1"/>
  <c r="UQN247" i="20" s="1"/>
  <c r="UQJ247" i="20" s="1"/>
  <c r="UQF247" i="20" s="1"/>
  <c r="UQQ247" i="20"/>
  <c r="UQM247" i="20" l="1"/>
  <c r="UQI247" i="20" s="1"/>
  <c r="UQE247" i="20" s="1"/>
  <c r="UQA247" i="20" s="1"/>
  <c r="UQL247" i="20"/>
  <c r="UQH247" i="20" l="1"/>
  <c r="UQD247" i="20" s="1"/>
  <c r="UPZ247" i="20" s="1"/>
  <c r="UPV247" i="20" s="1"/>
  <c r="UQG247" i="20"/>
  <c r="UQC247" i="20" l="1"/>
  <c r="UPY247" i="20" s="1"/>
  <c r="UPU247" i="20" s="1"/>
  <c r="UPQ247" i="20" s="1"/>
  <c r="UQB247" i="20"/>
  <c r="UPX247" i="20" l="1"/>
  <c r="UPT247" i="20" s="1"/>
  <c r="UPP247" i="20" s="1"/>
  <c r="UPL247" i="20" s="1"/>
  <c r="UPW247" i="20"/>
  <c r="UPS247" i="20" l="1"/>
  <c r="UPO247" i="20" s="1"/>
  <c r="UPK247" i="20" s="1"/>
  <c r="UPG247" i="20" s="1"/>
  <c r="UPR247" i="20"/>
  <c r="UPN247" i="20" l="1"/>
  <c r="UPJ247" i="20" s="1"/>
  <c r="UPF247" i="20" s="1"/>
  <c r="UPB247" i="20" s="1"/>
  <c r="UPM247" i="20"/>
  <c r="UPI247" i="20" l="1"/>
  <c r="UPE247" i="20" s="1"/>
  <c r="UPA247" i="20" s="1"/>
  <c r="UOW247" i="20" s="1"/>
  <c r="UPH247" i="20"/>
  <c r="UPD247" i="20" l="1"/>
  <c r="UOZ247" i="20" s="1"/>
  <c r="UOV247" i="20" s="1"/>
  <c r="UOR247" i="20" s="1"/>
  <c r="UPC247" i="20"/>
  <c r="UOY247" i="20" l="1"/>
  <c r="UOU247" i="20" s="1"/>
  <c r="UOQ247" i="20" s="1"/>
  <c r="UOM247" i="20" s="1"/>
  <c r="UOX247" i="20"/>
  <c r="UOT247" i="20" l="1"/>
  <c r="UOP247" i="20" s="1"/>
  <c r="UOL247" i="20" s="1"/>
  <c r="UOH247" i="20" s="1"/>
  <c r="UOS247" i="20"/>
  <c r="UOO247" i="20" l="1"/>
  <c r="UOK247" i="20" s="1"/>
  <c r="UOG247" i="20" s="1"/>
  <c r="UOC247" i="20" s="1"/>
  <c r="UON247" i="20"/>
  <c r="UOJ247" i="20" l="1"/>
  <c r="UOF247" i="20" s="1"/>
  <c r="UOB247" i="20" s="1"/>
  <c r="UNX247" i="20" s="1"/>
  <c r="UOI247" i="20"/>
  <c r="UOE247" i="20" l="1"/>
  <c r="UOA247" i="20" s="1"/>
  <c r="UNW247" i="20" s="1"/>
  <c r="UNS247" i="20" s="1"/>
  <c r="UOD247" i="20"/>
  <c r="UNZ247" i="20" l="1"/>
  <c r="UNV247" i="20" s="1"/>
  <c r="UNR247" i="20" s="1"/>
  <c r="UNN247" i="20" s="1"/>
  <c r="UNY247" i="20"/>
  <c r="UNU247" i="20" l="1"/>
  <c r="UNQ247" i="20" s="1"/>
  <c r="UNM247" i="20" s="1"/>
  <c r="UNI247" i="20" s="1"/>
  <c r="UNT247" i="20"/>
  <c r="UNP247" i="20" l="1"/>
  <c r="UNL247" i="20" s="1"/>
  <c r="UNH247" i="20" s="1"/>
  <c r="UND247" i="20" s="1"/>
  <c r="UNO247" i="20"/>
  <c r="UNK247" i="20" l="1"/>
  <c r="UNG247" i="20" s="1"/>
  <c r="UNC247" i="20" s="1"/>
  <c r="UMY247" i="20" s="1"/>
  <c r="UNJ247" i="20"/>
  <c r="UNF247" i="20" l="1"/>
  <c r="UNB247" i="20" s="1"/>
  <c r="UMX247" i="20" s="1"/>
  <c r="UMT247" i="20" s="1"/>
  <c r="UNE247" i="20"/>
  <c r="UNA247" i="20" l="1"/>
  <c r="UMW247" i="20" s="1"/>
  <c r="UMS247" i="20" s="1"/>
  <c r="UMO247" i="20" s="1"/>
  <c r="UMZ247" i="20"/>
  <c r="UMV247" i="20" l="1"/>
  <c r="UMR247" i="20" s="1"/>
  <c r="UMN247" i="20" s="1"/>
  <c r="UMJ247" i="20" s="1"/>
  <c r="UMU247" i="20"/>
  <c r="UMQ247" i="20" l="1"/>
  <c r="UMM247" i="20" s="1"/>
  <c r="UMI247" i="20" s="1"/>
  <c r="UME247" i="20" s="1"/>
  <c r="UMP247" i="20"/>
  <c r="UML247" i="20" l="1"/>
  <c r="UMH247" i="20" s="1"/>
  <c r="UMD247" i="20" s="1"/>
  <c r="ULZ247" i="20" s="1"/>
  <c r="UMK247" i="20"/>
  <c r="UMG247" i="20" l="1"/>
  <c r="UMC247" i="20" s="1"/>
  <c r="ULY247" i="20" s="1"/>
  <c r="ULU247" i="20" s="1"/>
  <c r="UMF247" i="20"/>
  <c r="UMB247" i="20" l="1"/>
  <c r="ULX247" i="20" s="1"/>
  <c r="ULT247" i="20" s="1"/>
  <c r="ULP247" i="20" s="1"/>
  <c r="UMA247" i="20"/>
  <c r="ULW247" i="20" l="1"/>
  <c r="ULS247" i="20" s="1"/>
  <c r="ULO247" i="20" s="1"/>
  <c r="ULK247" i="20" s="1"/>
  <c r="ULV247" i="20"/>
  <c r="ULR247" i="20" l="1"/>
  <c r="ULN247" i="20" s="1"/>
  <c r="ULJ247" i="20" s="1"/>
  <c r="ULF247" i="20" s="1"/>
  <c r="ULQ247" i="20"/>
  <c r="ULM247" i="20" l="1"/>
  <c r="ULI247" i="20" s="1"/>
  <c r="ULE247" i="20" s="1"/>
  <c r="ULA247" i="20" s="1"/>
  <c r="ULL247" i="20"/>
  <c r="ULH247" i="20" l="1"/>
  <c r="ULD247" i="20" s="1"/>
  <c r="UKZ247" i="20" s="1"/>
  <c r="UKV247" i="20" s="1"/>
  <c r="ULG247" i="20"/>
  <c r="ULC247" i="20" l="1"/>
  <c r="UKY247" i="20" s="1"/>
  <c r="UKU247" i="20" s="1"/>
  <c r="UKQ247" i="20" s="1"/>
  <c r="ULB247" i="20"/>
  <c r="UKX247" i="20" l="1"/>
  <c r="UKT247" i="20" s="1"/>
  <c r="UKP247" i="20" s="1"/>
  <c r="UKL247" i="20" s="1"/>
  <c r="UKW247" i="20"/>
  <c r="UKS247" i="20" l="1"/>
  <c r="UKO247" i="20" s="1"/>
  <c r="UKK247" i="20" s="1"/>
  <c r="UKG247" i="20" s="1"/>
  <c r="UKR247" i="20"/>
  <c r="UKN247" i="20" l="1"/>
  <c r="UKJ247" i="20" s="1"/>
  <c r="UKF247" i="20" s="1"/>
  <c r="UKB247" i="20" s="1"/>
  <c r="UKM247" i="20"/>
  <c r="UKI247" i="20" l="1"/>
  <c r="UKE247" i="20" s="1"/>
  <c r="UKA247" i="20" s="1"/>
  <c r="UJW247" i="20" s="1"/>
  <c r="UKH247" i="20"/>
  <c r="UKD247" i="20" l="1"/>
  <c r="UJZ247" i="20" s="1"/>
  <c r="UJV247" i="20" s="1"/>
  <c r="UJR247" i="20" s="1"/>
  <c r="UKC247" i="20"/>
  <c r="UJY247" i="20" l="1"/>
  <c r="UJU247" i="20" s="1"/>
  <c r="UJQ247" i="20" s="1"/>
  <c r="UJM247" i="20" s="1"/>
  <c r="UJX247" i="20"/>
  <c r="UJT247" i="20" l="1"/>
  <c r="UJP247" i="20" s="1"/>
  <c r="UJL247" i="20" s="1"/>
  <c r="UJH247" i="20" s="1"/>
  <c r="UJS247" i="20"/>
  <c r="UJO247" i="20" l="1"/>
  <c r="UJK247" i="20" s="1"/>
  <c r="UJG247" i="20" s="1"/>
  <c r="UJC247" i="20" s="1"/>
  <c r="UJN247" i="20"/>
  <c r="UJJ247" i="20" l="1"/>
  <c r="UJF247" i="20" s="1"/>
  <c r="UJB247" i="20" s="1"/>
  <c r="UIX247" i="20" s="1"/>
  <c r="UJI247" i="20"/>
  <c r="UJE247" i="20" l="1"/>
  <c r="UJA247" i="20" s="1"/>
  <c r="UIW247" i="20" s="1"/>
  <c r="UIS247" i="20" s="1"/>
  <c r="UJD247" i="20"/>
  <c r="UIZ247" i="20" l="1"/>
  <c r="UIV247" i="20" s="1"/>
  <c r="UIR247" i="20" s="1"/>
  <c r="UIN247" i="20" s="1"/>
  <c r="UIY247" i="20"/>
  <c r="UIU247" i="20" l="1"/>
  <c r="UIQ247" i="20" s="1"/>
  <c r="UIM247" i="20" s="1"/>
  <c r="UII247" i="20" s="1"/>
  <c r="UIT247" i="20"/>
  <c r="UIP247" i="20" l="1"/>
  <c r="UIL247" i="20" s="1"/>
  <c r="UIH247" i="20" s="1"/>
  <c r="UID247" i="20" s="1"/>
  <c r="UIO247" i="20"/>
  <c r="UIK247" i="20" l="1"/>
  <c r="UIG247" i="20" s="1"/>
  <c r="UIC247" i="20" s="1"/>
  <c r="UHY247" i="20" s="1"/>
  <c r="UIJ247" i="20"/>
  <c r="UIF247" i="20" l="1"/>
  <c r="UIB247" i="20" s="1"/>
  <c r="UHX247" i="20" s="1"/>
  <c r="UHT247" i="20" s="1"/>
  <c r="UIE247" i="20"/>
  <c r="UIA247" i="20" l="1"/>
  <c r="UHW247" i="20" s="1"/>
  <c r="UHS247" i="20" s="1"/>
  <c r="UHO247" i="20" s="1"/>
  <c r="UHZ247" i="20"/>
  <c r="UHV247" i="20" l="1"/>
  <c r="UHR247" i="20" s="1"/>
  <c r="UHN247" i="20" s="1"/>
  <c r="UHJ247" i="20" s="1"/>
  <c r="UHU247" i="20"/>
  <c r="UHQ247" i="20" l="1"/>
  <c r="UHM247" i="20" s="1"/>
  <c r="UHI247" i="20" s="1"/>
  <c r="UHE247" i="20" s="1"/>
  <c r="UHP247" i="20"/>
  <c r="UHL247" i="20" l="1"/>
  <c r="UHH247" i="20" s="1"/>
  <c r="UHD247" i="20" s="1"/>
  <c r="UGZ247" i="20" s="1"/>
  <c r="UHK247" i="20"/>
  <c r="UHG247" i="20" l="1"/>
  <c r="UHC247" i="20" s="1"/>
  <c r="UGY247" i="20" s="1"/>
  <c r="UGU247" i="20" s="1"/>
  <c r="UHF247" i="20"/>
  <c r="UHB247" i="20" l="1"/>
  <c r="UGX247" i="20" s="1"/>
  <c r="UGT247" i="20" s="1"/>
  <c r="UGP247" i="20" s="1"/>
  <c r="UHA247" i="20"/>
  <c r="UGW247" i="20" l="1"/>
  <c r="UGS247" i="20" s="1"/>
  <c r="UGO247" i="20" s="1"/>
  <c r="UGK247" i="20" s="1"/>
  <c r="UGV247" i="20"/>
  <c r="UGR247" i="20" l="1"/>
  <c r="UGN247" i="20" s="1"/>
  <c r="UGJ247" i="20" s="1"/>
  <c r="UGF247" i="20" s="1"/>
  <c r="UGQ247" i="20"/>
  <c r="UGM247" i="20" l="1"/>
  <c r="UGI247" i="20" s="1"/>
  <c r="UGE247" i="20" s="1"/>
  <c r="UGA247" i="20" s="1"/>
  <c r="UGL247" i="20"/>
  <c r="UGH247" i="20" l="1"/>
  <c r="UGD247" i="20" s="1"/>
  <c r="UFZ247" i="20" s="1"/>
  <c r="UFV247" i="20" s="1"/>
  <c r="UGG247" i="20"/>
  <c r="UGC247" i="20" l="1"/>
  <c r="UFY247" i="20" s="1"/>
  <c r="UFU247" i="20" s="1"/>
  <c r="UFQ247" i="20" s="1"/>
  <c r="UGB247" i="20"/>
  <c r="UFX247" i="20" l="1"/>
  <c r="UFT247" i="20" s="1"/>
  <c r="UFP247" i="20" s="1"/>
  <c r="UFL247" i="20" s="1"/>
  <c r="UFW247" i="20"/>
  <c r="UFS247" i="20" l="1"/>
  <c r="UFO247" i="20" s="1"/>
  <c r="UFK247" i="20" s="1"/>
  <c r="UFG247" i="20" s="1"/>
  <c r="UFR247" i="20"/>
  <c r="UFN247" i="20" l="1"/>
  <c r="UFJ247" i="20" s="1"/>
  <c r="UFF247" i="20" s="1"/>
  <c r="UFB247" i="20" s="1"/>
  <c r="UFM247" i="20"/>
  <c r="UFI247" i="20" l="1"/>
  <c r="UFE247" i="20" s="1"/>
  <c r="UFA247" i="20" s="1"/>
  <c r="UEW247" i="20" s="1"/>
  <c r="UFH247" i="20"/>
  <c r="UFD247" i="20" l="1"/>
  <c r="UEZ247" i="20" s="1"/>
  <c r="UEV247" i="20" s="1"/>
  <c r="UER247" i="20" s="1"/>
  <c r="UFC247" i="20"/>
  <c r="UEY247" i="20" l="1"/>
  <c r="UEU247" i="20" s="1"/>
  <c r="UEQ247" i="20" s="1"/>
  <c r="UEM247" i="20" s="1"/>
  <c r="UEX247" i="20"/>
  <c r="UET247" i="20" l="1"/>
  <c r="UEP247" i="20" s="1"/>
  <c r="UEL247" i="20" s="1"/>
  <c r="UEH247" i="20" s="1"/>
  <c r="UES247" i="20"/>
  <c r="UEO247" i="20" l="1"/>
  <c r="UEK247" i="20" s="1"/>
  <c r="UEG247" i="20" s="1"/>
  <c r="UEC247" i="20" s="1"/>
  <c r="UEN247" i="20"/>
  <c r="UEJ247" i="20" l="1"/>
  <c r="UEF247" i="20" s="1"/>
  <c r="UEB247" i="20" s="1"/>
  <c r="UDX247" i="20" s="1"/>
  <c r="UEI247" i="20"/>
  <c r="UEE247" i="20" l="1"/>
  <c r="UEA247" i="20" s="1"/>
  <c r="UDW247" i="20" s="1"/>
  <c r="UDS247" i="20" s="1"/>
  <c r="UED247" i="20"/>
  <c r="UDZ247" i="20" l="1"/>
  <c r="UDV247" i="20" s="1"/>
  <c r="UDR247" i="20" s="1"/>
  <c r="UDN247" i="20" s="1"/>
  <c r="UDY247" i="20"/>
  <c r="UDU247" i="20" l="1"/>
  <c r="UDQ247" i="20" s="1"/>
  <c r="UDM247" i="20" s="1"/>
  <c r="UDI247" i="20" s="1"/>
  <c r="UDT247" i="20"/>
  <c r="UDP247" i="20" l="1"/>
  <c r="UDL247" i="20" s="1"/>
  <c r="UDH247" i="20" s="1"/>
  <c r="UDD247" i="20" s="1"/>
  <c r="UDO247" i="20"/>
  <c r="UDK247" i="20" l="1"/>
  <c r="UDG247" i="20" s="1"/>
  <c r="UDC247" i="20" s="1"/>
  <c r="UCY247" i="20" s="1"/>
  <c r="UDJ247" i="20"/>
  <c r="UDF247" i="20" l="1"/>
  <c r="UDB247" i="20" s="1"/>
  <c r="UCX247" i="20" s="1"/>
  <c r="UCT247" i="20" s="1"/>
  <c r="UDE247" i="20"/>
  <c r="UDA247" i="20" l="1"/>
  <c r="UCW247" i="20" s="1"/>
  <c r="UCS247" i="20" s="1"/>
  <c r="UCO247" i="20" s="1"/>
  <c r="UCZ247" i="20"/>
  <c r="UCV247" i="20" l="1"/>
  <c r="UCR247" i="20" s="1"/>
  <c r="UCN247" i="20" s="1"/>
  <c r="UCJ247" i="20" s="1"/>
  <c r="UCU247" i="20"/>
  <c r="UCQ247" i="20" l="1"/>
  <c r="UCM247" i="20" s="1"/>
  <c r="UCI247" i="20" s="1"/>
  <c r="UCE247" i="20" s="1"/>
  <c r="UCP247" i="20"/>
  <c r="UCL247" i="20" l="1"/>
  <c r="UCH247" i="20" s="1"/>
  <c r="UCD247" i="20" s="1"/>
  <c r="UBZ247" i="20" s="1"/>
  <c r="UCK247" i="20"/>
  <c r="UCG247" i="20" l="1"/>
  <c r="UCC247" i="20" s="1"/>
  <c r="UBY247" i="20" s="1"/>
  <c r="UBU247" i="20" s="1"/>
  <c r="UCF247" i="20"/>
  <c r="UCB247" i="20" l="1"/>
  <c r="UBX247" i="20" s="1"/>
  <c r="UBT247" i="20" s="1"/>
  <c r="UBP247" i="20" s="1"/>
  <c r="UCA247" i="20"/>
  <c r="UBW247" i="20" l="1"/>
  <c r="UBS247" i="20" s="1"/>
  <c r="UBO247" i="20" s="1"/>
  <c r="UBK247" i="20" s="1"/>
  <c r="UBV247" i="20"/>
  <c r="UBR247" i="20" l="1"/>
  <c r="UBN247" i="20" s="1"/>
  <c r="UBJ247" i="20" s="1"/>
  <c r="UBF247" i="20" s="1"/>
  <c r="UBQ247" i="20"/>
  <c r="UBM247" i="20" l="1"/>
  <c r="UBI247" i="20" s="1"/>
  <c r="UBE247" i="20" s="1"/>
  <c r="UBA247" i="20" s="1"/>
  <c r="UBL247" i="20"/>
  <c r="UBH247" i="20" l="1"/>
  <c r="UBD247" i="20" s="1"/>
  <c r="UAZ247" i="20" s="1"/>
  <c r="UAV247" i="20" s="1"/>
  <c r="UBG247" i="20"/>
  <c r="UBC247" i="20" l="1"/>
  <c r="UAY247" i="20" s="1"/>
  <c r="UAU247" i="20" s="1"/>
  <c r="UAQ247" i="20" s="1"/>
  <c r="UBB247" i="20"/>
  <c r="UAX247" i="20" l="1"/>
  <c r="UAT247" i="20" s="1"/>
  <c r="UAP247" i="20" s="1"/>
  <c r="UAL247" i="20" s="1"/>
  <c r="UAW247" i="20"/>
  <c r="UAS247" i="20" l="1"/>
  <c r="UAO247" i="20" s="1"/>
  <c r="UAK247" i="20" s="1"/>
  <c r="UAG247" i="20" s="1"/>
  <c r="UAR247" i="20"/>
  <c r="UAN247" i="20" l="1"/>
  <c r="UAJ247" i="20" s="1"/>
  <c r="UAF247" i="20" s="1"/>
  <c r="UAB247" i="20" s="1"/>
  <c r="UAM247" i="20"/>
  <c r="UAI247" i="20" l="1"/>
  <c r="UAE247" i="20" s="1"/>
  <c r="UAA247" i="20" s="1"/>
  <c r="TZW247" i="20" s="1"/>
  <c r="UAH247" i="20"/>
  <c r="UAD247" i="20" l="1"/>
  <c r="TZZ247" i="20" s="1"/>
  <c r="TZV247" i="20" s="1"/>
  <c r="TZR247" i="20" s="1"/>
  <c r="UAC247" i="20"/>
  <c r="TZY247" i="20" l="1"/>
  <c r="TZU247" i="20" s="1"/>
  <c r="TZQ247" i="20" s="1"/>
  <c r="TZM247" i="20" s="1"/>
  <c r="TZX247" i="20"/>
  <c r="TZT247" i="20" l="1"/>
  <c r="TZP247" i="20" s="1"/>
  <c r="TZL247" i="20" s="1"/>
  <c r="TZH247" i="20" s="1"/>
  <c r="TZS247" i="20"/>
  <c r="TZO247" i="20" l="1"/>
  <c r="TZK247" i="20" s="1"/>
  <c r="TZG247" i="20" s="1"/>
  <c r="TZC247" i="20" s="1"/>
  <c r="TZN247" i="20"/>
  <c r="TZJ247" i="20" l="1"/>
  <c r="TZF247" i="20" s="1"/>
  <c r="TZB247" i="20" s="1"/>
  <c r="TYX247" i="20" s="1"/>
  <c r="TZI247" i="20"/>
  <c r="TZE247" i="20" l="1"/>
  <c r="TZA247" i="20" s="1"/>
  <c r="TYW247" i="20" s="1"/>
  <c r="TYS247" i="20" s="1"/>
  <c r="TZD247" i="20"/>
  <c r="TYZ247" i="20" l="1"/>
  <c r="TYV247" i="20" s="1"/>
  <c r="TYR247" i="20" s="1"/>
  <c r="TYN247" i="20" s="1"/>
  <c r="TYY247" i="20"/>
  <c r="TYU247" i="20" l="1"/>
  <c r="TYQ247" i="20" s="1"/>
  <c r="TYM247" i="20" s="1"/>
  <c r="TYI247" i="20" s="1"/>
  <c r="TYT247" i="20"/>
  <c r="TYP247" i="20" l="1"/>
  <c r="TYL247" i="20" s="1"/>
  <c r="TYH247" i="20" s="1"/>
  <c r="TYD247" i="20" s="1"/>
  <c r="TYO247" i="20"/>
  <c r="TYK247" i="20" l="1"/>
  <c r="TYG247" i="20" s="1"/>
  <c r="TYC247" i="20" s="1"/>
  <c r="TXY247" i="20" s="1"/>
  <c r="TYJ247" i="20"/>
  <c r="TYF247" i="20" l="1"/>
  <c r="TYB247" i="20" s="1"/>
  <c r="TXX247" i="20" s="1"/>
  <c r="TXT247" i="20" s="1"/>
  <c r="TYE247" i="20"/>
  <c r="TYA247" i="20" l="1"/>
  <c r="TXW247" i="20" s="1"/>
  <c r="TXS247" i="20" s="1"/>
  <c r="TXO247" i="20" s="1"/>
  <c r="TXZ247" i="20"/>
  <c r="TXV247" i="20" l="1"/>
  <c r="TXR247" i="20" s="1"/>
  <c r="TXN247" i="20" s="1"/>
  <c r="TXJ247" i="20" s="1"/>
  <c r="TXU247" i="20"/>
  <c r="TXQ247" i="20" l="1"/>
  <c r="TXM247" i="20" s="1"/>
  <c r="TXI247" i="20" s="1"/>
  <c r="TXE247" i="20" s="1"/>
  <c r="TXP247" i="20"/>
  <c r="TXL247" i="20" l="1"/>
  <c r="TXH247" i="20" s="1"/>
  <c r="TXD247" i="20" s="1"/>
  <c r="TWZ247" i="20" s="1"/>
  <c r="TXK247" i="20"/>
  <c r="TXG247" i="20" l="1"/>
  <c r="TXC247" i="20" s="1"/>
  <c r="TWY247" i="20" s="1"/>
  <c r="TWU247" i="20" s="1"/>
  <c r="TXF247" i="20"/>
  <c r="TXB247" i="20" l="1"/>
  <c r="TWX247" i="20" s="1"/>
  <c r="TWT247" i="20" s="1"/>
  <c r="TWP247" i="20" s="1"/>
  <c r="TXA247" i="20"/>
  <c r="TWW247" i="20" l="1"/>
  <c r="TWS247" i="20" s="1"/>
  <c r="TWO247" i="20" s="1"/>
  <c r="TWK247" i="20" s="1"/>
  <c r="TWV247" i="20"/>
  <c r="TWR247" i="20" l="1"/>
  <c r="TWN247" i="20" s="1"/>
  <c r="TWJ247" i="20" s="1"/>
  <c r="TWF247" i="20" s="1"/>
  <c r="TWQ247" i="20"/>
  <c r="TWM247" i="20" l="1"/>
  <c r="TWI247" i="20" s="1"/>
  <c r="TWE247" i="20" s="1"/>
  <c r="TWA247" i="20" s="1"/>
  <c r="TWL247" i="20"/>
  <c r="TWH247" i="20" l="1"/>
  <c r="TWD247" i="20" s="1"/>
  <c r="TVZ247" i="20" s="1"/>
  <c r="TVV247" i="20" s="1"/>
  <c r="TWG247" i="20"/>
  <c r="TWC247" i="20" l="1"/>
  <c r="TVY247" i="20" s="1"/>
  <c r="TVU247" i="20" s="1"/>
  <c r="TVQ247" i="20" s="1"/>
  <c r="TWB247" i="20"/>
  <c r="TVX247" i="20" l="1"/>
  <c r="TVT247" i="20" s="1"/>
  <c r="TVP247" i="20" s="1"/>
  <c r="TVL247" i="20" s="1"/>
  <c r="TVW247" i="20"/>
  <c r="TVS247" i="20" l="1"/>
  <c r="TVO247" i="20" s="1"/>
  <c r="TVK247" i="20" s="1"/>
  <c r="TVG247" i="20" s="1"/>
  <c r="TVR247" i="20"/>
  <c r="TVN247" i="20" l="1"/>
  <c r="TVJ247" i="20" s="1"/>
  <c r="TVF247" i="20" s="1"/>
  <c r="TVB247" i="20" s="1"/>
  <c r="TVM247" i="20"/>
  <c r="TVI247" i="20" l="1"/>
  <c r="TVE247" i="20" s="1"/>
  <c r="TVA247" i="20" s="1"/>
  <c r="TUW247" i="20" s="1"/>
  <c r="TVH247" i="20"/>
  <c r="TVD247" i="20" l="1"/>
  <c r="TUZ247" i="20" s="1"/>
  <c r="TUV247" i="20" s="1"/>
  <c r="TUR247" i="20" s="1"/>
  <c r="TVC247" i="20"/>
  <c r="TUY247" i="20" l="1"/>
  <c r="TUU247" i="20" s="1"/>
  <c r="TUQ247" i="20" s="1"/>
  <c r="TUM247" i="20" s="1"/>
  <c r="TUX247" i="20"/>
  <c r="TUT247" i="20" l="1"/>
  <c r="TUP247" i="20" s="1"/>
  <c r="TUL247" i="20" s="1"/>
  <c r="TUH247" i="20" s="1"/>
  <c r="TUS247" i="20"/>
  <c r="TUO247" i="20" l="1"/>
  <c r="TUK247" i="20" s="1"/>
  <c r="TUG247" i="20" s="1"/>
  <c r="TUC247" i="20" s="1"/>
  <c r="TUN247" i="20"/>
  <c r="TUJ247" i="20" l="1"/>
  <c r="TUF247" i="20" s="1"/>
  <c r="TUB247" i="20" s="1"/>
  <c r="TTX247" i="20" s="1"/>
  <c r="TUI247" i="20"/>
  <c r="TUE247" i="20" l="1"/>
  <c r="TUA247" i="20" s="1"/>
  <c r="TTW247" i="20" s="1"/>
  <c r="TTS247" i="20" s="1"/>
  <c r="TUD247" i="20"/>
  <c r="TTZ247" i="20" l="1"/>
  <c r="TTV247" i="20" s="1"/>
  <c r="TTR247" i="20" s="1"/>
  <c r="TTN247" i="20" s="1"/>
  <c r="TTY247" i="20"/>
  <c r="TTU247" i="20" l="1"/>
  <c r="TTQ247" i="20" s="1"/>
  <c r="TTM247" i="20" s="1"/>
  <c r="TTI247" i="20" s="1"/>
  <c r="TTT247" i="20"/>
  <c r="TTP247" i="20" l="1"/>
  <c r="TTL247" i="20" s="1"/>
  <c r="TTH247" i="20" s="1"/>
  <c r="TTD247" i="20" s="1"/>
  <c r="TTO247" i="20"/>
  <c r="TTK247" i="20" l="1"/>
  <c r="TTG247" i="20" s="1"/>
  <c r="TTC247" i="20" s="1"/>
  <c r="TSY247" i="20" s="1"/>
  <c r="TTJ247" i="20"/>
  <c r="TTF247" i="20" l="1"/>
  <c r="TTB247" i="20" s="1"/>
  <c r="TSX247" i="20" s="1"/>
  <c r="TST247" i="20" s="1"/>
  <c r="TTE247" i="20"/>
  <c r="TTA247" i="20" l="1"/>
  <c r="TSW247" i="20" s="1"/>
  <c r="TSS247" i="20" s="1"/>
  <c r="TSO247" i="20" s="1"/>
  <c r="TSZ247" i="20"/>
  <c r="TSV247" i="20" l="1"/>
  <c r="TSR247" i="20" s="1"/>
  <c r="TSN247" i="20" s="1"/>
  <c r="TSJ247" i="20" s="1"/>
  <c r="TSU247" i="20"/>
  <c r="TSQ247" i="20" l="1"/>
  <c r="TSM247" i="20" s="1"/>
  <c r="TSI247" i="20" s="1"/>
  <c r="TSE247" i="20" s="1"/>
  <c r="TSP247" i="20"/>
  <c r="TSL247" i="20" l="1"/>
  <c r="TSH247" i="20" s="1"/>
  <c r="TSD247" i="20" s="1"/>
  <c r="TRZ247" i="20" s="1"/>
  <c r="TSK247" i="20"/>
  <c r="TSG247" i="20" l="1"/>
  <c r="TSC247" i="20" s="1"/>
  <c r="TRY247" i="20" s="1"/>
  <c r="TRU247" i="20" s="1"/>
  <c r="TSF247" i="20"/>
  <c r="TSB247" i="20" l="1"/>
  <c r="TRX247" i="20" s="1"/>
  <c r="TRT247" i="20" s="1"/>
  <c r="TRP247" i="20" s="1"/>
  <c r="TSA247" i="20"/>
  <c r="TRW247" i="20" l="1"/>
  <c r="TRS247" i="20" s="1"/>
  <c r="TRO247" i="20" s="1"/>
  <c r="TRK247" i="20" s="1"/>
  <c r="TRV247" i="20"/>
  <c r="TRR247" i="20" l="1"/>
  <c r="TRN247" i="20" s="1"/>
  <c r="TRJ247" i="20" s="1"/>
  <c r="TRF247" i="20" s="1"/>
  <c r="TRQ247" i="20"/>
  <c r="TRM247" i="20" l="1"/>
  <c r="TRI247" i="20" s="1"/>
  <c r="TRE247" i="20" s="1"/>
  <c r="TRA247" i="20" s="1"/>
  <c r="TRL247" i="20"/>
  <c r="TRH247" i="20" l="1"/>
  <c r="TRD247" i="20" s="1"/>
  <c r="TQZ247" i="20" s="1"/>
  <c r="TQV247" i="20" s="1"/>
  <c r="TRG247" i="20"/>
  <c r="TRC247" i="20" l="1"/>
  <c r="TQY247" i="20" s="1"/>
  <c r="TQU247" i="20" s="1"/>
  <c r="TQQ247" i="20" s="1"/>
  <c r="TRB247" i="20"/>
  <c r="TQX247" i="20" l="1"/>
  <c r="TQT247" i="20" s="1"/>
  <c r="TQP247" i="20" s="1"/>
  <c r="TQL247" i="20" s="1"/>
  <c r="TQW247" i="20"/>
  <c r="TQS247" i="20" l="1"/>
  <c r="TQO247" i="20" s="1"/>
  <c r="TQK247" i="20" s="1"/>
  <c r="TQG247" i="20" s="1"/>
  <c r="TQR247" i="20"/>
  <c r="TQN247" i="20" l="1"/>
  <c r="TQJ247" i="20" s="1"/>
  <c r="TQF247" i="20" s="1"/>
  <c r="TQB247" i="20" s="1"/>
  <c r="TQM247" i="20"/>
  <c r="TQI247" i="20" l="1"/>
  <c r="TQE247" i="20" s="1"/>
  <c r="TQA247" i="20" s="1"/>
  <c r="TPW247" i="20" s="1"/>
  <c r="TQH247" i="20"/>
  <c r="TQD247" i="20" l="1"/>
  <c r="TPZ247" i="20" s="1"/>
  <c r="TPV247" i="20" s="1"/>
  <c r="TPR247" i="20" s="1"/>
  <c r="TQC247" i="20"/>
  <c r="TPY247" i="20" l="1"/>
  <c r="TPU247" i="20" s="1"/>
  <c r="TPQ247" i="20" s="1"/>
  <c r="TPM247" i="20" s="1"/>
  <c r="TPX247" i="20"/>
  <c r="TPT247" i="20" l="1"/>
  <c r="TPP247" i="20" s="1"/>
  <c r="TPL247" i="20" s="1"/>
  <c r="TPH247" i="20" s="1"/>
  <c r="TPS247" i="20"/>
  <c r="TPO247" i="20" l="1"/>
  <c r="TPK247" i="20" s="1"/>
  <c r="TPG247" i="20" s="1"/>
  <c r="TPC247" i="20" s="1"/>
  <c r="TPN247" i="20"/>
  <c r="TPJ247" i="20" l="1"/>
  <c r="TPF247" i="20" s="1"/>
  <c r="TPB247" i="20" s="1"/>
  <c r="TOX247" i="20" s="1"/>
  <c r="TPI247" i="20"/>
  <c r="TPE247" i="20" l="1"/>
  <c r="TPA247" i="20" s="1"/>
  <c r="TOW247" i="20" s="1"/>
  <c r="TOS247" i="20" s="1"/>
  <c r="TPD247" i="20"/>
  <c r="TOZ247" i="20" l="1"/>
  <c r="TOV247" i="20" s="1"/>
  <c r="TOR247" i="20" s="1"/>
  <c r="TON247" i="20" s="1"/>
  <c r="TOY247" i="20"/>
  <c r="TOU247" i="20" l="1"/>
  <c r="TOQ247" i="20" s="1"/>
  <c r="TOM247" i="20" s="1"/>
  <c r="TOI247" i="20" s="1"/>
  <c r="TOT247" i="20"/>
  <c r="TOP247" i="20" l="1"/>
  <c r="TOL247" i="20" s="1"/>
  <c r="TOH247" i="20" s="1"/>
  <c r="TOD247" i="20" s="1"/>
  <c r="TOO247" i="20"/>
  <c r="TOK247" i="20" l="1"/>
  <c r="TOG247" i="20" s="1"/>
  <c r="TOC247" i="20" s="1"/>
  <c r="TNY247" i="20" s="1"/>
  <c r="TOJ247" i="20"/>
  <c r="TOF247" i="20" l="1"/>
  <c r="TOB247" i="20" s="1"/>
  <c r="TNX247" i="20" s="1"/>
  <c r="TNT247" i="20" s="1"/>
  <c r="TOE247" i="20"/>
  <c r="TOA247" i="20" l="1"/>
  <c r="TNW247" i="20" s="1"/>
  <c r="TNS247" i="20" s="1"/>
  <c r="TNO247" i="20" s="1"/>
  <c r="TNZ247" i="20"/>
  <c r="TNV247" i="20" l="1"/>
  <c r="TNR247" i="20" s="1"/>
  <c r="TNN247" i="20" s="1"/>
  <c r="TNJ247" i="20" s="1"/>
  <c r="TNU247" i="20"/>
  <c r="TNQ247" i="20" l="1"/>
  <c r="TNM247" i="20" s="1"/>
  <c r="TNI247" i="20" s="1"/>
  <c r="TNE247" i="20" s="1"/>
  <c r="TNP247" i="20"/>
  <c r="TNL247" i="20" l="1"/>
  <c r="TNH247" i="20" s="1"/>
  <c r="TND247" i="20" s="1"/>
  <c r="TMZ247" i="20" s="1"/>
  <c r="TNK247" i="20"/>
  <c r="TNG247" i="20" l="1"/>
  <c r="TNC247" i="20" s="1"/>
  <c r="TMY247" i="20" s="1"/>
  <c r="TMU247" i="20" s="1"/>
  <c r="TNF247" i="20"/>
  <c r="TNB247" i="20" l="1"/>
  <c r="TMX247" i="20" s="1"/>
  <c r="TMT247" i="20" s="1"/>
  <c r="TMP247" i="20" s="1"/>
  <c r="TNA247" i="20"/>
  <c r="TMW247" i="20" l="1"/>
  <c r="TMS247" i="20" s="1"/>
  <c r="TMO247" i="20" s="1"/>
  <c r="TMK247" i="20" s="1"/>
  <c r="TMV247" i="20"/>
  <c r="TMR247" i="20" l="1"/>
  <c r="TMN247" i="20" s="1"/>
  <c r="TMJ247" i="20" s="1"/>
  <c r="TMF247" i="20" s="1"/>
  <c r="TMQ247" i="20"/>
  <c r="TMM247" i="20" l="1"/>
  <c r="TMI247" i="20" s="1"/>
  <c r="TME247" i="20" s="1"/>
  <c r="TMA247" i="20" s="1"/>
  <c r="TML247" i="20"/>
  <c r="TMH247" i="20" l="1"/>
  <c r="TMD247" i="20" s="1"/>
  <c r="TLZ247" i="20" s="1"/>
  <c r="TLV247" i="20" s="1"/>
  <c r="TMG247" i="20"/>
  <c r="TMC247" i="20" l="1"/>
  <c r="TLY247" i="20" s="1"/>
  <c r="TLU247" i="20" s="1"/>
  <c r="TLQ247" i="20" s="1"/>
  <c r="TMB247" i="20"/>
  <c r="TLX247" i="20" l="1"/>
  <c r="TLT247" i="20" s="1"/>
  <c r="TLP247" i="20" s="1"/>
  <c r="TLL247" i="20" s="1"/>
  <c r="TLW247" i="20"/>
  <c r="TLS247" i="20" l="1"/>
  <c r="TLO247" i="20" s="1"/>
  <c r="TLK247" i="20" s="1"/>
  <c r="TLG247" i="20" s="1"/>
  <c r="TLR247" i="20"/>
  <c r="TLN247" i="20" l="1"/>
  <c r="TLJ247" i="20" s="1"/>
  <c r="TLF247" i="20" s="1"/>
  <c r="TLB247" i="20" s="1"/>
  <c r="TLM247" i="20"/>
  <c r="TLI247" i="20" l="1"/>
  <c r="TLE247" i="20" s="1"/>
  <c r="TLA247" i="20" s="1"/>
  <c r="TKW247" i="20" s="1"/>
  <c r="TLH247" i="20"/>
  <c r="TLD247" i="20" l="1"/>
  <c r="TKZ247" i="20" s="1"/>
  <c r="TKV247" i="20" s="1"/>
  <c r="TKR247" i="20" s="1"/>
  <c r="TLC247" i="20"/>
  <c r="TKY247" i="20" l="1"/>
  <c r="TKU247" i="20" s="1"/>
  <c r="TKQ247" i="20" s="1"/>
  <c r="TKM247" i="20" s="1"/>
  <c r="TKX247" i="20"/>
  <c r="TKT247" i="20" l="1"/>
  <c r="TKP247" i="20" s="1"/>
  <c r="TKL247" i="20" s="1"/>
  <c r="TKH247" i="20" s="1"/>
  <c r="TKS247" i="20"/>
  <c r="TKO247" i="20" l="1"/>
  <c r="TKK247" i="20" s="1"/>
  <c r="TKG247" i="20" s="1"/>
  <c r="TKC247" i="20" s="1"/>
  <c r="TKN247" i="20"/>
  <c r="TKJ247" i="20" l="1"/>
  <c r="TKF247" i="20" s="1"/>
  <c r="TKB247" i="20" s="1"/>
  <c r="TJX247" i="20" s="1"/>
  <c r="TKI247" i="20"/>
  <c r="TKE247" i="20" l="1"/>
  <c r="TKA247" i="20" s="1"/>
  <c r="TJW247" i="20" s="1"/>
  <c r="TJS247" i="20" s="1"/>
  <c r="TKD247" i="20"/>
  <c r="TJZ247" i="20" l="1"/>
  <c r="TJV247" i="20" s="1"/>
  <c r="TJR247" i="20" s="1"/>
  <c r="TJN247" i="20" s="1"/>
  <c r="TJY247" i="20"/>
  <c r="TJU247" i="20" l="1"/>
  <c r="TJQ247" i="20" s="1"/>
  <c r="TJM247" i="20" s="1"/>
  <c r="TJI247" i="20" s="1"/>
  <c r="TJT247" i="20"/>
  <c r="TJP247" i="20" l="1"/>
  <c r="TJL247" i="20" s="1"/>
  <c r="TJH247" i="20" s="1"/>
  <c r="TJD247" i="20" s="1"/>
  <c r="TJO247" i="20"/>
  <c r="TJK247" i="20" l="1"/>
  <c r="TJG247" i="20" s="1"/>
  <c r="TJC247" i="20" s="1"/>
  <c r="TIY247" i="20" s="1"/>
  <c r="TJJ247" i="20"/>
  <c r="TJF247" i="20" l="1"/>
  <c r="TJB247" i="20" s="1"/>
  <c r="TIX247" i="20" s="1"/>
  <c r="TIT247" i="20" s="1"/>
  <c r="TJE247" i="20"/>
  <c r="TJA247" i="20" l="1"/>
  <c r="TIW247" i="20" s="1"/>
  <c r="TIS247" i="20" s="1"/>
  <c r="TIO247" i="20" s="1"/>
  <c r="TIZ247" i="20"/>
  <c r="TIV247" i="20" l="1"/>
  <c r="TIR247" i="20" s="1"/>
  <c r="TIN247" i="20" s="1"/>
  <c r="TIJ247" i="20" s="1"/>
  <c r="TIU247" i="20"/>
  <c r="TIQ247" i="20" l="1"/>
  <c r="TIM247" i="20" s="1"/>
  <c r="TII247" i="20" s="1"/>
  <c r="TIE247" i="20" s="1"/>
  <c r="TIP247" i="20"/>
  <c r="TIL247" i="20" l="1"/>
  <c r="TIH247" i="20" s="1"/>
  <c r="TID247" i="20" s="1"/>
  <c r="THZ247" i="20" s="1"/>
  <c r="TIK247" i="20"/>
  <c r="TIG247" i="20" l="1"/>
  <c r="TIC247" i="20" s="1"/>
  <c r="THY247" i="20" s="1"/>
  <c r="THU247" i="20" s="1"/>
  <c r="TIF247" i="20"/>
  <c r="TIB247" i="20" l="1"/>
  <c r="THX247" i="20" s="1"/>
  <c r="THT247" i="20" s="1"/>
  <c r="THP247" i="20" s="1"/>
  <c r="TIA247" i="20"/>
  <c r="THW247" i="20" l="1"/>
  <c r="THS247" i="20" s="1"/>
  <c r="THO247" i="20" s="1"/>
  <c r="THK247" i="20" s="1"/>
  <c r="THV247" i="20"/>
  <c r="THR247" i="20" l="1"/>
  <c r="THN247" i="20" s="1"/>
  <c r="THJ247" i="20" s="1"/>
  <c r="THF247" i="20" s="1"/>
  <c r="THQ247" i="20"/>
  <c r="THM247" i="20" l="1"/>
  <c r="THI247" i="20" s="1"/>
  <c r="THE247" i="20" s="1"/>
  <c r="THA247" i="20" s="1"/>
  <c r="THL247" i="20"/>
  <c r="THH247" i="20" l="1"/>
  <c r="THD247" i="20" s="1"/>
  <c r="TGZ247" i="20" s="1"/>
  <c r="TGV247" i="20" s="1"/>
  <c r="THG247" i="20"/>
  <c r="THC247" i="20" l="1"/>
  <c r="TGY247" i="20" s="1"/>
  <c r="TGU247" i="20" s="1"/>
  <c r="TGQ247" i="20" s="1"/>
  <c r="THB247" i="20"/>
  <c r="TGX247" i="20" l="1"/>
  <c r="TGT247" i="20" s="1"/>
  <c r="TGP247" i="20" s="1"/>
  <c r="TGL247" i="20" s="1"/>
  <c r="TGW247" i="20"/>
  <c r="TGS247" i="20" l="1"/>
  <c r="TGO247" i="20" s="1"/>
  <c r="TGK247" i="20" s="1"/>
  <c r="TGG247" i="20" s="1"/>
  <c r="TGR247" i="20"/>
  <c r="TGN247" i="20" l="1"/>
  <c r="TGJ247" i="20" s="1"/>
  <c r="TGF247" i="20" s="1"/>
  <c r="TGB247" i="20" s="1"/>
  <c r="TGM247" i="20"/>
  <c r="TGI247" i="20" l="1"/>
  <c r="TGE247" i="20" s="1"/>
  <c r="TGA247" i="20" s="1"/>
  <c r="TFW247" i="20" s="1"/>
  <c r="TGH247" i="20"/>
  <c r="TGD247" i="20" l="1"/>
  <c r="TFZ247" i="20" s="1"/>
  <c r="TFV247" i="20" s="1"/>
  <c r="TFR247" i="20" s="1"/>
  <c r="TGC247" i="20"/>
  <c r="TFY247" i="20" l="1"/>
  <c r="TFU247" i="20" s="1"/>
  <c r="TFQ247" i="20" s="1"/>
  <c r="TFM247" i="20" s="1"/>
  <c r="TFX247" i="20"/>
  <c r="TFT247" i="20" l="1"/>
  <c r="TFP247" i="20" s="1"/>
  <c r="TFL247" i="20" s="1"/>
  <c r="TFH247" i="20" s="1"/>
  <c r="TFS247" i="20"/>
  <c r="TFO247" i="20" l="1"/>
  <c r="TFK247" i="20" s="1"/>
  <c r="TFG247" i="20" s="1"/>
  <c r="TFC247" i="20" s="1"/>
  <c r="TFN247" i="20"/>
  <c r="TFJ247" i="20" l="1"/>
  <c r="TFF247" i="20" s="1"/>
  <c r="TFB247" i="20" s="1"/>
  <c r="TEX247" i="20" s="1"/>
  <c r="TFI247" i="20"/>
  <c r="TFE247" i="20" l="1"/>
  <c r="TFA247" i="20" s="1"/>
  <c r="TEW247" i="20" s="1"/>
  <c r="TES247" i="20" s="1"/>
  <c r="TFD247" i="20"/>
  <c r="TEZ247" i="20" l="1"/>
  <c r="TEV247" i="20" s="1"/>
  <c r="TER247" i="20" s="1"/>
  <c r="TEN247" i="20" s="1"/>
  <c r="TEY247" i="20"/>
  <c r="TEU247" i="20" l="1"/>
  <c r="TEQ247" i="20" s="1"/>
  <c r="TEM247" i="20" s="1"/>
  <c r="TEI247" i="20" s="1"/>
  <c r="TET247" i="20"/>
  <c r="TEP247" i="20" l="1"/>
  <c r="TEL247" i="20" s="1"/>
  <c r="TEH247" i="20" s="1"/>
  <c r="TED247" i="20" s="1"/>
  <c r="TEO247" i="20"/>
  <c r="TEK247" i="20" l="1"/>
  <c r="TEG247" i="20" s="1"/>
  <c r="TEC247" i="20" s="1"/>
  <c r="TDY247" i="20" s="1"/>
  <c r="TEJ247" i="20"/>
  <c r="TEF247" i="20" l="1"/>
  <c r="TEB247" i="20" s="1"/>
  <c r="TDX247" i="20" s="1"/>
  <c r="TDT247" i="20" s="1"/>
  <c r="TEE247" i="20"/>
  <c r="TEA247" i="20" l="1"/>
  <c r="TDW247" i="20" s="1"/>
  <c r="TDS247" i="20" s="1"/>
  <c r="TDO247" i="20" s="1"/>
  <c r="TDZ247" i="20"/>
  <c r="TDV247" i="20" l="1"/>
  <c r="TDR247" i="20" s="1"/>
  <c r="TDN247" i="20" s="1"/>
  <c r="TDJ247" i="20" s="1"/>
  <c r="TDU247" i="20"/>
  <c r="TDQ247" i="20" l="1"/>
  <c r="TDM247" i="20" s="1"/>
  <c r="TDI247" i="20" s="1"/>
  <c r="TDE247" i="20" s="1"/>
  <c r="TDP247" i="20"/>
  <c r="TDL247" i="20" l="1"/>
  <c r="TDH247" i="20" s="1"/>
  <c r="TDD247" i="20" s="1"/>
  <c r="TCZ247" i="20" s="1"/>
  <c r="TDK247" i="20"/>
  <c r="TDG247" i="20" l="1"/>
  <c r="TDC247" i="20" s="1"/>
  <c r="TCY247" i="20" s="1"/>
  <c r="TCU247" i="20" s="1"/>
  <c r="TDF247" i="20"/>
  <c r="TDB247" i="20" l="1"/>
  <c r="TCX247" i="20" s="1"/>
  <c r="TCT247" i="20" s="1"/>
  <c r="TCP247" i="20" s="1"/>
  <c r="TDA247" i="20"/>
  <c r="TCW247" i="20" l="1"/>
  <c r="TCS247" i="20" s="1"/>
  <c r="TCO247" i="20" s="1"/>
  <c r="TCK247" i="20" s="1"/>
  <c r="TCV247" i="20"/>
  <c r="TCR247" i="20" l="1"/>
  <c r="TCN247" i="20" s="1"/>
  <c r="TCJ247" i="20" s="1"/>
  <c r="TCF247" i="20" s="1"/>
  <c r="TCQ247" i="20"/>
  <c r="TCM247" i="20" l="1"/>
  <c r="TCI247" i="20" s="1"/>
  <c r="TCE247" i="20" s="1"/>
  <c r="TCA247" i="20" s="1"/>
  <c r="TCL247" i="20"/>
  <c r="TCH247" i="20" l="1"/>
  <c r="TCD247" i="20" s="1"/>
  <c r="TBZ247" i="20" s="1"/>
  <c r="TBV247" i="20" s="1"/>
  <c r="TCG247" i="20"/>
  <c r="TCC247" i="20" l="1"/>
  <c r="TBY247" i="20" s="1"/>
  <c r="TBU247" i="20" s="1"/>
  <c r="TBQ247" i="20" s="1"/>
  <c r="TCB247" i="20"/>
  <c r="TBX247" i="20" l="1"/>
  <c r="TBT247" i="20" s="1"/>
  <c r="TBP247" i="20" s="1"/>
  <c r="TBL247" i="20" s="1"/>
  <c r="TBW247" i="20"/>
  <c r="TBS247" i="20" l="1"/>
  <c r="TBO247" i="20" s="1"/>
  <c r="TBK247" i="20" s="1"/>
  <c r="TBG247" i="20" s="1"/>
  <c r="TBR247" i="20"/>
  <c r="TBN247" i="20" l="1"/>
  <c r="TBJ247" i="20" s="1"/>
  <c r="TBF247" i="20" s="1"/>
  <c r="TBB247" i="20" s="1"/>
  <c r="TBM247" i="20"/>
  <c r="TBI247" i="20" l="1"/>
  <c r="TBE247" i="20" s="1"/>
  <c r="TBA247" i="20" s="1"/>
  <c r="TAW247" i="20" s="1"/>
  <c r="TBH247" i="20"/>
  <c r="TBD247" i="20" l="1"/>
  <c r="TAZ247" i="20" s="1"/>
  <c r="TAV247" i="20" s="1"/>
  <c r="TAR247" i="20" s="1"/>
  <c r="TBC247" i="20"/>
  <c r="TAY247" i="20" l="1"/>
  <c r="TAU247" i="20" s="1"/>
  <c r="TAQ247" i="20" s="1"/>
  <c r="TAM247" i="20" s="1"/>
  <c r="TAX247" i="20"/>
  <c r="TAT247" i="20" l="1"/>
  <c r="TAP247" i="20" s="1"/>
  <c r="TAL247" i="20" s="1"/>
  <c r="TAH247" i="20" s="1"/>
  <c r="TAS247" i="20"/>
  <c r="TAO247" i="20" l="1"/>
  <c r="TAK247" i="20" s="1"/>
  <c r="TAG247" i="20" s="1"/>
  <c r="TAC247" i="20" s="1"/>
  <c r="TAN247" i="20"/>
  <c r="TAJ247" i="20" l="1"/>
  <c r="TAF247" i="20" s="1"/>
  <c r="TAB247" i="20" s="1"/>
  <c r="SZX247" i="20" s="1"/>
  <c r="TAI247" i="20"/>
  <c r="TAE247" i="20" l="1"/>
  <c r="TAA247" i="20" s="1"/>
  <c r="SZW247" i="20" s="1"/>
  <c r="SZS247" i="20" s="1"/>
  <c r="TAD247" i="20"/>
  <c r="SZZ247" i="20" l="1"/>
  <c r="SZV247" i="20" s="1"/>
  <c r="SZR247" i="20" s="1"/>
  <c r="SZN247" i="20" s="1"/>
  <c r="SZY247" i="20"/>
  <c r="SZU247" i="20" l="1"/>
  <c r="SZQ247" i="20" s="1"/>
  <c r="SZM247" i="20" s="1"/>
  <c r="SZI247" i="20" s="1"/>
  <c r="SZT247" i="20"/>
  <c r="SZP247" i="20" l="1"/>
  <c r="SZL247" i="20" s="1"/>
  <c r="SZH247" i="20" s="1"/>
  <c r="SZD247" i="20" s="1"/>
  <c r="SZO247" i="20"/>
  <c r="SZK247" i="20" l="1"/>
  <c r="SZG247" i="20" s="1"/>
  <c r="SZC247" i="20" s="1"/>
  <c r="SYY247" i="20" s="1"/>
  <c r="SZJ247" i="20"/>
  <c r="SZF247" i="20" l="1"/>
  <c r="SZB247" i="20" s="1"/>
  <c r="SYX247" i="20" s="1"/>
  <c r="SYT247" i="20" s="1"/>
  <c r="SZE247" i="20"/>
  <c r="SZA247" i="20" l="1"/>
  <c r="SYW247" i="20" s="1"/>
  <c r="SYS247" i="20" s="1"/>
  <c r="SYO247" i="20" s="1"/>
  <c r="SYZ247" i="20"/>
  <c r="SYV247" i="20" l="1"/>
  <c r="SYR247" i="20" s="1"/>
  <c r="SYN247" i="20" s="1"/>
  <c r="SYJ247" i="20" s="1"/>
  <c r="SYU247" i="20"/>
  <c r="SYQ247" i="20" l="1"/>
  <c r="SYM247" i="20" s="1"/>
  <c r="SYI247" i="20" s="1"/>
  <c r="SYE247" i="20" s="1"/>
  <c r="SYP247" i="20"/>
  <c r="SYL247" i="20" l="1"/>
  <c r="SYH247" i="20" s="1"/>
  <c r="SYD247" i="20" s="1"/>
  <c r="SXZ247" i="20" s="1"/>
  <c r="SYK247" i="20"/>
  <c r="SYG247" i="20" l="1"/>
  <c r="SYC247" i="20" s="1"/>
  <c r="SXY247" i="20" s="1"/>
  <c r="SXU247" i="20" s="1"/>
  <c r="SYF247" i="20"/>
  <c r="SYB247" i="20" l="1"/>
  <c r="SXX247" i="20" s="1"/>
  <c r="SXT247" i="20" s="1"/>
  <c r="SXP247" i="20" s="1"/>
  <c r="SYA247" i="20"/>
  <c r="SXW247" i="20" l="1"/>
  <c r="SXS247" i="20" s="1"/>
  <c r="SXO247" i="20" s="1"/>
  <c r="SXK247" i="20" s="1"/>
  <c r="SXV247" i="20"/>
  <c r="SXR247" i="20" l="1"/>
  <c r="SXN247" i="20" s="1"/>
  <c r="SXJ247" i="20" s="1"/>
  <c r="SXF247" i="20" s="1"/>
  <c r="SXQ247" i="20"/>
  <c r="SXM247" i="20" l="1"/>
  <c r="SXI247" i="20" s="1"/>
  <c r="SXE247" i="20" s="1"/>
  <c r="SXA247" i="20" s="1"/>
  <c r="SXL247" i="20"/>
  <c r="SXH247" i="20" l="1"/>
  <c r="SXD247" i="20" s="1"/>
  <c r="SWZ247" i="20" s="1"/>
  <c r="SWV247" i="20" s="1"/>
  <c r="SXG247" i="20"/>
  <c r="SXC247" i="20" l="1"/>
  <c r="SWY247" i="20" s="1"/>
  <c r="SWU247" i="20" s="1"/>
  <c r="SWQ247" i="20" s="1"/>
  <c r="SXB247" i="20"/>
  <c r="SWX247" i="20" l="1"/>
  <c r="SWT247" i="20" s="1"/>
  <c r="SWP247" i="20" s="1"/>
  <c r="SWL247" i="20" s="1"/>
  <c r="SWW247" i="20"/>
  <c r="SWS247" i="20" l="1"/>
  <c r="SWO247" i="20" s="1"/>
  <c r="SWK247" i="20" s="1"/>
  <c r="SWG247" i="20" s="1"/>
  <c r="SWR247" i="20"/>
  <c r="SWN247" i="20" l="1"/>
  <c r="SWJ247" i="20" s="1"/>
  <c r="SWF247" i="20" s="1"/>
  <c r="SWB247" i="20" s="1"/>
  <c r="SWM247" i="20"/>
  <c r="SWI247" i="20" l="1"/>
  <c r="SWE247" i="20" s="1"/>
  <c r="SWA247" i="20" s="1"/>
  <c r="SVW247" i="20" s="1"/>
  <c r="SWH247" i="20"/>
  <c r="SWD247" i="20" l="1"/>
  <c r="SVZ247" i="20" s="1"/>
  <c r="SVV247" i="20" s="1"/>
  <c r="SVR247" i="20" s="1"/>
  <c r="SWC247" i="20"/>
  <c r="SVY247" i="20" l="1"/>
  <c r="SVU247" i="20" s="1"/>
  <c r="SVQ247" i="20" s="1"/>
  <c r="SVM247" i="20" s="1"/>
  <c r="SVX247" i="20"/>
  <c r="SVT247" i="20" l="1"/>
  <c r="SVP247" i="20" s="1"/>
  <c r="SVL247" i="20" s="1"/>
  <c r="SVH247" i="20" s="1"/>
  <c r="SVS247" i="20"/>
  <c r="SVO247" i="20" l="1"/>
  <c r="SVK247" i="20" s="1"/>
  <c r="SVG247" i="20" s="1"/>
  <c r="SVC247" i="20" s="1"/>
  <c r="SVN247" i="20"/>
  <c r="SVJ247" i="20" l="1"/>
  <c r="SVF247" i="20" s="1"/>
  <c r="SVB247" i="20" s="1"/>
  <c r="SUX247" i="20" s="1"/>
  <c r="SVI247" i="20"/>
  <c r="SVE247" i="20" l="1"/>
  <c r="SVA247" i="20" s="1"/>
  <c r="SUW247" i="20" s="1"/>
  <c r="SUS247" i="20" s="1"/>
  <c r="SVD247" i="20"/>
  <c r="SUZ247" i="20" l="1"/>
  <c r="SUV247" i="20" s="1"/>
  <c r="SUR247" i="20" s="1"/>
  <c r="SUN247" i="20" s="1"/>
  <c r="SUY247" i="20"/>
  <c r="SUU247" i="20" l="1"/>
  <c r="SUQ247" i="20" s="1"/>
  <c r="SUM247" i="20" s="1"/>
  <c r="SUI247" i="20" s="1"/>
  <c r="SUT247" i="20"/>
  <c r="SUP247" i="20" l="1"/>
  <c r="SUL247" i="20" s="1"/>
  <c r="SUH247" i="20" s="1"/>
  <c r="SUD247" i="20" s="1"/>
  <c r="SUO247" i="20"/>
  <c r="SUK247" i="20" l="1"/>
  <c r="SUG247" i="20" s="1"/>
  <c r="SUC247" i="20" s="1"/>
  <c r="STY247" i="20" s="1"/>
  <c r="SUJ247" i="20"/>
  <c r="SUF247" i="20" l="1"/>
  <c r="SUB247" i="20" s="1"/>
  <c r="STX247" i="20" s="1"/>
  <c r="STT247" i="20" s="1"/>
  <c r="SUE247" i="20"/>
  <c r="SUA247" i="20" l="1"/>
  <c r="STW247" i="20" s="1"/>
  <c r="STS247" i="20" s="1"/>
  <c r="STO247" i="20" s="1"/>
  <c r="STZ247" i="20"/>
  <c r="STV247" i="20" l="1"/>
  <c r="STR247" i="20" s="1"/>
  <c r="STN247" i="20" s="1"/>
  <c r="STJ247" i="20" s="1"/>
  <c r="STU247" i="20"/>
  <c r="STQ247" i="20" l="1"/>
  <c r="STM247" i="20" s="1"/>
  <c r="STI247" i="20" s="1"/>
  <c r="STE247" i="20" s="1"/>
  <c r="STP247" i="20"/>
  <c r="STL247" i="20" l="1"/>
  <c r="STH247" i="20" s="1"/>
  <c r="STD247" i="20" s="1"/>
  <c r="SSZ247" i="20" s="1"/>
  <c r="STK247" i="20"/>
  <c r="STG247" i="20" l="1"/>
  <c r="STC247" i="20" s="1"/>
  <c r="SSY247" i="20" s="1"/>
  <c r="SSU247" i="20" s="1"/>
  <c r="STF247" i="20"/>
  <c r="STB247" i="20" l="1"/>
  <c r="SSX247" i="20" s="1"/>
  <c r="SST247" i="20" s="1"/>
  <c r="SSP247" i="20" s="1"/>
  <c r="STA247" i="20"/>
  <c r="SSW247" i="20" l="1"/>
  <c r="SSS247" i="20" s="1"/>
  <c r="SSO247" i="20" s="1"/>
  <c r="SSK247" i="20" s="1"/>
  <c r="SSV247" i="20"/>
  <c r="SSR247" i="20" l="1"/>
  <c r="SSN247" i="20" s="1"/>
  <c r="SSJ247" i="20" s="1"/>
  <c r="SSF247" i="20" s="1"/>
  <c r="SSQ247" i="20"/>
  <c r="SSM247" i="20" l="1"/>
  <c r="SSI247" i="20" s="1"/>
  <c r="SSE247" i="20" s="1"/>
  <c r="SSA247" i="20" s="1"/>
  <c r="SSL247" i="20"/>
  <c r="SSH247" i="20" l="1"/>
  <c r="SSD247" i="20" s="1"/>
  <c r="SRZ247" i="20" s="1"/>
  <c r="SRV247" i="20" s="1"/>
  <c r="SSG247" i="20"/>
  <c r="SSC247" i="20" l="1"/>
  <c r="SRY247" i="20" s="1"/>
  <c r="SRU247" i="20" s="1"/>
  <c r="SRQ247" i="20" s="1"/>
  <c r="SSB247" i="20"/>
  <c r="SRX247" i="20" l="1"/>
  <c r="SRT247" i="20" s="1"/>
  <c r="SRP247" i="20" s="1"/>
  <c r="SRL247" i="20" s="1"/>
  <c r="SRW247" i="20"/>
  <c r="SRS247" i="20" l="1"/>
  <c r="SRO247" i="20" s="1"/>
  <c r="SRK247" i="20" s="1"/>
  <c r="SRG247" i="20" s="1"/>
  <c r="SRR247" i="20"/>
  <c r="SRN247" i="20" l="1"/>
  <c r="SRJ247" i="20" s="1"/>
  <c r="SRF247" i="20" s="1"/>
  <c r="SRB247" i="20" s="1"/>
  <c r="SRM247" i="20"/>
  <c r="SRI247" i="20" l="1"/>
  <c r="SRE247" i="20" s="1"/>
  <c r="SRA247" i="20" s="1"/>
  <c r="SQW247" i="20" s="1"/>
  <c r="SRH247" i="20"/>
  <c r="SRD247" i="20" l="1"/>
  <c r="SQZ247" i="20" s="1"/>
  <c r="SQV247" i="20" s="1"/>
  <c r="SQR247" i="20" s="1"/>
  <c r="SRC247" i="20"/>
  <c r="SQY247" i="20" l="1"/>
  <c r="SQU247" i="20" s="1"/>
  <c r="SQQ247" i="20" s="1"/>
  <c r="SQM247" i="20" s="1"/>
  <c r="SQX247" i="20"/>
  <c r="SQT247" i="20" l="1"/>
  <c r="SQP247" i="20" s="1"/>
  <c r="SQL247" i="20" s="1"/>
  <c r="SQH247" i="20" s="1"/>
  <c r="SQS247" i="20"/>
  <c r="SQO247" i="20" l="1"/>
  <c r="SQK247" i="20" s="1"/>
  <c r="SQG247" i="20" s="1"/>
  <c r="SQC247" i="20" s="1"/>
  <c r="SQN247" i="20"/>
  <c r="SQJ247" i="20" l="1"/>
  <c r="SQF247" i="20" s="1"/>
  <c r="SQB247" i="20" s="1"/>
  <c r="SPX247" i="20" s="1"/>
  <c r="SQI247" i="20"/>
  <c r="SQE247" i="20" l="1"/>
  <c r="SQA247" i="20" s="1"/>
  <c r="SPW247" i="20" s="1"/>
  <c r="SPS247" i="20" s="1"/>
  <c r="SQD247" i="20"/>
  <c r="SPZ247" i="20" l="1"/>
  <c r="SPV247" i="20" s="1"/>
  <c r="SPR247" i="20" s="1"/>
  <c r="SPN247" i="20" s="1"/>
  <c r="SPY247" i="20"/>
  <c r="SPU247" i="20" l="1"/>
  <c r="SPQ247" i="20" s="1"/>
  <c r="SPM247" i="20" s="1"/>
  <c r="SPI247" i="20" s="1"/>
  <c r="SPT247" i="20"/>
  <c r="SPP247" i="20" l="1"/>
  <c r="SPL247" i="20" s="1"/>
  <c r="SPH247" i="20" s="1"/>
  <c r="SPD247" i="20" s="1"/>
  <c r="SPO247" i="20"/>
  <c r="SPK247" i="20" l="1"/>
  <c r="SPG247" i="20" s="1"/>
  <c r="SPC247" i="20" s="1"/>
  <c r="SOY247" i="20" s="1"/>
  <c r="SPJ247" i="20"/>
  <c r="SPF247" i="20" l="1"/>
  <c r="SPB247" i="20" s="1"/>
  <c r="SOX247" i="20" s="1"/>
  <c r="SOT247" i="20" s="1"/>
  <c r="SPE247" i="20"/>
  <c r="SPA247" i="20" l="1"/>
  <c r="SOW247" i="20" s="1"/>
  <c r="SOS247" i="20" s="1"/>
  <c r="SOO247" i="20" s="1"/>
  <c r="SOZ247" i="20"/>
  <c r="SOV247" i="20" l="1"/>
  <c r="SOR247" i="20" s="1"/>
  <c r="SON247" i="20" s="1"/>
  <c r="SOJ247" i="20" s="1"/>
  <c r="SOU247" i="20"/>
  <c r="SOQ247" i="20" l="1"/>
  <c r="SOM247" i="20" s="1"/>
  <c r="SOI247" i="20" s="1"/>
  <c r="SOE247" i="20" s="1"/>
  <c r="SOP247" i="20"/>
  <c r="SOL247" i="20" l="1"/>
  <c r="SOH247" i="20" s="1"/>
  <c r="SOD247" i="20" s="1"/>
  <c r="SNZ247" i="20" s="1"/>
  <c r="SOK247" i="20"/>
  <c r="SOG247" i="20" l="1"/>
  <c r="SOC247" i="20" s="1"/>
  <c r="SNY247" i="20" s="1"/>
  <c r="SNU247" i="20" s="1"/>
  <c r="SOF247" i="20"/>
  <c r="SOB247" i="20" l="1"/>
  <c r="SNX247" i="20" s="1"/>
  <c r="SNT247" i="20" s="1"/>
  <c r="SNP247" i="20" s="1"/>
  <c r="SOA247" i="20"/>
  <c r="SNW247" i="20" l="1"/>
  <c r="SNS247" i="20" s="1"/>
  <c r="SNO247" i="20" s="1"/>
  <c r="SNK247" i="20" s="1"/>
  <c r="SNV247" i="20"/>
  <c r="SNR247" i="20" l="1"/>
  <c r="SNN247" i="20" s="1"/>
  <c r="SNJ247" i="20" s="1"/>
  <c r="SNF247" i="20" s="1"/>
  <c r="SNQ247" i="20"/>
  <c r="SNM247" i="20" l="1"/>
  <c r="SNI247" i="20" s="1"/>
  <c r="SNE247" i="20" s="1"/>
  <c r="SNA247" i="20" s="1"/>
  <c r="SNL247" i="20"/>
  <c r="SNH247" i="20" l="1"/>
  <c r="SND247" i="20" s="1"/>
  <c r="SMZ247" i="20" s="1"/>
  <c r="SMV247" i="20" s="1"/>
  <c r="SNG247" i="20"/>
  <c r="SNC247" i="20" l="1"/>
  <c r="SMY247" i="20" s="1"/>
  <c r="SMU247" i="20" s="1"/>
  <c r="SMQ247" i="20" s="1"/>
  <c r="SNB247" i="20"/>
  <c r="SMX247" i="20" l="1"/>
  <c r="SMT247" i="20" s="1"/>
  <c r="SMP247" i="20" s="1"/>
  <c r="SML247" i="20" s="1"/>
  <c r="SMW247" i="20"/>
  <c r="SMS247" i="20" l="1"/>
  <c r="SMO247" i="20" s="1"/>
  <c r="SMK247" i="20" s="1"/>
  <c r="SMG247" i="20" s="1"/>
  <c r="SMR247" i="20"/>
  <c r="SMN247" i="20" l="1"/>
  <c r="SMJ247" i="20" s="1"/>
  <c r="SMF247" i="20" s="1"/>
  <c r="SMB247" i="20" s="1"/>
  <c r="SMM247" i="20"/>
  <c r="SMI247" i="20" l="1"/>
  <c r="SME247" i="20" s="1"/>
  <c r="SMA247" i="20" s="1"/>
  <c r="SLW247" i="20" s="1"/>
  <c r="SMH247" i="20"/>
  <c r="SMD247" i="20" l="1"/>
  <c r="SLZ247" i="20" s="1"/>
  <c r="SLV247" i="20" s="1"/>
  <c r="SLR247" i="20" s="1"/>
  <c r="SMC247" i="20"/>
  <c r="SLY247" i="20" l="1"/>
  <c r="SLU247" i="20" s="1"/>
  <c r="SLQ247" i="20" s="1"/>
  <c r="SLM247" i="20" s="1"/>
  <c r="SLX247" i="20"/>
  <c r="SLT247" i="20" l="1"/>
  <c r="SLP247" i="20" s="1"/>
  <c r="SLL247" i="20" s="1"/>
  <c r="SLH247" i="20" s="1"/>
  <c r="SLS247" i="20"/>
  <c r="SLO247" i="20" l="1"/>
  <c r="SLK247" i="20" s="1"/>
  <c r="SLG247" i="20" s="1"/>
  <c r="SLC247" i="20" s="1"/>
  <c r="SLN247" i="20"/>
  <c r="SLJ247" i="20" l="1"/>
  <c r="SLF247" i="20" s="1"/>
  <c r="SLB247" i="20" s="1"/>
  <c r="SKX247" i="20" s="1"/>
  <c r="SLI247" i="20"/>
  <c r="SLE247" i="20" l="1"/>
  <c r="SLA247" i="20" s="1"/>
  <c r="SKW247" i="20" s="1"/>
  <c r="SKS247" i="20" s="1"/>
  <c r="SLD247" i="20"/>
  <c r="SKZ247" i="20" l="1"/>
  <c r="SKV247" i="20" s="1"/>
  <c r="SKR247" i="20" s="1"/>
  <c r="SKN247" i="20" s="1"/>
  <c r="SKY247" i="20"/>
  <c r="SKU247" i="20" l="1"/>
  <c r="SKQ247" i="20" s="1"/>
  <c r="SKM247" i="20" s="1"/>
  <c r="SKI247" i="20" s="1"/>
  <c r="SKT247" i="20"/>
  <c r="SKP247" i="20" l="1"/>
  <c r="SKL247" i="20" s="1"/>
  <c r="SKH247" i="20" s="1"/>
  <c r="SKD247" i="20" s="1"/>
  <c r="SKO247" i="20"/>
  <c r="SKK247" i="20" l="1"/>
  <c r="SKG247" i="20" s="1"/>
  <c r="SKC247" i="20" s="1"/>
  <c r="SJY247" i="20" s="1"/>
  <c r="SKJ247" i="20"/>
  <c r="SKF247" i="20" l="1"/>
  <c r="SKB247" i="20" s="1"/>
  <c r="SJX247" i="20" s="1"/>
  <c r="SJT247" i="20" s="1"/>
  <c r="SKE247" i="20"/>
  <c r="SKA247" i="20" l="1"/>
  <c r="SJW247" i="20" s="1"/>
  <c r="SJS247" i="20" s="1"/>
  <c r="SJO247" i="20" s="1"/>
  <c r="SJZ247" i="20"/>
  <c r="SJV247" i="20" l="1"/>
  <c r="SJR247" i="20" s="1"/>
  <c r="SJN247" i="20" s="1"/>
  <c r="SJJ247" i="20" s="1"/>
  <c r="SJU247" i="20"/>
  <c r="SJQ247" i="20" l="1"/>
  <c r="SJM247" i="20" s="1"/>
  <c r="SJI247" i="20" s="1"/>
  <c r="SJE247" i="20" s="1"/>
  <c r="SJP247" i="20"/>
  <c r="SJL247" i="20" l="1"/>
  <c r="SJH247" i="20" s="1"/>
  <c r="SJD247" i="20" s="1"/>
  <c r="SIZ247" i="20" s="1"/>
  <c r="SJK247" i="20"/>
  <c r="SJG247" i="20" l="1"/>
  <c r="SJC247" i="20" s="1"/>
  <c r="SIY247" i="20" s="1"/>
  <c r="SIU247" i="20" s="1"/>
  <c r="SJF247" i="20"/>
  <c r="SJB247" i="20" l="1"/>
  <c r="SIX247" i="20" s="1"/>
  <c r="SIT247" i="20" s="1"/>
  <c r="SIP247" i="20" s="1"/>
  <c r="SJA247" i="20"/>
  <c r="SIW247" i="20" l="1"/>
  <c r="SIS247" i="20" s="1"/>
  <c r="SIO247" i="20" s="1"/>
  <c r="SIK247" i="20" s="1"/>
  <c r="SIV247" i="20"/>
  <c r="SIR247" i="20" l="1"/>
  <c r="SIN247" i="20" s="1"/>
  <c r="SIJ247" i="20" s="1"/>
  <c r="SIF247" i="20" s="1"/>
  <c r="SIQ247" i="20"/>
  <c r="SIM247" i="20" l="1"/>
  <c r="SII247" i="20" s="1"/>
  <c r="SIE247" i="20" s="1"/>
  <c r="SIA247" i="20" s="1"/>
  <c r="SIL247" i="20"/>
  <c r="SIH247" i="20" l="1"/>
  <c r="SID247" i="20" s="1"/>
  <c r="SHZ247" i="20" s="1"/>
  <c r="SHV247" i="20" s="1"/>
  <c r="SIG247" i="20"/>
  <c r="SIC247" i="20" l="1"/>
  <c r="SHY247" i="20" s="1"/>
  <c r="SHU247" i="20" s="1"/>
  <c r="SHQ247" i="20" s="1"/>
  <c r="SIB247" i="20"/>
  <c r="SHX247" i="20" l="1"/>
  <c r="SHT247" i="20" s="1"/>
  <c r="SHP247" i="20" s="1"/>
  <c r="SHL247" i="20" s="1"/>
  <c r="SHW247" i="20"/>
  <c r="SHS247" i="20" l="1"/>
  <c r="SHO247" i="20" s="1"/>
  <c r="SHK247" i="20" s="1"/>
  <c r="SHG247" i="20" s="1"/>
  <c r="SHR247" i="20"/>
  <c r="SHN247" i="20" l="1"/>
  <c r="SHJ247" i="20" s="1"/>
  <c r="SHF247" i="20" s="1"/>
  <c r="SHB247" i="20" s="1"/>
  <c r="SHM247" i="20"/>
  <c r="SHI247" i="20" l="1"/>
  <c r="SHE247" i="20" s="1"/>
  <c r="SHA247" i="20" s="1"/>
  <c r="SGW247" i="20" s="1"/>
  <c r="SHH247" i="20"/>
  <c r="SHD247" i="20" l="1"/>
  <c r="SGZ247" i="20" s="1"/>
  <c r="SGV247" i="20" s="1"/>
  <c r="SGR247" i="20" s="1"/>
  <c r="SHC247" i="20"/>
  <c r="SGY247" i="20" l="1"/>
  <c r="SGU247" i="20" s="1"/>
  <c r="SGQ247" i="20" s="1"/>
  <c r="SGM247" i="20" s="1"/>
  <c r="SGX247" i="20"/>
  <c r="SGT247" i="20" l="1"/>
  <c r="SGP247" i="20" s="1"/>
  <c r="SGL247" i="20" s="1"/>
  <c r="SGH247" i="20" s="1"/>
  <c r="SGS247" i="20"/>
  <c r="SGO247" i="20" l="1"/>
  <c r="SGK247" i="20" s="1"/>
  <c r="SGG247" i="20" s="1"/>
  <c r="SGC247" i="20" s="1"/>
  <c r="SGN247" i="20"/>
  <c r="SGJ247" i="20" l="1"/>
  <c r="SGF247" i="20" s="1"/>
  <c r="SGB247" i="20" s="1"/>
  <c r="SFX247" i="20" s="1"/>
  <c r="SGI247" i="20"/>
  <c r="SGE247" i="20" l="1"/>
  <c r="SGA247" i="20" s="1"/>
  <c r="SFW247" i="20" s="1"/>
  <c r="SFS247" i="20" s="1"/>
  <c r="SGD247" i="20"/>
  <c r="SFZ247" i="20" l="1"/>
  <c r="SFV247" i="20" s="1"/>
  <c r="SFR247" i="20" s="1"/>
  <c r="SFN247" i="20" s="1"/>
  <c r="SFY247" i="20"/>
  <c r="SFU247" i="20" l="1"/>
  <c r="SFQ247" i="20" s="1"/>
  <c r="SFM247" i="20" s="1"/>
  <c r="SFI247" i="20" s="1"/>
  <c r="SFT247" i="20"/>
  <c r="SFP247" i="20" l="1"/>
  <c r="SFL247" i="20" s="1"/>
  <c r="SFH247" i="20" s="1"/>
  <c r="SFD247" i="20" s="1"/>
  <c r="SFO247" i="20"/>
  <c r="SFK247" i="20" l="1"/>
  <c r="SFG247" i="20" s="1"/>
  <c r="SFC247" i="20" s="1"/>
  <c r="SEY247" i="20" s="1"/>
  <c r="SFJ247" i="20"/>
  <c r="SFF247" i="20" l="1"/>
  <c r="SFB247" i="20" s="1"/>
  <c r="SEX247" i="20" s="1"/>
  <c r="SET247" i="20" s="1"/>
  <c r="SFE247" i="20"/>
  <c r="SFA247" i="20" l="1"/>
  <c r="SEW247" i="20" s="1"/>
  <c r="SES247" i="20" s="1"/>
  <c r="SEO247" i="20" s="1"/>
  <c r="SEZ247" i="20"/>
  <c r="SEV247" i="20" l="1"/>
  <c r="SER247" i="20" s="1"/>
  <c r="SEN247" i="20" s="1"/>
  <c r="SEJ247" i="20" s="1"/>
  <c r="SEU247" i="20"/>
  <c r="SEQ247" i="20" l="1"/>
  <c r="SEM247" i="20" s="1"/>
  <c r="SEI247" i="20" s="1"/>
  <c r="SEE247" i="20" s="1"/>
  <c r="SEP247" i="20"/>
  <c r="SEL247" i="20" l="1"/>
  <c r="SEH247" i="20" s="1"/>
  <c r="SED247" i="20" s="1"/>
  <c r="SDZ247" i="20" s="1"/>
  <c r="SEK247" i="20"/>
  <c r="SEG247" i="20" l="1"/>
  <c r="SEC247" i="20" s="1"/>
  <c r="SDY247" i="20" s="1"/>
  <c r="SDU247" i="20" s="1"/>
  <c r="SEF247" i="20"/>
  <c r="SEB247" i="20" l="1"/>
  <c r="SDX247" i="20" s="1"/>
  <c r="SDT247" i="20" s="1"/>
  <c r="SDP247" i="20" s="1"/>
  <c r="SEA247" i="20"/>
  <c r="SDW247" i="20" l="1"/>
  <c r="SDS247" i="20" s="1"/>
  <c r="SDO247" i="20" s="1"/>
  <c r="SDK247" i="20" s="1"/>
  <c r="SDV247" i="20"/>
  <c r="SDR247" i="20" l="1"/>
  <c r="SDN247" i="20" s="1"/>
  <c r="SDJ247" i="20" s="1"/>
  <c r="SDF247" i="20" s="1"/>
  <c r="SDQ247" i="20"/>
  <c r="SDM247" i="20" l="1"/>
  <c r="SDI247" i="20" s="1"/>
  <c r="SDE247" i="20" s="1"/>
  <c r="SDA247" i="20" s="1"/>
  <c r="SDL247" i="20"/>
  <c r="SDH247" i="20" l="1"/>
  <c r="SDD247" i="20" s="1"/>
  <c r="SCZ247" i="20" s="1"/>
  <c r="SCV247" i="20" s="1"/>
  <c r="SDG247" i="20"/>
  <c r="SDC247" i="20" l="1"/>
  <c r="SCY247" i="20" s="1"/>
  <c r="SCU247" i="20" s="1"/>
  <c r="SCQ247" i="20" s="1"/>
  <c r="SDB247" i="20"/>
  <c r="SCX247" i="20" l="1"/>
  <c r="SCT247" i="20" s="1"/>
  <c r="SCP247" i="20" s="1"/>
  <c r="SCL247" i="20" s="1"/>
  <c r="SCW247" i="20"/>
  <c r="SCS247" i="20" l="1"/>
  <c r="SCO247" i="20" s="1"/>
  <c r="SCK247" i="20" s="1"/>
  <c r="SCG247" i="20" s="1"/>
  <c r="SCR247" i="20"/>
  <c r="SCN247" i="20" l="1"/>
  <c r="SCJ247" i="20" s="1"/>
  <c r="SCF247" i="20" s="1"/>
  <c r="SCB247" i="20" s="1"/>
  <c r="SCM247" i="20"/>
  <c r="SCI247" i="20" l="1"/>
  <c r="SCE247" i="20" s="1"/>
  <c r="SCA247" i="20" s="1"/>
  <c r="SBW247" i="20" s="1"/>
  <c r="SCH247" i="20"/>
  <c r="SCD247" i="20" l="1"/>
  <c r="SBZ247" i="20" s="1"/>
  <c r="SBV247" i="20" s="1"/>
  <c r="SBR247" i="20" s="1"/>
  <c r="SCC247" i="20"/>
  <c r="SBY247" i="20" l="1"/>
  <c r="SBU247" i="20" s="1"/>
  <c r="SBQ247" i="20" s="1"/>
  <c r="SBM247" i="20" s="1"/>
  <c r="SBX247" i="20"/>
  <c r="SBT247" i="20" l="1"/>
  <c r="SBP247" i="20" s="1"/>
  <c r="SBL247" i="20" s="1"/>
  <c r="SBH247" i="20" s="1"/>
  <c r="SBS247" i="20"/>
  <c r="SBO247" i="20" l="1"/>
  <c r="SBK247" i="20" s="1"/>
  <c r="SBG247" i="20" s="1"/>
  <c r="SBC247" i="20" s="1"/>
  <c r="SBN247" i="20"/>
  <c r="SBJ247" i="20" l="1"/>
  <c r="SBF247" i="20" s="1"/>
  <c r="SBB247" i="20" s="1"/>
  <c r="SAX247" i="20" s="1"/>
  <c r="SBI247" i="20"/>
  <c r="SBE247" i="20" l="1"/>
  <c r="SBA247" i="20" s="1"/>
  <c r="SAW247" i="20" s="1"/>
  <c r="SAS247" i="20" s="1"/>
  <c r="SBD247" i="20"/>
  <c r="SAZ247" i="20" l="1"/>
  <c r="SAV247" i="20" s="1"/>
  <c r="SAR247" i="20" s="1"/>
  <c r="SAN247" i="20" s="1"/>
  <c r="SAY247" i="20"/>
  <c r="SAU247" i="20" l="1"/>
  <c r="SAQ247" i="20" s="1"/>
  <c r="SAM247" i="20" s="1"/>
  <c r="SAI247" i="20" s="1"/>
  <c r="SAT247" i="20"/>
  <c r="SAP247" i="20" l="1"/>
  <c r="SAL247" i="20" s="1"/>
  <c r="SAH247" i="20" s="1"/>
  <c r="SAD247" i="20" s="1"/>
  <c r="SAO247" i="20"/>
  <c r="SAK247" i="20" l="1"/>
  <c r="SAG247" i="20" s="1"/>
  <c r="SAC247" i="20" s="1"/>
  <c r="RZY247" i="20" s="1"/>
  <c r="SAJ247" i="20"/>
  <c r="SAF247" i="20" l="1"/>
  <c r="SAB247" i="20" s="1"/>
  <c r="RZX247" i="20" s="1"/>
  <c r="RZT247" i="20" s="1"/>
  <c r="SAE247" i="20"/>
  <c r="SAA247" i="20" l="1"/>
  <c r="RZW247" i="20" s="1"/>
  <c r="RZS247" i="20" s="1"/>
  <c r="RZO247" i="20" s="1"/>
  <c r="RZZ247" i="20"/>
  <c r="RZV247" i="20" l="1"/>
  <c r="RZR247" i="20" s="1"/>
  <c r="RZN247" i="20" s="1"/>
  <c r="RZJ247" i="20" s="1"/>
  <c r="RZU247" i="20"/>
  <c r="RZQ247" i="20" l="1"/>
  <c r="RZM247" i="20" s="1"/>
  <c r="RZI247" i="20" s="1"/>
  <c r="RZE247" i="20" s="1"/>
  <c r="RZP247" i="20"/>
  <c r="RZL247" i="20" l="1"/>
  <c r="RZH247" i="20" s="1"/>
  <c r="RZD247" i="20" s="1"/>
  <c r="RYZ247" i="20" s="1"/>
  <c r="RZK247" i="20"/>
  <c r="RZG247" i="20" l="1"/>
  <c r="RZC247" i="20" s="1"/>
  <c r="RYY247" i="20" s="1"/>
  <c r="RYU247" i="20" s="1"/>
  <c r="RZF247" i="20"/>
  <c r="RZB247" i="20" l="1"/>
  <c r="RYX247" i="20" s="1"/>
  <c r="RYT247" i="20" s="1"/>
  <c r="RYP247" i="20" s="1"/>
  <c r="RZA247" i="20"/>
  <c r="RYW247" i="20" l="1"/>
  <c r="RYS247" i="20" s="1"/>
  <c r="RYO247" i="20" s="1"/>
  <c r="RYK247" i="20" s="1"/>
  <c r="RYV247" i="20"/>
  <c r="RYR247" i="20" l="1"/>
  <c r="RYN247" i="20" s="1"/>
  <c r="RYJ247" i="20" s="1"/>
  <c r="RYF247" i="20" s="1"/>
  <c r="RYQ247" i="20"/>
  <c r="RYM247" i="20" l="1"/>
  <c r="RYI247" i="20" s="1"/>
  <c r="RYE247" i="20" s="1"/>
  <c r="RYA247" i="20" s="1"/>
  <c r="RYL247" i="20"/>
  <c r="RYH247" i="20" l="1"/>
  <c r="RYD247" i="20" s="1"/>
  <c r="RXZ247" i="20" s="1"/>
  <c r="RXV247" i="20" s="1"/>
  <c r="RYG247" i="20"/>
  <c r="RYC247" i="20" l="1"/>
  <c r="RXY247" i="20" s="1"/>
  <c r="RXU247" i="20" s="1"/>
  <c r="RXQ247" i="20" s="1"/>
  <c r="RYB247" i="20"/>
  <c r="RXX247" i="20" l="1"/>
  <c r="RXT247" i="20" s="1"/>
  <c r="RXP247" i="20" s="1"/>
  <c r="RXL247" i="20" s="1"/>
  <c r="RXW247" i="20"/>
  <c r="RXS247" i="20" l="1"/>
  <c r="RXO247" i="20" s="1"/>
  <c r="RXK247" i="20" s="1"/>
  <c r="RXG247" i="20" s="1"/>
  <c r="RXR247" i="20"/>
  <c r="RXN247" i="20" l="1"/>
  <c r="RXJ247" i="20" s="1"/>
  <c r="RXF247" i="20" s="1"/>
  <c r="RXB247" i="20" s="1"/>
  <c r="RXM247" i="20"/>
  <c r="RXI247" i="20" l="1"/>
  <c r="RXE247" i="20" s="1"/>
  <c r="RXA247" i="20" s="1"/>
  <c r="RWW247" i="20" s="1"/>
  <c r="RXH247" i="20"/>
  <c r="RXD247" i="20" l="1"/>
  <c r="RWZ247" i="20" s="1"/>
  <c r="RWV247" i="20" s="1"/>
  <c r="RWR247" i="20" s="1"/>
  <c r="RXC247" i="20"/>
  <c r="RWY247" i="20" l="1"/>
  <c r="RWU247" i="20" s="1"/>
  <c r="RWQ247" i="20" s="1"/>
  <c r="RWM247" i="20" s="1"/>
  <c r="RWX247" i="20"/>
  <c r="RWT247" i="20" l="1"/>
  <c r="RWP247" i="20" s="1"/>
  <c r="RWL247" i="20" s="1"/>
  <c r="RWH247" i="20" s="1"/>
  <c r="RWS247" i="20"/>
  <c r="RWO247" i="20" l="1"/>
  <c r="RWK247" i="20" s="1"/>
  <c r="RWG247" i="20" s="1"/>
  <c r="RWC247" i="20" s="1"/>
  <c r="RWN247" i="20"/>
  <c r="RWJ247" i="20" l="1"/>
  <c r="RWF247" i="20" s="1"/>
  <c r="RWB247" i="20" s="1"/>
  <c r="RVX247" i="20" s="1"/>
  <c r="RWI247" i="20"/>
  <c r="RWE247" i="20" l="1"/>
  <c r="RWA247" i="20" s="1"/>
  <c r="RVW247" i="20" s="1"/>
  <c r="RVS247" i="20" s="1"/>
  <c r="RWD247" i="20"/>
  <c r="RVZ247" i="20" l="1"/>
  <c r="RVV247" i="20" s="1"/>
  <c r="RVR247" i="20" s="1"/>
  <c r="RVN247" i="20" s="1"/>
  <c r="RVY247" i="20"/>
  <c r="RVU247" i="20" l="1"/>
  <c r="RVQ247" i="20" s="1"/>
  <c r="RVM247" i="20" s="1"/>
  <c r="RVI247" i="20" s="1"/>
  <c r="RVT247" i="20"/>
  <c r="RVP247" i="20" l="1"/>
  <c r="RVL247" i="20" s="1"/>
  <c r="RVH247" i="20" s="1"/>
  <c r="RVD247" i="20" s="1"/>
  <c r="RVO247" i="20"/>
  <c r="RVK247" i="20" l="1"/>
  <c r="RVG247" i="20" s="1"/>
  <c r="RVC247" i="20" s="1"/>
  <c r="RUY247" i="20" s="1"/>
  <c r="RVJ247" i="20"/>
  <c r="RVF247" i="20" l="1"/>
  <c r="RVB247" i="20" s="1"/>
  <c r="RUX247" i="20" s="1"/>
  <c r="RUT247" i="20" s="1"/>
  <c r="RVE247" i="20"/>
  <c r="RVA247" i="20" l="1"/>
  <c r="RUW247" i="20" s="1"/>
  <c r="RUS247" i="20" s="1"/>
  <c r="RUO247" i="20" s="1"/>
  <c r="RUZ247" i="20"/>
  <c r="RUV247" i="20" l="1"/>
  <c r="RUR247" i="20" s="1"/>
  <c r="RUN247" i="20" s="1"/>
  <c r="RUJ247" i="20" s="1"/>
  <c r="RUU247" i="20"/>
  <c r="RUQ247" i="20" l="1"/>
  <c r="RUM247" i="20" s="1"/>
  <c r="RUI247" i="20" s="1"/>
  <c r="RUE247" i="20" s="1"/>
  <c r="RUP247" i="20"/>
  <c r="RUL247" i="20" l="1"/>
  <c r="RUH247" i="20" s="1"/>
  <c r="RUD247" i="20" s="1"/>
  <c r="RTZ247" i="20" s="1"/>
  <c r="RUK247" i="20"/>
  <c r="RUG247" i="20" l="1"/>
  <c r="RUC247" i="20" s="1"/>
  <c r="RTY247" i="20" s="1"/>
  <c r="RTU247" i="20" s="1"/>
  <c r="RUF247" i="20"/>
  <c r="RUB247" i="20" l="1"/>
  <c r="RTX247" i="20" s="1"/>
  <c r="RTT247" i="20" s="1"/>
  <c r="RTP247" i="20" s="1"/>
  <c r="RUA247" i="20"/>
  <c r="RTW247" i="20" l="1"/>
  <c r="RTS247" i="20" s="1"/>
  <c r="RTO247" i="20" s="1"/>
  <c r="RTK247" i="20" s="1"/>
  <c r="RTV247" i="20"/>
  <c r="RTR247" i="20" l="1"/>
  <c r="RTN247" i="20" s="1"/>
  <c r="RTJ247" i="20" s="1"/>
  <c r="RTF247" i="20" s="1"/>
  <c r="RTQ247" i="20"/>
  <c r="RTM247" i="20" l="1"/>
  <c r="RTI247" i="20" s="1"/>
  <c r="RTE247" i="20" s="1"/>
  <c r="RTA247" i="20" s="1"/>
  <c r="RTL247" i="20"/>
  <c r="RTH247" i="20" l="1"/>
  <c r="RTD247" i="20" s="1"/>
  <c r="RSZ247" i="20" s="1"/>
  <c r="RSV247" i="20" s="1"/>
  <c r="RTG247" i="20"/>
  <c r="RTC247" i="20" l="1"/>
  <c r="RSY247" i="20" s="1"/>
  <c r="RSU247" i="20" s="1"/>
  <c r="RSQ247" i="20" s="1"/>
  <c r="RTB247" i="20"/>
  <c r="RSX247" i="20" l="1"/>
  <c r="RST247" i="20" s="1"/>
  <c r="RSP247" i="20" s="1"/>
  <c r="RSL247" i="20" s="1"/>
  <c r="RSW247" i="20"/>
  <c r="RSS247" i="20" l="1"/>
  <c r="RSO247" i="20" s="1"/>
  <c r="RSK247" i="20" s="1"/>
  <c r="RSG247" i="20" s="1"/>
  <c r="RSR247" i="20"/>
  <c r="RSN247" i="20" l="1"/>
  <c r="RSJ247" i="20" s="1"/>
  <c r="RSF247" i="20" s="1"/>
  <c r="RSB247" i="20" s="1"/>
  <c r="RSM247" i="20"/>
  <c r="RSI247" i="20" l="1"/>
  <c r="RSE247" i="20" s="1"/>
  <c r="RSA247" i="20" s="1"/>
  <c r="RRW247" i="20" s="1"/>
  <c r="RSH247" i="20"/>
  <c r="RSD247" i="20" l="1"/>
  <c r="RRZ247" i="20" s="1"/>
  <c r="RRV247" i="20" s="1"/>
  <c r="RRR247" i="20" s="1"/>
  <c r="RSC247" i="20"/>
  <c r="RRY247" i="20" l="1"/>
  <c r="RRU247" i="20" s="1"/>
  <c r="RRQ247" i="20" s="1"/>
  <c r="RRM247" i="20" s="1"/>
  <c r="RRX247" i="20"/>
  <c r="RRT247" i="20" l="1"/>
  <c r="RRP247" i="20" s="1"/>
  <c r="RRL247" i="20" s="1"/>
  <c r="RRH247" i="20" s="1"/>
  <c r="RRS247" i="20"/>
  <c r="RRO247" i="20" l="1"/>
  <c r="RRK247" i="20" s="1"/>
  <c r="RRG247" i="20" s="1"/>
  <c r="RRC247" i="20" s="1"/>
  <c r="RRN247" i="20"/>
  <c r="RRJ247" i="20" l="1"/>
  <c r="RRF247" i="20" s="1"/>
  <c r="RRB247" i="20" s="1"/>
  <c r="RQX247" i="20" s="1"/>
  <c r="RRI247" i="20"/>
  <c r="RRE247" i="20" l="1"/>
  <c r="RRA247" i="20" s="1"/>
  <c r="RQW247" i="20" s="1"/>
  <c r="RQS247" i="20" s="1"/>
  <c r="RRD247" i="20"/>
  <c r="RQZ247" i="20" l="1"/>
  <c r="RQV247" i="20" s="1"/>
  <c r="RQR247" i="20" s="1"/>
  <c r="RQN247" i="20" s="1"/>
  <c r="RQY247" i="20"/>
  <c r="RQU247" i="20" l="1"/>
  <c r="RQQ247" i="20" s="1"/>
  <c r="RQM247" i="20" s="1"/>
  <c r="RQI247" i="20" s="1"/>
  <c r="RQT247" i="20"/>
  <c r="RQP247" i="20" l="1"/>
  <c r="RQL247" i="20" s="1"/>
  <c r="RQH247" i="20" s="1"/>
  <c r="RQD247" i="20" s="1"/>
  <c r="RQO247" i="20"/>
  <c r="RQK247" i="20" l="1"/>
  <c r="RQG247" i="20" s="1"/>
  <c r="RQC247" i="20" s="1"/>
  <c r="RPY247" i="20" s="1"/>
  <c r="RQJ247" i="20"/>
  <c r="RQF247" i="20" l="1"/>
  <c r="RQB247" i="20" s="1"/>
  <c r="RPX247" i="20" s="1"/>
  <c r="RPT247" i="20" s="1"/>
  <c r="RQE247" i="20"/>
  <c r="RQA247" i="20" l="1"/>
  <c r="RPW247" i="20" s="1"/>
  <c r="RPS247" i="20" s="1"/>
  <c r="RPO247" i="20" s="1"/>
  <c r="RPZ247" i="20"/>
  <c r="RPV247" i="20" l="1"/>
  <c r="RPR247" i="20" s="1"/>
  <c r="RPN247" i="20" s="1"/>
  <c r="RPJ247" i="20" s="1"/>
  <c r="RPU247" i="20"/>
  <c r="RPQ247" i="20" l="1"/>
  <c r="RPM247" i="20" s="1"/>
  <c r="RPI247" i="20" s="1"/>
  <c r="RPE247" i="20" s="1"/>
  <c r="RPP247" i="20"/>
  <c r="RPL247" i="20" l="1"/>
  <c r="RPH247" i="20" s="1"/>
  <c r="RPD247" i="20" s="1"/>
  <c r="ROZ247" i="20" s="1"/>
  <c r="RPK247" i="20"/>
  <c r="RPG247" i="20" l="1"/>
  <c r="RPC247" i="20" s="1"/>
  <c r="ROY247" i="20" s="1"/>
  <c r="ROU247" i="20" s="1"/>
  <c r="RPF247" i="20"/>
  <c r="RPB247" i="20" l="1"/>
  <c r="ROX247" i="20" s="1"/>
  <c r="ROT247" i="20" s="1"/>
  <c r="ROP247" i="20" s="1"/>
  <c r="RPA247" i="20"/>
  <c r="ROW247" i="20" l="1"/>
  <c r="ROS247" i="20" s="1"/>
  <c r="ROO247" i="20" s="1"/>
  <c r="ROK247" i="20" s="1"/>
  <c r="ROV247" i="20"/>
  <c r="ROR247" i="20" l="1"/>
  <c r="RON247" i="20" s="1"/>
  <c r="ROJ247" i="20" s="1"/>
  <c r="ROF247" i="20" s="1"/>
  <c r="ROQ247" i="20"/>
  <c r="ROM247" i="20" l="1"/>
  <c r="ROI247" i="20" s="1"/>
  <c r="ROE247" i="20" s="1"/>
  <c r="ROA247" i="20" s="1"/>
  <c r="ROL247" i="20"/>
  <c r="ROH247" i="20" l="1"/>
  <c r="ROD247" i="20" s="1"/>
  <c r="RNZ247" i="20" s="1"/>
  <c r="RNV247" i="20" s="1"/>
  <c r="ROG247" i="20"/>
  <c r="ROC247" i="20" l="1"/>
  <c r="RNY247" i="20" s="1"/>
  <c r="RNU247" i="20" s="1"/>
  <c r="RNQ247" i="20" s="1"/>
  <c r="ROB247" i="20"/>
  <c r="RNX247" i="20" l="1"/>
  <c r="RNT247" i="20" s="1"/>
  <c r="RNP247" i="20" s="1"/>
  <c r="RNL247" i="20" s="1"/>
  <c r="RNW247" i="20"/>
  <c r="RNS247" i="20" l="1"/>
  <c r="RNO247" i="20" s="1"/>
  <c r="RNK247" i="20" s="1"/>
  <c r="RNG247" i="20" s="1"/>
  <c r="RNR247" i="20"/>
  <c r="RNN247" i="20" l="1"/>
  <c r="RNJ247" i="20" s="1"/>
  <c r="RNF247" i="20" s="1"/>
  <c r="RNB247" i="20" s="1"/>
  <c r="RNM247" i="20"/>
  <c r="RNI247" i="20" l="1"/>
  <c r="RNE247" i="20" s="1"/>
  <c r="RNA247" i="20" s="1"/>
  <c r="RMW247" i="20" s="1"/>
  <c r="RNH247" i="20"/>
  <c r="RND247" i="20" l="1"/>
  <c r="RMZ247" i="20" s="1"/>
  <c r="RMV247" i="20" s="1"/>
  <c r="RMR247" i="20" s="1"/>
  <c r="RNC247" i="20"/>
  <c r="RMY247" i="20" l="1"/>
  <c r="RMU247" i="20" s="1"/>
  <c r="RMQ247" i="20" s="1"/>
  <c r="RMM247" i="20" s="1"/>
  <c r="RMX247" i="20"/>
  <c r="RMT247" i="20" l="1"/>
  <c r="RMP247" i="20" s="1"/>
  <c r="RML247" i="20" s="1"/>
  <c r="RMH247" i="20" s="1"/>
  <c r="RMS247" i="20"/>
  <c r="RMO247" i="20" l="1"/>
  <c r="RMK247" i="20" s="1"/>
  <c r="RMG247" i="20" s="1"/>
  <c r="RMC247" i="20" s="1"/>
  <c r="RMN247" i="20"/>
  <c r="RMJ247" i="20" l="1"/>
  <c r="RMF247" i="20" s="1"/>
  <c r="RMB247" i="20" s="1"/>
  <c r="RLX247" i="20" s="1"/>
  <c r="RMI247" i="20"/>
  <c r="RME247" i="20" l="1"/>
  <c r="RMA247" i="20" s="1"/>
  <c r="RLW247" i="20" s="1"/>
  <c r="RLS247" i="20" s="1"/>
  <c r="RMD247" i="20"/>
  <c r="RLZ247" i="20" l="1"/>
  <c r="RLV247" i="20" s="1"/>
  <c r="RLR247" i="20" s="1"/>
  <c r="RLN247" i="20" s="1"/>
  <c r="RLY247" i="20"/>
  <c r="RLU247" i="20" l="1"/>
  <c r="RLQ247" i="20" s="1"/>
  <c r="RLM247" i="20" s="1"/>
  <c r="RLI247" i="20" s="1"/>
  <c r="RLT247" i="20"/>
  <c r="RLP247" i="20" l="1"/>
  <c r="RLL247" i="20" s="1"/>
  <c r="RLH247" i="20" s="1"/>
  <c r="RLD247" i="20" s="1"/>
  <c r="RLO247" i="20"/>
  <c r="RLK247" i="20" l="1"/>
  <c r="RLG247" i="20" s="1"/>
  <c r="RLC247" i="20" s="1"/>
  <c r="RKY247" i="20" s="1"/>
  <c r="RLJ247" i="20"/>
  <c r="RLF247" i="20" l="1"/>
  <c r="RLB247" i="20" s="1"/>
  <c r="RKX247" i="20" s="1"/>
  <c r="RKT247" i="20" s="1"/>
  <c r="RLE247" i="20"/>
  <c r="RLA247" i="20" l="1"/>
  <c r="RKW247" i="20" s="1"/>
  <c r="RKS247" i="20" s="1"/>
  <c r="RKO247" i="20" s="1"/>
  <c r="RKZ247" i="20"/>
  <c r="RKV247" i="20" l="1"/>
  <c r="RKR247" i="20" s="1"/>
  <c r="RKN247" i="20" s="1"/>
  <c r="RKJ247" i="20" s="1"/>
  <c r="RKU247" i="20"/>
  <c r="RKQ247" i="20" l="1"/>
  <c r="RKM247" i="20" s="1"/>
  <c r="RKI247" i="20" s="1"/>
  <c r="RKE247" i="20" s="1"/>
  <c r="RKP247" i="20"/>
  <c r="RKL247" i="20" l="1"/>
  <c r="RKH247" i="20" s="1"/>
  <c r="RKD247" i="20" s="1"/>
  <c r="RJZ247" i="20" s="1"/>
  <c r="RKK247" i="20"/>
  <c r="RKG247" i="20" l="1"/>
  <c r="RKC247" i="20" s="1"/>
  <c r="RJY247" i="20" s="1"/>
  <c r="RJU247" i="20" s="1"/>
  <c r="RKF247" i="20"/>
  <c r="RKB247" i="20" l="1"/>
  <c r="RJX247" i="20" s="1"/>
  <c r="RJT247" i="20" s="1"/>
  <c r="RJP247" i="20" s="1"/>
  <c r="RKA247" i="20"/>
  <c r="RJW247" i="20" l="1"/>
  <c r="RJS247" i="20" s="1"/>
  <c r="RJO247" i="20" s="1"/>
  <c r="RJK247" i="20" s="1"/>
  <c r="RJV247" i="20"/>
  <c r="RJR247" i="20" l="1"/>
  <c r="RJN247" i="20" s="1"/>
  <c r="RJJ247" i="20" s="1"/>
  <c r="RJF247" i="20" s="1"/>
  <c r="RJQ247" i="20"/>
  <c r="RJM247" i="20" l="1"/>
  <c r="RJI247" i="20" s="1"/>
  <c r="RJE247" i="20" s="1"/>
  <c r="RJA247" i="20" s="1"/>
  <c r="RJL247" i="20"/>
  <c r="RJH247" i="20" l="1"/>
  <c r="RJD247" i="20" s="1"/>
  <c r="RIZ247" i="20" s="1"/>
  <c r="RIV247" i="20" s="1"/>
  <c r="RJG247" i="20"/>
  <c r="RJC247" i="20" l="1"/>
  <c r="RIY247" i="20" s="1"/>
  <c r="RIU247" i="20" s="1"/>
  <c r="RIQ247" i="20" s="1"/>
  <c r="RJB247" i="20"/>
  <c r="RIX247" i="20" l="1"/>
  <c r="RIT247" i="20" s="1"/>
  <c r="RIP247" i="20" s="1"/>
  <c r="RIL247" i="20" s="1"/>
  <c r="RIW247" i="20"/>
  <c r="RIS247" i="20" l="1"/>
  <c r="RIO247" i="20" s="1"/>
  <c r="RIK247" i="20" s="1"/>
  <c r="RIG247" i="20" s="1"/>
  <c r="RIR247" i="20"/>
  <c r="RIN247" i="20" l="1"/>
  <c r="RIJ247" i="20" s="1"/>
  <c r="RIF247" i="20" s="1"/>
  <c r="RIB247" i="20" s="1"/>
  <c r="RIM247" i="20"/>
  <c r="RII247" i="20" l="1"/>
  <c r="RIE247" i="20" s="1"/>
  <c r="RIA247" i="20" s="1"/>
  <c r="RHW247" i="20" s="1"/>
  <c r="RIH247" i="20"/>
  <c r="RID247" i="20" l="1"/>
  <c r="RHZ247" i="20" s="1"/>
  <c r="RHV247" i="20" s="1"/>
  <c r="RHR247" i="20" s="1"/>
  <c r="RIC247" i="20"/>
  <c r="RHY247" i="20" l="1"/>
  <c r="RHU247" i="20" s="1"/>
  <c r="RHQ247" i="20" s="1"/>
  <c r="RHM247" i="20" s="1"/>
  <c r="RHX247" i="20"/>
  <c r="RHT247" i="20" l="1"/>
  <c r="RHP247" i="20" s="1"/>
  <c r="RHL247" i="20" s="1"/>
  <c r="RHH247" i="20" s="1"/>
  <c r="RHS247" i="20"/>
  <c r="RHO247" i="20" l="1"/>
  <c r="RHK247" i="20" s="1"/>
  <c r="RHG247" i="20" s="1"/>
  <c r="RHC247" i="20" s="1"/>
  <c r="RHN247" i="20"/>
  <c r="RHJ247" i="20" l="1"/>
  <c r="RHF247" i="20" s="1"/>
  <c r="RHB247" i="20" s="1"/>
  <c r="RGX247" i="20" s="1"/>
  <c r="RHI247" i="20"/>
  <c r="RHE247" i="20" l="1"/>
  <c r="RHA247" i="20" s="1"/>
  <c r="RGW247" i="20" s="1"/>
  <c r="RGS247" i="20" s="1"/>
  <c r="RHD247" i="20"/>
  <c r="RGZ247" i="20" l="1"/>
  <c r="RGV247" i="20" s="1"/>
  <c r="RGR247" i="20" s="1"/>
  <c r="RGN247" i="20" s="1"/>
  <c r="RGY247" i="20"/>
  <c r="RGU247" i="20" l="1"/>
  <c r="RGQ247" i="20" s="1"/>
  <c r="RGM247" i="20" s="1"/>
  <c r="RGI247" i="20" s="1"/>
  <c r="RGT247" i="20"/>
  <c r="RGP247" i="20" l="1"/>
  <c r="RGL247" i="20" s="1"/>
  <c r="RGH247" i="20" s="1"/>
  <c r="RGD247" i="20" s="1"/>
  <c r="RGO247" i="20"/>
  <c r="RGK247" i="20" l="1"/>
  <c r="RGG247" i="20" s="1"/>
  <c r="RGC247" i="20" s="1"/>
  <c r="RFY247" i="20" s="1"/>
  <c r="RGJ247" i="20"/>
  <c r="RGF247" i="20" l="1"/>
  <c r="RGB247" i="20" s="1"/>
  <c r="RFX247" i="20" s="1"/>
  <c r="RFT247" i="20" s="1"/>
  <c r="RGE247" i="20"/>
  <c r="RGA247" i="20" l="1"/>
  <c r="RFW247" i="20" s="1"/>
  <c r="RFS247" i="20" s="1"/>
  <c r="RFO247" i="20" s="1"/>
  <c r="RFZ247" i="20"/>
  <c r="RFV247" i="20" l="1"/>
  <c r="RFR247" i="20" s="1"/>
  <c r="RFN247" i="20" s="1"/>
  <c r="RFJ247" i="20" s="1"/>
  <c r="RFU247" i="20"/>
  <c r="RFQ247" i="20" l="1"/>
  <c r="RFM247" i="20" s="1"/>
  <c r="RFI247" i="20" s="1"/>
  <c r="RFE247" i="20" s="1"/>
  <c r="RFP247" i="20"/>
  <c r="RFL247" i="20" l="1"/>
  <c r="RFH247" i="20" s="1"/>
  <c r="RFD247" i="20" s="1"/>
  <c r="REZ247" i="20" s="1"/>
  <c r="RFK247" i="20"/>
  <c r="RFG247" i="20" l="1"/>
  <c r="RFC247" i="20" s="1"/>
  <c r="REY247" i="20" s="1"/>
  <c r="REU247" i="20" s="1"/>
  <c r="RFF247" i="20"/>
  <c r="RFB247" i="20" l="1"/>
  <c r="REX247" i="20" s="1"/>
  <c r="RET247" i="20" s="1"/>
  <c r="REP247" i="20" s="1"/>
  <c r="RFA247" i="20"/>
  <c r="REW247" i="20" l="1"/>
  <c r="RES247" i="20" s="1"/>
  <c r="REO247" i="20" s="1"/>
  <c r="REK247" i="20" s="1"/>
  <c r="REV247" i="20"/>
  <c r="RER247" i="20" l="1"/>
  <c r="REN247" i="20" s="1"/>
  <c r="REJ247" i="20" s="1"/>
  <c r="REF247" i="20" s="1"/>
  <c r="REQ247" i="20"/>
  <c r="REM247" i="20" l="1"/>
  <c r="REI247" i="20" s="1"/>
  <c r="REE247" i="20" s="1"/>
  <c r="REA247" i="20" s="1"/>
  <c r="REL247" i="20"/>
  <c r="REH247" i="20" l="1"/>
  <c r="RED247" i="20" s="1"/>
  <c r="RDZ247" i="20" s="1"/>
  <c r="RDV247" i="20" s="1"/>
  <c r="REG247" i="20"/>
  <c r="REC247" i="20" l="1"/>
  <c r="RDY247" i="20" s="1"/>
  <c r="RDU247" i="20" s="1"/>
  <c r="RDQ247" i="20" s="1"/>
  <c r="REB247" i="20"/>
  <c r="RDX247" i="20" l="1"/>
  <c r="RDT247" i="20" s="1"/>
  <c r="RDP247" i="20" s="1"/>
  <c r="RDL247" i="20" s="1"/>
  <c r="RDW247" i="20"/>
  <c r="RDS247" i="20" l="1"/>
  <c r="RDO247" i="20" s="1"/>
  <c r="RDK247" i="20" s="1"/>
  <c r="RDG247" i="20" s="1"/>
  <c r="RDR247" i="20"/>
  <c r="RDN247" i="20" l="1"/>
  <c r="RDJ247" i="20" s="1"/>
  <c r="RDF247" i="20" s="1"/>
  <c r="RDB247" i="20" s="1"/>
  <c r="RDM247" i="20"/>
  <c r="RDI247" i="20" l="1"/>
  <c r="RDE247" i="20" s="1"/>
  <c r="RDA247" i="20" s="1"/>
  <c r="RCW247" i="20" s="1"/>
  <c r="RDH247" i="20"/>
  <c r="RDD247" i="20" l="1"/>
  <c r="RCZ247" i="20" s="1"/>
  <c r="RCV247" i="20" s="1"/>
  <c r="RCR247" i="20" s="1"/>
  <c r="RDC247" i="20"/>
  <c r="RCY247" i="20" l="1"/>
  <c r="RCU247" i="20" s="1"/>
  <c r="RCQ247" i="20" s="1"/>
  <c r="RCM247" i="20" s="1"/>
  <c r="RCX247" i="20"/>
  <c r="RCT247" i="20" l="1"/>
  <c r="RCP247" i="20" s="1"/>
  <c r="RCL247" i="20" s="1"/>
  <c r="RCH247" i="20" s="1"/>
  <c r="RCS247" i="20"/>
  <c r="RCO247" i="20" l="1"/>
  <c r="RCK247" i="20" s="1"/>
  <c r="RCG247" i="20" s="1"/>
  <c r="RCC247" i="20" s="1"/>
  <c r="RCN247" i="20"/>
  <c r="RCJ247" i="20" l="1"/>
  <c r="RCF247" i="20" s="1"/>
  <c r="RCB247" i="20" s="1"/>
  <c r="RBX247" i="20" s="1"/>
  <c r="RCI247" i="20"/>
  <c r="RCE247" i="20" l="1"/>
  <c r="RCA247" i="20" s="1"/>
  <c r="RBW247" i="20" s="1"/>
  <c r="RBS247" i="20" s="1"/>
  <c r="RCD247" i="20"/>
  <c r="RBZ247" i="20" l="1"/>
  <c r="RBV247" i="20" s="1"/>
  <c r="RBR247" i="20" s="1"/>
  <c r="RBN247" i="20" s="1"/>
  <c r="RBY247" i="20"/>
  <c r="RBU247" i="20" l="1"/>
  <c r="RBQ247" i="20" s="1"/>
  <c r="RBM247" i="20" s="1"/>
  <c r="RBI247" i="20" s="1"/>
  <c r="RBT247" i="20"/>
  <c r="RBP247" i="20" l="1"/>
  <c r="RBL247" i="20" s="1"/>
  <c r="RBH247" i="20" s="1"/>
  <c r="RBD247" i="20" s="1"/>
  <c r="RBO247" i="20"/>
  <c r="RBK247" i="20" l="1"/>
  <c r="RBG247" i="20" s="1"/>
  <c r="RBC247" i="20" s="1"/>
  <c r="RAY247" i="20" s="1"/>
  <c r="RBJ247" i="20"/>
  <c r="RBF247" i="20" l="1"/>
  <c r="RBB247" i="20" s="1"/>
  <c r="RAX247" i="20" s="1"/>
  <c r="RAT247" i="20" s="1"/>
  <c r="RBE247" i="20"/>
  <c r="RBA247" i="20" l="1"/>
  <c r="RAW247" i="20" s="1"/>
  <c r="RAS247" i="20" s="1"/>
  <c r="RAO247" i="20" s="1"/>
  <c r="RAZ247" i="20"/>
  <c r="RAV247" i="20" l="1"/>
  <c r="RAR247" i="20" s="1"/>
  <c r="RAN247" i="20" s="1"/>
  <c r="RAJ247" i="20" s="1"/>
  <c r="RAU247" i="20"/>
  <c r="RAQ247" i="20" l="1"/>
  <c r="RAM247" i="20" s="1"/>
  <c r="RAI247" i="20" s="1"/>
  <c r="RAE247" i="20" s="1"/>
  <c r="RAP247" i="20"/>
  <c r="RAL247" i="20" l="1"/>
  <c r="RAH247" i="20" s="1"/>
  <c r="RAD247" i="20" s="1"/>
  <c r="QZZ247" i="20" s="1"/>
  <c r="RAK247" i="20"/>
  <c r="RAG247" i="20" l="1"/>
  <c r="RAC247" i="20" s="1"/>
  <c r="QZY247" i="20" s="1"/>
  <c r="QZU247" i="20" s="1"/>
  <c r="RAF247" i="20"/>
  <c r="RAB247" i="20" l="1"/>
  <c r="QZX247" i="20" s="1"/>
  <c r="QZT247" i="20" s="1"/>
  <c r="QZP247" i="20" s="1"/>
  <c r="RAA247" i="20"/>
  <c r="QZW247" i="20" l="1"/>
  <c r="QZS247" i="20" s="1"/>
  <c r="QZO247" i="20" s="1"/>
  <c r="QZK247" i="20" s="1"/>
  <c r="QZV247" i="20"/>
  <c r="QZR247" i="20" l="1"/>
  <c r="QZN247" i="20" s="1"/>
  <c r="QZJ247" i="20" s="1"/>
  <c r="QZF247" i="20" s="1"/>
  <c r="QZQ247" i="20"/>
  <c r="QZM247" i="20" l="1"/>
  <c r="QZI247" i="20" s="1"/>
  <c r="QZE247" i="20" s="1"/>
  <c r="QZA247" i="20" s="1"/>
  <c r="QZL247" i="20"/>
  <c r="QZH247" i="20" l="1"/>
  <c r="QZD247" i="20" s="1"/>
  <c r="QYZ247" i="20" s="1"/>
  <c r="QYV247" i="20" s="1"/>
  <c r="QZG247" i="20"/>
  <c r="QZC247" i="20" l="1"/>
  <c r="QYY247" i="20" s="1"/>
  <c r="QYU247" i="20" s="1"/>
  <c r="QYQ247" i="20" s="1"/>
  <c r="QZB247" i="20"/>
  <c r="QYX247" i="20" l="1"/>
  <c r="QYT247" i="20" s="1"/>
  <c r="QYP247" i="20" s="1"/>
  <c r="QYL247" i="20" s="1"/>
  <c r="QYW247" i="20"/>
  <c r="QYS247" i="20" l="1"/>
  <c r="QYO247" i="20" s="1"/>
  <c r="QYK247" i="20" s="1"/>
  <c r="QYG247" i="20" s="1"/>
  <c r="QYR247" i="20"/>
  <c r="QYN247" i="20" l="1"/>
  <c r="QYJ247" i="20" s="1"/>
  <c r="QYF247" i="20" s="1"/>
  <c r="QYB247" i="20" s="1"/>
  <c r="QYM247" i="20"/>
  <c r="QYI247" i="20" l="1"/>
  <c r="QYE247" i="20" s="1"/>
  <c r="QYA247" i="20" s="1"/>
  <c r="QXW247" i="20" s="1"/>
  <c r="QYH247" i="20"/>
  <c r="QYD247" i="20" l="1"/>
  <c r="QXZ247" i="20" s="1"/>
  <c r="QXV247" i="20" s="1"/>
  <c r="QXR247" i="20" s="1"/>
  <c r="QYC247" i="20"/>
  <c r="QXY247" i="20" l="1"/>
  <c r="QXU247" i="20" s="1"/>
  <c r="QXQ247" i="20" s="1"/>
  <c r="QXM247" i="20" s="1"/>
  <c r="QXX247" i="20"/>
  <c r="QXT247" i="20" l="1"/>
  <c r="QXP247" i="20" s="1"/>
  <c r="QXL247" i="20" s="1"/>
  <c r="QXH247" i="20" s="1"/>
  <c r="QXS247" i="20"/>
  <c r="QXO247" i="20" l="1"/>
  <c r="QXK247" i="20" s="1"/>
  <c r="QXG247" i="20" s="1"/>
  <c r="QXC247" i="20" s="1"/>
  <c r="QXN247" i="20"/>
  <c r="QXJ247" i="20" l="1"/>
  <c r="QXF247" i="20" s="1"/>
  <c r="QXB247" i="20" s="1"/>
  <c r="QWX247" i="20" s="1"/>
  <c r="QXI247" i="20"/>
  <c r="QXE247" i="20" l="1"/>
  <c r="QXA247" i="20" s="1"/>
  <c r="QWW247" i="20" s="1"/>
  <c r="QWS247" i="20" s="1"/>
  <c r="QXD247" i="20"/>
  <c r="QWZ247" i="20" l="1"/>
  <c r="QWV247" i="20" s="1"/>
  <c r="QWR247" i="20" s="1"/>
  <c r="QWN247" i="20" s="1"/>
  <c r="QWY247" i="20"/>
  <c r="QWU247" i="20" l="1"/>
  <c r="QWQ247" i="20" s="1"/>
  <c r="QWM247" i="20" s="1"/>
  <c r="QWI247" i="20" s="1"/>
  <c r="QWT247" i="20"/>
  <c r="QWP247" i="20" l="1"/>
  <c r="QWL247" i="20" s="1"/>
  <c r="QWH247" i="20" s="1"/>
  <c r="QWD247" i="20" s="1"/>
  <c r="QWO247" i="20"/>
  <c r="QWK247" i="20" l="1"/>
  <c r="QWG247" i="20" s="1"/>
  <c r="QWC247" i="20" s="1"/>
  <c r="QVY247" i="20" s="1"/>
  <c r="QWJ247" i="20"/>
  <c r="QWF247" i="20" l="1"/>
  <c r="QWB247" i="20" s="1"/>
  <c r="QVX247" i="20" s="1"/>
  <c r="QVT247" i="20" s="1"/>
  <c r="QWE247" i="20"/>
  <c r="QWA247" i="20" l="1"/>
  <c r="QVW247" i="20" s="1"/>
  <c r="QVS247" i="20" s="1"/>
  <c r="QVO247" i="20" s="1"/>
  <c r="QVZ247" i="20"/>
  <c r="QVV247" i="20" l="1"/>
  <c r="QVR247" i="20" s="1"/>
  <c r="QVN247" i="20" s="1"/>
  <c r="QVJ247" i="20" s="1"/>
  <c r="QVU247" i="20"/>
  <c r="QVQ247" i="20" l="1"/>
  <c r="QVM247" i="20" s="1"/>
  <c r="QVI247" i="20" s="1"/>
  <c r="QVE247" i="20" s="1"/>
  <c r="QVP247" i="20"/>
  <c r="QVL247" i="20" l="1"/>
  <c r="QVH247" i="20" s="1"/>
  <c r="QVD247" i="20" s="1"/>
  <c r="QUZ247" i="20" s="1"/>
  <c r="QVK247" i="20"/>
  <c r="QVG247" i="20" l="1"/>
  <c r="QVC247" i="20" s="1"/>
  <c r="QUY247" i="20" s="1"/>
  <c r="QUU247" i="20" s="1"/>
  <c r="QVF247" i="20"/>
  <c r="QVB247" i="20" l="1"/>
  <c r="QUX247" i="20" s="1"/>
  <c r="QUT247" i="20" s="1"/>
  <c r="QUP247" i="20" s="1"/>
  <c r="QVA247" i="20"/>
  <c r="QUW247" i="20" l="1"/>
  <c r="QUS247" i="20" s="1"/>
  <c r="QUO247" i="20" s="1"/>
  <c r="QUK247" i="20" s="1"/>
  <c r="QUV247" i="20"/>
  <c r="QUR247" i="20" l="1"/>
  <c r="QUN247" i="20" s="1"/>
  <c r="QUJ247" i="20" s="1"/>
  <c r="QUF247" i="20" s="1"/>
  <c r="QUQ247" i="20"/>
  <c r="QUM247" i="20" l="1"/>
  <c r="QUI247" i="20" s="1"/>
  <c r="QUE247" i="20" s="1"/>
  <c r="QUA247" i="20" s="1"/>
  <c r="QUL247" i="20"/>
  <c r="QUH247" i="20" l="1"/>
  <c r="QUD247" i="20" s="1"/>
  <c r="QTZ247" i="20" s="1"/>
  <c r="QTV247" i="20" s="1"/>
  <c r="QUG247" i="20"/>
  <c r="QUC247" i="20" l="1"/>
  <c r="QTY247" i="20" s="1"/>
  <c r="QTU247" i="20" s="1"/>
  <c r="QTQ247" i="20" s="1"/>
  <c r="QUB247" i="20"/>
  <c r="QTX247" i="20" l="1"/>
  <c r="QTT247" i="20" s="1"/>
  <c r="QTP247" i="20" s="1"/>
  <c r="QTL247" i="20" s="1"/>
  <c r="QTW247" i="20"/>
  <c r="QTS247" i="20" l="1"/>
  <c r="QTO247" i="20" s="1"/>
  <c r="QTK247" i="20" s="1"/>
  <c r="QTG247" i="20" s="1"/>
  <c r="QTR247" i="20"/>
  <c r="QTN247" i="20" l="1"/>
  <c r="QTJ247" i="20" s="1"/>
  <c r="QTF247" i="20" s="1"/>
  <c r="QTB247" i="20" s="1"/>
  <c r="QTM247" i="20"/>
  <c r="QTI247" i="20" l="1"/>
  <c r="QTE247" i="20" s="1"/>
  <c r="QTA247" i="20" s="1"/>
  <c r="QSW247" i="20" s="1"/>
  <c r="QTH247" i="20"/>
  <c r="QTD247" i="20" l="1"/>
  <c r="QSZ247" i="20" s="1"/>
  <c r="QSV247" i="20" s="1"/>
  <c r="QSR247" i="20" s="1"/>
  <c r="QTC247" i="20"/>
  <c r="QSY247" i="20" l="1"/>
  <c r="QSU247" i="20" s="1"/>
  <c r="QSQ247" i="20" s="1"/>
  <c r="QSM247" i="20" s="1"/>
  <c r="QSX247" i="20"/>
  <c r="QST247" i="20" l="1"/>
  <c r="QSP247" i="20" s="1"/>
  <c r="QSL247" i="20" s="1"/>
  <c r="QSH247" i="20" s="1"/>
  <c r="QSS247" i="20"/>
  <c r="QSO247" i="20" l="1"/>
  <c r="QSK247" i="20" s="1"/>
  <c r="QSG247" i="20" s="1"/>
  <c r="QSC247" i="20" s="1"/>
  <c r="QSN247" i="20"/>
  <c r="QSJ247" i="20" l="1"/>
  <c r="QSF247" i="20" s="1"/>
  <c r="QSB247" i="20" s="1"/>
  <c r="QRX247" i="20" s="1"/>
  <c r="QSI247" i="20"/>
  <c r="QSE247" i="20" l="1"/>
  <c r="QSA247" i="20" s="1"/>
  <c r="QRW247" i="20" s="1"/>
  <c r="QRS247" i="20" s="1"/>
  <c r="QSD247" i="20"/>
  <c r="QRZ247" i="20" l="1"/>
  <c r="QRV247" i="20" s="1"/>
  <c r="QRR247" i="20" s="1"/>
  <c r="QRN247" i="20" s="1"/>
  <c r="QRY247" i="20"/>
  <c r="QRU247" i="20" l="1"/>
  <c r="QRQ247" i="20" s="1"/>
  <c r="QRM247" i="20" s="1"/>
  <c r="QRI247" i="20" s="1"/>
  <c r="QRT247" i="20"/>
  <c r="QRP247" i="20" l="1"/>
  <c r="QRL247" i="20" s="1"/>
  <c r="QRH247" i="20" s="1"/>
  <c r="QRD247" i="20" s="1"/>
  <c r="QRO247" i="20"/>
  <c r="QRK247" i="20" l="1"/>
  <c r="QRG247" i="20" s="1"/>
  <c r="QRC247" i="20" s="1"/>
  <c r="QQY247" i="20" s="1"/>
  <c r="QRJ247" i="20"/>
  <c r="QRF247" i="20" l="1"/>
  <c r="QRB247" i="20" s="1"/>
  <c r="QQX247" i="20" s="1"/>
  <c r="QQT247" i="20" s="1"/>
  <c r="QRE247" i="20"/>
  <c r="QRA247" i="20" l="1"/>
  <c r="QQW247" i="20" s="1"/>
  <c r="QQS247" i="20" s="1"/>
  <c r="QQO247" i="20" s="1"/>
  <c r="QQZ247" i="20"/>
  <c r="QQV247" i="20" l="1"/>
  <c r="QQR247" i="20" s="1"/>
  <c r="QQN247" i="20" s="1"/>
  <c r="QQJ247" i="20" s="1"/>
  <c r="QQU247" i="20"/>
  <c r="QQQ247" i="20" l="1"/>
  <c r="QQM247" i="20" s="1"/>
  <c r="QQI247" i="20" s="1"/>
  <c r="QQE247" i="20" s="1"/>
  <c r="QQP247" i="20"/>
  <c r="QQL247" i="20" l="1"/>
  <c r="QQH247" i="20" s="1"/>
  <c r="QQD247" i="20" s="1"/>
  <c r="QPZ247" i="20" s="1"/>
  <c r="QQK247" i="20"/>
  <c r="QQG247" i="20" l="1"/>
  <c r="QQC247" i="20" s="1"/>
  <c r="QPY247" i="20" s="1"/>
  <c r="QPU247" i="20" s="1"/>
  <c r="QQF247" i="20"/>
  <c r="QQB247" i="20" l="1"/>
  <c r="QPX247" i="20" s="1"/>
  <c r="QPT247" i="20" s="1"/>
  <c r="QPP247" i="20" s="1"/>
  <c r="QQA247" i="20"/>
  <c r="QPW247" i="20" l="1"/>
  <c r="QPS247" i="20" s="1"/>
  <c r="QPO247" i="20" s="1"/>
  <c r="QPK247" i="20" s="1"/>
  <c r="QPV247" i="20"/>
  <c r="QPR247" i="20" l="1"/>
  <c r="QPN247" i="20" s="1"/>
  <c r="QPJ247" i="20" s="1"/>
  <c r="QPF247" i="20" s="1"/>
  <c r="QPQ247" i="20"/>
  <c r="QPM247" i="20" l="1"/>
  <c r="QPI247" i="20" s="1"/>
  <c r="QPE247" i="20" s="1"/>
  <c r="QPA247" i="20" s="1"/>
  <c r="QPL247" i="20"/>
  <c r="QPH247" i="20" l="1"/>
  <c r="QPD247" i="20" s="1"/>
  <c r="QOZ247" i="20" s="1"/>
  <c r="QOV247" i="20" s="1"/>
  <c r="QPG247" i="20"/>
  <c r="QPC247" i="20" l="1"/>
  <c r="QOY247" i="20" s="1"/>
  <c r="QOU247" i="20" s="1"/>
  <c r="QOQ247" i="20" s="1"/>
  <c r="QPB247" i="20"/>
  <c r="QOX247" i="20" l="1"/>
  <c r="QOT247" i="20" s="1"/>
  <c r="QOP247" i="20" s="1"/>
  <c r="QOL247" i="20" s="1"/>
  <c r="QOW247" i="20"/>
  <c r="QOS247" i="20" l="1"/>
  <c r="QOO247" i="20" s="1"/>
  <c r="QOK247" i="20" s="1"/>
  <c r="QOG247" i="20" s="1"/>
  <c r="QOR247" i="20"/>
  <c r="QON247" i="20" l="1"/>
  <c r="QOJ247" i="20" s="1"/>
  <c r="QOF247" i="20" s="1"/>
  <c r="QOB247" i="20" s="1"/>
  <c r="QOM247" i="20"/>
  <c r="QOI247" i="20" l="1"/>
  <c r="QOE247" i="20" s="1"/>
  <c r="QOA247" i="20" s="1"/>
  <c r="QNW247" i="20" s="1"/>
  <c r="QOH247" i="20"/>
  <c r="QOD247" i="20" l="1"/>
  <c r="QNZ247" i="20" s="1"/>
  <c r="QNV247" i="20" s="1"/>
  <c r="QNR247" i="20" s="1"/>
  <c r="QOC247" i="20"/>
  <c r="QNY247" i="20" l="1"/>
  <c r="QNU247" i="20" s="1"/>
  <c r="QNQ247" i="20" s="1"/>
  <c r="QNM247" i="20" s="1"/>
  <c r="QNX247" i="20"/>
  <c r="QNT247" i="20" l="1"/>
  <c r="QNP247" i="20" s="1"/>
  <c r="QNL247" i="20" s="1"/>
  <c r="QNH247" i="20" s="1"/>
  <c r="QNS247" i="20"/>
  <c r="QNO247" i="20" l="1"/>
  <c r="QNK247" i="20" s="1"/>
  <c r="QNG247" i="20" s="1"/>
  <c r="QNC247" i="20" s="1"/>
  <c r="QNN247" i="20"/>
  <c r="QNJ247" i="20" l="1"/>
  <c r="QNF247" i="20" s="1"/>
  <c r="QNB247" i="20" s="1"/>
  <c r="QMX247" i="20" s="1"/>
  <c r="QNI247" i="20"/>
  <c r="QNE247" i="20" l="1"/>
  <c r="QNA247" i="20" s="1"/>
  <c r="QMW247" i="20" s="1"/>
  <c r="QMS247" i="20" s="1"/>
  <c r="QND247" i="20"/>
  <c r="QMZ247" i="20" l="1"/>
  <c r="QMV247" i="20" s="1"/>
  <c r="QMR247" i="20" s="1"/>
  <c r="QMN247" i="20" s="1"/>
  <c r="QMY247" i="20"/>
  <c r="QMU247" i="20" l="1"/>
  <c r="QMQ247" i="20" s="1"/>
  <c r="QMM247" i="20" s="1"/>
  <c r="QMI247" i="20" s="1"/>
  <c r="QMT247" i="20"/>
  <c r="QMP247" i="20" l="1"/>
  <c r="QML247" i="20" s="1"/>
  <c r="QMH247" i="20" s="1"/>
  <c r="QMD247" i="20" s="1"/>
  <c r="QMO247" i="20"/>
  <c r="QMK247" i="20" l="1"/>
  <c r="QMG247" i="20" s="1"/>
  <c r="QMC247" i="20" s="1"/>
  <c r="QLY247" i="20" s="1"/>
  <c r="QMJ247" i="20"/>
  <c r="QMF247" i="20" l="1"/>
  <c r="QMB247" i="20" s="1"/>
  <c r="QLX247" i="20" s="1"/>
  <c r="QLT247" i="20" s="1"/>
  <c r="QME247" i="20"/>
  <c r="QMA247" i="20" l="1"/>
  <c r="QLW247" i="20" s="1"/>
  <c r="QLS247" i="20" s="1"/>
  <c r="QLO247" i="20" s="1"/>
  <c r="QLZ247" i="20"/>
  <c r="QLV247" i="20" l="1"/>
  <c r="QLR247" i="20" s="1"/>
  <c r="QLN247" i="20" s="1"/>
  <c r="QLJ247" i="20" s="1"/>
  <c r="QLU247" i="20"/>
  <c r="QLQ247" i="20" l="1"/>
  <c r="QLM247" i="20" s="1"/>
  <c r="QLI247" i="20" s="1"/>
  <c r="QLE247" i="20" s="1"/>
  <c r="QLP247" i="20"/>
  <c r="QLL247" i="20" l="1"/>
  <c r="QLH247" i="20" s="1"/>
  <c r="QLD247" i="20" s="1"/>
  <c r="QKZ247" i="20" s="1"/>
  <c r="QLK247" i="20"/>
  <c r="QLG247" i="20" l="1"/>
  <c r="QLC247" i="20" s="1"/>
  <c r="QKY247" i="20" s="1"/>
  <c r="QKU247" i="20" s="1"/>
  <c r="QLF247" i="20"/>
  <c r="QLB247" i="20" l="1"/>
  <c r="QKX247" i="20" s="1"/>
  <c r="QKT247" i="20" s="1"/>
  <c r="QKP247" i="20" s="1"/>
  <c r="QLA247" i="20"/>
  <c r="QKW247" i="20" l="1"/>
  <c r="QKS247" i="20" s="1"/>
  <c r="QKO247" i="20" s="1"/>
  <c r="QKK247" i="20" s="1"/>
  <c r="QKV247" i="20"/>
  <c r="QKR247" i="20" l="1"/>
  <c r="QKN247" i="20" s="1"/>
  <c r="QKJ247" i="20" s="1"/>
  <c r="QKF247" i="20" s="1"/>
  <c r="QKQ247" i="20"/>
  <c r="QKM247" i="20" l="1"/>
  <c r="QKI247" i="20" s="1"/>
  <c r="QKE247" i="20" s="1"/>
  <c r="QKA247" i="20" s="1"/>
  <c r="QKL247" i="20"/>
  <c r="QKH247" i="20" l="1"/>
  <c r="QKD247" i="20" s="1"/>
  <c r="QJZ247" i="20" s="1"/>
  <c r="QJV247" i="20" s="1"/>
  <c r="QKG247" i="20"/>
  <c r="QKC247" i="20" l="1"/>
  <c r="QJY247" i="20" s="1"/>
  <c r="QJU247" i="20" s="1"/>
  <c r="QJQ247" i="20" s="1"/>
  <c r="QKB247" i="20"/>
  <c r="QJX247" i="20" l="1"/>
  <c r="QJT247" i="20" s="1"/>
  <c r="QJP247" i="20" s="1"/>
  <c r="QJL247" i="20" s="1"/>
  <c r="QJW247" i="20"/>
  <c r="QJS247" i="20" l="1"/>
  <c r="QJO247" i="20" s="1"/>
  <c r="QJK247" i="20" s="1"/>
  <c r="QJG247" i="20" s="1"/>
  <c r="QJR247" i="20"/>
  <c r="QJN247" i="20" l="1"/>
  <c r="QJJ247" i="20" s="1"/>
  <c r="QJF247" i="20" s="1"/>
  <c r="QJB247" i="20" s="1"/>
  <c r="QJM247" i="20"/>
  <c r="QJI247" i="20" l="1"/>
  <c r="QJE247" i="20" s="1"/>
  <c r="QJA247" i="20" s="1"/>
  <c r="QIW247" i="20" s="1"/>
  <c r="QJH247" i="20"/>
  <c r="QJD247" i="20" l="1"/>
  <c r="QIZ247" i="20" s="1"/>
  <c r="QIV247" i="20" s="1"/>
  <c r="QIR247" i="20" s="1"/>
  <c r="QJC247" i="20"/>
  <c r="QIY247" i="20" l="1"/>
  <c r="QIU247" i="20" s="1"/>
  <c r="QIQ247" i="20" s="1"/>
  <c r="QIM247" i="20" s="1"/>
  <c r="QIX247" i="20"/>
  <c r="QIT247" i="20" l="1"/>
  <c r="QIP247" i="20" s="1"/>
  <c r="QIL247" i="20" s="1"/>
  <c r="QIH247" i="20" s="1"/>
  <c r="QIS247" i="20"/>
  <c r="QIO247" i="20" l="1"/>
  <c r="QIK247" i="20" s="1"/>
  <c r="QIG247" i="20" s="1"/>
  <c r="QIC247" i="20" s="1"/>
  <c r="QIN247" i="20"/>
  <c r="QIJ247" i="20" l="1"/>
  <c r="QIF247" i="20" s="1"/>
  <c r="QIB247" i="20" s="1"/>
  <c r="QHX247" i="20" s="1"/>
  <c r="QII247" i="20"/>
  <c r="QIE247" i="20" l="1"/>
  <c r="QIA247" i="20" s="1"/>
  <c r="QHW247" i="20" s="1"/>
  <c r="QHS247" i="20" s="1"/>
  <c r="QID247" i="20"/>
  <c r="QHZ247" i="20" l="1"/>
  <c r="QHV247" i="20" s="1"/>
  <c r="QHR247" i="20" s="1"/>
  <c r="QHN247" i="20" s="1"/>
  <c r="QHY247" i="20"/>
  <c r="QHU247" i="20" l="1"/>
  <c r="QHQ247" i="20" s="1"/>
  <c r="QHM247" i="20" s="1"/>
  <c r="QHI247" i="20" s="1"/>
  <c r="QHT247" i="20"/>
  <c r="QHP247" i="20" l="1"/>
  <c r="QHL247" i="20" s="1"/>
  <c r="QHH247" i="20" s="1"/>
  <c r="QHD247" i="20" s="1"/>
  <c r="QHO247" i="20"/>
  <c r="QHK247" i="20" l="1"/>
  <c r="QHG247" i="20" s="1"/>
  <c r="QHC247" i="20" s="1"/>
  <c r="QGY247" i="20" s="1"/>
  <c r="QHJ247" i="20"/>
  <c r="QHF247" i="20" l="1"/>
  <c r="QHB247" i="20" s="1"/>
  <c r="QGX247" i="20" s="1"/>
  <c r="QGT247" i="20" s="1"/>
  <c r="QHE247" i="20"/>
  <c r="QHA247" i="20" l="1"/>
  <c r="QGW247" i="20" s="1"/>
  <c r="QGS247" i="20" s="1"/>
  <c r="QGO247" i="20" s="1"/>
  <c r="QGZ247" i="20"/>
  <c r="QGV247" i="20" l="1"/>
  <c r="QGR247" i="20" s="1"/>
  <c r="QGN247" i="20" s="1"/>
  <c r="QGJ247" i="20" s="1"/>
  <c r="QGU247" i="20"/>
  <c r="QGQ247" i="20" l="1"/>
  <c r="QGM247" i="20" s="1"/>
  <c r="QGI247" i="20" s="1"/>
  <c r="QGE247" i="20" s="1"/>
  <c r="QGP247" i="20"/>
  <c r="QGL247" i="20" l="1"/>
  <c r="QGH247" i="20" s="1"/>
  <c r="QGD247" i="20" s="1"/>
  <c r="QFZ247" i="20" s="1"/>
  <c r="QGK247" i="20"/>
  <c r="QGG247" i="20" l="1"/>
  <c r="QGC247" i="20" s="1"/>
  <c r="QFY247" i="20" s="1"/>
  <c r="QFU247" i="20" s="1"/>
  <c r="QGF247" i="20"/>
  <c r="QGB247" i="20" l="1"/>
  <c r="QFX247" i="20" s="1"/>
  <c r="QFT247" i="20" s="1"/>
  <c r="QFP247" i="20" s="1"/>
  <c r="QGA247" i="20"/>
  <c r="QFW247" i="20" l="1"/>
  <c r="QFS247" i="20" s="1"/>
  <c r="QFO247" i="20" s="1"/>
  <c r="QFK247" i="20" s="1"/>
  <c r="QFV247" i="20"/>
  <c r="QFR247" i="20" l="1"/>
  <c r="QFN247" i="20" s="1"/>
  <c r="QFJ247" i="20" s="1"/>
  <c r="QFF247" i="20" s="1"/>
  <c r="QFQ247" i="20"/>
  <c r="QFM247" i="20" l="1"/>
  <c r="QFI247" i="20" s="1"/>
  <c r="QFE247" i="20" s="1"/>
  <c r="QFA247" i="20" s="1"/>
  <c r="QFL247" i="20"/>
  <c r="QFH247" i="20" l="1"/>
  <c r="QFD247" i="20" s="1"/>
  <c r="QEZ247" i="20" s="1"/>
  <c r="QEV247" i="20" s="1"/>
  <c r="QFG247" i="20"/>
  <c r="QFC247" i="20" l="1"/>
  <c r="QEY247" i="20" s="1"/>
  <c r="QEU247" i="20" s="1"/>
  <c r="QEQ247" i="20" s="1"/>
  <c r="QFB247" i="20"/>
  <c r="QEX247" i="20" l="1"/>
  <c r="QET247" i="20" s="1"/>
  <c r="QEP247" i="20" s="1"/>
  <c r="QEL247" i="20" s="1"/>
  <c r="QEW247" i="20"/>
  <c r="QES247" i="20" l="1"/>
  <c r="QEO247" i="20" s="1"/>
  <c r="QEK247" i="20" s="1"/>
  <c r="QEG247" i="20" s="1"/>
  <c r="QER247" i="20"/>
  <c r="QEN247" i="20" l="1"/>
  <c r="QEJ247" i="20" s="1"/>
  <c r="QEF247" i="20" s="1"/>
  <c r="QEB247" i="20" s="1"/>
  <c r="QEM247" i="20"/>
  <c r="QEI247" i="20" l="1"/>
  <c r="QEE247" i="20" s="1"/>
  <c r="QEA247" i="20" s="1"/>
  <c r="QDW247" i="20" s="1"/>
  <c r="QEH247" i="20"/>
  <c r="QED247" i="20" l="1"/>
  <c r="QDZ247" i="20" s="1"/>
  <c r="QDV247" i="20" s="1"/>
  <c r="QDR247" i="20" s="1"/>
  <c r="QEC247" i="20"/>
  <c r="QDY247" i="20" l="1"/>
  <c r="QDU247" i="20" s="1"/>
  <c r="QDQ247" i="20" s="1"/>
  <c r="QDM247" i="20" s="1"/>
  <c r="QDX247" i="20"/>
  <c r="QDT247" i="20" l="1"/>
  <c r="QDP247" i="20" s="1"/>
  <c r="QDL247" i="20" s="1"/>
  <c r="QDH247" i="20" s="1"/>
  <c r="QDS247" i="20"/>
  <c r="QDO247" i="20" l="1"/>
  <c r="QDK247" i="20" s="1"/>
  <c r="QDG247" i="20" s="1"/>
  <c r="QDC247" i="20" s="1"/>
  <c r="QDN247" i="20"/>
  <c r="QDJ247" i="20" l="1"/>
  <c r="QDF247" i="20" s="1"/>
  <c r="QDB247" i="20" s="1"/>
  <c r="QCX247" i="20" s="1"/>
  <c r="QDI247" i="20"/>
  <c r="QDE247" i="20" l="1"/>
  <c r="QDA247" i="20" s="1"/>
  <c r="QCW247" i="20" s="1"/>
  <c r="QCS247" i="20" s="1"/>
  <c r="QDD247" i="20"/>
  <c r="QCZ247" i="20" l="1"/>
  <c r="QCV247" i="20" s="1"/>
  <c r="QCR247" i="20" s="1"/>
  <c r="QCN247" i="20" s="1"/>
  <c r="QCY247" i="20"/>
  <c r="QCU247" i="20" l="1"/>
  <c r="QCQ247" i="20" s="1"/>
  <c r="QCM247" i="20" s="1"/>
  <c r="QCI247" i="20" s="1"/>
  <c r="QCT247" i="20"/>
  <c r="QCP247" i="20" l="1"/>
  <c r="QCL247" i="20" s="1"/>
  <c r="QCH247" i="20" s="1"/>
  <c r="QCD247" i="20" s="1"/>
  <c r="QCO247" i="20"/>
  <c r="QCK247" i="20" l="1"/>
  <c r="QCG247" i="20" s="1"/>
  <c r="QCC247" i="20" s="1"/>
  <c r="QBY247" i="20" s="1"/>
  <c r="QCJ247" i="20"/>
  <c r="QCF247" i="20" l="1"/>
  <c r="QCB247" i="20" s="1"/>
  <c r="QBX247" i="20" s="1"/>
  <c r="QBT247" i="20" s="1"/>
  <c r="QCE247" i="20"/>
  <c r="QCA247" i="20" l="1"/>
  <c r="QBW247" i="20" s="1"/>
  <c r="QBS247" i="20" s="1"/>
  <c r="QBO247" i="20" s="1"/>
  <c r="QBZ247" i="20"/>
  <c r="QBV247" i="20" l="1"/>
  <c r="QBR247" i="20" s="1"/>
  <c r="QBN247" i="20" s="1"/>
  <c r="QBJ247" i="20" s="1"/>
  <c r="QBU247" i="20"/>
  <c r="QBQ247" i="20" l="1"/>
  <c r="QBM247" i="20" s="1"/>
  <c r="QBI247" i="20" s="1"/>
  <c r="QBE247" i="20" s="1"/>
  <c r="QBP247" i="20"/>
  <c r="QBL247" i="20" l="1"/>
  <c r="QBH247" i="20" s="1"/>
  <c r="QBD247" i="20" s="1"/>
  <c r="QAZ247" i="20" s="1"/>
  <c r="QBK247" i="20"/>
  <c r="QBG247" i="20" l="1"/>
  <c r="QBC247" i="20" s="1"/>
  <c r="QAY247" i="20" s="1"/>
  <c r="QAU247" i="20" s="1"/>
  <c r="QBF247" i="20"/>
  <c r="QBB247" i="20" l="1"/>
  <c r="QAX247" i="20" s="1"/>
  <c r="QAT247" i="20" s="1"/>
  <c r="QAP247" i="20" s="1"/>
  <c r="QBA247" i="20"/>
  <c r="QAW247" i="20" l="1"/>
  <c r="QAS247" i="20" s="1"/>
  <c r="QAO247" i="20" s="1"/>
  <c r="QAK247" i="20" s="1"/>
  <c r="QAV247" i="20"/>
  <c r="QAR247" i="20" l="1"/>
  <c r="QAN247" i="20" s="1"/>
  <c r="QAJ247" i="20" s="1"/>
  <c r="QAF247" i="20" s="1"/>
  <c r="QAQ247" i="20"/>
  <c r="QAM247" i="20" l="1"/>
  <c r="QAI247" i="20" s="1"/>
  <c r="QAE247" i="20" s="1"/>
  <c r="QAA247" i="20" s="1"/>
  <c r="QAL247" i="20"/>
  <c r="QAH247" i="20" l="1"/>
  <c r="QAD247" i="20" s="1"/>
  <c r="PZZ247" i="20" s="1"/>
  <c r="PZV247" i="20" s="1"/>
  <c r="QAG247" i="20"/>
  <c r="QAC247" i="20" l="1"/>
  <c r="PZY247" i="20" s="1"/>
  <c r="PZU247" i="20" s="1"/>
  <c r="PZQ247" i="20" s="1"/>
  <c r="QAB247" i="20"/>
  <c r="PZX247" i="20" l="1"/>
  <c r="PZT247" i="20" s="1"/>
  <c r="PZP247" i="20" s="1"/>
  <c r="PZL247" i="20" s="1"/>
  <c r="PZW247" i="20"/>
  <c r="PZS247" i="20" l="1"/>
  <c r="PZO247" i="20" s="1"/>
  <c r="PZK247" i="20" s="1"/>
  <c r="PZG247" i="20" s="1"/>
  <c r="PZR247" i="20"/>
  <c r="PZN247" i="20" l="1"/>
  <c r="PZJ247" i="20" s="1"/>
  <c r="PZF247" i="20" s="1"/>
  <c r="PZB247" i="20" s="1"/>
  <c r="PZM247" i="20"/>
  <c r="PZI247" i="20" l="1"/>
  <c r="PZE247" i="20" s="1"/>
  <c r="PZA247" i="20" s="1"/>
  <c r="PYW247" i="20" s="1"/>
  <c r="PZH247" i="20"/>
  <c r="PZD247" i="20" l="1"/>
  <c r="PYZ247" i="20" s="1"/>
  <c r="PYV247" i="20" s="1"/>
  <c r="PYR247" i="20" s="1"/>
  <c r="PZC247" i="20"/>
  <c r="PYY247" i="20" l="1"/>
  <c r="PYU247" i="20" s="1"/>
  <c r="PYQ247" i="20" s="1"/>
  <c r="PYM247" i="20" s="1"/>
  <c r="PYX247" i="20"/>
  <c r="PYT247" i="20" l="1"/>
  <c r="PYP247" i="20" s="1"/>
  <c r="PYL247" i="20" s="1"/>
  <c r="PYH247" i="20" s="1"/>
  <c r="PYS247" i="20"/>
  <c r="PYO247" i="20" l="1"/>
  <c r="PYK247" i="20" s="1"/>
  <c r="PYG247" i="20" s="1"/>
  <c r="PYC247" i="20" s="1"/>
  <c r="PYN247" i="20"/>
  <c r="PYJ247" i="20" l="1"/>
  <c r="PYF247" i="20" s="1"/>
  <c r="PYB247" i="20" s="1"/>
  <c r="PXX247" i="20" s="1"/>
  <c r="PYI247" i="20"/>
  <c r="PYE247" i="20" l="1"/>
  <c r="PYA247" i="20" s="1"/>
  <c r="PXW247" i="20" s="1"/>
  <c r="PXS247" i="20" s="1"/>
  <c r="PYD247" i="20"/>
  <c r="PXZ247" i="20" l="1"/>
  <c r="PXV247" i="20" s="1"/>
  <c r="PXR247" i="20" s="1"/>
  <c r="PXN247" i="20" s="1"/>
  <c r="PXY247" i="20"/>
  <c r="PXU247" i="20" l="1"/>
  <c r="PXQ247" i="20" s="1"/>
  <c r="PXM247" i="20" s="1"/>
  <c r="PXI247" i="20" s="1"/>
  <c r="PXT247" i="20"/>
  <c r="PXP247" i="20" l="1"/>
  <c r="PXL247" i="20" s="1"/>
  <c r="PXH247" i="20" s="1"/>
  <c r="PXD247" i="20" s="1"/>
  <c r="PXO247" i="20"/>
  <c r="PXK247" i="20" l="1"/>
  <c r="PXG247" i="20" s="1"/>
  <c r="PXC247" i="20" s="1"/>
  <c r="PWY247" i="20" s="1"/>
  <c r="PXJ247" i="20"/>
  <c r="PXF247" i="20" l="1"/>
  <c r="PXB247" i="20" s="1"/>
  <c r="PWX247" i="20" s="1"/>
  <c r="PWT247" i="20" s="1"/>
  <c r="PXE247" i="20"/>
  <c r="PXA247" i="20" l="1"/>
  <c r="PWW247" i="20" s="1"/>
  <c r="PWS247" i="20" s="1"/>
  <c r="PWO247" i="20" s="1"/>
  <c r="PWZ247" i="20"/>
  <c r="PWV247" i="20" l="1"/>
  <c r="PWR247" i="20" s="1"/>
  <c r="PWN247" i="20" s="1"/>
  <c r="PWJ247" i="20" s="1"/>
  <c r="PWU247" i="20"/>
  <c r="PWQ247" i="20" l="1"/>
  <c r="PWM247" i="20" s="1"/>
  <c r="PWI247" i="20" s="1"/>
  <c r="PWE247" i="20" s="1"/>
  <c r="PWP247" i="20"/>
  <c r="PWL247" i="20" l="1"/>
  <c r="PWH247" i="20" s="1"/>
  <c r="PWD247" i="20" s="1"/>
  <c r="PVZ247" i="20" s="1"/>
  <c r="PWK247" i="20"/>
  <c r="PWG247" i="20" l="1"/>
  <c r="PWC247" i="20" s="1"/>
  <c r="PVY247" i="20" s="1"/>
  <c r="PVU247" i="20" s="1"/>
  <c r="PWF247" i="20"/>
  <c r="PWB247" i="20" l="1"/>
  <c r="PVX247" i="20" s="1"/>
  <c r="PVT247" i="20" s="1"/>
  <c r="PVP247" i="20" s="1"/>
  <c r="PWA247" i="20"/>
  <c r="PVW247" i="20" l="1"/>
  <c r="PVS247" i="20" s="1"/>
  <c r="PVO247" i="20" s="1"/>
  <c r="PVK247" i="20" s="1"/>
  <c r="PVV247" i="20"/>
  <c r="PVR247" i="20" l="1"/>
  <c r="PVN247" i="20" s="1"/>
  <c r="PVJ247" i="20" s="1"/>
  <c r="PVF247" i="20" s="1"/>
  <c r="PVQ247" i="20"/>
  <c r="PVM247" i="20" l="1"/>
  <c r="PVI247" i="20" s="1"/>
  <c r="PVE247" i="20" s="1"/>
  <c r="PVA247" i="20" s="1"/>
  <c r="PVL247" i="20"/>
  <c r="PVH247" i="20" l="1"/>
  <c r="PVD247" i="20" s="1"/>
  <c r="PUZ247" i="20" s="1"/>
  <c r="PUV247" i="20" s="1"/>
  <c r="PVG247" i="20"/>
  <c r="PVC247" i="20" l="1"/>
  <c r="PUY247" i="20" s="1"/>
  <c r="PUU247" i="20" s="1"/>
  <c r="PUQ247" i="20" s="1"/>
  <c r="PVB247" i="20"/>
  <c r="PUX247" i="20" l="1"/>
  <c r="PUT247" i="20" s="1"/>
  <c r="PUP247" i="20" s="1"/>
  <c r="PUL247" i="20" s="1"/>
  <c r="PUW247" i="20"/>
  <c r="PUS247" i="20" l="1"/>
  <c r="PUO247" i="20" s="1"/>
  <c r="PUK247" i="20" s="1"/>
  <c r="PUG247" i="20" s="1"/>
  <c r="PUR247" i="20"/>
  <c r="PUN247" i="20" l="1"/>
  <c r="PUJ247" i="20" s="1"/>
  <c r="PUF247" i="20" s="1"/>
  <c r="PUB247" i="20" s="1"/>
  <c r="PUM247" i="20"/>
  <c r="PUI247" i="20" l="1"/>
  <c r="PUE247" i="20" s="1"/>
  <c r="PUA247" i="20" s="1"/>
  <c r="PTW247" i="20" s="1"/>
  <c r="PUH247" i="20"/>
  <c r="PUD247" i="20" l="1"/>
  <c r="PTZ247" i="20" s="1"/>
  <c r="PTV247" i="20" s="1"/>
  <c r="PTR247" i="20" s="1"/>
  <c r="PUC247" i="20"/>
  <c r="PTY247" i="20" l="1"/>
  <c r="PTU247" i="20" s="1"/>
  <c r="PTQ247" i="20" s="1"/>
  <c r="PTM247" i="20" s="1"/>
  <c r="PTX247" i="20"/>
  <c r="PTT247" i="20" l="1"/>
  <c r="PTP247" i="20" s="1"/>
  <c r="PTL247" i="20" s="1"/>
  <c r="PTH247" i="20" s="1"/>
  <c r="PTS247" i="20"/>
  <c r="PTO247" i="20" l="1"/>
  <c r="PTK247" i="20" s="1"/>
  <c r="PTG247" i="20" s="1"/>
  <c r="PTC247" i="20" s="1"/>
  <c r="PTN247" i="20"/>
  <c r="PTJ247" i="20" l="1"/>
  <c r="PTF247" i="20" s="1"/>
  <c r="PTB247" i="20" s="1"/>
  <c r="PSX247" i="20" s="1"/>
  <c r="PTI247" i="20"/>
  <c r="PTE247" i="20" l="1"/>
  <c r="PTA247" i="20" s="1"/>
  <c r="PSW247" i="20" s="1"/>
  <c r="PSS247" i="20" s="1"/>
  <c r="PTD247" i="20"/>
  <c r="PSZ247" i="20" l="1"/>
  <c r="PSV247" i="20" s="1"/>
  <c r="PSR247" i="20" s="1"/>
  <c r="PSN247" i="20" s="1"/>
  <c r="PSY247" i="20"/>
  <c r="PSU247" i="20" l="1"/>
  <c r="PSQ247" i="20" s="1"/>
  <c r="PSM247" i="20" s="1"/>
  <c r="PSI247" i="20" s="1"/>
  <c r="PST247" i="20"/>
  <c r="PSP247" i="20" l="1"/>
  <c r="PSL247" i="20" s="1"/>
  <c r="PSH247" i="20" s="1"/>
  <c r="PSD247" i="20" s="1"/>
  <c r="PSO247" i="20"/>
  <c r="PSK247" i="20" l="1"/>
  <c r="PSG247" i="20" s="1"/>
  <c r="PSC247" i="20" s="1"/>
  <c r="PRY247" i="20" s="1"/>
  <c r="PSJ247" i="20"/>
  <c r="PSF247" i="20" l="1"/>
  <c r="PSB247" i="20" s="1"/>
  <c r="PRX247" i="20" s="1"/>
  <c r="PRT247" i="20" s="1"/>
  <c r="PSE247" i="20"/>
  <c r="PSA247" i="20" l="1"/>
  <c r="PRW247" i="20" s="1"/>
  <c r="PRS247" i="20" s="1"/>
  <c r="PRO247" i="20" s="1"/>
  <c r="PRZ247" i="20"/>
  <c r="PRV247" i="20" l="1"/>
  <c r="PRR247" i="20" s="1"/>
  <c r="PRN247" i="20" s="1"/>
  <c r="PRJ247" i="20" s="1"/>
  <c r="PRU247" i="20"/>
  <c r="PRQ247" i="20" l="1"/>
  <c r="PRM247" i="20" s="1"/>
  <c r="PRI247" i="20" s="1"/>
  <c r="PRE247" i="20" s="1"/>
  <c r="PRP247" i="20"/>
  <c r="PRL247" i="20" l="1"/>
  <c r="PRH247" i="20" s="1"/>
  <c r="PRD247" i="20" s="1"/>
  <c r="PQZ247" i="20" s="1"/>
  <c r="PRK247" i="20"/>
  <c r="PRG247" i="20" l="1"/>
  <c r="PRC247" i="20" s="1"/>
  <c r="PQY247" i="20" s="1"/>
  <c r="PQU247" i="20" s="1"/>
  <c r="PRF247" i="20"/>
  <c r="PRB247" i="20" l="1"/>
  <c r="PQX247" i="20" s="1"/>
  <c r="PQT247" i="20" s="1"/>
  <c r="PQP247" i="20" s="1"/>
  <c r="PRA247" i="20"/>
  <c r="PQW247" i="20" l="1"/>
  <c r="PQS247" i="20" s="1"/>
  <c r="PQO247" i="20" s="1"/>
  <c r="PQK247" i="20" s="1"/>
  <c r="PQV247" i="20"/>
  <c r="PQR247" i="20" l="1"/>
  <c r="PQN247" i="20" s="1"/>
  <c r="PQJ247" i="20" s="1"/>
  <c r="PQF247" i="20" s="1"/>
  <c r="PQQ247" i="20"/>
  <c r="PQM247" i="20" l="1"/>
  <c r="PQI247" i="20" s="1"/>
  <c r="PQE247" i="20" s="1"/>
  <c r="PQA247" i="20" s="1"/>
  <c r="PQL247" i="20"/>
  <c r="PQH247" i="20" l="1"/>
  <c r="PQD247" i="20" s="1"/>
  <c r="PPZ247" i="20" s="1"/>
  <c r="PPV247" i="20" s="1"/>
  <c r="PQG247" i="20"/>
  <c r="PQC247" i="20" l="1"/>
  <c r="PPY247" i="20" s="1"/>
  <c r="PPU247" i="20" s="1"/>
  <c r="PPQ247" i="20" s="1"/>
  <c r="PQB247" i="20"/>
  <c r="PPX247" i="20" l="1"/>
  <c r="PPT247" i="20" s="1"/>
  <c r="PPP247" i="20" s="1"/>
  <c r="PPL247" i="20" s="1"/>
  <c r="PPW247" i="20"/>
  <c r="PPS247" i="20" l="1"/>
  <c r="PPO247" i="20" s="1"/>
  <c r="PPK247" i="20" s="1"/>
  <c r="PPG247" i="20" s="1"/>
  <c r="PPR247" i="20"/>
  <c r="PPN247" i="20" l="1"/>
  <c r="PPJ247" i="20" s="1"/>
  <c r="PPF247" i="20" s="1"/>
  <c r="PPB247" i="20" s="1"/>
  <c r="PPM247" i="20"/>
  <c r="PPI247" i="20" l="1"/>
  <c r="PPE247" i="20" s="1"/>
  <c r="PPA247" i="20" s="1"/>
  <c r="POW247" i="20" s="1"/>
  <c r="PPH247" i="20"/>
  <c r="PPD247" i="20" l="1"/>
  <c r="POZ247" i="20" s="1"/>
  <c r="POV247" i="20" s="1"/>
  <c r="POR247" i="20" s="1"/>
  <c r="PPC247" i="20"/>
  <c r="POY247" i="20" l="1"/>
  <c r="POU247" i="20" s="1"/>
  <c r="POQ247" i="20" s="1"/>
  <c r="POM247" i="20" s="1"/>
  <c r="POX247" i="20"/>
  <c r="POT247" i="20" l="1"/>
  <c r="POP247" i="20" s="1"/>
  <c r="POL247" i="20" s="1"/>
  <c r="POH247" i="20" s="1"/>
  <c r="POS247" i="20"/>
  <c r="POO247" i="20" l="1"/>
  <c r="POK247" i="20" s="1"/>
  <c r="POG247" i="20" s="1"/>
  <c r="POC247" i="20" s="1"/>
  <c r="PON247" i="20"/>
  <c r="POJ247" i="20" l="1"/>
  <c r="POF247" i="20" s="1"/>
  <c r="POB247" i="20" s="1"/>
  <c r="PNX247" i="20" s="1"/>
  <c r="POI247" i="20"/>
  <c r="POE247" i="20" l="1"/>
  <c r="POA247" i="20" s="1"/>
  <c r="PNW247" i="20" s="1"/>
  <c r="PNS247" i="20" s="1"/>
  <c r="POD247" i="20"/>
  <c r="PNZ247" i="20" l="1"/>
  <c r="PNV247" i="20" s="1"/>
  <c r="PNR247" i="20" s="1"/>
  <c r="PNN247" i="20" s="1"/>
  <c r="PNY247" i="20"/>
  <c r="PNU247" i="20" l="1"/>
  <c r="PNQ247" i="20" s="1"/>
  <c r="PNM247" i="20" s="1"/>
  <c r="PNI247" i="20" s="1"/>
  <c r="PNT247" i="20"/>
  <c r="PNP247" i="20" l="1"/>
  <c r="PNL247" i="20" s="1"/>
  <c r="PNH247" i="20" s="1"/>
  <c r="PND247" i="20" s="1"/>
  <c r="PNO247" i="20"/>
  <c r="PNK247" i="20" l="1"/>
  <c r="PNG247" i="20" s="1"/>
  <c r="PNC247" i="20" s="1"/>
  <c r="PMY247" i="20" s="1"/>
  <c r="PNJ247" i="20"/>
  <c r="PNF247" i="20" l="1"/>
  <c r="PNB247" i="20" s="1"/>
  <c r="PMX247" i="20" s="1"/>
  <c r="PMT247" i="20" s="1"/>
  <c r="PNE247" i="20"/>
  <c r="PNA247" i="20" l="1"/>
  <c r="PMW247" i="20" s="1"/>
  <c r="PMS247" i="20" s="1"/>
  <c r="PMO247" i="20" s="1"/>
  <c r="PMZ247" i="20"/>
  <c r="PMV247" i="20" l="1"/>
  <c r="PMR247" i="20" s="1"/>
  <c r="PMN247" i="20" s="1"/>
  <c r="PMJ247" i="20" s="1"/>
  <c r="PMU247" i="20"/>
  <c r="PMQ247" i="20" l="1"/>
  <c r="PMM247" i="20" s="1"/>
  <c r="PMI247" i="20" s="1"/>
  <c r="PME247" i="20" s="1"/>
  <c r="PMP247" i="20"/>
  <c r="PML247" i="20" l="1"/>
  <c r="PMH247" i="20" s="1"/>
  <c r="PMD247" i="20" s="1"/>
  <c r="PLZ247" i="20" s="1"/>
  <c r="PMK247" i="20"/>
  <c r="PMG247" i="20" l="1"/>
  <c r="PMC247" i="20" s="1"/>
  <c r="PLY247" i="20" s="1"/>
  <c r="PLU247" i="20" s="1"/>
  <c r="PMF247" i="20"/>
  <c r="PMB247" i="20" l="1"/>
  <c r="PLX247" i="20" s="1"/>
  <c r="PLT247" i="20" s="1"/>
  <c r="PLP247" i="20" s="1"/>
  <c r="PMA247" i="20"/>
  <c r="PLW247" i="20" l="1"/>
  <c r="PLS247" i="20" s="1"/>
  <c r="PLO247" i="20" s="1"/>
  <c r="PLK247" i="20" s="1"/>
  <c r="PLV247" i="20"/>
  <c r="PLR247" i="20" l="1"/>
  <c r="PLN247" i="20" s="1"/>
  <c r="PLJ247" i="20" s="1"/>
  <c r="PLF247" i="20" s="1"/>
  <c r="PLQ247" i="20"/>
  <c r="PLM247" i="20" l="1"/>
  <c r="PLI247" i="20" s="1"/>
  <c r="PLE247" i="20" s="1"/>
  <c r="PLA247" i="20" s="1"/>
  <c r="PLL247" i="20"/>
  <c r="PLH247" i="20" l="1"/>
  <c r="PLD247" i="20" s="1"/>
  <c r="PKZ247" i="20" s="1"/>
  <c r="PKV247" i="20" s="1"/>
  <c r="PLG247" i="20"/>
  <c r="PLC247" i="20" l="1"/>
  <c r="PKY247" i="20" s="1"/>
  <c r="PKU247" i="20" s="1"/>
  <c r="PKQ247" i="20" s="1"/>
  <c r="PLB247" i="20"/>
  <c r="PKX247" i="20" l="1"/>
  <c r="PKT247" i="20" s="1"/>
  <c r="PKP247" i="20" s="1"/>
  <c r="PKL247" i="20" s="1"/>
  <c r="PKW247" i="20"/>
  <c r="PKS247" i="20" l="1"/>
  <c r="PKO247" i="20" s="1"/>
  <c r="PKK247" i="20" s="1"/>
  <c r="PKG247" i="20" s="1"/>
  <c r="PKR247" i="20"/>
  <c r="PKN247" i="20" l="1"/>
  <c r="PKJ247" i="20" s="1"/>
  <c r="PKF247" i="20" s="1"/>
  <c r="PKB247" i="20" s="1"/>
  <c r="PKM247" i="20"/>
  <c r="PKI247" i="20" l="1"/>
  <c r="PKE247" i="20" s="1"/>
  <c r="PKA247" i="20" s="1"/>
  <c r="PJW247" i="20" s="1"/>
  <c r="PKH247" i="20"/>
  <c r="PKD247" i="20" l="1"/>
  <c r="PJZ247" i="20" s="1"/>
  <c r="PJV247" i="20" s="1"/>
  <c r="PJR247" i="20" s="1"/>
  <c r="PKC247" i="20"/>
  <c r="PJY247" i="20" l="1"/>
  <c r="PJU247" i="20" s="1"/>
  <c r="PJQ247" i="20" s="1"/>
  <c r="PJM247" i="20" s="1"/>
  <c r="PJX247" i="20"/>
  <c r="PJT247" i="20" l="1"/>
  <c r="PJP247" i="20" s="1"/>
  <c r="PJL247" i="20" s="1"/>
  <c r="PJH247" i="20" s="1"/>
  <c r="PJS247" i="20"/>
  <c r="PJO247" i="20" l="1"/>
  <c r="PJK247" i="20" s="1"/>
  <c r="PJG247" i="20" s="1"/>
  <c r="PJC247" i="20" s="1"/>
  <c r="PJN247" i="20"/>
  <c r="PJJ247" i="20" l="1"/>
  <c r="PJF247" i="20" s="1"/>
  <c r="PJB247" i="20" s="1"/>
  <c r="PIX247" i="20" s="1"/>
  <c r="PJI247" i="20"/>
  <c r="PJE247" i="20" l="1"/>
  <c r="PJA247" i="20" s="1"/>
  <c r="PIW247" i="20" s="1"/>
  <c r="PIS247" i="20" s="1"/>
  <c r="PJD247" i="20"/>
  <c r="PIZ247" i="20" l="1"/>
  <c r="PIV247" i="20" s="1"/>
  <c r="PIR247" i="20" s="1"/>
  <c r="PIN247" i="20" s="1"/>
  <c r="PIY247" i="20"/>
  <c r="PIU247" i="20" l="1"/>
  <c r="PIQ247" i="20" s="1"/>
  <c r="PIM247" i="20" s="1"/>
  <c r="PII247" i="20" s="1"/>
  <c r="PIT247" i="20"/>
  <c r="PIP247" i="20" l="1"/>
  <c r="PIL247" i="20" s="1"/>
  <c r="PIH247" i="20" s="1"/>
  <c r="PID247" i="20" s="1"/>
  <c r="PIO247" i="20"/>
  <c r="PIK247" i="20" l="1"/>
  <c r="PIG247" i="20" s="1"/>
  <c r="PIC247" i="20" s="1"/>
  <c r="PHY247" i="20" s="1"/>
  <c r="PIJ247" i="20"/>
  <c r="PIF247" i="20" l="1"/>
  <c r="PIB247" i="20" s="1"/>
  <c r="PHX247" i="20" s="1"/>
  <c r="PHT247" i="20" s="1"/>
  <c r="PIE247" i="20"/>
  <c r="PIA247" i="20" l="1"/>
  <c r="PHW247" i="20" s="1"/>
  <c r="PHS247" i="20" s="1"/>
  <c r="PHO247" i="20" s="1"/>
  <c r="PHZ247" i="20"/>
  <c r="PHV247" i="20" l="1"/>
  <c r="PHR247" i="20" s="1"/>
  <c r="PHN247" i="20" s="1"/>
  <c r="PHJ247" i="20" s="1"/>
  <c r="PHU247" i="20"/>
  <c r="PHQ247" i="20" l="1"/>
  <c r="PHM247" i="20" s="1"/>
  <c r="PHI247" i="20" s="1"/>
  <c r="PHE247" i="20" s="1"/>
  <c r="PHP247" i="20"/>
  <c r="PHL247" i="20" l="1"/>
  <c r="PHH247" i="20" s="1"/>
  <c r="PHD247" i="20" s="1"/>
  <c r="PGZ247" i="20" s="1"/>
  <c r="PHK247" i="20"/>
  <c r="PHG247" i="20" l="1"/>
  <c r="PHC247" i="20" s="1"/>
  <c r="PGY247" i="20" s="1"/>
  <c r="PGU247" i="20" s="1"/>
  <c r="PHF247" i="20"/>
  <c r="PHB247" i="20" l="1"/>
  <c r="PGX247" i="20" s="1"/>
  <c r="PGT247" i="20" s="1"/>
  <c r="PGP247" i="20" s="1"/>
  <c r="PHA247" i="20"/>
  <c r="PGW247" i="20" l="1"/>
  <c r="PGS247" i="20" s="1"/>
  <c r="PGO247" i="20" s="1"/>
  <c r="PGK247" i="20" s="1"/>
  <c r="PGV247" i="20"/>
  <c r="PGR247" i="20" l="1"/>
  <c r="PGN247" i="20" s="1"/>
  <c r="PGJ247" i="20" s="1"/>
  <c r="PGF247" i="20" s="1"/>
  <c r="PGQ247" i="20"/>
  <c r="PGM247" i="20" l="1"/>
  <c r="PGI247" i="20" s="1"/>
  <c r="PGE247" i="20" s="1"/>
  <c r="PGA247" i="20" s="1"/>
  <c r="PGL247" i="20"/>
  <c r="PGH247" i="20" l="1"/>
  <c r="PGD247" i="20" s="1"/>
  <c r="PFZ247" i="20" s="1"/>
  <c r="PFV247" i="20" s="1"/>
  <c r="PGG247" i="20"/>
  <c r="PGC247" i="20" l="1"/>
  <c r="PFY247" i="20" s="1"/>
  <c r="PFU247" i="20" s="1"/>
  <c r="PFQ247" i="20" s="1"/>
  <c r="PGB247" i="20"/>
  <c r="PFX247" i="20" l="1"/>
  <c r="PFT247" i="20" s="1"/>
  <c r="PFP247" i="20" s="1"/>
  <c r="PFL247" i="20" s="1"/>
  <c r="PFW247" i="20"/>
  <c r="PFS247" i="20" l="1"/>
  <c r="PFO247" i="20" s="1"/>
  <c r="PFK247" i="20" s="1"/>
  <c r="PFG247" i="20" s="1"/>
  <c r="PFR247" i="20"/>
  <c r="PFN247" i="20" l="1"/>
  <c r="PFJ247" i="20" s="1"/>
  <c r="PFF247" i="20" s="1"/>
  <c r="PFB247" i="20" s="1"/>
  <c r="PFM247" i="20"/>
  <c r="PFI247" i="20" l="1"/>
  <c r="PFE247" i="20" s="1"/>
  <c r="PFA247" i="20" s="1"/>
  <c r="PEW247" i="20" s="1"/>
  <c r="PFH247" i="20"/>
  <c r="PFD247" i="20" l="1"/>
  <c r="PEZ247" i="20" s="1"/>
  <c r="PEV247" i="20" s="1"/>
  <c r="PER247" i="20" s="1"/>
  <c r="PFC247" i="20"/>
  <c r="PEY247" i="20" l="1"/>
  <c r="PEU247" i="20" s="1"/>
  <c r="PEQ247" i="20" s="1"/>
  <c r="PEM247" i="20" s="1"/>
  <c r="PEX247" i="20"/>
  <c r="PET247" i="20" l="1"/>
  <c r="PEP247" i="20" s="1"/>
  <c r="PEL247" i="20" s="1"/>
  <c r="PEH247" i="20" s="1"/>
  <c r="PES247" i="20"/>
  <c r="PEO247" i="20" l="1"/>
  <c r="PEK247" i="20" s="1"/>
  <c r="PEG247" i="20" s="1"/>
  <c r="PEC247" i="20" s="1"/>
  <c r="PEN247" i="20"/>
  <c r="PEJ247" i="20" l="1"/>
  <c r="PEF247" i="20" s="1"/>
  <c r="PEB247" i="20" s="1"/>
  <c r="PDX247" i="20" s="1"/>
  <c r="PEI247" i="20"/>
  <c r="PEE247" i="20" l="1"/>
  <c r="PEA247" i="20" s="1"/>
  <c r="PDW247" i="20" s="1"/>
  <c r="PDS247" i="20" s="1"/>
  <c r="PED247" i="20"/>
  <c r="PDZ247" i="20" l="1"/>
  <c r="PDV247" i="20" s="1"/>
  <c r="PDR247" i="20" s="1"/>
  <c r="PDN247" i="20" s="1"/>
  <c r="PDY247" i="20"/>
  <c r="PDU247" i="20" l="1"/>
  <c r="PDQ247" i="20" s="1"/>
  <c r="PDM247" i="20" s="1"/>
  <c r="PDI247" i="20" s="1"/>
  <c r="PDT247" i="20"/>
  <c r="PDP247" i="20" l="1"/>
  <c r="PDL247" i="20" s="1"/>
  <c r="PDH247" i="20" s="1"/>
  <c r="PDD247" i="20" s="1"/>
  <c r="PDO247" i="20"/>
  <c r="PDK247" i="20" l="1"/>
  <c r="PDG247" i="20" s="1"/>
  <c r="PDC247" i="20" s="1"/>
  <c r="PCY247" i="20" s="1"/>
  <c r="PDJ247" i="20"/>
  <c r="PDF247" i="20" l="1"/>
  <c r="PDB247" i="20" s="1"/>
  <c r="PCX247" i="20" s="1"/>
  <c r="PCT247" i="20" s="1"/>
  <c r="PDE247" i="20"/>
  <c r="PDA247" i="20" l="1"/>
  <c r="PCW247" i="20" s="1"/>
  <c r="PCS247" i="20" s="1"/>
  <c r="PCO247" i="20" s="1"/>
  <c r="PCZ247" i="20"/>
  <c r="PCV247" i="20" l="1"/>
  <c r="PCR247" i="20" s="1"/>
  <c r="PCN247" i="20" s="1"/>
  <c r="PCJ247" i="20" s="1"/>
  <c r="PCU247" i="20"/>
  <c r="PCQ247" i="20" l="1"/>
  <c r="PCM247" i="20" s="1"/>
  <c r="PCI247" i="20" s="1"/>
  <c r="PCE247" i="20" s="1"/>
  <c r="PCP247" i="20"/>
  <c r="PCL247" i="20" l="1"/>
  <c r="PCH247" i="20" s="1"/>
  <c r="PCD247" i="20" s="1"/>
  <c r="PBZ247" i="20" s="1"/>
  <c r="PCK247" i="20"/>
  <c r="PCG247" i="20" l="1"/>
  <c r="PCC247" i="20" s="1"/>
  <c r="PBY247" i="20" s="1"/>
  <c r="PBU247" i="20" s="1"/>
  <c r="PCF247" i="20"/>
  <c r="PCB247" i="20" l="1"/>
  <c r="PBX247" i="20" s="1"/>
  <c r="PBT247" i="20" s="1"/>
  <c r="PBP247" i="20" s="1"/>
  <c r="PCA247" i="20"/>
  <c r="PBW247" i="20" l="1"/>
  <c r="PBS247" i="20" s="1"/>
  <c r="PBO247" i="20" s="1"/>
  <c r="PBK247" i="20" s="1"/>
  <c r="PBV247" i="20"/>
  <c r="PBR247" i="20" l="1"/>
  <c r="PBN247" i="20" s="1"/>
  <c r="PBJ247" i="20" s="1"/>
  <c r="PBF247" i="20" s="1"/>
  <c r="PBQ247" i="20"/>
  <c r="PBM247" i="20" l="1"/>
  <c r="PBI247" i="20" s="1"/>
  <c r="PBE247" i="20" s="1"/>
  <c r="PBA247" i="20" s="1"/>
  <c r="PBL247" i="20"/>
  <c r="PBH247" i="20" l="1"/>
  <c r="PBD247" i="20" s="1"/>
  <c r="PAZ247" i="20" s="1"/>
  <c r="PAV247" i="20" s="1"/>
  <c r="PBG247" i="20"/>
  <c r="PBC247" i="20" l="1"/>
  <c r="PAY247" i="20" s="1"/>
  <c r="PAU247" i="20" s="1"/>
  <c r="PAQ247" i="20" s="1"/>
  <c r="PBB247" i="20"/>
  <c r="PAX247" i="20" l="1"/>
  <c r="PAT247" i="20" s="1"/>
  <c r="PAP247" i="20" s="1"/>
  <c r="PAL247" i="20" s="1"/>
  <c r="PAW247" i="20"/>
  <c r="PAS247" i="20" l="1"/>
  <c r="PAO247" i="20" s="1"/>
  <c r="PAK247" i="20" s="1"/>
  <c r="PAG247" i="20" s="1"/>
  <c r="PAR247" i="20"/>
  <c r="PAN247" i="20" l="1"/>
  <c r="PAJ247" i="20" s="1"/>
  <c r="PAF247" i="20" s="1"/>
  <c r="PAB247" i="20" s="1"/>
  <c r="PAM247" i="20"/>
  <c r="PAI247" i="20" l="1"/>
  <c r="PAE247" i="20" s="1"/>
  <c r="PAA247" i="20" s="1"/>
  <c r="OZW247" i="20" s="1"/>
  <c r="PAH247" i="20"/>
  <c r="PAD247" i="20" l="1"/>
  <c r="OZZ247" i="20" s="1"/>
  <c r="OZV247" i="20" s="1"/>
  <c r="OZR247" i="20" s="1"/>
  <c r="PAC247" i="20"/>
  <c r="OZY247" i="20" l="1"/>
  <c r="OZU247" i="20" s="1"/>
  <c r="OZQ247" i="20" s="1"/>
  <c r="OZM247" i="20" s="1"/>
  <c r="OZX247" i="20"/>
  <c r="OZT247" i="20" l="1"/>
  <c r="OZP247" i="20" s="1"/>
  <c r="OZL247" i="20" s="1"/>
  <c r="OZH247" i="20" s="1"/>
  <c r="OZS247" i="20"/>
  <c r="OZO247" i="20" l="1"/>
  <c r="OZK247" i="20" s="1"/>
  <c r="OZG247" i="20" s="1"/>
  <c r="OZC247" i="20" s="1"/>
  <c r="OZN247" i="20"/>
  <c r="OZJ247" i="20" l="1"/>
  <c r="OZF247" i="20" s="1"/>
  <c r="OZB247" i="20" s="1"/>
  <c r="OYX247" i="20" s="1"/>
  <c r="OZI247" i="20"/>
  <c r="OZE247" i="20" l="1"/>
  <c r="OZA247" i="20" s="1"/>
  <c r="OYW247" i="20" s="1"/>
  <c r="OYS247" i="20" s="1"/>
  <c r="OZD247" i="20"/>
  <c r="OYZ247" i="20" l="1"/>
  <c r="OYV247" i="20" s="1"/>
  <c r="OYR247" i="20" s="1"/>
  <c r="OYN247" i="20" s="1"/>
  <c r="OYY247" i="20"/>
  <c r="OYU247" i="20" l="1"/>
  <c r="OYQ247" i="20" s="1"/>
  <c r="OYM247" i="20" s="1"/>
  <c r="OYI247" i="20" s="1"/>
  <c r="OYT247" i="20"/>
  <c r="OYP247" i="20" l="1"/>
  <c r="OYL247" i="20" s="1"/>
  <c r="OYH247" i="20" s="1"/>
  <c r="OYD247" i="20" s="1"/>
  <c r="OYO247" i="20"/>
  <c r="OYK247" i="20" l="1"/>
  <c r="OYG247" i="20" s="1"/>
  <c r="OYC247" i="20" s="1"/>
  <c r="OXY247" i="20" s="1"/>
  <c r="OYJ247" i="20"/>
  <c r="OYF247" i="20" l="1"/>
  <c r="OYB247" i="20" s="1"/>
  <c r="OXX247" i="20" s="1"/>
  <c r="OXT247" i="20" s="1"/>
  <c r="OYE247" i="20"/>
  <c r="OYA247" i="20" l="1"/>
  <c r="OXW247" i="20" s="1"/>
  <c r="OXS247" i="20" s="1"/>
  <c r="OXO247" i="20" s="1"/>
  <c r="OXZ247" i="20"/>
  <c r="OXV247" i="20" l="1"/>
  <c r="OXR247" i="20" s="1"/>
  <c r="OXN247" i="20" s="1"/>
  <c r="OXJ247" i="20" s="1"/>
  <c r="OXU247" i="20"/>
  <c r="OXQ247" i="20" l="1"/>
  <c r="OXM247" i="20" s="1"/>
  <c r="OXI247" i="20" s="1"/>
  <c r="OXE247" i="20" s="1"/>
  <c r="OXP247" i="20"/>
  <c r="OXL247" i="20" l="1"/>
  <c r="OXH247" i="20" s="1"/>
  <c r="OXD247" i="20" s="1"/>
  <c r="OWZ247" i="20" s="1"/>
  <c r="OXK247" i="20"/>
  <c r="OXG247" i="20" l="1"/>
  <c r="OXC247" i="20" s="1"/>
  <c r="OWY247" i="20" s="1"/>
  <c r="OWU247" i="20" s="1"/>
  <c r="OXF247" i="20"/>
  <c r="OXB247" i="20" l="1"/>
  <c r="OWX247" i="20" s="1"/>
  <c r="OWT247" i="20" s="1"/>
  <c r="OWP247" i="20" s="1"/>
  <c r="OXA247" i="20"/>
  <c r="OWW247" i="20" l="1"/>
  <c r="OWS247" i="20" s="1"/>
  <c r="OWO247" i="20" s="1"/>
  <c r="OWK247" i="20" s="1"/>
  <c r="OWV247" i="20"/>
  <c r="OWR247" i="20" l="1"/>
  <c r="OWN247" i="20" s="1"/>
  <c r="OWJ247" i="20" s="1"/>
  <c r="OWF247" i="20" s="1"/>
  <c r="OWQ247" i="20"/>
  <c r="OWM247" i="20" l="1"/>
  <c r="OWI247" i="20" s="1"/>
  <c r="OWE247" i="20" s="1"/>
  <c r="OWA247" i="20" s="1"/>
  <c r="OWL247" i="20"/>
  <c r="OWH247" i="20" l="1"/>
  <c r="OWD247" i="20" s="1"/>
  <c r="OVZ247" i="20" s="1"/>
  <c r="OVV247" i="20" s="1"/>
  <c r="OWG247" i="20"/>
  <c r="OWC247" i="20" l="1"/>
  <c r="OVY247" i="20" s="1"/>
  <c r="OVU247" i="20" s="1"/>
  <c r="OVQ247" i="20" s="1"/>
  <c r="OWB247" i="20"/>
  <c r="OVX247" i="20" l="1"/>
  <c r="OVT247" i="20" s="1"/>
  <c r="OVP247" i="20" s="1"/>
  <c r="OVL247" i="20" s="1"/>
  <c r="OVW247" i="20"/>
  <c r="OVS247" i="20" l="1"/>
  <c r="OVO247" i="20" s="1"/>
  <c r="OVK247" i="20" s="1"/>
  <c r="OVG247" i="20" s="1"/>
  <c r="OVR247" i="20"/>
  <c r="OVN247" i="20" l="1"/>
  <c r="OVJ247" i="20" s="1"/>
  <c r="OVF247" i="20" s="1"/>
  <c r="OVB247" i="20" s="1"/>
  <c r="OVM247" i="20"/>
  <c r="OVI247" i="20" l="1"/>
  <c r="OVE247" i="20" s="1"/>
  <c r="OVA247" i="20" s="1"/>
  <c r="OUW247" i="20" s="1"/>
  <c r="OVH247" i="20"/>
  <c r="OVD247" i="20" l="1"/>
  <c r="OUZ247" i="20" s="1"/>
  <c r="OUV247" i="20" s="1"/>
  <c r="OUR247" i="20" s="1"/>
  <c r="OVC247" i="20"/>
  <c r="OUY247" i="20" l="1"/>
  <c r="OUU247" i="20" s="1"/>
  <c r="OUQ247" i="20" s="1"/>
  <c r="OUM247" i="20" s="1"/>
  <c r="OUX247" i="20"/>
  <c r="OUT247" i="20" l="1"/>
  <c r="OUP247" i="20" s="1"/>
  <c r="OUL247" i="20" s="1"/>
  <c r="OUH247" i="20" s="1"/>
  <c r="OUS247" i="20"/>
  <c r="OUO247" i="20" l="1"/>
  <c r="OUK247" i="20" s="1"/>
  <c r="OUG247" i="20" s="1"/>
  <c r="OUC247" i="20" s="1"/>
  <c r="OUN247" i="20"/>
  <c r="OUJ247" i="20" l="1"/>
  <c r="OUF247" i="20" s="1"/>
  <c r="OUB247" i="20" s="1"/>
  <c r="OTX247" i="20" s="1"/>
  <c r="OUI247" i="20"/>
  <c r="OUE247" i="20" l="1"/>
  <c r="OUA247" i="20" s="1"/>
  <c r="OTW247" i="20" s="1"/>
  <c r="OTS247" i="20" s="1"/>
  <c r="OUD247" i="20"/>
  <c r="OTZ247" i="20" l="1"/>
  <c r="OTV247" i="20" s="1"/>
  <c r="OTR247" i="20" s="1"/>
  <c r="OTN247" i="20" s="1"/>
  <c r="OTY247" i="20"/>
  <c r="OTU247" i="20" l="1"/>
  <c r="OTQ247" i="20" s="1"/>
  <c r="OTM247" i="20" s="1"/>
  <c r="OTI247" i="20" s="1"/>
  <c r="OTT247" i="20"/>
  <c r="OTP247" i="20" l="1"/>
  <c r="OTL247" i="20" s="1"/>
  <c r="OTH247" i="20" s="1"/>
  <c r="OTD247" i="20" s="1"/>
  <c r="OTO247" i="20"/>
  <c r="OTK247" i="20" l="1"/>
  <c r="OTG247" i="20" s="1"/>
  <c r="OTC247" i="20" s="1"/>
  <c r="OSY247" i="20" s="1"/>
  <c r="OTJ247" i="20"/>
  <c r="OTF247" i="20" l="1"/>
  <c r="OTB247" i="20" s="1"/>
  <c r="OSX247" i="20" s="1"/>
  <c r="OST247" i="20" s="1"/>
  <c r="OTE247" i="20"/>
  <c r="OTA247" i="20" l="1"/>
  <c r="OSW247" i="20" s="1"/>
  <c r="OSS247" i="20" s="1"/>
  <c r="OSO247" i="20" s="1"/>
  <c r="OSZ247" i="20"/>
  <c r="OSV247" i="20" l="1"/>
  <c r="OSR247" i="20" s="1"/>
  <c r="OSN247" i="20" s="1"/>
  <c r="OSJ247" i="20" s="1"/>
  <c r="OSU247" i="20"/>
  <c r="OSQ247" i="20" l="1"/>
  <c r="OSM247" i="20" s="1"/>
  <c r="OSI247" i="20" s="1"/>
  <c r="OSE247" i="20" s="1"/>
  <c r="OSP247" i="20"/>
  <c r="OSL247" i="20" l="1"/>
  <c r="OSH247" i="20" s="1"/>
  <c r="OSD247" i="20" s="1"/>
  <c r="ORZ247" i="20" s="1"/>
  <c r="OSK247" i="20"/>
  <c r="OSG247" i="20" l="1"/>
  <c r="OSC247" i="20" s="1"/>
  <c r="ORY247" i="20" s="1"/>
  <c r="ORU247" i="20" s="1"/>
  <c r="OSF247" i="20"/>
  <c r="OSB247" i="20" l="1"/>
  <c r="ORX247" i="20" s="1"/>
  <c r="ORT247" i="20" s="1"/>
  <c r="ORP247" i="20" s="1"/>
  <c r="OSA247" i="20"/>
  <c r="ORW247" i="20" l="1"/>
  <c r="ORS247" i="20" s="1"/>
  <c r="ORO247" i="20" s="1"/>
  <c r="ORK247" i="20" s="1"/>
  <c r="ORV247" i="20"/>
  <c r="ORR247" i="20" l="1"/>
  <c r="ORN247" i="20" s="1"/>
  <c r="ORJ247" i="20" s="1"/>
  <c r="ORF247" i="20" s="1"/>
  <c r="ORQ247" i="20"/>
  <c r="ORM247" i="20" l="1"/>
  <c r="ORI247" i="20" s="1"/>
  <c r="ORE247" i="20" s="1"/>
  <c r="ORA247" i="20" s="1"/>
  <c r="ORL247" i="20"/>
  <c r="ORH247" i="20" l="1"/>
  <c r="ORD247" i="20" s="1"/>
  <c r="OQZ247" i="20" s="1"/>
  <c r="OQV247" i="20" s="1"/>
  <c r="ORG247" i="20"/>
  <c r="ORC247" i="20" l="1"/>
  <c r="OQY247" i="20" s="1"/>
  <c r="OQU247" i="20" s="1"/>
  <c r="OQQ247" i="20" s="1"/>
  <c r="ORB247" i="20"/>
  <c r="OQX247" i="20" l="1"/>
  <c r="OQT247" i="20" s="1"/>
  <c r="OQP247" i="20" s="1"/>
  <c r="OQL247" i="20" s="1"/>
  <c r="OQW247" i="20"/>
  <c r="OQS247" i="20" l="1"/>
  <c r="OQO247" i="20" s="1"/>
  <c r="OQK247" i="20" s="1"/>
  <c r="OQG247" i="20" s="1"/>
  <c r="OQR247" i="20"/>
  <c r="OQN247" i="20" l="1"/>
  <c r="OQJ247" i="20" s="1"/>
  <c r="OQF247" i="20" s="1"/>
  <c r="OQB247" i="20" s="1"/>
  <c r="OQM247" i="20"/>
  <c r="OQI247" i="20" l="1"/>
  <c r="OQE247" i="20" s="1"/>
  <c r="OQA247" i="20" s="1"/>
  <c r="OPW247" i="20" s="1"/>
  <c r="OQH247" i="20"/>
  <c r="OQD247" i="20" l="1"/>
  <c r="OPZ247" i="20" s="1"/>
  <c r="OPV247" i="20" s="1"/>
  <c r="OPR247" i="20" s="1"/>
  <c r="OQC247" i="20"/>
  <c r="OPY247" i="20" l="1"/>
  <c r="OPU247" i="20" s="1"/>
  <c r="OPQ247" i="20" s="1"/>
  <c r="OPM247" i="20" s="1"/>
  <c r="OPX247" i="20"/>
  <c r="OPT247" i="20" l="1"/>
  <c r="OPP247" i="20" s="1"/>
  <c r="OPL247" i="20" s="1"/>
  <c r="OPH247" i="20" s="1"/>
  <c r="OPS247" i="20"/>
  <c r="OPO247" i="20" l="1"/>
  <c r="OPK247" i="20" s="1"/>
  <c r="OPG247" i="20" s="1"/>
  <c r="OPC247" i="20" s="1"/>
  <c r="OPN247" i="20"/>
  <c r="OPJ247" i="20" l="1"/>
  <c r="OPF247" i="20" s="1"/>
  <c r="OPB247" i="20" s="1"/>
  <c r="OOX247" i="20" s="1"/>
  <c r="OPI247" i="20"/>
  <c r="OPE247" i="20" l="1"/>
  <c r="OPA247" i="20" s="1"/>
  <c r="OOW247" i="20" s="1"/>
  <c r="OOS247" i="20" s="1"/>
  <c r="OPD247" i="20"/>
  <c r="OOZ247" i="20" l="1"/>
  <c r="OOV247" i="20" s="1"/>
  <c r="OOR247" i="20" s="1"/>
  <c r="OON247" i="20" s="1"/>
  <c r="OOY247" i="20"/>
  <c r="OOU247" i="20" l="1"/>
  <c r="OOQ247" i="20" s="1"/>
  <c r="OOM247" i="20" s="1"/>
  <c r="OOI247" i="20" s="1"/>
  <c r="OOT247" i="20"/>
  <c r="OOP247" i="20" l="1"/>
  <c r="OOL247" i="20" s="1"/>
  <c r="OOH247" i="20" s="1"/>
  <c r="OOD247" i="20" s="1"/>
  <c r="OOO247" i="20"/>
  <c r="OOK247" i="20" l="1"/>
  <c r="OOG247" i="20" s="1"/>
  <c r="OOC247" i="20" s="1"/>
  <c r="ONY247" i="20" s="1"/>
  <c r="OOJ247" i="20"/>
  <c r="OOF247" i="20" l="1"/>
  <c r="OOB247" i="20" s="1"/>
  <c r="ONX247" i="20" s="1"/>
  <c r="ONT247" i="20" s="1"/>
  <c r="OOE247" i="20"/>
  <c r="OOA247" i="20" l="1"/>
  <c r="ONW247" i="20" s="1"/>
  <c r="ONS247" i="20" s="1"/>
  <c r="ONO247" i="20" s="1"/>
  <c r="ONZ247" i="20"/>
  <c r="ONV247" i="20" l="1"/>
  <c r="ONR247" i="20" s="1"/>
  <c r="ONN247" i="20" s="1"/>
  <c r="ONJ247" i="20" s="1"/>
  <c r="ONU247" i="20"/>
  <c r="ONQ247" i="20" l="1"/>
  <c r="ONM247" i="20" s="1"/>
  <c r="ONI247" i="20" s="1"/>
  <c r="ONE247" i="20" s="1"/>
  <c r="ONP247" i="20"/>
  <c r="ONL247" i="20" l="1"/>
  <c r="ONH247" i="20" s="1"/>
  <c r="OND247" i="20" s="1"/>
  <c r="OMZ247" i="20" s="1"/>
  <c r="ONK247" i="20"/>
  <c r="ONG247" i="20" l="1"/>
  <c r="ONC247" i="20" s="1"/>
  <c r="OMY247" i="20" s="1"/>
  <c r="OMU247" i="20" s="1"/>
  <c r="ONF247" i="20"/>
  <c r="ONB247" i="20" l="1"/>
  <c r="OMX247" i="20" s="1"/>
  <c r="OMT247" i="20" s="1"/>
  <c r="OMP247" i="20" s="1"/>
  <c r="ONA247" i="20"/>
  <c r="OMW247" i="20" l="1"/>
  <c r="OMS247" i="20" s="1"/>
  <c r="OMO247" i="20" s="1"/>
  <c r="OMK247" i="20" s="1"/>
  <c r="OMV247" i="20"/>
  <c r="OMR247" i="20" l="1"/>
  <c r="OMN247" i="20" s="1"/>
  <c r="OMJ247" i="20" s="1"/>
  <c r="OMF247" i="20" s="1"/>
  <c r="OMQ247" i="20"/>
  <c r="OMM247" i="20" l="1"/>
  <c r="OMI247" i="20" s="1"/>
  <c r="OME247" i="20" s="1"/>
  <c r="OMA247" i="20" s="1"/>
  <c r="OML247" i="20"/>
  <c r="OMH247" i="20" l="1"/>
  <c r="OMD247" i="20" s="1"/>
  <c r="OLZ247" i="20" s="1"/>
  <c r="OLV247" i="20" s="1"/>
  <c r="OMG247" i="20"/>
  <c r="OMC247" i="20" l="1"/>
  <c r="OLY247" i="20" s="1"/>
  <c r="OLU247" i="20" s="1"/>
  <c r="OLQ247" i="20" s="1"/>
  <c r="OMB247" i="20"/>
  <c r="OLX247" i="20" l="1"/>
  <c r="OLT247" i="20" s="1"/>
  <c r="OLP247" i="20" s="1"/>
  <c r="OLL247" i="20" s="1"/>
  <c r="OLW247" i="20"/>
  <c r="OLS247" i="20" l="1"/>
  <c r="OLO247" i="20" s="1"/>
  <c r="OLK247" i="20" s="1"/>
  <c r="OLG247" i="20" s="1"/>
  <c r="OLR247" i="20"/>
  <c r="OLN247" i="20" l="1"/>
  <c r="OLJ247" i="20" s="1"/>
  <c r="OLF247" i="20" s="1"/>
  <c r="OLB247" i="20" s="1"/>
  <c r="OLM247" i="20"/>
  <c r="OLI247" i="20" l="1"/>
  <c r="OLE247" i="20" s="1"/>
  <c r="OLA247" i="20" s="1"/>
  <c r="OKW247" i="20" s="1"/>
  <c r="OLH247" i="20"/>
  <c r="OLD247" i="20" l="1"/>
  <c r="OKZ247" i="20" s="1"/>
  <c r="OKV247" i="20" s="1"/>
  <c r="OKR247" i="20" s="1"/>
  <c r="OLC247" i="20"/>
  <c r="OKY247" i="20" l="1"/>
  <c r="OKU247" i="20" s="1"/>
  <c r="OKQ247" i="20" s="1"/>
  <c r="OKM247" i="20" s="1"/>
  <c r="OKX247" i="20"/>
  <c r="OKT247" i="20" l="1"/>
  <c r="OKP247" i="20" s="1"/>
  <c r="OKL247" i="20" s="1"/>
  <c r="OKH247" i="20" s="1"/>
  <c r="OKS247" i="20"/>
  <c r="OKO247" i="20" l="1"/>
  <c r="OKK247" i="20" s="1"/>
  <c r="OKG247" i="20" s="1"/>
  <c r="OKC247" i="20" s="1"/>
  <c r="OKN247" i="20"/>
  <c r="OKJ247" i="20" l="1"/>
  <c r="OKF247" i="20" s="1"/>
  <c r="OKB247" i="20" s="1"/>
  <c r="OJX247" i="20" s="1"/>
  <c r="OKI247" i="20"/>
  <c r="OKE247" i="20" l="1"/>
  <c r="OKA247" i="20" s="1"/>
  <c r="OJW247" i="20" s="1"/>
  <c r="OJS247" i="20" s="1"/>
  <c r="OKD247" i="20"/>
  <c r="OJZ247" i="20" l="1"/>
  <c r="OJV247" i="20" s="1"/>
  <c r="OJR247" i="20" s="1"/>
  <c r="OJN247" i="20" s="1"/>
  <c r="OJY247" i="20"/>
  <c r="OJU247" i="20" l="1"/>
  <c r="OJQ247" i="20" s="1"/>
  <c r="OJM247" i="20" s="1"/>
  <c r="OJI247" i="20" s="1"/>
  <c r="OJT247" i="20"/>
  <c r="OJP247" i="20" l="1"/>
  <c r="OJL247" i="20" s="1"/>
  <c r="OJH247" i="20" s="1"/>
  <c r="OJD247" i="20" s="1"/>
  <c r="OJO247" i="20"/>
  <c r="OJK247" i="20" l="1"/>
  <c r="OJG247" i="20" s="1"/>
  <c r="OJC247" i="20" s="1"/>
  <c r="OIY247" i="20" s="1"/>
  <c r="OJJ247" i="20"/>
  <c r="OJF247" i="20" l="1"/>
  <c r="OJB247" i="20" s="1"/>
  <c r="OIX247" i="20" s="1"/>
  <c r="OIT247" i="20" s="1"/>
  <c r="OJE247" i="20"/>
  <c r="OJA247" i="20" l="1"/>
  <c r="OIW247" i="20" s="1"/>
  <c r="OIS247" i="20" s="1"/>
  <c r="OIO247" i="20" s="1"/>
  <c r="OIZ247" i="20"/>
  <c r="OIV247" i="20" l="1"/>
  <c r="OIR247" i="20" s="1"/>
  <c r="OIN247" i="20" s="1"/>
  <c r="OIJ247" i="20" s="1"/>
  <c r="OIU247" i="20"/>
  <c r="OIQ247" i="20" l="1"/>
  <c r="OIM247" i="20" s="1"/>
  <c r="OII247" i="20" s="1"/>
  <c r="OIE247" i="20" s="1"/>
  <c r="OIP247" i="20"/>
  <c r="OIL247" i="20" l="1"/>
  <c r="OIH247" i="20" s="1"/>
  <c r="OID247" i="20" s="1"/>
  <c r="OHZ247" i="20" s="1"/>
  <c r="OIK247" i="20"/>
  <c r="OIG247" i="20" l="1"/>
  <c r="OIC247" i="20" s="1"/>
  <c r="OHY247" i="20" s="1"/>
  <c r="OHU247" i="20" s="1"/>
  <c r="OIF247" i="20"/>
  <c r="OIB247" i="20" l="1"/>
  <c r="OHX247" i="20" s="1"/>
  <c r="OHT247" i="20" s="1"/>
  <c r="OHP247" i="20" s="1"/>
  <c r="OIA247" i="20"/>
  <c r="OHW247" i="20" l="1"/>
  <c r="OHS247" i="20" s="1"/>
  <c r="OHO247" i="20" s="1"/>
  <c r="OHK247" i="20" s="1"/>
  <c r="OHV247" i="20"/>
  <c r="OHR247" i="20" l="1"/>
  <c r="OHN247" i="20" s="1"/>
  <c r="OHJ247" i="20" s="1"/>
  <c r="OHF247" i="20" s="1"/>
  <c r="OHQ247" i="20"/>
  <c r="OHM247" i="20" l="1"/>
  <c r="OHI247" i="20" s="1"/>
  <c r="OHE247" i="20" s="1"/>
  <c r="OHA247" i="20" s="1"/>
  <c r="OHL247" i="20"/>
  <c r="OHH247" i="20" l="1"/>
  <c r="OHD247" i="20" s="1"/>
  <c r="OGZ247" i="20" s="1"/>
  <c r="OGV247" i="20" s="1"/>
  <c r="OHG247" i="20"/>
  <c r="OHC247" i="20" l="1"/>
  <c r="OGY247" i="20" s="1"/>
  <c r="OGU247" i="20" s="1"/>
  <c r="OGQ247" i="20" s="1"/>
  <c r="OHB247" i="20"/>
  <c r="OGX247" i="20" l="1"/>
  <c r="OGT247" i="20" s="1"/>
  <c r="OGP247" i="20" s="1"/>
  <c r="OGL247" i="20" s="1"/>
  <c r="OGW247" i="20"/>
  <c r="OGS247" i="20" l="1"/>
  <c r="OGO247" i="20" s="1"/>
  <c r="OGK247" i="20" s="1"/>
  <c r="OGG247" i="20" s="1"/>
  <c r="OGR247" i="20"/>
  <c r="OGN247" i="20" l="1"/>
  <c r="OGJ247" i="20" s="1"/>
  <c r="OGF247" i="20" s="1"/>
  <c r="OGB247" i="20" s="1"/>
  <c r="OGM247" i="20"/>
  <c r="OGI247" i="20" l="1"/>
  <c r="OGE247" i="20" s="1"/>
  <c r="OGA247" i="20" s="1"/>
  <c r="OFW247" i="20" s="1"/>
  <c r="OGH247" i="20"/>
  <c r="OGD247" i="20" l="1"/>
  <c r="OFZ247" i="20" s="1"/>
  <c r="OFV247" i="20" s="1"/>
  <c r="OFR247" i="20" s="1"/>
  <c r="OGC247" i="20"/>
  <c r="OFY247" i="20" l="1"/>
  <c r="OFU247" i="20" s="1"/>
  <c r="OFQ247" i="20" s="1"/>
  <c r="OFM247" i="20" s="1"/>
  <c r="OFX247" i="20"/>
  <c r="OFT247" i="20" l="1"/>
  <c r="OFP247" i="20" s="1"/>
  <c r="OFL247" i="20" s="1"/>
  <c r="OFH247" i="20" s="1"/>
  <c r="OFS247" i="20"/>
  <c r="OFO247" i="20" l="1"/>
  <c r="OFK247" i="20" s="1"/>
  <c r="OFG247" i="20" s="1"/>
  <c r="OFC247" i="20" s="1"/>
  <c r="OFN247" i="20"/>
  <c r="OFJ247" i="20" l="1"/>
  <c r="OFF247" i="20" s="1"/>
  <c r="OFB247" i="20" s="1"/>
  <c r="OEX247" i="20" s="1"/>
  <c r="OFI247" i="20"/>
  <c r="OFE247" i="20" l="1"/>
  <c r="OFA247" i="20" s="1"/>
  <c r="OEW247" i="20" s="1"/>
  <c r="OES247" i="20" s="1"/>
  <c r="OFD247" i="20"/>
  <c r="OEZ247" i="20" l="1"/>
  <c r="OEV247" i="20" s="1"/>
  <c r="OER247" i="20" s="1"/>
  <c r="OEN247" i="20" s="1"/>
  <c r="OEY247" i="20"/>
  <c r="OEU247" i="20" l="1"/>
  <c r="OEQ247" i="20" s="1"/>
  <c r="OEM247" i="20" s="1"/>
  <c r="OEI247" i="20" s="1"/>
  <c r="OET247" i="20"/>
  <c r="OEP247" i="20" l="1"/>
  <c r="OEL247" i="20" s="1"/>
  <c r="OEH247" i="20" s="1"/>
  <c r="OED247" i="20" s="1"/>
  <c r="OEO247" i="20"/>
  <c r="OEK247" i="20" l="1"/>
  <c r="OEG247" i="20" s="1"/>
  <c r="OEC247" i="20" s="1"/>
  <c r="ODY247" i="20" s="1"/>
  <c r="OEJ247" i="20"/>
  <c r="OEF247" i="20" l="1"/>
  <c r="OEB247" i="20" s="1"/>
  <c r="ODX247" i="20" s="1"/>
  <c r="ODT247" i="20" s="1"/>
  <c r="OEE247" i="20"/>
  <c r="OEA247" i="20" l="1"/>
  <c r="ODW247" i="20" s="1"/>
  <c r="ODS247" i="20" s="1"/>
  <c r="ODO247" i="20" s="1"/>
  <c r="ODZ247" i="20"/>
  <c r="ODV247" i="20" l="1"/>
  <c r="ODR247" i="20" s="1"/>
  <c r="ODN247" i="20" s="1"/>
  <c r="ODJ247" i="20" s="1"/>
  <c r="ODU247" i="20"/>
  <c r="ODQ247" i="20" l="1"/>
  <c r="ODM247" i="20" s="1"/>
  <c r="ODI247" i="20" s="1"/>
  <c r="ODE247" i="20" s="1"/>
  <c r="ODP247" i="20"/>
  <c r="ODL247" i="20" l="1"/>
  <c r="ODH247" i="20" s="1"/>
  <c r="ODD247" i="20" s="1"/>
  <c r="OCZ247" i="20" s="1"/>
  <c r="ODK247" i="20"/>
  <c r="ODG247" i="20" l="1"/>
  <c r="ODC247" i="20" s="1"/>
  <c r="OCY247" i="20" s="1"/>
  <c r="OCU247" i="20" s="1"/>
  <c r="ODF247" i="20"/>
  <c r="ODB247" i="20" l="1"/>
  <c r="OCX247" i="20" s="1"/>
  <c r="OCT247" i="20" s="1"/>
  <c r="OCP247" i="20" s="1"/>
  <c r="ODA247" i="20"/>
  <c r="OCW247" i="20" l="1"/>
  <c r="OCS247" i="20" s="1"/>
  <c r="OCO247" i="20" s="1"/>
  <c r="OCK247" i="20" s="1"/>
  <c r="OCV247" i="20"/>
  <c r="OCR247" i="20" l="1"/>
  <c r="OCN247" i="20" s="1"/>
  <c r="OCJ247" i="20" s="1"/>
  <c r="OCF247" i="20" s="1"/>
  <c r="OCQ247" i="20"/>
  <c r="OCM247" i="20" l="1"/>
  <c r="OCI247" i="20" s="1"/>
  <c r="OCE247" i="20" s="1"/>
  <c r="OCA247" i="20" s="1"/>
  <c r="OCL247" i="20"/>
  <c r="OCH247" i="20" l="1"/>
  <c r="OCD247" i="20" s="1"/>
  <c r="OBZ247" i="20" s="1"/>
  <c r="OBV247" i="20" s="1"/>
  <c r="OCG247" i="20"/>
  <c r="OCC247" i="20" l="1"/>
  <c r="OBY247" i="20" s="1"/>
  <c r="OBU247" i="20" s="1"/>
  <c r="OBQ247" i="20" s="1"/>
  <c r="OCB247" i="20"/>
  <c r="OBX247" i="20" l="1"/>
  <c r="OBT247" i="20" s="1"/>
  <c r="OBP247" i="20" s="1"/>
  <c r="OBL247" i="20" s="1"/>
  <c r="OBW247" i="20"/>
  <c r="OBS247" i="20" l="1"/>
  <c r="OBO247" i="20" s="1"/>
  <c r="OBK247" i="20" s="1"/>
  <c r="OBG247" i="20" s="1"/>
  <c r="OBR247" i="20"/>
  <c r="OBN247" i="20" l="1"/>
  <c r="OBJ247" i="20" s="1"/>
  <c r="OBF247" i="20" s="1"/>
  <c r="OBB247" i="20" s="1"/>
  <c r="OBM247" i="20"/>
  <c r="OBI247" i="20" l="1"/>
  <c r="OBE247" i="20" s="1"/>
  <c r="OBA247" i="20" s="1"/>
  <c r="OAW247" i="20" s="1"/>
  <c r="OBH247" i="20"/>
  <c r="OBD247" i="20" l="1"/>
  <c r="OAZ247" i="20" s="1"/>
  <c r="OAV247" i="20" s="1"/>
  <c r="OAR247" i="20" s="1"/>
  <c r="OBC247" i="20"/>
  <c r="OAY247" i="20" l="1"/>
  <c r="OAU247" i="20" s="1"/>
  <c r="OAQ247" i="20" s="1"/>
  <c r="OAM247" i="20" s="1"/>
  <c r="OAX247" i="20"/>
  <c r="OAT247" i="20" l="1"/>
  <c r="OAP247" i="20" s="1"/>
  <c r="OAL247" i="20" s="1"/>
  <c r="OAH247" i="20" s="1"/>
  <c r="OAS247" i="20"/>
  <c r="OAO247" i="20" l="1"/>
  <c r="OAK247" i="20" s="1"/>
  <c r="OAG247" i="20" s="1"/>
  <c r="OAC247" i="20" s="1"/>
  <c r="OAN247" i="20"/>
  <c r="OAJ247" i="20" l="1"/>
  <c r="OAF247" i="20" s="1"/>
  <c r="OAB247" i="20" s="1"/>
  <c r="NZX247" i="20" s="1"/>
  <c r="OAI247" i="20"/>
  <c r="OAE247" i="20" l="1"/>
  <c r="OAA247" i="20" s="1"/>
  <c r="NZW247" i="20" s="1"/>
  <c r="NZS247" i="20" s="1"/>
  <c r="OAD247" i="20"/>
  <c r="NZZ247" i="20" l="1"/>
  <c r="NZV247" i="20" s="1"/>
  <c r="NZR247" i="20" s="1"/>
  <c r="NZN247" i="20" s="1"/>
  <c r="NZY247" i="20"/>
  <c r="NZU247" i="20" l="1"/>
  <c r="NZQ247" i="20" s="1"/>
  <c r="NZM247" i="20" s="1"/>
  <c r="NZI247" i="20" s="1"/>
  <c r="NZT247" i="20"/>
  <c r="NZP247" i="20" l="1"/>
  <c r="NZL247" i="20" s="1"/>
  <c r="NZH247" i="20" s="1"/>
  <c r="NZD247" i="20" s="1"/>
  <c r="NZO247" i="20"/>
  <c r="NZK247" i="20" l="1"/>
  <c r="NZG247" i="20" s="1"/>
  <c r="NZC247" i="20" s="1"/>
  <c r="NYY247" i="20" s="1"/>
  <c r="NZJ247" i="20"/>
  <c r="NZF247" i="20" l="1"/>
  <c r="NZB247" i="20" s="1"/>
  <c r="NYX247" i="20" s="1"/>
  <c r="NYT247" i="20" s="1"/>
  <c r="NZE247" i="20"/>
  <c r="NZA247" i="20" l="1"/>
  <c r="NYW247" i="20" s="1"/>
  <c r="NYS247" i="20" s="1"/>
  <c r="NYO247" i="20" s="1"/>
  <c r="NYZ247" i="20"/>
  <c r="NYV247" i="20" l="1"/>
  <c r="NYR247" i="20" s="1"/>
  <c r="NYN247" i="20" s="1"/>
  <c r="NYJ247" i="20" s="1"/>
  <c r="NYU247" i="20"/>
  <c r="NYQ247" i="20" l="1"/>
  <c r="NYM247" i="20" s="1"/>
  <c r="NYI247" i="20" s="1"/>
  <c r="NYE247" i="20" s="1"/>
  <c r="NYP247" i="20"/>
  <c r="NYL247" i="20" l="1"/>
  <c r="NYH247" i="20" s="1"/>
  <c r="NYD247" i="20" s="1"/>
  <c r="NXZ247" i="20" s="1"/>
  <c r="NYK247" i="20"/>
  <c r="NYG247" i="20" l="1"/>
  <c r="NYC247" i="20" s="1"/>
  <c r="NXY247" i="20" s="1"/>
  <c r="NXU247" i="20" s="1"/>
  <c r="NYF247" i="20"/>
  <c r="NYB247" i="20" l="1"/>
  <c r="NXX247" i="20" s="1"/>
  <c r="NXT247" i="20" s="1"/>
  <c r="NXP247" i="20" s="1"/>
  <c r="NYA247" i="20"/>
  <c r="NXW247" i="20" l="1"/>
  <c r="NXS247" i="20" s="1"/>
  <c r="NXO247" i="20" s="1"/>
  <c r="NXK247" i="20" s="1"/>
  <c r="NXV247" i="20"/>
  <c r="NXR247" i="20" l="1"/>
  <c r="NXN247" i="20" s="1"/>
  <c r="NXJ247" i="20" s="1"/>
  <c r="NXF247" i="20" s="1"/>
  <c r="NXQ247" i="20"/>
  <c r="NXM247" i="20" l="1"/>
  <c r="NXI247" i="20" s="1"/>
  <c r="NXE247" i="20" s="1"/>
  <c r="NXA247" i="20" s="1"/>
  <c r="NXL247" i="20"/>
  <c r="NXH247" i="20" l="1"/>
  <c r="NXD247" i="20" s="1"/>
  <c r="NWZ247" i="20" s="1"/>
  <c r="NWV247" i="20" s="1"/>
  <c r="NXG247" i="20"/>
  <c r="NXC247" i="20" l="1"/>
  <c r="NWY247" i="20" s="1"/>
  <c r="NWU247" i="20" s="1"/>
  <c r="NWQ247" i="20" s="1"/>
  <c r="NXB247" i="20"/>
  <c r="NWX247" i="20" l="1"/>
  <c r="NWT247" i="20" s="1"/>
  <c r="NWP247" i="20" s="1"/>
  <c r="NWL247" i="20" s="1"/>
  <c r="NWW247" i="20"/>
  <c r="NWS247" i="20" l="1"/>
  <c r="NWO247" i="20" s="1"/>
  <c r="NWK247" i="20" s="1"/>
  <c r="NWG247" i="20" s="1"/>
  <c r="NWR247" i="20"/>
  <c r="NWN247" i="20" l="1"/>
  <c r="NWJ247" i="20" s="1"/>
  <c r="NWF247" i="20" s="1"/>
  <c r="NWB247" i="20" s="1"/>
  <c r="NWM247" i="20"/>
  <c r="NWI247" i="20" l="1"/>
  <c r="NWE247" i="20" s="1"/>
  <c r="NWA247" i="20" s="1"/>
  <c r="NVW247" i="20" s="1"/>
  <c r="NWH247" i="20"/>
  <c r="NWD247" i="20" l="1"/>
  <c r="NVZ247" i="20" s="1"/>
  <c r="NVV247" i="20" s="1"/>
  <c r="NVR247" i="20" s="1"/>
  <c r="NWC247" i="20"/>
  <c r="NVY247" i="20" l="1"/>
  <c r="NVU247" i="20" s="1"/>
  <c r="NVQ247" i="20" s="1"/>
  <c r="NVM247" i="20" s="1"/>
  <c r="NVX247" i="20"/>
  <c r="NVT247" i="20" l="1"/>
  <c r="NVP247" i="20" s="1"/>
  <c r="NVL247" i="20" s="1"/>
  <c r="NVH247" i="20" s="1"/>
  <c r="NVS247" i="20"/>
  <c r="NVO247" i="20" l="1"/>
  <c r="NVK247" i="20" s="1"/>
  <c r="NVG247" i="20" s="1"/>
  <c r="NVC247" i="20" s="1"/>
  <c r="NVN247" i="20"/>
  <c r="NVJ247" i="20" l="1"/>
  <c r="NVF247" i="20" s="1"/>
  <c r="NVB247" i="20" s="1"/>
  <c r="NUX247" i="20" s="1"/>
  <c r="NVI247" i="20"/>
  <c r="NVE247" i="20" l="1"/>
  <c r="NVA247" i="20" s="1"/>
  <c r="NUW247" i="20" s="1"/>
  <c r="NUS247" i="20" s="1"/>
  <c r="NVD247" i="20"/>
  <c r="NUZ247" i="20" l="1"/>
  <c r="NUV247" i="20" s="1"/>
  <c r="NUR247" i="20" s="1"/>
  <c r="NUN247" i="20" s="1"/>
  <c r="NUY247" i="20"/>
  <c r="NUU247" i="20" l="1"/>
  <c r="NUQ247" i="20" s="1"/>
  <c r="NUM247" i="20" s="1"/>
  <c r="NUI247" i="20" s="1"/>
  <c r="NUT247" i="20"/>
  <c r="NUP247" i="20" l="1"/>
  <c r="NUL247" i="20" s="1"/>
  <c r="NUH247" i="20" s="1"/>
  <c r="NUD247" i="20" s="1"/>
  <c r="NUO247" i="20"/>
  <c r="NUK247" i="20" l="1"/>
  <c r="NUG247" i="20" s="1"/>
  <c r="NUC247" i="20" s="1"/>
  <c r="NTY247" i="20" s="1"/>
  <c r="NUJ247" i="20"/>
  <c r="NUF247" i="20" l="1"/>
  <c r="NUB247" i="20" s="1"/>
  <c r="NTX247" i="20" s="1"/>
  <c r="NTT247" i="20" s="1"/>
  <c r="NUE247" i="20"/>
  <c r="NUA247" i="20" l="1"/>
  <c r="NTW247" i="20" s="1"/>
  <c r="NTS247" i="20" s="1"/>
  <c r="NTO247" i="20" s="1"/>
  <c r="NTZ247" i="20"/>
  <c r="NTV247" i="20" l="1"/>
  <c r="NTR247" i="20" s="1"/>
  <c r="NTN247" i="20" s="1"/>
  <c r="NTJ247" i="20" s="1"/>
  <c r="NTU247" i="20"/>
  <c r="NTQ247" i="20" l="1"/>
  <c r="NTM247" i="20" s="1"/>
  <c r="NTI247" i="20" s="1"/>
  <c r="NTE247" i="20" s="1"/>
  <c r="NTP247" i="20"/>
  <c r="NTL247" i="20" l="1"/>
  <c r="NTH247" i="20" s="1"/>
  <c r="NTD247" i="20" s="1"/>
  <c r="NSZ247" i="20" s="1"/>
  <c r="NTK247" i="20"/>
  <c r="NTG247" i="20" l="1"/>
  <c r="NTC247" i="20" s="1"/>
  <c r="NSY247" i="20" s="1"/>
  <c r="NSU247" i="20" s="1"/>
  <c r="NTF247" i="20"/>
  <c r="NTB247" i="20" l="1"/>
  <c r="NSX247" i="20" s="1"/>
  <c r="NST247" i="20" s="1"/>
  <c r="NSP247" i="20" s="1"/>
  <c r="NTA247" i="20"/>
  <c r="NSW247" i="20" l="1"/>
  <c r="NSS247" i="20" s="1"/>
  <c r="NSO247" i="20" s="1"/>
  <c r="NSK247" i="20" s="1"/>
  <c r="NSV247" i="20"/>
  <c r="NSR247" i="20" l="1"/>
  <c r="NSN247" i="20" s="1"/>
  <c r="NSJ247" i="20" s="1"/>
  <c r="NSF247" i="20" s="1"/>
  <c r="NSQ247" i="20"/>
  <c r="NSM247" i="20" l="1"/>
  <c r="NSI247" i="20" s="1"/>
  <c r="NSE247" i="20" s="1"/>
  <c r="NSA247" i="20" s="1"/>
  <c r="NSL247" i="20"/>
  <c r="NSH247" i="20" l="1"/>
  <c r="NSD247" i="20" s="1"/>
  <c r="NRZ247" i="20" s="1"/>
  <c r="NRV247" i="20" s="1"/>
  <c r="NSG247" i="20"/>
  <c r="NSC247" i="20" l="1"/>
  <c r="NRY247" i="20" s="1"/>
  <c r="NRU247" i="20" s="1"/>
  <c r="NRQ247" i="20" s="1"/>
  <c r="NSB247" i="20"/>
  <c r="NRX247" i="20" l="1"/>
  <c r="NRT247" i="20" s="1"/>
  <c r="NRP247" i="20" s="1"/>
  <c r="NRL247" i="20" s="1"/>
  <c r="NRW247" i="20"/>
  <c r="NRS247" i="20" l="1"/>
  <c r="NRO247" i="20" s="1"/>
  <c r="NRK247" i="20" s="1"/>
  <c r="NRG247" i="20" s="1"/>
  <c r="NRR247" i="20"/>
  <c r="NRN247" i="20" l="1"/>
  <c r="NRJ247" i="20" s="1"/>
  <c r="NRF247" i="20" s="1"/>
  <c r="NRB247" i="20" s="1"/>
  <c r="NRM247" i="20"/>
  <c r="NRI247" i="20" l="1"/>
  <c r="NRE247" i="20" s="1"/>
  <c r="NRA247" i="20" s="1"/>
  <c r="NQW247" i="20" s="1"/>
  <c r="NRH247" i="20"/>
  <c r="NRD247" i="20" l="1"/>
  <c r="NQZ247" i="20" s="1"/>
  <c r="NQV247" i="20" s="1"/>
  <c r="NQR247" i="20" s="1"/>
  <c r="NRC247" i="20"/>
  <c r="NQY247" i="20" l="1"/>
  <c r="NQU247" i="20" s="1"/>
  <c r="NQQ247" i="20" s="1"/>
  <c r="NQM247" i="20" s="1"/>
  <c r="NQX247" i="20"/>
  <c r="NQT247" i="20" l="1"/>
  <c r="NQP247" i="20" s="1"/>
  <c r="NQL247" i="20" s="1"/>
  <c r="NQH247" i="20" s="1"/>
  <c r="NQS247" i="20"/>
  <c r="NQO247" i="20" l="1"/>
  <c r="NQK247" i="20" s="1"/>
  <c r="NQG247" i="20" s="1"/>
  <c r="NQC247" i="20" s="1"/>
  <c r="NQN247" i="20"/>
  <c r="NQJ247" i="20" l="1"/>
  <c r="NQF247" i="20" s="1"/>
  <c r="NQB247" i="20" s="1"/>
  <c r="NPX247" i="20" s="1"/>
  <c r="NQI247" i="20"/>
  <c r="NQE247" i="20" l="1"/>
  <c r="NQA247" i="20" s="1"/>
  <c r="NPW247" i="20" s="1"/>
  <c r="NPS247" i="20" s="1"/>
  <c r="NQD247" i="20"/>
  <c r="NPZ247" i="20" l="1"/>
  <c r="NPV247" i="20" s="1"/>
  <c r="NPR247" i="20" s="1"/>
  <c r="NPN247" i="20" s="1"/>
  <c r="NPY247" i="20"/>
  <c r="NPU247" i="20" l="1"/>
  <c r="NPQ247" i="20" s="1"/>
  <c r="NPM247" i="20" s="1"/>
  <c r="NPI247" i="20" s="1"/>
  <c r="NPT247" i="20"/>
  <c r="NPP247" i="20" l="1"/>
  <c r="NPL247" i="20" s="1"/>
  <c r="NPH247" i="20" s="1"/>
  <c r="NPD247" i="20" s="1"/>
  <c r="NPO247" i="20"/>
  <c r="NPK247" i="20" l="1"/>
  <c r="NPG247" i="20" s="1"/>
  <c r="NPC247" i="20" s="1"/>
  <c r="NOY247" i="20" s="1"/>
  <c r="NPJ247" i="20"/>
  <c r="NPF247" i="20" l="1"/>
  <c r="NPB247" i="20" s="1"/>
  <c r="NOX247" i="20" s="1"/>
  <c r="NOT247" i="20" s="1"/>
  <c r="NPE247" i="20"/>
  <c r="NPA247" i="20" l="1"/>
  <c r="NOW247" i="20" s="1"/>
  <c r="NOS247" i="20" s="1"/>
  <c r="NOO247" i="20" s="1"/>
  <c r="NOZ247" i="20"/>
  <c r="NOV247" i="20" l="1"/>
  <c r="NOR247" i="20" s="1"/>
  <c r="NON247" i="20" s="1"/>
  <c r="NOJ247" i="20" s="1"/>
  <c r="NOU247" i="20"/>
  <c r="NOQ247" i="20" l="1"/>
  <c r="NOM247" i="20" s="1"/>
  <c r="NOI247" i="20" s="1"/>
  <c r="NOE247" i="20" s="1"/>
  <c r="NOP247" i="20"/>
  <c r="NOL247" i="20" l="1"/>
  <c r="NOH247" i="20" s="1"/>
  <c r="NOD247" i="20" s="1"/>
  <c r="NNZ247" i="20" s="1"/>
  <c r="NOK247" i="20"/>
  <c r="NOG247" i="20" l="1"/>
  <c r="NOC247" i="20" s="1"/>
  <c r="NNY247" i="20" s="1"/>
  <c r="NNU247" i="20" s="1"/>
  <c r="NOF247" i="20"/>
  <c r="NOB247" i="20" l="1"/>
  <c r="NNX247" i="20" s="1"/>
  <c r="NNT247" i="20" s="1"/>
  <c r="NNP247" i="20" s="1"/>
  <c r="NOA247" i="20"/>
  <c r="NNW247" i="20" l="1"/>
  <c r="NNS247" i="20" s="1"/>
  <c r="NNO247" i="20" s="1"/>
  <c r="NNK247" i="20" s="1"/>
  <c r="NNV247" i="20"/>
  <c r="NNR247" i="20" l="1"/>
  <c r="NNN247" i="20" s="1"/>
  <c r="NNJ247" i="20" s="1"/>
  <c r="NNF247" i="20" s="1"/>
  <c r="NNQ247" i="20"/>
  <c r="NNM247" i="20" l="1"/>
  <c r="NNI247" i="20" s="1"/>
  <c r="NNE247" i="20" s="1"/>
  <c r="NNA247" i="20" s="1"/>
  <c r="NNL247" i="20"/>
  <c r="NNH247" i="20" l="1"/>
  <c r="NND247" i="20" s="1"/>
  <c r="NMZ247" i="20" s="1"/>
  <c r="NMV247" i="20" s="1"/>
  <c r="NNG247" i="20"/>
  <c r="NNC247" i="20" l="1"/>
  <c r="NMY247" i="20" s="1"/>
  <c r="NMU247" i="20" s="1"/>
  <c r="NMQ247" i="20" s="1"/>
  <c r="NNB247" i="20"/>
  <c r="NMX247" i="20" l="1"/>
  <c r="NMT247" i="20" s="1"/>
  <c r="NMP247" i="20" s="1"/>
  <c r="NML247" i="20" s="1"/>
  <c r="NMW247" i="20"/>
  <c r="NMS247" i="20" l="1"/>
  <c r="NMO247" i="20" s="1"/>
  <c r="NMK247" i="20" s="1"/>
  <c r="NMG247" i="20" s="1"/>
  <c r="NMR247" i="20"/>
  <c r="NMN247" i="20" l="1"/>
  <c r="NMJ247" i="20" s="1"/>
  <c r="NMF247" i="20" s="1"/>
  <c r="NMB247" i="20" s="1"/>
  <c r="NMM247" i="20"/>
  <c r="NMI247" i="20" l="1"/>
  <c r="NME247" i="20" s="1"/>
  <c r="NMA247" i="20" s="1"/>
  <c r="NLW247" i="20" s="1"/>
  <c r="NMH247" i="20"/>
  <c r="NMD247" i="20" l="1"/>
  <c r="NLZ247" i="20" s="1"/>
  <c r="NLV247" i="20" s="1"/>
  <c r="NLR247" i="20" s="1"/>
  <c r="NMC247" i="20"/>
  <c r="NLY247" i="20" l="1"/>
  <c r="NLU247" i="20" s="1"/>
  <c r="NLQ247" i="20" s="1"/>
  <c r="NLM247" i="20" s="1"/>
  <c r="NLX247" i="20"/>
  <c r="NLT247" i="20" l="1"/>
  <c r="NLP247" i="20" s="1"/>
  <c r="NLL247" i="20" s="1"/>
  <c r="NLH247" i="20" s="1"/>
  <c r="NLS247" i="20"/>
  <c r="NLO247" i="20" l="1"/>
  <c r="NLK247" i="20" s="1"/>
  <c r="NLG247" i="20" s="1"/>
  <c r="NLC247" i="20" s="1"/>
  <c r="NLN247" i="20"/>
  <c r="NLJ247" i="20" l="1"/>
  <c r="NLF247" i="20" s="1"/>
  <c r="NLB247" i="20" s="1"/>
  <c r="NKX247" i="20" s="1"/>
  <c r="NLI247" i="20"/>
  <c r="NLE247" i="20" l="1"/>
  <c r="NLA247" i="20" s="1"/>
  <c r="NKW247" i="20" s="1"/>
  <c r="NKS247" i="20" s="1"/>
  <c r="NLD247" i="20"/>
  <c r="NKZ247" i="20" l="1"/>
  <c r="NKV247" i="20" s="1"/>
  <c r="NKR247" i="20" s="1"/>
  <c r="NKN247" i="20" s="1"/>
  <c r="NKY247" i="20"/>
  <c r="NKU247" i="20" l="1"/>
  <c r="NKQ247" i="20" s="1"/>
  <c r="NKM247" i="20" s="1"/>
  <c r="NKI247" i="20" s="1"/>
  <c r="NKT247" i="20"/>
  <c r="NKP247" i="20" l="1"/>
  <c r="NKL247" i="20" s="1"/>
  <c r="NKH247" i="20" s="1"/>
  <c r="NKD247" i="20" s="1"/>
  <c r="NKO247" i="20"/>
  <c r="NKK247" i="20" l="1"/>
  <c r="NKG247" i="20" s="1"/>
  <c r="NKC247" i="20" s="1"/>
  <c r="NJY247" i="20" s="1"/>
  <c r="NKJ247" i="20"/>
  <c r="NKF247" i="20" l="1"/>
  <c r="NKB247" i="20" s="1"/>
  <c r="NJX247" i="20" s="1"/>
  <c r="NJT247" i="20" s="1"/>
  <c r="NKE247" i="20"/>
  <c r="NKA247" i="20" l="1"/>
  <c r="NJW247" i="20" s="1"/>
  <c r="NJS247" i="20" s="1"/>
  <c r="NJO247" i="20" s="1"/>
  <c r="NJZ247" i="20"/>
  <c r="NJV247" i="20" l="1"/>
  <c r="NJR247" i="20" s="1"/>
  <c r="NJN247" i="20" s="1"/>
  <c r="NJJ247" i="20" s="1"/>
  <c r="NJU247" i="20"/>
  <c r="NJQ247" i="20" l="1"/>
  <c r="NJM247" i="20" s="1"/>
  <c r="NJI247" i="20" s="1"/>
  <c r="NJE247" i="20" s="1"/>
  <c r="NJP247" i="20"/>
  <c r="NJL247" i="20" l="1"/>
  <c r="NJH247" i="20" s="1"/>
  <c r="NJD247" i="20" s="1"/>
  <c r="NIZ247" i="20" s="1"/>
  <c r="NJK247" i="20"/>
  <c r="NJG247" i="20" l="1"/>
  <c r="NJC247" i="20" s="1"/>
  <c r="NIY247" i="20" s="1"/>
  <c r="NIU247" i="20" s="1"/>
  <c r="NJF247" i="20"/>
  <c r="NJB247" i="20" l="1"/>
  <c r="NIX247" i="20" s="1"/>
  <c r="NIT247" i="20" s="1"/>
  <c r="NIP247" i="20" s="1"/>
  <c r="NJA247" i="20"/>
  <c r="NIW247" i="20" l="1"/>
  <c r="NIS247" i="20" s="1"/>
  <c r="NIO247" i="20" s="1"/>
  <c r="NIK247" i="20" s="1"/>
  <c r="NIV247" i="20"/>
  <c r="NIR247" i="20" l="1"/>
  <c r="NIN247" i="20" s="1"/>
  <c r="NIJ247" i="20" s="1"/>
  <c r="NIF247" i="20" s="1"/>
  <c r="NIQ247" i="20"/>
  <c r="NIM247" i="20" l="1"/>
  <c r="NII247" i="20" s="1"/>
  <c r="NIE247" i="20" s="1"/>
  <c r="NIA247" i="20" s="1"/>
  <c r="NIL247" i="20"/>
  <c r="NIH247" i="20" l="1"/>
  <c r="NID247" i="20" s="1"/>
  <c r="NHZ247" i="20" s="1"/>
  <c r="NHV247" i="20" s="1"/>
  <c r="NIG247" i="20"/>
  <c r="NIC247" i="20" l="1"/>
  <c r="NHY247" i="20" s="1"/>
  <c r="NHU247" i="20" s="1"/>
  <c r="NHQ247" i="20" s="1"/>
  <c r="NIB247" i="20"/>
  <c r="NHX247" i="20" l="1"/>
  <c r="NHT247" i="20" s="1"/>
  <c r="NHP247" i="20" s="1"/>
  <c r="NHL247" i="20" s="1"/>
  <c r="NHW247" i="20"/>
  <c r="NHS247" i="20" l="1"/>
  <c r="NHO247" i="20" s="1"/>
  <c r="NHK247" i="20" s="1"/>
  <c r="NHG247" i="20" s="1"/>
  <c r="NHR247" i="20"/>
  <c r="NHN247" i="20" l="1"/>
  <c r="NHJ247" i="20" s="1"/>
  <c r="NHF247" i="20" s="1"/>
  <c r="NHB247" i="20" s="1"/>
  <c r="NHM247" i="20"/>
  <c r="NHI247" i="20" l="1"/>
  <c r="NHE247" i="20" s="1"/>
  <c r="NHA247" i="20" s="1"/>
  <c r="NGW247" i="20" s="1"/>
  <c r="NHH247" i="20"/>
  <c r="NHD247" i="20" l="1"/>
  <c r="NGZ247" i="20" s="1"/>
  <c r="NGV247" i="20" s="1"/>
  <c r="NGR247" i="20" s="1"/>
  <c r="NHC247" i="20"/>
  <c r="NGY247" i="20" l="1"/>
  <c r="NGU247" i="20" s="1"/>
  <c r="NGQ247" i="20" s="1"/>
  <c r="NGM247" i="20" s="1"/>
  <c r="NGX247" i="20"/>
  <c r="NGT247" i="20" l="1"/>
  <c r="NGP247" i="20" s="1"/>
  <c r="NGL247" i="20" s="1"/>
  <c r="NGH247" i="20" s="1"/>
  <c r="NGS247" i="20"/>
  <c r="NGO247" i="20" l="1"/>
  <c r="NGK247" i="20" s="1"/>
  <c r="NGG247" i="20" s="1"/>
  <c r="NGC247" i="20" s="1"/>
  <c r="NGN247" i="20"/>
  <c r="NGJ247" i="20" l="1"/>
  <c r="NGF247" i="20" s="1"/>
  <c r="NGB247" i="20" s="1"/>
  <c r="NFX247" i="20" s="1"/>
  <c r="NGI247" i="20"/>
  <c r="NGE247" i="20" l="1"/>
  <c r="NGA247" i="20" s="1"/>
  <c r="NFW247" i="20" s="1"/>
  <c r="NFS247" i="20" s="1"/>
  <c r="NGD247" i="20"/>
  <c r="NFZ247" i="20" l="1"/>
  <c r="NFV247" i="20" s="1"/>
  <c r="NFR247" i="20" s="1"/>
  <c r="NFN247" i="20" s="1"/>
  <c r="NFY247" i="20"/>
  <c r="NFU247" i="20" l="1"/>
  <c r="NFQ247" i="20" s="1"/>
  <c r="NFM247" i="20" s="1"/>
  <c r="NFI247" i="20" s="1"/>
  <c r="NFT247" i="20"/>
  <c r="NFP247" i="20" l="1"/>
  <c r="NFL247" i="20" s="1"/>
  <c r="NFH247" i="20" s="1"/>
  <c r="NFD247" i="20" s="1"/>
  <c r="NFO247" i="20"/>
  <c r="NFK247" i="20" l="1"/>
  <c r="NFG247" i="20" s="1"/>
  <c r="NFC247" i="20" s="1"/>
  <c r="NEY247" i="20" s="1"/>
  <c r="NFJ247" i="20"/>
  <c r="NFF247" i="20" l="1"/>
  <c r="NFB247" i="20" s="1"/>
  <c r="NEX247" i="20" s="1"/>
  <c r="NET247" i="20" s="1"/>
  <c r="NFE247" i="20"/>
  <c r="NFA247" i="20" l="1"/>
  <c r="NEW247" i="20" s="1"/>
  <c r="NES247" i="20" s="1"/>
  <c r="NEO247" i="20" s="1"/>
  <c r="NEZ247" i="20"/>
  <c r="NEV247" i="20" l="1"/>
  <c r="NER247" i="20" s="1"/>
  <c r="NEN247" i="20" s="1"/>
  <c r="NEJ247" i="20" s="1"/>
  <c r="NEU247" i="20"/>
  <c r="NEQ247" i="20" l="1"/>
  <c r="NEM247" i="20" s="1"/>
  <c r="NEI247" i="20" s="1"/>
  <c r="NEE247" i="20" s="1"/>
  <c r="NEP247" i="20"/>
  <c r="NEL247" i="20" l="1"/>
  <c r="NEH247" i="20" s="1"/>
  <c r="NED247" i="20" s="1"/>
  <c r="NDZ247" i="20" s="1"/>
  <c r="NEK247" i="20"/>
  <c r="NEG247" i="20" l="1"/>
  <c r="NEC247" i="20" s="1"/>
  <c r="NDY247" i="20" s="1"/>
  <c r="NDU247" i="20" s="1"/>
  <c r="NEF247" i="20"/>
  <c r="NEB247" i="20" l="1"/>
  <c r="NDX247" i="20" s="1"/>
  <c r="NDT247" i="20" s="1"/>
  <c r="NDP247" i="20" s="1"/>
  <c r="NEA247" i="20"/>
  <c r="NDW247" i="20" l="1"/>
  <c r="NDS247" i="20" s="1"/>
  <c r="NDO247" i="20" s="1"/>
  <c r="NDK247" i="20" s="1"/>
  <c r="NDV247" i="20"/>
  <c r="NDR247" i="20" l="1"/>
  <c r="NDN247" i="20" s="1"/>
  <c r="NDJ247" i="20" s="1"/>
  <c r="NDF247" i="20" s="1"/>
  <c r="NDQ247" i="20"/>
  <c r="NDM247" i="20" l="1"/>
  <c r="NDI247" i="20" s="1"/>
  <c r="NDE247" i="20" s="1"/>
  <c r="NDA247" i="20" s="1"/>
  <c r="NDL247" i="20"/>
  <c r="NDH247" i="20" l="1"/>
  <c r="NDD247" i="20" s="1"/>
  <c r="NCZ247" i="20" s="1"/>
  <c r="NCV247" i="20" s="1"/>
  <c r="NDG247" i="20"/>
  <c r="NDC247" i="20" l="1"/>
  <c r="NCY247" i="20" s="1"/>
  <c r="NCU247" i="20" s="1"/>
  <c r="NCQ247" i="20" s="1"/>
  <c r="NDB247" i="20"/>
  <c r="NCX247" i="20" l="1"/>
  <c r="NCT247" i="20" s="1"/>
  <c r="NCP247" i="20" s="1"/>
  <c r="NCL247" i="20" s="1"/>
  <c r="NCW247" i="20"/>
  <c r="NCS247" i="20" l="1"/>
  <c r="NCO247" i="20" s="1"/>
  <c r="NCK247" i="20" s="1"/>
  <c r="NCG247" i="20" s="1"/>
  <c r="NCR247" i="20"/>
  <c r="NCN247" i="20" l="1"/>
  <c r="NCJ247" i="20" s="1"/>
  <c r="NCF247" i="20" s="1"/>
  <c r="NCB247" i="20" s="1"/>
  <c r="NCM247" i="20"/>
  <c r="NCI247" i="20" l="1"/>
  <c r="NCE247" i="20" s="1"/>
  <c r="NCA247" i="20" s="1"/>
  <c r="NBW247" i="20" s="1"/>
  <c r="NCH247" i="20"/>
  <c r="NCD247" i="20" l="1"/>
  <c r="NBZ247" i="20" s="1"/>
  <c r="NBV247" i="20" s="1"/>
  <c r="NBR247" i="20" s="1"/>
  <c r="NCC247" i="20"/>
  <c r="NBY247" i="20" l="1"/>
  <c r="NBU247" i="20" s="1"/>
  <c r="NBQ247" i="20" s="1"/>
  <c r="NBM247" i="20" s="1"/>
  <c r="NBX247" i="20"/>
  <c r="NBT247" i="20" l="1"/>
  <c r="NBP247" i="20" s="1"/>
  <c r="NBL247" i="20" s="1"/>
  <c r="NBH247" i="20" s="1"/>
  <c r="NBS247" i="20"/>
  <c r="NBO247" i="20" l="1"/>
  <c r="NBK247" i="20" s="1"/>
  <c r="NBG247" i="20" s="1"/>
  <c r="NBC247" i="20" s="1"/>
  <c r="NBN247" i="20"/>
  <c r="NBJ247" i="20" l="1"/>
  <c r="NBF247" i="20" s="1"/>
  <c r="NBB247" i="20" s="1"/>
  <c r="NAX247" i="20" s="1"/>
  <c r="NBI247" i="20"/>
  <c r="NBE247" i="20" l="1"/>
  <c r="NBA247" i="20" s="1"/>
  <c r="NAW247" i="20" s="1"/>
  <c r="NAS247" i="20" s="1"/>
  <c r="NBD247" i="20"/>
  <c r="NAZ247" i="20" l="1"/>
  <c r="NAV247" i="20" s="1"/>
  <c r="NAR247" i="20" s="1"/>
  <c r="NAN247" i="20" s="1"/>
  <c r="NAY247" i="20"/>
  <c r="NAU247" i="20" l="1"/>
  <c r="NAQ247" i="20" s="1"/>
  <c r="NAM247" i="20" s="1"/>
  <c r="NAI247" i="20" s="1"/>
  <c r="NAT247" i="20"/>
  <c r="NAP247" i="20" l="1"/>
  <c r="NAL247" i="20" s="1"/>
  <c r="NAH247" i="20" s="1"/>
  <c r="NAD247" i="20" s="1"/>
  <c r="NAO247" i="20"/>
  <c r="NAK247" i="20" l="1"/>
  <c r="NAG247" i="20" s="1"/>
  <c r="NAC247" i="20" s="1"/>
  <c r="MZY247" i="20" s="1"/>
  <c r="NAJ247" i="20"/>
  <c r="NAF247" i="20" l="1"/>
  <c r="NAB247" i="20" s="1"/>
  <c r="MZX247" i="20" s="1"/>
  <c r="MZT247" i="20" s="1"/>
  <c r="NAE247" i="20"/>
  <c r="NAA247" i="20" l="1"/>
  <c r="MZW247" i="20" s="1"/>
  <c r="MZS247" i="20" s="1"/>
  <c r="MZO247" i="20" s="1"/>
  <c r="MZZ247" i="20"/>
  <c r="MZV247" i="20" l="1"/>
  <c r="MZR247" i="20" s="1"/>
  <c r="MZN247" i="20" s="1"/>
  <c r="MZJ247" i="20" s="1"/>
  <c r="MZU247" i="20"/>
  <c r="MZQ247" i="20" l="1"/>
  <c r="MZM247" i="20" s="1"/>
  <c r="MZI247" i="20" s="1"/>
  <c r="MZE247" i="20" s="1"/>
  <c r="MZP247" i="20"/>
  <c r="MZL247" i="20" l="1"/>
  <c r="MZH247" i="20" s="1"/>
  <c r="MZD247" i="20" s="1"/>
  <c r="MYZ247" i="20" s="1"/>
  <c r="MZK247" i="20"/>
  <c r="MZG247" i="20" l="1"/>
  <c r="MZC247" i="20" s="1"/>
  <c r="MYY247" i="20" s="1"/>
  <c r="MYU247" i="20" s="1"/>
  <c r="MZF247" i="20"/>
  <c r="MZB247" i="20" l="1"/>
  <c r="MYX247" i="20" s="1"/>
  <c r="MYT247" i="20" s="1"/>
  <c r="MYP247" i="20" s="1"/>
  <c r="MZA247" i="20"/>
  <c r="MYW247" i="20" l="1"/>
  <c r="MYS247" i="20" s="1"/>
  <c r="MYO247" i="20" s="1"/>
  <c r="MYK247" i="20" s="1"/>
  <c r="MYV247" i="20"/>
  <c r="MYR247" i="20" l="1"/>
  <c r="MYN247" i="20" s="1"/>
  <c r="MYJ247" i="20" s="1"/>
  <c r="MYF247" i="20" s="1"/>
  <c r="MYQ247" i="20"/>
  <c r="MYM247" i="20" l="1"/>
  <c r="MYI247" i="20" s="1"/>
  <c r="MYE247" i="20" s="1"/>
  <c r="MYA247" i="20" s="1"/>
  <c r="MYL247" i="20"/>
  <c r="MYH247" i="20" l="1"/>
  <c r="MYD247" i="20" s="1"/>
  <c r="MXZ247" i="20" s="1"/>
  <c r="MXV247" i="20" s="1"/>
  <c r="MYG247" i="20"/>
  <c r="MYC247" i="20" l="1"/>
  <c r="MXY247" i="20" s="1"/>
  <c r="MXU247" i="20" s="1"/>
  <c r="MXQ247" i="20" s="1"/>
  <c r="MYB247" i="20"/>
  <c r="MXX247" i="20" l="1"/>
  <c r="MXT247" i="20" s="1"/>
  <c r="MXP247" i="20" s="1"/>
  <c r="MXL247" i="20" s="1"/>
  <c r="MXW247" i="20"/>
  <c r="MXS247" i="20" l="1"/>
  <c r="MXO247" i="20" s="1"/>
  <c r="MXK247" i="20" s="1"/>
  <c r="MXG247" i="20" s="1"/>
  <c r="MXR247" i="20"/>
  <c r="MXN247" i="20" l="1"/>
  <c r="MXJ247" i="20" s="1"/>
  <c r="MXF247" i="20" s="1"/>
  <c r="MXB247" i="20" s="1"/>
  <c r="MXM247" i="20"/>
  <c r="MXI247" i="20" l="1"/>
  <c r="MXE247" i="20" s="1"/>
  <c r="MXA247" i="20" s="1"/>
  <c r="MWW247" i="20" s="1"/>
  <c r="MXH247" i="20"/>
  <c r="MXD247" i="20" l="1"/>
  <c r="MWZ247" i="20" s="1"/>
  <c r="MWV247" i="20" s="1"/>
  <c r="MWR247" i="20" s="1"/>
  <c r="MXC247" i="20"/>
  <c r="MWY247" i="20" l="1"/>
  <c r="MWU247" i="20" s="1"/>
  <c r="MWQ247" i="20" s="1"/>
  <c r="MWM247" i="20" s="1"/>
  <c r="MWX247" i="20"/>
  <c r="MWT247" i="20" l="1"/>
  <c r="MWP247" i="20" s="1"/>
  <c r="MWL247" i="20" s="1"/>
  <c r="MWH247" i="20" s="1"/>
  <c r="MWS247" i="20"/>
  <c r="MWO247" i="20" l="1"/>
  <c r="MWK247" i="20" s="1"/>
  <c r="MWG247" i="20" s="1"/>
  <c r="MWC247" i="20" s="1"/>
  <c r="MWN247" i="20"/>
  <c r="MWJ247" i="20" l="1"/>
  <c r="MWF247" i="20" s="1"/>
  <c r="MWB247" i="20" s="1"/>
  <c r="MVX247" i="20" s="1"/>
  <c r="MWI247" i="20"/>
  <c r="MWE247" i="20" l="1"/>
  <c r="MWA247" i="20" s="1"/>
  <c r="MVW247" i="20" s="1"/>
  <c r="MVS247" i="20" s="1"/>
  <c r="MWD247" i="20"/>
  <c r="MVZ247" i="20" l="1"/>
  <c r="MVV247" i="20" s="1"/>
  <c r="MVR247" i="20" s="1"/>
  <c r="MVN247" i="20" s="1"/>
  <c r="MVY247" i="20"/>
  <c r="MVU247" i="20" l="1"/>
  <c r="MVQ247" i="20" s="1"/>
  <c r="MVM247" i="20" s="1"/>
  <c r="MVI247" i="20" s="1"/>
  <c r="MVT247" i="20"/>
  <c r="MVP247" i="20" l="1"/>
  <c r="MVL247" i="20" s="1"/>
  <c r="MVH247" i="20" s="1"/>
  <c r="MVD247" i="20" s="1"/>
  <c r="MVO247" i="20"/>
  <c r="MVK247" i="20" l="1"/>
  <c r="MVG247" i="20" s="1"/>
  <c r="MVC247" i="20" s="1"/>
  <c r="MUY247" i="20" s="1"/>
  <c r="MVJ247" i="20"/>
  <c r="MVF247" i="20" l="1"/>
  <c r="MVB247" i="20" s="1"/>
  <c r="MUX247" i="20" s="1"/>
  <c r="MUT247" i="20" s="1"/>
  <c r="MVE247" i="20"/>
  <c r="MVA247" i="20" l="1"/>
  <c r="MUW247" i="20" s="1"/>
  <c r="MUS247" i="20" s="1"/>
  <c r="MUO247" i="20" s="1"/>
  <c r="MUZ247" i="20"/>
  <c r="MUV247" i="20" l="1"/>
  <c r="MUR247" i="20" s="1"/>
  <c r="MUN247" i="20" s="1"/>
  <c r="MUJ247" i="20" s="1"/>
  <c r="MUU247" i="20"/>
  <c r="MUQ247" i="20" l="1"/>
  <c r="MUM247" i="20" s="1"/>
  <c r="MUI247" i="20" s="1"/>
  <c r="MUE247" i="20" s="1"/>
  <c r="MUP247" i="20"/>
  <c r="MUL247" i="20" l="1"/>
  <c r="MUH247" i="20" s="1"/>
  <c r="MUD247" i="20" s="1"/>
  <c r="MTZ247" i="20" s="1"/>
  <c r="MUK247" i="20"/>
  <c r="MUG247" i="20" l="1"/>
  <c r="MUC247" i="20" s="1"/>
  <c r="MTY247" i="20" s="1"/>
  <c r="MTU247" i="20" s="1"/>
  <c r="MUF247" i="20"/>
  <c r="MUB247" i="20" l="1"/>
  <c r="MTX247" i="20" s="1"/>
  <c r="MTT247" i="20" s="1"/>
  <c r="MTP247" i="20" s="1"/>
  <c r="MUA247" i="20"/>
  <c r="MTW247" i="20" l="1"/>
  <c r="MTS247" i="20" s="1"/>
  <c r="MTO247" i="20" s="1"/>
  <c r="MTK247" i="20" s="1"/>
  <c r="MTV247" i="20"/>
  <c r="MTR247" i="20" l="1"/>
  <c r="MTN247" i="20" s="1"/>
  <c r="MTJ247" i="20" s="1"/>
  <c r="MTF247" i="20" s="1"/>
  <c r="MTQ247" i="20"/>
  <c r="MTM247" i="20" l="1"/>
  <c r="MTI247" i="20" s="1"/>
  <c r="MTE247" i="20" s="1"/>
  <c r="MTA247" i="20" s="1"/>
  <c r="MTL247" i="20"/>
  <c r="MTH247" i="20" l="1"/>
  <c r="MTD247" i="20" s="1"/>
  <c r="MSZ247" i="20" s="1"/>
  <c r="MSV247" i="20" s="1"/>
  <c r="MTG247" i="20"/>
  <c r="MTC247" i="20" l="1"/>
  <c r="MSY247" i="20" s="1"/>
  <c r="MSU247" i="20" s="1"/>
  <c r="MSQ247" i="20" s="1"/>
  <c r="MTB247" i="20"/>
  <c r="MSX247" i="20" l="1"/>
  <c r="MST247" i="20" s="1"/>
  <c r="MSP247" i="20" s="1"/>
  <c r="MSL247" i="20" s="1"/>
  <c r="MSW247" i="20"/>
  <c r="MSS247" i="20" l="1"/>
  <c r="MSO247" i="20" s="1"/>
  <c r="MSK247" i="20" s="1"/>
  <c r="MSG247" i="20" s="1"/>
  <c r="MSR247" i="20"/>
  <c r="MSN247" i="20" l="1"/>
  <c r="MSJ247" i="20" s="1"/>
  <c r="MSF247" i="20" s="1"/>
  <c r="MSB247" i="20" s="1"/>
  <c r="MSM247" i="20"/>
  <c r="MSI247" i="20" l="1"/>
  <c r="MSE247" i="20" s="1"/>
  <c r="MSA247" i="20" s="1"/>
  <c r="MRW247" i="20" s="1"/>
  <c r="MSH247" i="20"/>
  <c r="MSD247" i="20" l="1"/>
  <c r="MRZ247" i="20" s="1"/>
  <c r="MRV247" i="20" s="1"/>
  <c r="MRR247" i="20" s="1"/>
  <c r="MSC247" i="20"/>
  <c r="MRY247" i="20" l="1"/>
  <c r="MRU247" i="20" s="1"/>
  <c r="MRQ247" i="20" s="1"/>
  <c r="MRM247" i="20" s="1"/>
  <c r="MRX247" i="20"/>
  <c r="MRT247" i="20" l="1"/>
  <c r="MRP247" i="20" s="1"/>
  <c r="MRL247" i="20" s="1"/>
  <c r="MRH247" i="20" s="1"/>
  <c r="MRS247" i="20"/>
  <c r="MRO247" i="20" l="1"/>
  <c r="MRK247" i="20" s="1"/>
  <c r="MRG247" i="20" s="1"/>
  <c r="MRC247" i="20" s="1"/>
  <c r="MRN247" i="20"/>
  <c r="MRJ247" i="20" l="1"/>
  <c r="MRF247" i="20" s="1"/>
  <c r="MRB247" i="20" s="1"/>
  <c r="MQX247" i="20" s="1"/>
  <c r="MRI247" i="20"/>
  <c r="MRE247" i="20" l="1"/>
  <c r="MRA247" i="20" s="1"/>
  <c r="MQW247" i="20" s="1"/>
  <c r="MQS247" i="20" s="1"/>
  <c r="MRD247" i="20"/>
  <c r="MQZ247" i="20" l="1"/>
  <c r="MQV247" i="20" s="1"/>
  <c r="MQR247" i="20" s="1"/>
  <c r="MQN247" i="20" s="1"/>
  <c r="MQY247" i="20"/>
  <c r="MQU247" i="20" l="1"/>
  <c r="MQQ247" i="20" s="1"/>
  <c r="MQM247" i="20" s="1"/>
  <c r="MQI247" i="20" s="1"/>
  <c r="MQT247" i="20"/>
  <c r="MQP247" i="20" l="1"/>
  <c r="MQL247" i="20" s="1"/>
  <c r="MQH247" i="20" s="1"/>
  <c r="MQD247" i="20" s="1"/>
  <c r="MQO247" i="20"/>
  <c r="MQK247" i="20" l="1"/>
  <c r="MQG247" i="20" s="1"/>
  <c r="MQC247" i="20" s="1"/>
  <c r="MPY247" i="20" s="1"/>
  <c r="MQJ247" i="20"/>
  <c r="MQF247" i="20" l="1"/>
  <c r="MQB247" i="20" s="1"/>
  <c r="MPX247" i="20" s="1"/>
  <c r="MPT247" i="20" s="1"/>
  <c r="MQE247" i="20"/>
  <c r="MQA247" i="20" l="1"/>
  <c r="MPW247" i="20" s="1"/>
  <c r="MPS247" i="20" s="1"/>
  <c r="MPO247" i="20" s="1"/>
  <c r="MPZ247" i="20"/>
  <c r="MPV247" i="20" l="1"/>
  <c r="MPR247" i="20" s="1"/>
  <c r="MPN247" i="20" s="1"/>
  <c r="MPJ247" i="20" s="1"/>
  <c r="MPU247" i="20"/>
  <c r="MPQ247" i="20" l="1"/>
  <c r="MPM247" i="20" s="1"/>
  <c r="MPI247" i="20" s="1"/>
  <c r="MPE247" i="20" s="1"/>
  <c r="MPP247" i="20"/>
  <c r="MPL247" i="20" l="1"/>
  <c r="MPH247" i="20" s="1"/>
  <c r="MPD247" i="20" s="1"/>
  <c r="MOZ247" i="20" s="1"/>
  <c r="MPK247" i="20"/>
  <c r="MPG247" i="20" l="1"/>
  <c r="MPC247" i="20" s="1"/>
  <c r="MOY247" i="20" s="1"/>
  <c r="MOU247" i="20" s="1"/>
  <c r="MPF247" i="20"/>
  <c r="MPB247" i="20" l="1"/>
  <c r="MOX247" i="20" s="1"/>
  <c r="MOT247" i="20" s="1"/>
  <c r="MOP247" i="20" s="1"/>
  <c r="MPA247" i="20"/>
  <c r="MOW247" i="20" l="1"/>
  <c r="MOS247" i="20" s="1"/>
  <c r="MOO247" i="20" s="1"/>
  <c r="MOK247" i="20" s="1"/>
  <c r="MOV247" i="20"/>
  <c r="MOR247" i="20" l="1"/>
  <c r="MON247" i="20" s="1"/>
  <c r="MOJ247" i="20" s="1"/>
  <c r="MOF247" i="20" s="1"/>
  <c r="MOQ247" i="20"/>
  <c r="MOM247" i="20" l="1"/>
  <c r="MOI247" i="20" s="1"/>
  <c r="MOE247" i="20" s="1"/>
  <c r="MOA247" i="20" s="1"/>
  <c r="MOL247" i="20"/>
  <c r="MOH247" i="20" l="1"/>
  <c r="MOD247" i="20" s="1"/>
  <c r="MNZ247" i="20" s="1"/>
  <c r="MNV247" i="20" s="1"/>
  <c r="MOG247" i="20"/>
  <c r="MOC247" i="20" l="1"/>
  <c r="MNY247" i="20" s="1"/>
  <c r="MNU247" i="20" s="1"/>
  <c r="MNQ247" i="20" s="1"/>
  <c r="MOB247" i="20"/>
  <c r="MNX247" i="20" l="1"/>
  <c r="MNT247" i="20" s="1"/>
  <c r="MNP247" i="20" s="1"/>
  <c r="MNL247" i="20" s="1"/>
  <c r="MNW247" i="20"/>
  <c r="MNS247" i="20" l="1"/>
  <c r="MNO247" i="20" s="1"/>
  <c r="MNK247" i="20" s="1"/>
  <c r="MNG247" i="20" s="1"/>
  <c r="MNR247" i="20"/>
  <c r="MNN247" i="20" l="1"/>
  <c r="MNJ247" i="20" s="1"/>
  <c r="MNF247" i="20" s="1"/>
  <c r="MNB247" i="20" s="1"/>
  <c r="MNM247" i="20"/>
  <c r="MNI247" i="20" l="1"/>
  <c r="MNE247" i="20" s="1"/>
  <c r="MNA247" i="20" s="1"/>
  <c r="MMW247" i="20" s="1"/>
  <c r="MNH247" i="20"/>
  <c r="MND247" i="20" l="1"/>
  <c r="MMZ247" i="20" s="1"/>
  <c r="MMV247" i="20" s="1"/>
  <c r="MMR247" i="20" s="1"/>
  <c r="MNC247" i="20"/>
  <c r="MMY247" i="20" l="1"/>
  <c r="MMU247" i="20" s="1"/>
  <c r="MMQ247" i="20" s="1"/>
  <c r="MMM247" i="20" s="1"/>
  <c r="MMX247" i="20"/>
  <c r="MMT247" i="20" l="1"/>
  <c r="MMP247" i="20" s="1"/>
  <c r="MML247" i="20" s="1"/>
  <c r="MMH247" i="20" s="1"/>
  <c r="MMS247" i="20"/>
  <c r="MMO247" i="20" l="1"/>
  <c r="MMK247" i="20" s="1"/>
  <c r="MMG247" i="20" s="1"/>
  <c r="MMC247" i="20" s="1"/>
  <c r="MMN247" i="20"/>
  <c r="MMJ247" i="20" l="1"/>
  <c r="MMF247" i="20" s="1"/>
  <c r="MMB247" i="20" s="1"/>
  <c r="MLX247" i="20" s="1"/>
  <c r="MMI247" i="20"/>
  <c r="MME247" i="20" l="1"/>
  <c r="MMA247" i="20" s="1"/>
  <c r="MLW247" i="20" s="1"/>
  <c r="MLS247" i="20" s="1"/>
  <c r="MMD247" i="20"/>
  <c r="MLZ247" i="20" l="1"/>
  <c r="MLV247" i="20" s="1"/>
  <c r="MLR247" i="20" s="1"/>
  <c r="MLN247" i="20" s="1"/>
  <c r="MLY247" i="20"/>
  <c r="MLU247" i="20" l="1"/>
  <c r="MLQ247" i="20" s="1"/>
  <c r="MLM247" i="20" s="1"/>
  <c r="MLI247" i="20" s="1"/>
  <c r="MLT247" i="20"/>
  <c r="MLP247" i="20" l="1"/>
  <c r="MLL247" i="20" s="1"/>
  <c r="MLH247" i="20" s="1"/>
  <c r="MLD247" i="20" s="1"/>
  <c r="MLO247" i="20"/>
  <c r="MLK247" i="20" l="1"/>
  <c r="MLG247" i="20" s="1"/>
  <c r="MLC247" i="20" s="1"/>
  <c r="MKY247" i="20" s="1"/>
  <c r="MLJ247" i="20"/>
  <c r="MLF247" i="20" l="1"/>
  <c r="MLB247" i="20" s="1"/>
  <c r="MKX247" i="20" s="1"/>
  <c r="MKT247" i="20" s="1"/>
  <c r="MLE247" i="20"/>
  <c r="MLA247" i="20" l="1"/>
  <c r="MKW247" i="20" s="1"/>
  <c r="MKS247" i="20" s="1"/>
  <c r="MKO247" i="20" s="1"/>
  <c r="MKZ247" i="20"/>
  <c r="MKV247" i="20" l="1"/>
  <c r="MKR247" i="20" s="1"/>
  <c r="MKN247" i="20" s="1"/>
  <c r="MKJ247" i="20" s="1"/>
  <c r="MKU247" i="20"/>
  <c r="MKQ247" i="20" l="1"/>
  <c r="MKM247" i="20" s="1"/>
  <c r="MKI247" i="20" s="1"/>
  <c r="MKE247" i="20" s="1"/>
  <c r="MKP247" i="20"/>
  <c r="MKL247" i="20" l="1"/>
  <c r="MKH247" i="20" s="1"/>
  <c r="MKD247" i="20" s="1"/>
  <c r="MJZ247" i="20" s="1"/>
  <c r="MKK247" i="20"/>
  <c r="MKG247" i="20" l="1"/>
  <c r="MKC247" i="20" s="1"/>
  <c r="MJY247" i="20" s="1"/>
  <c r="MJU247" i="20" s="1"/>
  <c r="MKF247" i="20"/>
  <c r="MKB247" i="20" l="1"/>
  <c r="MJX247" i="20" s="1"/>
  <c r="MJT247" i="20" s="1"/>
  <c r="MJP247" i="20" s="1"/>
  <c r="MKA247" i="20"/>
  <c r="MJW247" i="20" l="1"/>
  <c r="MJS247" i="20" s="1"/>
  <c r="MJO247" i="20" s="1"/>
  <c r="MJK247" i="20" s="1"/>
  <c r="MJV247" i="20"/>
  <c r="MJR247" i="20" l="1"/>
  <c r="MJN247" i="20" s="1"/>
  <c r="MJJ247" i="20" s="1"/>
  <c r="MJF247" i="20" s="1"/>
  <c r="MJQ247" i="20"/>
  <c r="MJM247" i="20" l="1"/>
  <c r="MJI247" i="20" s="1"/>
  <c r="MJE247" i="20" s="1"/>
  <c r="MJA247" i="20" s="1"/>
  <c r="MJL247" i="20"/>
  <c r="MJH247" i="20" l="1"/>
  <c r="MJD247" i="20" s="1"/>
  <c r="MIZ247" i="20" s="1"/>
  <c r="MIV247" i="20" s="1"/>
  <c r="MJG247" i="20"/>
  <c r="MJC247" i="20" l="1"/>
  <c r="MIY247" i="20" s="1"/>
  <c r="MIU247" i="20" s="1"/>
  <c r="MIQ247" i="20" s="1"/>
  <c r="MJB247" i="20"/>
  <c r="MIX247" i="20" l="1"/>
  <c r="MIT247" i="20" s="1"/>
  <c r="MIP247" i="20" s="1"/>
  <c r="MIL247" i="20" s="1"/>
  <c r="MIW247" i="20"/>
  <c r="MIS247" i="20" l="1"/>
  <c r="MIO247" i="20" s="1"/>
  <c r="MIK247" i="20" s="1"/>
  <c r="MIG247" i="20" s="1"/>
  <c r="MIR247" i="20"/>
  <c r="MIN247" i="20" l="1"/>
  <c r="MIJ247" i="20" s="1"/>
  <c r="MIF247" i="20" s="1"/>
  <c r="MIB247" i="20" s="1"/>
  <c r="MIM247" i="20"/>
  <c r="MII247" i="20" l="1"/>
  <c r="MIE247" i="20" s="1"/>
  <c r="MIA247" i="20" s="1"/>
  <c r="MHW247" i="20" s="1"/>
  <c r="MIH247" i="20"/>
  <c r="MID247" i="20" l="1"/>
  <c r="MHZ247" i="20" s="1"/>
  <c r="MHV247" i="20" s="1"/>
  <c r="MHR247" i="20" s="1"/>
  <c r="MIC247" i="20"/>
  <c r="MHY247" i="20" l="1"/>
  <c r="MHU247" i="20" s="1"/>
  <c r="MHQ247" i="20" s="1"/>
  <c r="MHM247" i="20" s="1"/>
  <c r="MHX247" i="20"/>
  <c r="MHT247" i="20" l="1"/>
  <c r="MHP247" i="20" s="1"/>
  <c r="MHL247" i="20" s="1"/>
  <c r="MHH247" i="20" s="1"/>
  <c r="MHS247" i="20"/>
  <c r="MHO247" i="20" l="1"/>
  <c r="MHK247" i="20" s="1"/>
  <c r="MHG247" i="20" s="1"/>
  <c r="MHC247" i="20" s="1"/>
  <c r="MHN247" i="20"/>
  <c r="MHJ247" i="20" l="1"/>
  <c r="MHF247" i="20" s="1"/>
  <c r="MHB247" i="20" s="1"/>
  <c r="MGX247" i="20" s="1"/>
  <c r="MHI247" i="20"/>
  <c r="MHE247" i="20" l="1"/>
  <c r="MHA247" i="20" s="1"/>
  <c r="MGW247" i="20" s="1"/>
  <c r="MGS247" i="20" s="1"/>
  <c r="MHD247" i="20"/>
  <c r="MGZ247" i="20" l="1"/>
  <c r="MGV247" i="20" s="1"/>
  <c r="MGR247" i="20" s="1"/>
  <c r="MGN247" i="20" s="1"/>
  <c r="MGY247" i="20"/>
  <c r="MGU247" i="20" l="1"/>
  <c r="MGQ247" i="20" s="1"/>
  <c r="MGM247" i="20" s="1"/>
  <c r="MGI247" i="20" s="1"/>
  <c r="MGT247" i="20"/>
  <c r="MGP247" i="20" l="1"/>
  <c r="MGL247" i="20" s="1"/>
  <c r="MGH247" i="20" s="1"/>
  <c r="MGD247" i="20" s="1"/>
  <c r="MGO247" i="20"/>
  <c r="MGK247" i="20" l="1"/>
  <c r="MGG247" i="20" s="1"/>
  <c r="MGC247" i="20" s="1"/>
  <c r="MFY247" i="20" s="1"/>
  <c r="MGJ247" i="20"/>
  <c r="MGF247" i="20" l="1"/>
  <c r="MGB247" i="20" s="1"/>
  <c r="MFX247" i="20" s="1"/>
  <c r="MFT247" i="20" s="1"/>
  <c r="MGE247" i="20"/>
  <c r="MGA247" i="20" l="1"/>
  <c r="MFW247" i="20" s="1"/>
  <c r="MFS247" i="20" s="1"/>
  <c r="MFO247" i="20" s="1"/>
  <c r="MFZ247" i="20"/>
  <c r="MFV247" i="20" l="1"/>
  <c r="MFR247" i="20" s="1"/>
  <c r="MFN247" i="20" s="1"/>
  <c r="MFJ247" i="20" s="1"/>
  <c r="MFU247" i="20"/>
  <c r="MFQ247" i="20" l="1"/>
  <c r="MFM247" i="20" s="1"/>
  <c r="MFI247" i="20" s="1"/>
  <c r="MFE247" i="20" s="1"/>
  <c r="MFP247" i="20"/>
  <c r="MFL247" i="20" l="1"/>
  <c r="MFH247" i="20" s="1"/>
  <c r="MFD247" i="20" s="1"/>
  <c r="MEZ247" i="20" s="1"/>
  <c r="MFK247" i="20"/>
  <c r="MFG247" i="20" l="1"/>
  <c r="MFC247" i="20" s="1"/>
  <c r="MEY247" i="20" s="1"/>
  <c r="MEU247" i="20" s="1"/>
  <c r="MFF247" i="20"/>
  <c r="MFB247" i="20" l="1"/>
  <c r="MEX247" i="20" s="1"/>
  <c r="MET247" i="20" s="1"/>
  <c r="MEP247" i="20" s="1"/>
  <c r="MFA247" i="20"/>
  <c r="MEW247" i="20" l="1"/>
  <c r="MES247" i="20" s="1"/>
  <c r="MEO247" i="20" s="1"/>
  <c r="MEK247" i="20" s="1"/>
  <c r="MEV247" i="20"/>
  <c r="MER247" i="20" l="1"/>
  <c r="MEN247" i="20" s="1"/>
  <c r="MEJ247" i="20" s="1"/>
  <c r="MEF247" i="20" s="1"/>
  <c r="MEQ247" i="20"/>
  <c r="MEM247" i="20" l="1"/>
  <c r="MEI247" i="20" s="1"/>
  <c r="MEE247" i="20" s="1"/>
  <c r="MEA247" i="20" s="1"/>
  <c r="MEL247" i="20"/>
  <c r="MEH247" i="20" l="1"/>
  <c r="MED247" i="20" s="1"/>
  <c r="MDZ247" i="20" s="1"/>
  <c r="MDV247" i="20" s="1"/>
  <c r="MEG247" i="20"/>
  <c r="MEC247" i="20" l="1"/>
  <c r="MDY247" i="20" s="1"/>
  <c r="MDU247" i="20" s="1"/>
  <c r="MDQ247" i="20" s="1"/>
  <c r="MEB247" i="20"/>
  <c r="MDX247" i="20" l="1"/>
  <c r="MDT247" i="20" s="1"/>
  <c r="MDP247" i="20" s="1"/>
  <c r="MDL247" i="20" s="1"/>
  <c r="MDW247" i="20"/>
  <c r="MDS247" i="20" l="1"/>
  <c r="MDO247" i="20" s="1"/>
  <c r="MDK247" i="20" s="1"/>
  <c r="MDG247" i="20" s="1"/>
  <c r="MDR247" i="20"/>
  <c r="MDN247" i="20" l="1"/>
  <c r="MDJ247" i="20" s="1"/>
  <c r="MDF247" i="20" s="1"/>
  <c r="MDB247" i="20" s="1"/>
  <c r="MDM247" i="20"/>
  <c r="MDI247" i="20" l="1"/>
  <c r="MDE247" i="20" s="1"/>
  <c r="MDA247" i="20" s="1"/>
  <c r="MCW247" i="20" s="1"/>
  <c r="MDH247" i="20"/>
  <c r="MDD247" i="20" l="1"/>
  <c r="MCZ247" i="20" s="1"/>
  <c r="MCV247" i="20" s="1"/>
  <c r="MCR247" i="20" s="1"/>
  <c r="MDC247" i="20"/>
  <c r="MCY247" i="20" l="1"/>
  <c r="MCU247" i="20" s="1"/>
  <c r="MCQ247" i="20" s="1"/>
  <c r="MCM247" i="20" s="1"/>
  <c r="MCX247" i="20"/>
  <c r="MCT247" i="20" l="1"/>
  <c r="MCP247" i="20" s="1"/>
  <c r="MCL247" i="20" s="1"/>
  <c r="MCH247" i="20" s="1"/>
  <c r="MCS247" i="20"/>
  <c r="MCO247" i="20" l="1"/>
  <c r="MCK247" i="20" s="1"/>
  <c r="MCG247" i="20" s="1"/>
  <c r="MCC247" i="20" s="1"/>
  <c r="MCN247" i="20"/>
  <c r="MCJ247" i="20" l="1"/>
  <c r="MCF247" i="20" s="1"/>
  <c r="MCB247" i="20" s="1"/>
  <c r="MBX247" i="20" s="1"/>
  <c r="MCI247" i="20"/>
  <c r="MCE247" i="20" l="1"/>
  <c r="MCA247" i="20" s="1"/>
  <c r="MBW247" i="20" s="1"/>
  <c r="MBS247" i="20" s="1"/>
  <c r="MCD247" i="20"/>
  <c r="MBZ247" i="20" l="1"/>
  <c r="MBV247" i="20" s="1"/>
  <c r="MBR247" i="20" s="1"/>
  <c r="MBN247" i="20" s="1"/>
  <c r="MBY247" i="20"/>
  <c r="MBU247" i="20" l="1"/>
  <c r="MBQ247" i="20" s="1"/>
  <c r="MBM247" i="20" s="1"/>
  <c r="MBI247" i="20" s="1"/>
  <c r="MBT247" i="20"/>
  <c r="MBP247" i="20" l="1"/>
  <c r="MBL247" i="20" s="1"/>
  <c r="MBH247" i="20" s="1"/>
  <c r="MBD247" i="20" s="1"/>
  <c r="MBO247" i="20"/>
  <c r="MBK247" i="20" l="1"/>
  <c r="MBG247" i="20" s="1"/>
  <c r="MBC247" i="20" s="1"/>
  <c r="MAY247" i="20" s="1"/>
  <c r="MBJ247" i="20"/>
  <c r="MBF247" i="20" l="1"/>
  <c r="MBB247" i="20" s="1"/>
  <c r="MAX247" i="20" s="1"/>
  <c r="MAT247" i="20" s="1"/>
  <c r="MBE247" i="20"/>
  <c r="MBA247" i="20" l="1"/>
  <c r="MAW247" i="20" s="1"/>
  <c r="MAS247" i="20" s="1"/>
  <c r="MAO247" i="20" s="1"/>
  <c r="MAZ247" i="20"/>
  <c r="MAV247" i="20" l="1"/>
  <c r="MAR247" i="20" s="1"/>
  <c r="MAN247" i="20" s="1"/>
  <c r="MAJ247" i="20" s="1"/>
  <c r="MAU247" i="20"/>
  <c r="MAQ247" i="20" l="1"/>
  <c r="MAM247" i="20" s="1"/>
  <c r="MAI247" i="20" s="1"/>
  <c r="MAE247" i="20" s="1"/>
  <c r="MAP247" i="20"/>
  <c r="MAL247" i="20" l="1"/>
  <c r="MAH247" i="20" s="1"/>
  <c r="MAD247" i="20" s="1"/>
  <c r="LZZ247" i="20" s="1"/>
  <c r="MAK247" i="20"/>
  <c r="MAG247" i="20" l="1"/>
  <c r="MAC247" i="20" s="1"/>
  <c r="LZY247" i="20" s="1"/>
  <c r="LZU247" i="20" s="1"/>
  <c r="MAF247" i="20"/>
  <c r="MAB247" i="20" l="1"/>
  <c r="LZX247" i="20" s="1"/>
  <c r="LZT247" i="20" s="1"/>
  <c r="LZP247" i="20" s="1"/>
  <c r="MAA247" i="20"/>
  <c r="LZW247" i="20" l="1"/>
  <c r="LZS247" i="20" s="1"/>
  <c r="LZO247" i="20" s="1"/>
  <c r="LZK247" i="20" s="1"/>
  <c r="LZV247" i="20"/>
  <c r="LZR247" i="20" l="1"/>
  <c r="LZN247" i="20" s="1"/>
  <c r="LZJ247" i="20" s="1"/>
  <c r="LZF247" i="20" s="1"/>
  <c r="LZQ247" i="20"/>
  <c r="LZM247" i="20" l="1"/>
  <c r="LZI247" i="20" s="1"/>
  <c r="LZE247" i="20" s="1"/>
  <c r="LZA247" i="20" s="1"/>
  <c r="LZL247" i="20"/>
  <c r="LZH247" i="20" l="1"/>
  <c r="LZD247" i="20" s="1"/>
  <c r="LYZ247" i="20" s="1"/>
  <c r="LYV247" i="20" s="1"/>
  <c r="LZG247" i="20"/>
  <c r="LZC247" i="20" l="1"/>
  <c r="LYY247" i="20" s="1"/>
  <c r="LYU247" i="20" s="1"/>
  <c r="LYQ247" i="20" s="1"/>
  <c r="LZB247" i="20"/>
  <c r="LYX247" i="20" l="1"/>
  <c r="LYT247" i="20" s="1"/>
  <c r="LYP247" i="20" s="1"/>
  <c r="LYL247" i="20" s="1"/>
  <c r="LYW247" i="20"/>
  <c r="LYS247" i="20" l="1"/>
  <c r="LYO247" i="20" s="1"/>
  <c r="LYK247" i="20" s="1"/>
  <c r="LYG247" i="20" s="1"/>
  <c r="LYR247" i="20"/>
  <c r="LYN247" i="20" l="1"/>
  <c r="LYJ247" i="20" s="1"/>
  <c r="LYF247" i="20" s="1"/>
  <c r="LYB247" i="20" s="1"/>
  <c r="LYM247" i="20"/>
  <c r="LYI247" i="20" l="1"/>
  <c r="LYE247" i="20" s="1"/>
  <c r="LYA247" i="20" s="1"/>
  <c r="LXW247" i="20" s="1"/>
  <c r="LYH247" i="20"/>
  <c r="LYD247" i="20" l="1"/>
  <c r="LXZ247" i="20" s="1"/>
  <c r="LXV247" i="20" s="1"/>
  <c r="LXR247" i="20" s="1"/>
  <c r="LYC247" i="20"/>
  <c r="LXY247" i="20" l="1"/>
  <c r="LXU247" i="20" s="1"/>
  <c r="LXQ247" i="20" s="1"/>
  <c r="LXM247" i="20" s="1"/>
  <c r="LXX247" i="20"/>
  <c r="LXT247" i="20" l="1"/>
  <c r="LXP247" i="20" s="1"/>
  <c r="LXL247" i="20" s="1"/>
  <c r="LXH247" i="20" s="1"/>
  <c r="LXS247" i="20"/>
  <c r="LXO247" i="20" l="1"/>
  <c r="LXK247" i="20" s="1"/>
  <c r="LXG247" i="20" s="1"/>
  <c r="LXC247" i="20" s="1"/>
  <c r="LXN247" i="20"/>
  <c r="LXJ247" i="20" l="1"/>
  <c r="LXF247" i="20" s="1"/>
  <c r="LXB247" i="20" s="1"/>
  <c r="LWX247" i="20" s="1"/>
  <c r="LXI247" i="20"/>
  <c r="LXE247" i="20" l="1"/>
  <c r="LXA247" i="20" s="1"/>
  <c r="LWW247" i="20" s="1"/>
  <c r="LWS247" i="20" s="1"/>
  <c r="LXD247" i="20"/>
  <c r="LWZ247" i="20" l="1"/>
  <c r="LWV247" i="20" s="1"/>
  <c r="LWR247" i="20" s="1"/>
  <c r="LWN247" i="20" s="1"/>
  <c r="LWY247" i="20"/>
  <c r="LWU247" i="20" l="1"/>
  <c r="LWQ247" i="20" s="1"/>
  <c r="LWM247" i="20" s="1"/>
  <c r="LWI247" i="20" s="1"/>
  <c r="LWT247" i="20"/>
  <c r="LWP247" i="20" l="1"/>
  <c r="LWL247" i="20" s="1"/>
  <c r="LWH247" i="20" s="1"/>
  <c r="LWD247" i="20" s="1"/>
  <c r="LWO247" i="20"/>
  <c r="LWK247" i="20" l="1"/>
  <c r="LWG247" i="20" s="1"/>
  <c r="LWC247" i="20" s="1"/>
  <c r="LVY247" i="20" s="1"/>
  <c r="LWJ247" i="20"/>
  <c r="LWF247" i="20" l="1"/>
  <c r="LWB247" i="20" s="1"/>
  <c r="LVX247" i="20" s="1"/>
  <c r="LVT247" i="20" s="1"/>
  <c r="LWE247" i="20"/>
  <c r="LWA247" i="20" l="1"/>
  <c r="LVW247" i="20" s="1"/>
  <c r="LVS247" i="20" s="1"/>
  <c r="LVO247" i="20" s="1"/>
  <c r="LVZ247" i="20"/>
  <c r="LVV247" i="20" l="1"/>
  <c r="LVR247" i="20" s="1"/>
  <c r="LVN247" i="20" s="1"/>
  <c r="LVJ247" i="20" s="1"/>
  <c r="LVU247" i="20"/>
  <c r="LVQ247" i="20" l="1"/>
  <c r="LVM247" i="20" s="1"/>
  <c r="LVI247" i="20" s="1"/>
  <c r="LVE247" i="20" s="1"/>
  <c r="LVP247" i="20"/>
  <c r="LVL247" i="20" l="1"/>
  <c r="LVH247" i="20" s="1"/>
  <c r="LVD247" i="20" s="1"/>
  <c r="LUZ247" i="20" s="1"/>
  <c r="LVK247" i="20"/>
  <c r="LVG247" i="20" l="1"/>
  <c r="LVC247" i="20" s="1"/>
  <c r="LUY247" i="20" s="1"/>
  <c r="LUU247" i="20" s="1"/>
  <c r="LVF247" i="20"/>
  <c r="LVB247" i="20" l="1"/>
  <c r="LUX247" i="20" s="1"/>
  <c r="LUT247" i="20" s="1"/>
  <c r="LUP247" i="20" s="1"/>
  <c r="LVA247" i="20"/>
  <c r="LUW247" i="20" l="1"/>
  <c r="LUS247" i="20" s="1"/>
  <c r="LUO247" i="20" s="1"/>
  <c r="LUK247" i="20" s="1"/>
  <c r="LUV247" i="20"/>
  <c r="LUR247" i="20" l="1"/>
  <c r="LUN247" i="20" s="1"/>
  <c r="LUJ247" i="20" s="1"/>
  <c r="LUF247" i="20" s="1"/>
  <c r="LUQ247" i="20"/>
  <c r="LUM247" i="20" l="1"/>
  <c r="LUI247" i="20" s="1"/>
  <c r="LUE247" i="20" s="1"/>
  <c r="LUA247" i="20" s="1"/>
  <c r="LUL247" i="20"/>
  <c r="LUH247" i="20" l="1"/>
  <c r="LUD247" i="20" s="1"/>
  <c r="LTZ247" i="20" s="1"/>
  <c r="LTV247" i="20" s="1"/>
  <c r="LUG247" i="20"/>
  <c r="LUC247" i="20" l="1"/>
  <c r="LTY247" i="20" s="1"/>
  <c r="LTU247" i="20" s="1"/>
  <c r="LTQ247" i="20" s="1"/>
  <c r="LUB247" i="20"/>
  <c r="LTX247" i="20" l="1"/>
  <c r="LTT247" i="20" s="1"/>
  <c r="LTP247" i="20" s="1"/>
  <c r="LTL247" i="20" s="1"/>
  <c r="LTW247" i="20"/>
  <c r="LTS247" i="20" l="1"/>
  <c r="LTO247" i="20" s="1"/>
  <c r="LTK247" i="20" s="1"/>
  <c r="LTG247" i="20" s="1"/>
  <c r="LTR247" i="20"/>
  <c r="LTN247" i="20" l="1"/>
  <c r="LTJ247" i="20" s="1"/>
  <c r="LTF247" i="20" s="1"/>
  <c r="LTB247" i="20" s="1"/>
  <c r="LTM247" i="20"/>
  <c r="LTI247" i="20" l="1"/>
  <c r="LTE247" i="20" s="1"/>
  <c r="LTA247" i="20" s="1"/>
  <c r="LSW247" i="20" s="1"/>
  <c r="LTH247" i="20"/>
  <c r="LTD247" i="20" l="1"/>
  <c r="LSZ247" i="20" s="1"/>
  <c r="LSV247" i="20" s="1"/>
  <c r="LSR247" i="20" s="1"/>
  <c r="LTC247" i="20"/>
  <c r="LSY247" i="20" l="1"/>
  <c r="LSU247" i="20" s="1"/>
  <c r="LSQ247" i="20" s="1"/>
  <c r="LSM247" i="20" s="1"/>
  <c r="LSX247" i="20"/>
  <c r="LST247" i="20" l="1"/>
  <c r="LSP247" i="20" s="1"/>
  <c r="LSL247" i="20" s="1"/>
  <c r="LSH247" i="20" s="1"/>
  <c r="LSS247" i="20"/>
  <c r="LSO247" i="20" l="1"/>
  <c r="LSK247" i="20" s="1"/>
  <c r="LSG247" i="20" s="1"/>
  <c r="LSC247" i="20" s="1"/>
  <c r="LSN247" i="20"/>
  <c r="LSJ247" i="20" l="1"/>
  <c r="LSF247" i="20" s="1"/>
  <c r="LSB247" i="20" s="1"/>
  <c r="LRX247" i="20" s="1"/>
  <c r="LSI247" i="20"/>
  <c r="LSE247" i="20" l="1"/>
  <c r="LSA247" i="20" s="1"/>
  <c r="LRW247" i="20" s="1"/>
  <c r="LRS247" i="20" s="1"/>
  <c r="LSD247" i="20"/>
  <c r="LRZ247" i="20" l="1"/>
  <c r="LRV247" i="20" s="1"/>
  <c r="LRR247" i="20" s="1"/>
  <c r="LRN247" i="20" s="1"/>
  <c r="LRY247" i="20"/>
  <c r="LRU247" i="20" l="1"/>
  <c r="LRQ247" i="20" s="1"/>
  <c r="LRM247" i="20" s="1"/>
  <c r="LRI247" i="20" s="1"/>
  <c r="LRT247" i="20"/>
  <c r="LRP247" i="20" l="1"/>
  <c r="LRL247" i="20" s="1"/>
  <c r="LRH247" i="20" s="1"/>
  <c r="LRD247" i="20" s="1"/>
  <c r="LRO247" i="20"/>
  <c r="LRK247" i="20" l="1"/>
  <c r="LRG247" i="20" s="1"/>
  <c r="LRC247" i="20" s="1"/>
  <c r="LQY247" i="20" s="1"/>
  <c r="LRJ247" i="20"/>
  <c r="LRF247" i="20" l="1"/>
  <c r="LRB247" i="20" s="1"/>
  <c r="LQX247" i="20" s="1"/>
  <c r="LQT247" i="20" s="1"/>
  <c r="LRE247" i="20"/>
  <c r="LRA247" i="20" l="1"/>
  <c r="LQW247" i="20" s="1"/>
  <c r="LQS247" i="20" s="1"/>
  <c r="LQO247" i="20" s="1"/>
  <c r="LQZ247" i="20"/>
  <c r="LQV247" i="20" l="1"/>
  <c r="LQR247" i="20" s="1"/>
  <c r="LQN247" i="20" s="1"/>
  <c r="LQJ247" i="20" s="1"/>
  <c r="LQU247" i="20"/>
  <c r="LQQ247" i="20" l="1"/>
  <c r="LQM247" i="20" s="1"/>
  <c r="LQI247" i="20" s="1"/>
  <c r="LQE247" i="20" s="1"/>
  <c r="LQP247" i="20"/>
  <c r="LQL247" i="20" l="1"/>
  <c r="LQH247" i="20" s="1"/>
  <c r="LQD247" i="20" s="1"/>
  <c r="LPZ247" i="20" s="1"/>
  <c r="LQK247" i="20"/>
  <c r="LQG247" i="20" l="1"/>
  <c r="LQC247" i="20" s="1"/>
  <c r="LPY247" i="20" s="1"/>
  <c r="LPU247" i="20" s="1"/>
  <c r="LQF247" i="20"/>
  <c r="LQB247" i="20" l="1"/>
  <c r="LPX247" i="20" s="1"/>
  <c r="LPT247" i="20" s="1"/>
  <c r="LPP247" i="20" s="1"/>
  <c r="LQA247" i="20"/>
  <c r="LPW247" i="20" l="1"/>
  <c r="LPS247" i="20" s="1"/>
  <c r="LPO247" i="20" s="1"/>
  <c r="LPK247" i="20" s="1"/>
  <c r="LPV247" i="20"/>
  <c r="LPR247" i="20" l="1"/>
  <c r="LPN247" i="20" s="1"/>
  <c r="LPJ247" i="20" s="1"/>
  <c r="LPF247" i="20" s="1"/>
  <c r="LPQ247" i="20"/>
  <c r="LPM247" i="20" l="1"/>
  <c r="LPI247" i="20" s="1"/>
  <c r="LPE247" i="20" s="1"/>
  <c r="LPA247" i="20" s="1"/>
  <c r="LPL247" i="20"/>
  <c r="LPH247" i="20" l="1"/>
  <c r="LPD247" i="20" s="1"/>
  <c r="LOZ247" i="20" s="1"/>
  <c r="LOV247" i="20" s="1"/>
  <c r="LPG247" i="20"/>
  <c r="LPC247" i="20" l="1"/>
  <c r="LOY247" i="20" s="1"/>
  <c r="LOU247" i="20" s="1"/>
  <c r="LOQ247" i="20" s="1"/>
  <c r="LPB247" i="20"/>
  <c r="LOX247" i="20" l="1"/>
  <c r="LOT247" i="20" s="1"/>
  <c r="LOP247" i="20" s="1"/>
  <c r="LOL247" i="20" s="1"/>
  <c r="LOW247" i="20"/>
  <c r="LOS247" i="20" l="1"/>
  <c r="LOO247" i="20" s="1"/>
  <c r="LOK247" i="20" s="1"/>
  <c r="LOG247" i="20" s="1"/>
  <c r="LOR247" i="20"/>
  <c r="LON247" i="20" l="1"/>
  <c r="LOJ247" i="20" s="1"/>
  <c r="LOF247" i="20" s="1"/>
  <c r="LOB247" i="20" s="1"/>
  <c r="LOM247" i="20"/>
  <c r="LOI247" i="20" l="1"/>
  <c r="LOE247" i="20" s="1"/>
  <c r="LOA247" i="20" s="1"/>
  <c r="LNW247" i="20" s="1"/>
  <c r="LOH247" i="20"/>
  <c r="LOD247" i="20" l="1"/>
  <c r="LNZ247" i="20" s="1"/>
  <c r="LNV247" i="20" s="1"/>
  <c r="LNR247" i="20" s="1"/>
  <c r="LOC247" i="20"/>
  <c r="LNY247" i="20" l="1"/>
  <c r="LNU247" i="20" s="1"/>
  <c r="LNQ247" i="20" s="1"/>
  <c r="LNM247" i="20" s="1"/>
  <c r="LNX247" i="20"/>
  <c r="LNT247" i="20" l="1"/>
  <c r="LNP247" i="20" s="1"/>
  <c r="LNL247" i="20" s="1"/>
  <c r="LNH247" i="20" s="1"/>
  <c r="LNS247" i="20"/>
  <c r="LNO247" i="20" l="1"/>
  <c r="LNK247" i="20" s="1"/>
  <c r="LNG247" i="20" s="1"/>
  <c r="LNC247" i="20" s="1"/>
  <c r="LNN247" i="20"/>
  <c r="LNJ247" i="20" l="1"/>
  <c r="LNF247" i="20" s="1"/>
  <c r="LNB247" i="20" s="1"/>
  <c r="LMX247" i="20" s="1"/>
  <c r="LNI247" i="20"/>
  <c r="LNE247" i="20" l="1"/>
  <c r="LNA247" i="20" s="1"/>
  <c r="LMW247" i="20" s="1"/>
  <c r="LMS247" i="20" s="1"/>
  <c r="LND247" i="20"/>
  <c r="LMZ247" i="20" l="1"/>
  <c r="LMV247" i="20" s="1"/>
  <c r="LMR247" i="20" s="1"/>
  <c r="LMN247" i="20" s="1"/>
  <c r="LMY247" i="20"/>
  <c r="LMU247" i="20" l="1"/>
  <c r="LMQ247" i="20" s="1"/>
  <c r="LMM247" i="20" s="1"/>
  <c r="LMI247" i="20" s="1"/>
  <c r="LMT247" i="20"/>
  <c r="LMP247" i="20" l="1"/>
  <c r="LML247" i="20" s="1"/>
  <c r="LMH247" i="20" s="1"/>
  <c r="LMD247" i="20" s="1"/>
  <c r="LMO247" i="20"/>
  <c r="LMK247" i="20" l="1"/>
  <c r="LMG247" i="20" s="1"/>
  <c r="LMC247" i="20" s="1"/>
  <c r="LLY247" i="20" s="1"/>
  <c r="LMJ247" i="20"/>
  <c r="LMF247" i="20" l="1"/>
  <c r="LMB247" i="20" s="1"/>
  <c r="LLX247" i="20" s="1"/>
  <c r="LLT247" i="20" s="1"/>
  <c r="LME247" i="20"/>
  <c r="LMA247" i="20" l="1"/>
  <c r="LLW247" i="20" s="1"/>
  <c r="LLS247" i="20" s="1"/>
  <c r="LLO247" i="20" s="1"/>
  <c r="LLZ247" i="20"/>
  <c r="LLV247" i="20" l="1"/>
  <c r="LLR247" i="20" s="1"/>
  <c r="LLN247" i="20" s="1"/>
  <c r="LLJ247" i="20" s="1"/>
  <c r="LLU247" i="20"/>
  <c r="LLQ247" i="20" l="1"/>
  <c r="LLM247" i="20" s="1"/>
  <c r="LLI247" i="20" s="1"/>
  <c r="LLE247" i="20" s="1"/>
  <c r="LLP247" i="20"/>
  <c r="LLL247" i="20" l="1"/>
  <c r="LLH247" i="20" s="1"/>
  <c r="LLD247" i="20" s="1"/>
  <c r="LKZ247" i="20" s="1"/>
  <c r="LLK247" i="20"/>
  <c r="LLG247" i="20" l="1"/>
  <c r="LLC247" i="20" s="1"/>
  <c r="LKY247" i="20" s="1"/>
  <c r="LKU247" i="20" s="1"/>
  <c r="LLF247" i="20"/>
  <c r="LLB247" i="20" l="1"/>
  <c r="LKX247" i="20" s="1"/>
  <c r="LKT247" i="20" s="1"/>
  <c r="LKP247" i="20" s="1"/>
  <c r="LLA247" i="20"/>
  <c r="LKW247" i="20" l="1"/>
  <c r="LKS247" i="20" s="1"/>
  <c r="LKO247" i="20" s="1"/>
  <c r="LKK247" i="20" s="1"/>
  <c r="LKV247" i="20"/>
  <c r="LKR247" i="20" l="1"/>
  <c r="LKN247" i="20" s="1"/>
  <c r="LKJ247" i="20" s="1"/>
  <c r="LKF247" i="20" s="1"/>
  <c r="LKQ247" i="20"/>
  <c r="LKM247" i="20" l="1"/>
  <c r="LKI247" i="20" s="1"/>
  <c r="LKE247" i="20" s="1"/>
  <c r="LKA247" i="20" s="1"/>
  <c r="LKL247" i="20"/>
  <c r="LKH247" i="20" l="1"/>
  <c r="LKD247" i="20" s="1"/>
  <c r="LJZ247" i="20" s="1"/>
  <c r="LJV247" i="20" s="1"/>
  <c r="LKG247" i="20"/>
  <c r="LKC247" i="20" l="1"/>
  <c r="LJY247" i="20" s="1"/>
  <c r="LJU247" i="20" s="1"/>
  <c r="LJQ247" i="20" s="1"/>
  <c r="LKB247" i="20"/>
  <c r="LJX247" i="20" l="1"/>
  <c r="LJT247" i="20" s="1"/>
  <c r="LJP247" i="20" s="1"/>
  <c r="LJL247" i="20" s="1"/>
  <c r="LJW247" i="20"/>
  <c r="LJS247" i="20" l="1"/>
  <c r="LJO247" i="20" s="1"/>
  <c r="LJK247" i="20" s="1"/>
  <c r="LJG247" i="20" s="1"/>
  <c r="LJR247" i="20"/>
  <c r="LJN247" i="20" l="1"/>
  <c r="LJJ247" i="20" s="1"/>
  <c r="LJF247" i="20" s="1"/>
  <c r="LJB247" i="20" s="1"/>
  <c r="LJM247" i="20"/>
  <c r="LJI247" i="20" l="1"/>
  <c r="LJE247" i="20" s="1"/>
  <c r="LJA247" i="20" s="1"/>
  <c r="LIW247" i="20" s="1"/>
  <c r="LJH247" i="20"/>
  <c r="LJD247" i="20" l="1"/>
  <c r="LIZ247" i="20" s="1"/>
  <c r="LIV247" i="20" s="1"/>
  <c r="LIR247" i="20" s="1"/>
  <c r="LJC247" i="20"/>
  <c r="LIY247" i="20" l="1"/>
  <c r="LIU247" i="20" s="1"/>
  <c r="LIQ247" i="20" s="1"/>
  <c r="LIM247" i="20" s="1"/>
  <c r="LIX247" i="20"/>
  <c r="LIT247" i="20" l="1"/>
  <c r="LIP247" i="20" s="1"/>
  <c r="LIL247" i="20" s="1"/>
  <c r="LIH247" i="20" s="1"/>
  <c r="LIS247" i="20"/>
  <c r="LIO247" i="20" l="1"/>
  <c r="LIK247" i="20" s="1"/>
  <c r="LIG247" i="20" s="1"/>
  <c r="LIC247" i="20" s="1"/>
  <c r="LIN247" i="20"/>
  <c r="LIJ247" i="20" l="1"/>
  <c r="LIF247" i="20" s="1"/>
  <c r="LIB247" i="20" s="1"/>
  <c r="LHX247" i="20" s="1"/>
  <c r="LII247" i="20"/>
  <c r="LIE247" i="20" l="1"/>
  <c r="LIA247" i="20" s="1"/>
  <c r="LHW247" i="20" s="1"/>
  <c r="LHS247" i="20" s="1"/>
  <c r="LID247" i="20"/>
  <c r="LHZ247" i="20" l="1"/>
  <c r="LHV247" i="20" s="1"/>
  <c r="LHR247" i="20" s="1"/>
  <c r="LHN247" i="20" s="1"/>
  <c r="LHY247" i="20"/>
  <c r="LHU247" i="20" l="1"/>
  <c r="LHQ247" i="20" s="1"/>
  <c r="LHM247" i="20" s="1"/>
  <c r="LHI247" i="20" s="1"/>
  <c r="LHT247" i="20"/>
  <c r="LHP247" i="20" l="1"/>
  <c r="LHL247" i="20" s="1"/>
  <c r="LHH247" i="20" s="1"/>
  <c r="LHD247" i="20" s="1"/>
  <c r="LHO247" i="20"/>
  <c r="LHK247" i="20" l="1"/>
  <c r="LHG247" i="20" s="1"/>
  <c r="LHC247" i="20" s="1"/>
  <c r="LGY247" i="20" s="1"/>
  <c r="LHJ247" i="20"/>
  <c r="LHF247" i="20" l="1"/>
  <c r="LHB247" i="20" s="1"/>
  <c r="LGX247" i="20" s="1"/>
  <c r="LGT247" i="20" s="1"/>
  <c r="LHE247" i="20"/>
  <c r="LHA247" i="20" l="1"/>
  <c r="LGW247" i="20" s="1"/>
  <c r="LGS247" i="20" s="1"/>
  <c r="LGO247" i="20" s="1"/>
  <c r="LGZ247" i="20"/>
  <c r="LGV247" i="20" l="1"/>
  <c r="LGR247" i="20" s="1"/>
  <c r="LGN247" i="20" s="1"/>
  <c r="LGJ247" i="20" s="1"/>
  <c r="LGU247" i="20"/>
  <c r="LGQ247" i="20" l="1"/>
  <c r="LGM247" i="20" s="1"/>
  <c r="LGI247" i="20" s="1"/>
  <c r="LGE247" i="20" s="1"/>
  <c r="LGP247" i="20"/>
  <c r="LGL247" i="20" l="1"/>
  <c r="LGH247" i="20" s="1"/>
  <c r="LGD247" i="20" s="1"/>
  <c r="LFZ247" i="20" s="1"/>
  <c r="LGK247" i="20"/>
  <c r="LGG247" i="20" l="1"/>
  <c r="LGC247" i="20" s="1"/>
  <c r="LFY247" i="20" s="1"/>
  <c r="LFU247" i="20" s="1"/>
  <c r="LGF247" i="20"/>
  <c r="LGB247" i="20" l="1"/>
  <c r="LFX247" i="20" s="1"/>
  <c r="LFT247" i="20" s="1"/>
  <c r="LFP247" i="20" s="1"/>
  <c r="LGA247" i="20"/>
  <c r="LFW247" i="20" l="1"/>
  <c r="LFS247" i="20" s="1"/>
  <c r="LFO247" i="20" s="1"/>
  <c r="LFK247" i="20" s="1"/>
  <c r="LFV247" i="20"/>
  <c r="LFR247" i="20" l="1"/>
  <c r="LFN247" i="20" s="1"/>
  <c r="LFJ247" i="20" s="1"/>
  <c r="LFF247" i="20" s="1"/>
  <c r="LFQ247" i="20"/>
  <c r="LFM247" i="20" l="1"/>
  <c r="LFI247" i="20" s="1"/>
  <c r="LFE247" i="20" s="1"/>
  <c r="LFA247" i="20" s="1"/>
  <c r="LFL247" i="20"/>
  <c r="LFH247" i="20" l="1"/>
  <c r="LFD247" i="20" s="1"/>
  <c r="LEZ247" i="20" s="1"/>
  <c r="LEV247" i="20" s="1"/>
  <c r="LFG247" i="20"/>
  <c r="LFC247" i="20" l="1"/>
  <c r="LEY247" i="20" s="1"/>
  <c r="LEU247" i="20" s="1"/>
  <c r="LEQ247" i="20" s="1"/>
  <c r="LFB247" i="20"/>
  <c r="LEX247" i="20" l="1"/>
  <c r="LET247" i="20" s="1"/>
  <c r="LEP247" i="20" s="1"/>
  <c r="LEL247" i="20" s="1"/>
  <c r="LEW247" i="20"/>
  <c r="LES247" i="20" l="1"/>
  <c r="LEO247" i="20" s="1"/>
  <c r="LEK247" i="20" s="1"/>
  <c r="LEG247" i="20" s="1"/>
  <c r="LER247" i="20"/>
  <c r="LEN247" i="20" l="1"/>
  <c r="LEJ247" i="20" s="1"/>
  <c r="LEF247" i="20" s="1"/>
  <c r="LEB247" i="20" s="1"/>
  <c r="LEM247" i="20"/>
  <c r="LEI247" i="20" l="1"/>
  <c r="LEE247" i="20" s="1"/>
  <c r="LEA247" i="20" s="1"/>
  <c r="LDW247" i="20" s="1"/>
  <c r="LEH247" i="20"/>
  <c r="LED247" i="20" l="1"/>
  <c r="LDZ247" i="20" s="1"/>
  <c r="LDV247" i="20" s="1"/>
  <c r="LDR247" i="20" s="1"/>
  <c r="LEC247" i="20"/>
  <c r="LDY247" i="20" l="1"/>
  <c r="LDU247" i="20" s="1"/>
  <c r="LDQ247" i="20" s="1"/>
  <c r="LDM247" i="20" s="1"/>
  <c r="LDX247" i="20"/>
  <c r="LDT247" i="20" l="1"/>
  <c r="LDP247" i="20" s="1"/>
  <c r="LDL247" i="20" s="1"/>
  <c r="LDH247" i="20" s="1"/>
  <c r="LDS247" i="20"/>
  <c r="LDO247" i="20" l="1"/>
  <c r="LDK247" i="20" s="1"/>
  <c r="LDG247" i="20" s="1"/>
  <c r="LDC247" i="20" s="1"/>
  <c r="LDN247" i="20"/>
  <c r="LDJ247" i="20" l="1"/>
  <c r="LDF247" i="20" s="1"/>
  <c r="LDB247" i="20" s="1"/>
  <c r="LCX247" i="20" s="1"/>
  <c r="LDI247" i="20"/>
  <c r="LDE247" i="20" l="1"/>
  <c r="LDA247" i="20" s="1"/>
  <c r="LCW247" i="20" s="1"/>
  <c r="LCS247" i="20" s="1"/>
  <c r="LDD247" i="20"/>
  <c r="LCZ247" i="20" l="1"/>
  <c r="LCV247" i="20" s="1"/>
  <c r="LCR247" i="20" s="1"/>
  <c r="LCN247" i="20" s="1"/>
  <c r="LCY247" i="20"/>
  <c r="LCU247" i="20" l="1"/>
  <c r="LCQ247" i="20" s="1"/>
  <c r="LCM247" i="20" s="1"/>
  <c r="LCI247" i="20" s="1"/>
  <c r="LCT247" i="20"/>
  <c r="LCP247" i="20" l="1"/>
  <c r="LCL247" i="20" s="1"/>
  <c r="LCH247" i="20" s="1"/>
  <c r="LCD247" i="20" s="1"/>
  <c r="LCO247" i="20"/>
  <c r="LCK247" i="20" l="1"/>
  <c r="LCG247" i="20" s="1"/>
  <c r="LCC247" i="20" s="1"/>
  <c r="LBY247" i="20" s="1"/>
  <c r="LCJ247" i="20"/>
  <c r="LCF247" i="20" l="1"/>
  <c r="LCB247" i="20" s="1"/>
  <c r="LBX247" i="20" s="1"/>
  <c r="LBT247" i="20" s="1"/>
  <c r="LCE247" i="20"/>
  <c r="LCA247" i="20" l="1"/>
  <c r="LBW247" i="20" s="1"/>
  <c r="LBS247" i="20" s="1"/>
  <c r="LBO247" i="20" s="1"/>
  <c r="LBZ247" i="20"/>
  <c r="LBV247" i="20" l="1"/>
  <c r="LBR247" i="20" s="1"/>
  <c r="LBN247" i="20" s="1"/>
  <c r="LBJ247" i="20" s="1"/>
  <c r="LBU247" i="20"/>
  <c r="LBQ247" i="20" l="1"/>
  <c r="LBM247" i="20" s="1"/>
  <c r="LBI247" i="20" s="1"/>
  <c r="LBE247" i="20" s="1"/>
  <c r="LBP247" i="20"/>
  <c r="LBL247" i="20" l="1"/>
  <c r="LBH247" i="20" s="1"/>
  <c r="LBD247" i="20" s="1"/>
  <c r="LAZ247" i="20" s="1"/>
  <c r="LBK247" i="20"/>
  <c r="LBG247" i="20" l="1"/>
  <c r="LBC247" i="20" s="1"/>
  <c r="LAY247" i="20" s="1"/>
  <c r="LAU247" i="20" s="1"/>
  <c r="LBF247" i="20"/>
  <c r="LBB247" i="20" l="1"/>
  <c r="LAX247" i="20" s="1"/>
  <c r="LAT247" i="20" s="1"/>
  <c r="LAP247" i="20" s="1"/>
  <c r="LBA247" i="20"/>
  <c r="LAW247" i="20" l="1"/>
  <c r="LAS247" i="20" s="1"/>
  <c r="LAO247" i="20" s="1"/>
  <c r="LAK247" i="20" s="1"/>
  <c r="LAV247" i="20"/>
  <c r="LAR247" i="20" l="1"/>
  <c r="LAN247" i="20" s="1"/>
  <c r="LAJ247" i="20" s="1"/>
  <c r="LAF247" i="20" s="1"/>
  <c r="LAQ247" i="20"/>
  <c r="LAM247" i="20" l="1"/>
  <c r="LAI247" i="20" s="1"/>
  <c r="LAE247" i="20" s="1"/>
  <c r="LAA247" i="20" s="1"/>
  <c r="LAL247" i="20"/>
  <c r="LAH247" i="20" l="1"/>
  <c r="LAD247" i="20" s="1"/>
  <c r="KZZ247" i="20" s="1"/>
  <c r="KZV247" i="20" s="1"/>
  <c r="LAG247" i="20"/>
  <c r="LAC247" i="20" l="1"/>
  <c r="KZY247" i="20" s="1"/>
  <c r="KZU247" i="20" s="1"/>
  <c r="KZQ247" i="20" s="1"/>
  <c r="LAB247" i="20"/>
  <c r="KZX247" i="20" l="1"/>
  <c r="KZT247" i="20" s="1"/>
  <c r="KZP247" i="20" s="1"/>
  <c r="KZL247" i="20" s="1"/>
  <c r="KZW247" i="20"/>
  <c r="KZS247" i="20" l="1"/>
  <c r="KZO247" i="20" s="1"/>
  <c r="KZK247" i="20" s="1"/>
  <c r="KZG247" i="20" s="1"/>
  <c r="KZR247" i="20"/>
  <c r="KZN247" i="20" l="1"/>
  <c r="KZJ247" i="20" s="1"/>
  <c r="KZF247" i="20" s="1"/>
  <c r="KZB247" i="20" s="1"/>
  <c r="KZM247" i="20"/>
  <c r="KZI247" i="20" l="1"/>
  <c r="KZE247" i="20" s="1"/>
  <c r="KZA247" i="20" s="1"/>
  <c r="KYW247" i="20" s="1"/>
  <c r="KZH247" i="20"/>
  <c r="KZD247" i="20" l="1"/>
  <c r="KYZ247" i="20" s="1"/>
  <c r="KYV247" i="20" s="1"/>
  <c r="KYR247" i="20" s="1"/>
  <c r="KZC247" i="20"/>
  <c r="KYY247" i="20" l="1"/>
  <c r="KYU247" i="20" s="1"/>
  <c r="KYQ247" i="20" s="1"/>
  <c r="KYM247" i="20" s="1"/>
  <c r="KYX247" i="20"/>
  <c r="KYT247" i="20" l="1"/>
  <c r="KYP247" i="20" s="1"/>
  <c r="KYL247" i="20" s="1"/>
  <c r="KYH247" i="20" s="1"/>
  <c r="KYS247" i="20"/>
  <c r="KYO247" i="20" l="1"/>
  <c r="KYK247" i="20" s="1"/>
  <c r="KYG247" i="20" s="1"/>
  <c r="KYC247" i="20" s="1"/>
  <c r="KYN247" i="20"/>
  <c r="KYJ247" i="20" l="1"/>
  <c r="KYF247" i="20" s="1"/>
  <c r="KYB247" i="20" s="1"/>
  <c r="KXX247" i="20" s="1"/>
  <c r="KYI247" i="20"/>
  <c r="KYE247" i="20" l="1"/>
  <c r="KYA247" i="20" s="1"/>
  <c r="KXW247" i="20" s="1"/>
  <c r="KXS247" i="20" s="1"/>
  <c r="KYD247" i="20"/>
  <c r="KXZ247" i="20" l="1"/>
  <c r="KXV247" i="20" s="1"/>
  <c r="KXR247" i="20" s="1"/>
  <c r="KXN247" i="20" s="1"/>
  <c r="KXY247" i="20"/>
  <c r="KXU247" i="20" l="1"/>
  <c r="KXQ247" i="20" s="1"/>
  <c r="KXM247" i="20" s="1"/>
  <c r="KXI247" i="20" s="1"/>
  <c r="KXT247" i="20"/>
  <c r="KXP247" i="20" l="1"/>
  <c r="KXL247" i="20" s="1"/>
  <c r="KXH247" i="20" s="1"/>
  <c r="KXD247" i="20" s="1"/>
  <c r="KXO247" i="20"/>
  <c r="KXK247" i="20" l="1"/>
  <c r="KXG247" i="20" s="1"/>
  <c r="KXC247" i="20" s="1"/>
  <c r="KWY247" i="20" s="1"/>
  <c r="KXJ247" i="20"/>
  <c r="KXF247" i="20" l="1"/>
  <c r="KXB247" i="20" s="1"/>
  <c r="KWX247" i="20" s="1"/>
  <c r="KWT247" i="20" s="1"/>
  <c r="KXE247" i="20"/>
  <c r="KXA247" i="20" l="1"/>
  <c r="KWW247" i="20" s="1"/>
  <c r="KWS247" i="20" s="1"/>
  <c r="KWO247" i="20" s="1"/>
  <c r="KWZ247" i="20"/>
  <c r="KWV247" i="20" l="1"/>
  <c r="KWR247" i="20" s="1"/>
  <c r="KWN247" i="20" s="1"/>
  <c r="KWJ247" i="20" s="1"/>
  <c r="KWU247" i="20"/>
  <c r="KWQ247" i="20" l="1"/>
  <c r="KWM247" i="20" s="1"/>
  <c r="KWI247" i="20" s="1"/>
  <c r="KWE247" i="20" s="1"/>
  <c r="KWP247" i="20"/>
  <c r="KWL247" i="20" l="1"/>
  <c r="KWH247" i="20" s="1"/>
  <c r="KWD247" i="20" s="1"/>
  <c r="KVZ247" i="20" s="1"/>
  <c r="KWK247" i="20"/>
  <c r="KWG247" i="20" l="1"/>
  <c r="KWC247" i="20" s="1"/>
  <c r="KVY247" i="20" s="1"/>
  <c r="KVU247" i="20" s="1"/>
  <c r="KWF247" i="20"/>
  <c r="KWB247" i="20" l="1"/>
  <c r="KVX247" i="20" s="1"/>
  <c r="KVT247" i="20" s="1"/>
  <c r="KVP247" i="20" s="1"/>
  <c r="KWA247" i="20"/>
  <c r="KVW247" i="20" l="1"/>
  <c r="KVS247" i="20" s="1"/>
  <c r="KVO247" i="20" s="1"/>
  <c r="KVK247" i="20" s="1"/>
  <c r="KVV247" i="20"/>
  <c r="KVR247" i="20" l="1"/>
  <c r="KVN247" i="20" s="1"/>
  <c r="KVJ247" i="20" s="1"/>
  <c r="KVF247" i="20" s="1"/>
  <c r="KVQ247" i="20"/>
  <c r="KVM247" i="20" l="1"/>
  <c r="KVI247" i="20" s="1"/>
  <c r="KVE247" i="20" s="1"/>
  <c r="KVA247" i="20" s="1"/>
  <c r="KVL247" i="20"/>
  <c r="KVH247" i="20" l="1"/>
  <c r="KVD247" i="20" s="1"/>
  <c r="KUZ247" i="20" s="1"/>
  <c r="KUV247" i="20" s="1"/>
  <c r="KVG247" i="20"/>
  <c r="KVC247" i="20" l="1"/>
  <c r="KUY247" i="20" s="1"/>
  <c r="KUU247" i="20" s="1"/>
  <c r="KUQ247" i="20" s="1"/>
  <c r="KVB247" i="20"/>
  <c r="KUX247" i="20" l="1"/>
  <c r="KUT247" i="20" s="1"/>
  <c r="KUP247" i="20" s="1"/>
  <c r="KUL247" i="20" s="1"/>
  <c r="KUW247" i="20"/>
  <c r="KUS247" i="20" l="1"/>
  <c r="KUO247" i="20" s="1"/>
  <c r="KUK247" i="20" s="1"/>
  <c r="KUG247" i="20" s="1"/>
  <c r="KUR247" i="20"/>
  <c r="KUN247" i="20" l="1"/>
  <c r="KUJ247" i="20" s="1"/>
  <c r="KUF247" i="20" s="1"/>
  <c r="KUB247" i="20" s="1"/>
  <c r="KUM247" i="20"/>
  <c r="KUI247" i="20" l="1"/>
  <c r="KUE247" i="20" s="1"/>
  <c r="KUA247" i="20" s="1"/>
  <c r="KTW247" i="20" s="1"/>
  <c r="KUH247" i="20"/>
  <c r="KUD247" i="20" l="1"/>
  <c r="KTZ247" i="20" s="1"/>
  <c r="KTV247" i="20" s="1"/>
  <c r="KTR247" i="20" s="1"/>
  <c r="KUC247" i="20"/>
  <c r="KTY247" i="20" l="1"/>
  <c r="KTU247" i="20" s="1"/>
  <c r="KTQ247" i="20" s="1"/>
  <c r="KTM247" i="20" s="1"/>
  <c r="KTX247" i="20"/>
  <c r="KTT247" i="20" l="1"/>
  <c r="KTP247" i="20" s="1"/>
  <c r="KTL247" i="20" s="1"/>
  <c r="KTH247" i="20" s="1"/>
  <c r="KTS247" i="20"/>
  <c r="KTO247" i="20" l="1"/>
  <c r="KTK247" i="20" s="1"/>
  <c r="KTG247" i="20" s="1"/>
  <c r="KTC247" i="20" s="1"/>
  <c r="KTN247" i="20"/>
  <c r="KTJ247" i="20" l="1"/>
  <c r="KTF247" i="20" s="1"/>
  <c r="KTB247" i="20" s="1"/>
  <c r="KSX247" i="20" s="1"/>
  <c r="KTI247" i="20"/>
  <c r="KTE247" i="20" l="1"/>
  <c r="KTA247" i="20" s="1"/>
  <c r="KSW247" i="20" s="1"/>
  <c r="KSS247" i="20" s="1"/>
  <c r="KTD247" i="20"/>
  <c r="KSZ247" i="20" l="1"/>
  <c r="KSV247" i="20" s="1"/>
  <c r="KSR247" i="20" s="1"/>
  <c r="KSN247" i="20" s="1"/>
  <c r="KSY247" i="20"/>
  <c r="KSU247" i="20" l="1"/>
  <c r="KSQ247" i="20" s="1"/>
  <c r="KSM247" i="20" s="1"/>
  <c r="KSI247" i="20" s="1"/>
  <c r="KST247" i="20"/>
  <c r="KSP247" i="20" l="1"/>
  <c r="KSL247" i="20" s="1"/>
  <c r="KSH247" i="20" s="1"/>
  <c r="KSD247" i="20" s="1"/>
  <c r="KSO247" i="20"/>
  <c r="KSK247" i="20" l="1"/>
  <c r="KSG247" i="20" s="1"/>
  <c r="KSC247" i="20" s="1"/>
  <c r="KRY247" i="20" s="1"/>
  <c r="KSJ247" i="20"/>
  <c r="KSF247" i="20" l="1"/>
  <c r="KSB247" i="20" s="1"/>
  <c r="KRX247" i="20" s="1"/>
  <c r="KRT247" i="20" s="1"/>
  <c r="KSE247" i="20"/>
  <c r="KSA247" i="20" l="1"/>
  <c r="KRW247" i="20" s="1"/>
  <c r="KRS247" i="20" s="1"/>
  <c r="KRO247" i="20" s="1"/>
  <c r="KRZ247" i="20"/>
  <c r="KRV247" i="20" l="1"/>
  <c r="KRR247" i="20" s="1"/>
  <c r="KRN247" i="20" s="1"/>
  <c r="KRJ247" i="20" s="1"/>
  <c r="KRU247" i="20"/>
  <c r="KRQ247" i="20" l="1"/>
  <c r="KRM247" i="20" s="1"/>
  <c r="KRI247" i="20" s="1"/>
  <c r="KRE247" i="20" s="1"/>
  <c r="KRP247" i="20"/>
  <c r="KRL247" i="20" l="1"/>
  <c r="KRH247" i="20" s="1"/>
  <c r="KRD247" i="20" s="1"/>
  <c r="KQZ247" i="20" s="1"/>
  <c r="KRK247" i="20"/>
  <c r="KRG247" i="20" l="1"/>
  <c r="KRC247" i="20" s="1"/>
  <c r="KQY247" i="20" s="1"/>
  <c r="KQU247" i="20" s="1"/>
  <c r="KRF247" i="20"/>
  <c r="KRB247" i="20" l="1"/>
  <c r="KQX247" i="20" s="1"/>
  <c r="KQT247" i="20" s="1"/>
  <c r="KQP247" i="20" s="1"/>
  <c r="KRA247" i="20"/>
  <c r="KQW247" i="20" l="1"/>
  <c r="KQS247" i="20" s="1"/>
  <c r="KQO247" i="20" s="1"/>
  <c r="KQK247" i="20" s="1"/>
  <c r="KQV247" i="20"/>
  <c r="KQR247" i="20" l="1"/>
  <c r="KQN247" i="20" s="1"/>
  <c r="KQJ247" i="20" s="1"/>
  <c r="KQF247" i="20" s="1"/>
  <c r="KQQ247" i="20"/>
  <c r="KQM247" i="20" l="1"/>
  <c r="KQI247" i="20" s="1"/>
  <c r="KQE247" i="20" s="1"/>
  <c r="KQA247" i="20" s="1"/>
  <c r="KQL247" i="20"/>
  <c r="KQH247" i="20" l="1"/>
  <c r="KQD247" i="20" s="1"/>
  <c r="KPZ247" i="20" s="1"/>
  <c r="KPV247" i="20" s="1"/>
  <c r="KQG247" i="20"/>
  <c r="KQC247" i="20" l="1"/>
  <c r="KPY247" i="20" s="1"/>
  <c r="KPU247" i="20" s="1"/>
  <c r="KPQ247" i="20" s="1"/>
  <c r="KQB247" i="20"/>
  <c r="KPX247" i="20" l="1"/>
  <c r="KPT247" i="20" s="1"/>
  <c r="KPP247" i="20" s="1"/>
  <c r="KPL247" i="20" s="1"/>
  <c r="KPW247" i="20"/>
  <c r="KPS247" i="20" l="1"/>
  <c r="KPO247" i="20" s="1"/>
  <c r="KPK247" i="20" s="1"/>
  <c r="KPG247" i="20" s="1"/>
  <c r="KPR247" i="20"/>
  <c r="KPN247" i="20" l="1"/>
  <c r="KPJ247" i="20" s="1"/>
  <c r="KPF247" i="20" s="1"/>
  <c r="KPB247" i="20" s="1"/>
  <c r="KPM247" i="20"/>
  <c r="KPI247" i="20" l="1"/>
  <c r="KPE247" i="20" s="1"/>
  <c r="KPA247" i="20" s="1"/>
  <c r="KOW247" i="20" s="1"/>
  <c r="KPH247" i="20"/>
  <c r="KPD247" i="20" l="1"/>
  <c r="KOZ247" i="20" s="1"/>
  <c r="KOV247" i="20" s="1"/>
  <c r="KOR247" i="20" s="1"/>
  <c r="KPC247" i="20"/>
  <c r="KOY247" i="20" l="1"/>
  <c r="KOU247" i="20" s="1"/>
  <c r="KOQ247" i="20" s="1"/>
  <c r="KOM247" i="20" s="1"/>
  <c r="KOX247" i="20"/>
  <c r="KOT247" i="20" l="1"/>
  <c r="KOP247" i="20" s="1"/>
  <c r="KOL247" i="20" s="1"/>
  <c r="KOH247" i="20" s="1"/>
  <c r="KOS247" i="20"/>
  <c r="KOO247" i="20" l="1"/>
  <c r="KOK247" i="20" s="1"/>
  <c r="KOG247" i="20" s="1"/>
  <c r="KOC247" i="20" s="1"/>
  <c r="KON247" i="20"/>
  <c r="KOJ247" i="20" l="1"/>
  <c r="KOF247" i="20" s="1"/>
  <c r="KOB247" i="20" s="1"/>
  <c r="KNX247" i="20" s="1"/>
  <c r="KOI247" i="20"/>
  <c r="KOE247" i="20" l="1"/>
  <c r="KOA247" i="20" s="1"/>
  <c r="KNW247" i="20" s="1"/>
  <c r="KNS247" i="20" s="1"/>
  <c r="KOD247" i="20"/>
  <c r="KNZ247" i="20" l="1"/>
  <c r="KNV247" i="20" s="1"/>
  <c r="KNR247" i="20" s="1"/>
  <c r="KNN247" i="20" s="1"/>
  <c r="KNY247" i="20"/>
  <c r="KNU247" i="20" l="1"/>
  <c r="KNQ247" i="20" s="1"/>
  <c r="KNM247" i="20" s="1"/>
  <c r="KNI247" i="20" s="1"/>
  <c r="KNT247" i="20"/>
  <c r="KNP247" i="20" l="1"/>
  <c r="KNL247" i="20" s="1"/>
  <c r="KNH247" i="20" s="1"/>
  <c r="KND247" i="20" s="1"/>
  <c r="KNO247" i="20"/>
  <c r="KNK247" i="20" l="1"/>
  <c r="KNG247" i="20" s="1"/>
  <c r="KNC247" i="20" s="1"/>
  <c r="KMY247" i="20" s="1"/>
  <c r="KNJ247" i="20"/>
  <c r="KNF247" i="20" l="1"/>
  <c r="KNB247" i="20" s="1"/>
  <c r="KMX247" i="20" s="1"/>
  <c r="KMT247" i="20" s="1"/>
  <c r="KNE247" i="20"/>
  <c r="KNA247" i="20" l="1"/>
  <c r="KMW247" i="20" s="1"/>
  <c r="KMS247" i="20" s="1"/>
  <c r="KMO247" i="20" s="1"/>
  <c r="KMZ247" i="20"/>
  <c r="KMV247" i="20" l="1"/>
  <c r="KMR247" i="20" s="1"/>
  <c r="KMN247" i="20" s="1"/>
  <c r="KMJ247" i="20" s="1"/>
  <c r="KMU247" i="20"/>
  <c r="KMQ247" i="20" l="1"/>
  <c r="KMM247" i="20" s="1"/>
  <c r="KMI247" i="20" s="1"/>
  <c r="KME247" i="20" s="1"/>
  <c r="KMP247" i="20"/>
  <c r="KML247" i="20" l="1"/>
  <c r="KMH247" i="20" s="1"/>
  <c r="KMD247" i="20" s="1"/>
  <c r="KLZ247" i="20" s="1"/>
  <c r="KMK247" i="20"/>
  <c r="KMG247" i="20" l="1"/>
  <c r="KMC247" i="20" s="1"/>
  <c r="KLY247" i="20" s="1"/>
  <c r="KLU247" i="20" s="1"/>
  <c r="KMF247" i="20"/>
  <c r="KMB247" i="20" l="1"/>
  <c r="KLX247" i="20" s="1"/>
  <c r="KLT247" i="20" s="1"/>
  <c r="KLP247" i="20" s="1"/>
  <c r="KMA247" i="20"/>
  <c r="KLW247" i="20" l="1"/>
  <c r="KLS247" i="20" s="1"/>
  <c r="KLO247" i="20" s="1"/>
  <c r="KLK247" i="20" s="1"/>
  <c r="KLV247" i="20"/>
  <c r="KLR247" i="20" l="1"/>
  <c r="KLN247" i="20" s="1"/>
  <c r="KLJ247" i="20" s="1"/>
  <c r="KLF247" i="20" s="1"/>
  <c r="KLQ247" i="20"/>
  <c r="KLM247" i="20" l="1"/>
  <c r="KLI247" i="20" s="1"/>
  <c r="KLE247" i="20" s="1"/>
  <c r="KLA247" i="20" s="1"/>
  <c r="KLL247" i="20"/>
  <c r="KLH247" i="20" l="1"/>
  <c r="KLD247" i="20" s="1"/>
  <c r="KKZ247" i="20" s="1"/>
  <c r="KKV247" i="20" s="1"/>
  <c r="KLG247" i="20"/>
  <c r="KLC247" i="20" l="1"/>
  <c r="KKY247" i="20" s="1"/>
  <c r="KKU247" i="20" s="1"/>
  <c r="KKQ247" i="20" s="1"/>
  <c r="KLB247" i="20"/>
  <c r="KKX247" i="20" l="1"/>
  <c r="KKT247" i="20" s="1"/>
  <c r="KKP247" i="20" s="1"/>
  <c r="KKL247" i="20" s="1"/>
  <c r="KKW247" i="20"/>
  <c r="KKS247" i="20" l="1"/>
  <c r="KKO247" i="20" s="1"/>
  <c r="KKK247" i="20" s="1"/>
  <c r="KKG247" i="20" s="1"/>
  <c r="KKR247" i="20"/>
  <c r="KKN247" i="20" l="1"/>
  <c r="KKJ247" i="20" s="1"/>
  <c r="KKF247" i="20" s="1"/>
  <c r="KKB247" i="20" s="1"/>
  <c r="KKM247" i="20"/>
  <c r="KKI247" i="20" l="1"/>
  <c r="KKE247" i="20" s="1"/>
  <c r="KKA247" i="20" s="1"/>
  <c r="KJW247" i="20" s="1"/>
  <c r="KKH247" i="20"/>
  <c r="KKD247" i="20" l="1"/>
  <c r="KJZ247" i="20" s="1"/>
  <c r="KJV247" i="20" s="1"/>
  <c r="KJR247" i="20" s="1"/>
  <c r="KKC247" i="20"/>
  <c r="KJY247" i="20" l="1"/>
  <c r="KJU247" i="20" s="1"/>
  <c r="KJQ247" i="20" s="1"/>
  <c r="KJM247" i="20" s="1"/>
  <c r="KJX247" i="20"/>
  <c r="KJT247" i="20" l="1"/>
  <c r="KJP247" i="20" s="1"/>
  <c r="KJL247" i="20" s="1"/>
  <c r="KJH247" i="20" s="1"/>
  <c r="KJS247" i="20"/>
  <c r="KJO247" i="20" l="1"/>
  <c r="KJK247" i="20" s="1"/>
  <c r="KJG247" i="20" s="1"/>
  <c r="KJC247" i="20" s="1"/>
  <c r="KJN247" i="20"/>
  <c r="KJJ247" i="20" l="1"/>
  <c r="KJF247" i="20" s="1"/>
  <c r="KJB247" i="20" s="1"/>
  <c r="KIX247" i="20" s="1"/>
  <c r="KJI247" i="20"/>
  <c r="KJE247" i="20" l="1"/>
  <c r="KJA247" i="20" s="1"/>
  <c r="KIW247" i="20" s="1"/>
  <c r="KIS247" i="20" s="1"/>
  <c r="KJD247" i="20"/>
  <c r="KIZ247" i="20" l="1"/>
  <c r="KIV247" i="20" s="1"/>
  <c r="KIR247" i="20" s="1"/>
  <c r="KIN247" i="20" s="1"/>
  <c r="KIY247" i="20"/>
  <c r="KIU247" i="20" l="1"/>
  <c r="KIQ247" i="20" s="1"/>
  <c r="KIM247" i="20" s="1"/>
  <c r="KII247" i="20" s="1"/>
  <c r="KIT247" i="20"/>
  <c r="KIP247" i="20" l="1"/>
  <c r="KIL247" i="20" s="1"/>
  <c r="KIH247" i="20" s="1"/>
  <c r="KID247" i="20" s="1"/>
  <c r="KIO247" i="20"/>
  <c r="KIK247" i="20" l="1"/>
  <c r="KIG247" i="20" s="1"/>
  <c r="KIC247" i="20" s="1"/>
  <c r="KHY247" i="20" s="1"/>
  <c r="KIJ247" i="20"/>
  <c r="KIF247" i="20" l="1"/>
  <c r="KIB247" i="20" s="1"/>
  <c r="KHX247" i="20" s="1"/>
  <c r="KHT247" i="20" s="1"/>
  <c r="KIE247" i="20"/>
  <c r="KIA247" i="20" l="1"/>
  <c r="KHW247" i="20" s="1"/>
  <c r="KHS247" i="20" s="1"/>
  <c r="KHO247" i="20" s="1"/>
  <c r="KHZ247" i="20"/>
  <c r="KHV247" i="20" l="1"/>
  <c r="KHR247" i="20" s="1"/>
  <c r="KHN247" i="20" s="1"/>
  <c r="KHJ247" i="20" s="1"/>
  <c r="KHU247" i="20"/>
  <c r="KHQ247" i="20" l="1"/>
  <c r="KHM247" i="20" s="1"/>
  <c r="KHI247" i="20" s="1"/>
  <c r="KHE247" i="20" s="1"/>
  <c r="KHP247" i="20"/>
  <c r="KHL247" i="20" l="1"/>
  <c r="KHH247" i="20" s="1"/>
  <c r="KHD247" i="20" s="1"/>
  <c r="KGZ247" i="20" s="1"/>
  <c r="KHK247" i="20"/>
  <c r="KHG247" i="20" l="1"/>
  <c r="KHC247" i="20" s="1"/>
  <c r="KGY247" i="20" s="1"/>
  <c r="KGU247" i="20" s="1"/>
  <c r="KHF247" i="20"/>
  <c r="KHB247" i="20" l="1"/>
  <c r="KGX247" i="20" s="1"/>
  <c r="KGT247" i="20" s="1"/>
  <c r="KGP247" i="20" s="1"/>
  <c r="KHA247" i="20"/>
  <c r="KGW247" i="20" l="1"/>
  <c r="KGS247" i="20" s="1"/>
  <c r="KGO247" i="20" s="1"/>
  <c r="KGK247" i="20" s="1"/>
  <c r="KGV247" i="20"/>
  <c r="KGR247" i="20" l="1"/>
  <c r="KGN247" i="20" s="1"/>
  <c r="KGJ247" i="20" s="1"/>
  <c r="KGF247" i="20" s="1"/>
  <c r="KGQ247" i="20"/>
  <c r="KGM247" i="20" l="1"/>
  <c r="KGI247" i="20" s="1"/>
  <c r="KGE247" i="20" s="1"/>
  <c r="KGA247" i="20" s="1"/>
  <c r="KGL247" i="20"/>
  <c r="KGH247" i="20" l="1"/>
  <c r="KGD247" i="20" s="1"/>
  <c r="KFZ247" i="20" s="1"/>
  <c r="KFV247" i="20" s="1"/>
  <c r="KGG247" i="20"/>
  <c r="KGC247" i="20" l="1"/>
  <c r="KFY247" i="20" s="1"/>
  <c r="KFU247" i="20" s="1"/>
  <c r="KFQ247" i="20" s="1"/>
  <c r="KGB247" i="20"/>
  <c r="KFX247" i="20" l="1"/>
  <c r="KFT247" i="20" s="1"/>
  <c r="KFP247" i="20" s="1"/>
  <c r="KFL247" i="20" s="1"/>
  <c r="KFW247" i="20"/>
  <c r="KFS247" i="20" l="1"/>
  <c r="KFO247" i="20" s="1"/>
  <c r="KFK247" i="20" s="1"/>
  <c r="KFG247" i="20" s="1"/>
  <c r="KFR247" i="20"/>
  <c r="KFN247" i="20" l="1"/>
  <c r="KFJ247" i="20" s="1"/>
  <c r="KFF247" i="20" s="1"/>
  <c r="KFB247" i="20" s="1"/>
  <c r="KFM247" i="20"/>
  <c r="KFI247" i="20" l="1"/>
  <c r="KFE247" i="20" s="1"/>
  <c r="KFA247" i="20" s="1"/>
  <c r="KEW247" i="20" s="1"/>
  <c r="KFH247" i="20"/>
  <c r="KFD247" i="20" l="1"/>
  <c r="KEZ247" i="20" s="1"/>
  <c r="KEV247" i="20" s="1"/>
  <c r="KER247" i="20" s="1"/>
  <c r="KFC247" i="20"/>
  <c r="KEY247" i="20" l="1"/>
  <c r="KEU247" i="20" s="1"/>
  <c r="KEQ247" i="20" s="1"/>
  <c r="KEM247" i="20" s="1"/>
  <c r="KEX247" i="20"/>
  <c r="KET247" i="20" l="1"/>
  <c r="KEP247" i="20" s="1"/>
  <c r="KEL247" i="20" s="1"/>
  <c r="KEH247" i="20" s="1"/>
  <c r="KES247" i="20"/>
  <c r="KEO247" i="20" l="1"/>
  <c r="KEK247" i="20" s="1"/>
  <c r="KEG247" i="20" s="1"/>
  <c r="KEC247" i="20" s="1"/>
  <c r="KEN247" i="20"/>
  <c r="KEJ247" i="20" l="1"/>
  <c r="KEF247" i="20" s="1"/>
  <c r="KEB247" i="20" s="1"/>
  <c r="KDX247" i="20" s="1"/>
  <c r="KEI247" i="20"/>
  <c r="KEE247" i="20" l="1"/>
  <c r="KEA247" i="20" s="1"/>
  <c r="KDW247" i="20" s="1"/>
  <c r="KDS247" i="20" s="1"/>
  <c r="KED247" i="20"/>
  <c r="KDZ247" i="20" l="1"/>
  <c r="KDV247" i="20" s="1"/>
  <c r="KDR247" i="20" s="1"/>
  <c r="KDN247" i="20" s="1"/>
  <c r="KDY247" i="20"/>
  <c r="KDU247" i="20" l="1"/>
  <c r="KDQ247" i="20" s="1"/>
  <c r="KDM247" i="20" s="1"/>
  <c r="KDI247" i="20" s="1"/>
  <c r="KDT247" i="20"/>
  <c r="KDP247" i="20" l="1"/>
  <c r="KDL247" i="20" s="1"/>
  <c r="KDH247" i="20" s="1"/>
  <c r="KDD247" i="20" s="1"/>
  <c r="KDO247" i="20"/>
  <c r="KDK247" i="20" l="1"/>
  <c r="KDG247" i="20" s="1"/>
  <c r="KDC247" i="20" s="1"/>
  <c r="KCY247" i="20" s="1"/>
  <c r="KDJ247" i="20"/>
  <c r="KDF247" i="20" l="1"/>
  <c r="KDB247" i="20" s="1"/>
  <c r="KCX247" i="20" s="1"/>
  <c r="KCT247" i="20" s="1"/>
  <c r="KDE247" i="20"/>
  <c r="KDA247" i="20" l="1"/>
  <c r="KCW247" i="20" s="1"/>
  <c r="KCS247" i="20" s="1"/>
  <c r="KCO247" i="20" s="1"/>
  <c r="KCZ247" i="20"/>
  <c r="KCV247" i="20" l="1"/>
  <c r="KCR247" i="20" s="1"/>
  <c r="KCN247" i="20" s="1"/>
  <c r="KCJ247" i="20" s="1"/>
  <c r="KCU247" i="20"/>
  <c r="KCQ247" i="20" l="1"/>
  <c r="KCM247" i="20" s="1"/>
  <c r="KCI247" i="20" s="1"/>
  <c r="KCE247" i="20" s="1"/>
  <c r="KCP247" i="20"/>
  <c r="KCL247" i="20" l="1"/>
  <c r="KCH247" i="20" s="1"/>
  <c r="KCD247" i="20" s="1"/>
  <c r="KBZ247" i="20" s="1"/>
  <c r="KCK247" i="20"/>
  <c r="KCG247" i="20" l="1"/>
  <c r="KCC247" i="20" s="1"/>
  <c r="KBY247" i="20" s="1"/>
  <c r="KBU247" i="20" s="1"/>
  <c r="KCF247" i="20"/>
  <c r="KCB247" i="20" l="1"/>
  <c r="KBX247" i="20" s="1"/>
  <c r="KBT247" i="20" s="1"/>
  <c r="KBP247" i="20" s="1"/>
  <c r="KCA247" i="20"/>
  <c r="KBW247" i="20" l="1"/>
  <c r="KBS247" i="20" s="1"/>
  <c r="KBO247" i="20" s="1"/>
  <c r="KBK247" i="20" s="1"/>
  <c r="KBV247" i="20"/>
  <c r="KBR247" i="20" l="1"/>
  <c r="KBN247" i="20" s="1"/>
  <c r="KBJ247" i="20" s="1"/>
  <c r="KBF247" i="20" s="1"/>
  <c r="KBQ247" i="20"/>
  <c r="KBM247" i="20" l="1"/>
  <c r="KBI247" i="20" s="1"/>
  <c r="KBE247" i="20" s="1"/>
  <c r="KBA247" i="20" s="1"/>
  <c r="KBL247" i="20"/>
  <c r="KBH247" i="20" l="1"/>
  <c r="KBD247" i="20" s="1"/>
  <c r="KAZ247" i="20" s="1"/>
  <c r="KAV247" i="20" s="1"/>
  <c r="KBG247" i="20"/>
  <c r="KBC247" i="20" l="1"/>
  <c r="KAY247" i="20" s="1"/>
  <c r="KAU247" i="20" s="1"/>
  <c r="KAQ247" i="20" s="1"/>
  <c r="KBB247" i="20"/>
  <c r="KAX247" i="20" l="1"/>
  <c r="KAT247" i="20" s="1"/>
  <c r="KAP247" i="20" s="1"/>
  <c r="KAL247" i="20" s="1"/>
  <c r="KAW247" i="20"/>
  <c r="KAS247" i="20" l="1"/>
  <c r="KAO247" i="20" s="1"/>
  <c r="KAK247" i="20" s="1"/>
  <c r="KAG247" i="20" s="1"/>
  <c r="KAR247" i="20"/>
  <c r="KAN247" i="20" l="1"/>
  <c r="KAJ247" i="20" s="1"/>
  <c r="KAF247" i="20" s="1"/>
  <c r="KAB247" i="20" s="1"/>
  <c r="KAM247" i="20"/>
  <c r="KAI247" i="20" l="1"/>
  <c r="KAE247" i="20" s="1"/>
  <c r="KAA247" i="20" s="1"/>
  <c r="JZW247" i="20" s="1"/>
  <c r="KAH247" i="20"/>
  <c r="KAD247" i="20" l="1"/>
  <c r="JZZ247" i="20" s="1"/>
  <c r="JZV247" i="20" s="1"/>
  <c r="JZR247" i="20" s="1"/>
  <c r="KAC247" i="20"/>
  <c r="JZY247" i="20" l="1"/>
  <c r="JZU247" i="20" s="1"/>
  <c r="JZQ247" i="20" s="1"/>
  <c r="JZM247" i="20" s="1"/>
  <c r="JZX247" i="20"/>
  <c r="JZT247" i="20" l="1"/>
  <c r="JZP247" i="20" s="1"/>
  <c r="JZL247" i="20" s="1"/>
  <c r="JZH247" i="20" s="1"/>
  <c r="JZS247" i="20"/>
  <c r="JZO247" i="20" l="1"/>
  <c r="JZK247" i="20" s="1"/>
  <c r="JZG247" i="20" s="1"/>
  <c r="JZC247" i="20" s="1"/>
  <c r="JZN247" i="20"/>
  <c r="JZJ247" i="20" l="1"/>
  <c r="JZF247" i="20" s="1"/>
  <c r="JZB247" i="20" s="1"/>
  <c r="JYX247" i="20" s="1"/>
  <c r="JZI247" i="20"/>
  <c r="JZE247" i="20" l="1"/>
  <c r="JZA247" i="20" s="1"/>
  <c r="JYW247" i="20" s="1"/>
  <c r="JYS247" i="20" s="1"/>
  <c r="JZD247" i="20"/>
  <c r="JYZ247" i="20" l="1"/>
  <c r="JYV247" i="20" s="1"/>
  <c r="JYR247" i="20" s="1"/>
  <c r="JYN247" i="20" s="1"/>
  <c r="JYY247" i="20"/>
  <c r="JYU247" i="20" l="1"/>
  <c r="JYQ247" i="20" s="1"/>
  <c r="JYM247" i="20" s="1"/>
  <c r="JYI247" i="20" s="1"/>
  <c r="JYT247" i="20"/>
  <c r="JYP247" i="20" l="1"/>
  <c r="JYL247" i="20" s="1"/>
  <c r="JYH247" i="20" s="1"/>
  <c r="JYD247" i="20" s="1"/>
  <c r="JYO247" i="20"/>
  <c r="JYK247" i="20" l="1"/>
  <c r="JYG247" i="20" s="1"/>
  <c r="JYC247" i="20" s="1"/>
  <c r="JXY247" i="20" s="1"/>
  <c r="JYJ247" i="20"/>
  <c r="JYF247" i="20" l="1"/>
  <c r="JYB247" i="20" s="1"/>
  <c r="JXX247" i="20" s="1"/>
  <c r="JXT247" i="20" s="1"/>
  <c r="JYE247" i="20"/>
  <c r="JYA247" i="20" l="1"/>
  <c r="JXW247" i="20" s="1"/>
  <c r="JXS247" i="20" s="1"/>
  <c r="JXO247" i="20" s="1"/>
  <c r="JXZ247" i="20"/>
  <c r="JXV247" i="20" l="1"/>
  <c r="JXR247" i="20" s="1"/>
  <c r="JXN247" i="20" s="1"/>
  <c r="JXJ247" i="20" s="1"/>
  <c r="JXU247" i="20"/>
  <c r="JXQ247" i="20" l="1"/>
  <c r="JXM247" i="20" s="1"/>
  <c r="JXI247" i="20" s="1"/>
  <c r="JXE247" i="20" s="1"/>
  <c r="JXP247" i="20"/>
  <c r="JXL247" i="20" l="1"/>
  <c r="JXH247" i="20" s="1"/>
  <c r="JXD247" i="20" s="1"/>
  <c r="JWZ247" i="20" s="1"/>
  <c r="JXK247" i="20"/>
  <c r="JXG247" i="20" l="1"/>
  <c r="JXC247" i="20" s="1"/>
  <c r="JWY247" i="20" s="1"/>
  <c r="JWU247" i="20" s="1"/>
  <c r="JXF247" i="20"/>
  <c r="JXB247" i="20" l="1"/>
  <c r="JWX247" i="20" s="1"/>
  <c r="JWT247" i="20" s="1"/>
  <c r="JWP247" i="20" s="1"/>
  <c r="JXA247" i="20"/>
  <c r="JWW247" i="20" l="1"/>
  <c r="JWS247" i="20" s="1"/>
  <c r="JWO247" i="20" s="1"/>
  <c r="JWK247" i="20" s="1"/>
  <c r="JWV247" i="20"/>
  <c r="JWR247" i="20" l="1"/>
  <c r="JWN247" i="20" s="1"/>
  <c r="JWJ247" i="20" s="1"/>
  <c r="JWF247" i="20" s="1"/>
  <c r="JWQ247" i="20"/>
  <c r="JWM247" i="20" l="1"/>
  <c r="JWI247" i="20" s="1"/>
  <c r="JWE247" i="20" s="1"/>
  <c r="JWA247" i="20" s="1"/>
  <c r="JWL247" i="20"/>
  <c r="JWH247" i="20" l="1"/>
  <c r="JWD247" i="20" s="1"/>
  <c r="JVZ247" i="20" s="1"/>
  <c r="JVV247" i="20" s="1"/>
  <c r="JWG247" i="20"/>
  <c r="JWC247" i="20" l="1"/>
  <c r="JVY247" i="20" s="1"/>
  <c r="JVU247" i="20" s="1"/>
  <c r="JVQ247" i="20" s="1"/>
  <c r="JWB247" i="20"/>
  <c r="JVX247" i="20" l="1"/>
  <c r="JVT247" i="20" s="1"/>
  <c r="JVP247" i="20" s="1"/>
  <c r="JVL247" i="20" s="1"/>
  <c r="JVW247" i="20"/>
  <c r="JVS247" i="20" l="1"/>
  <c r="JVO247" i="20" s="1"/>
  <c r="JVK247" i="20" s="1"/>
  <c r="JVG247" i="20" s="1"/>
  <c r="JVR247" i="20"/>
  <c r="JVN247" i="20" l="1"/>
  <c r="JVJ247" i="20" s="1"/>
  <c r="JVF247" i="20" s="1"/>
  <c r="JVB247" i="20" s="1"/>
  <c r="JVM247" i="20"/>
  <c r="JVI247" i="20" l="1"/>
  <c r="JVE247" i="20" s="1"/>
  <c r="JVA247" i="20" s="1"/>
  <c r="JUW247" i="20" s="1"/>
  <c r="JVH247" i="20"/>
  <c r="JVD247" i="20" l="1"/>
  <c r="JUZ247" i="20" s="1"/>
  <c r="JUV247" i="20" s="1"/>
  <c r="JUR247" i="20" s="1"/>
  <c r="JVC247" i="20"/>
  <c r="JUY247" i="20" l="1"/>
  <c r="JUU247" i="20" s="1"/>
  <c r="JUQ247" i="20" s="1"/>
  <c r="JUM247" i="20" s="1"/>
  <c r="JUX247" i="20"/>
  <c r="JUT247" i="20" l="1"/>
  <c r="JUP247" i="20" s="1"/>
  <c r="JUL247" i="20" s="1"/>
  <c r="JUH247" i="20" s="1"/>
  <c r="JUS247" i="20"/>
  <c r="JUO247" i="20" l="1"/>
  <c r="JUK247" i="20" s="1"/>
  <c r="JUG247" i="20" s="1"/>
  <c r="JUC247" i="20" s="1"/>
  <c r="JUN247" i="20"/>
  <c r="JUJ247" i="20" l="1"/>
  <c r="JUF247" i="20" s="1"/>
  <c r="JUB247" i="20" s="1"/>
  <c r="JTX247" i="20" s="1"/>
  <c r="JUI247" i="20"/>
  <c r="JUE247" i="20" l="1"/>
  <c r="JUA247" i="20" s="1"/>
  <c r="JTW247" i="20" s="1"/>
  <c r="JTS247" i="20" s="1"/>
  <c r="JUD247" i="20"/>
  <c r="JTZ247" i="20" l="1"/>
  <c r="JTV247" i="20" s="1"/>
  <c r="JTR247" i="20" s="1"/>
  <c r="JTN247" i="20" s="1"/>
  <c r="JTY247" i="20"/>
  <c r="JTU247" i="20" l="1"/>
  <c r="JTQ247" i="20" s="1"/>
  <c r="JTM247" i="20" s="1"/>
  <c r="JTI247" i="20" s="1"/>
  <c r="JTT247" i="20"/>
  <c r="JTP247" i="20" l="1"/>
  <c r="JTL247" i="20" s="1"/>
  <c r="JTH247" i="20" s="1"/>
  <c r="JTD247" i="20" s="1"/>
  <c r="JTO247" i="20"/>
  <c r="JTK247" i="20" l="1"/>
  <c r="JTG247" i="20" s="1"/>
  <c r="JTC247" i="20" s="1"/>
  <c r="JSY247" i="20" s="1"/>
  <c r="JTJ247" i="20"/>
  <c r="JTF247" i="20" l="1"/>
  <c r="JTB247" i="20" s="1"/>
  <c r="JSX247" i="20" s="1"/>
  <c r="JST247" i="20" s="1"/>
  <c r="JTE247" i="20"/>
  <c r="JTA247" i="20" l="1"/>
  <c r="JSW247" i="20" s="1"/>
  <c r="JSS247" i="20" s="1"/>
  <c r="JSO247" i="20" s="1"/>
  <c r="JSZ247" i="20"/>
  <c r="JSV247" i="20" l="1"/>
  <c r="JSR247" i="20" s="1"/>
  <c r="JSN247" i="20" s="1"/>
  <c r="JSJ247" i="20" s="1"/>
  <c r="JSU247" i="20"/>
  <c r="JSQ247" i="20" l="1"/>
  <c r="JSM247" i="20" s="1"/>
  <c r="JSI247" i="20" s="1"/>
  <c r="JSE247" i="20" s="1"/>
  <c r="JSP247" i="20"/>
  <c r="JSL247" i="20" l="1"/>
  <c r="JSH247" i="20" s="1"/>
  <c r="JSD247" i="20" s="1"/>
  <c r="JRZ247" i="20" s="1"/>
  <c r="JSK247" i="20"/>
  <c r="JSG247" i="20" l="1"/>
  <c r="JSC247" i="20" s="1"/>
  <c r="JRY247" i="20" s="1"/>
  <c r="JRU247" i="20" s="1"/>
  <c r="JSF247" i="20"/>
  <c r="JSB247" i="20" l="1"/>
  <c r="JRX247" i="20" s="1"/>
  <c r="JRT247" i="20" s="1"/>
  <c r="JRP247" i="20" s="1"/>
  <c r="JSA247" i="20"/>
  <c r="JRW247" i="20" l="1"/>
  <c r="JRS247" i="20" s="1"/>
  <c r="JRO247" i="20" s="1"/>
  <c r="JRK247" i="20" s="1"/>
  <c r="JRV247" i="20"/>
  <c r="JRR247" i="20" l="1"/>
  <c r="JRN247" i="20" s="1"/>
  <c r="JRJ247" i="20" s="1"/>
  <c r="JRF247" i="20" s="1"/>
  <c r="JRQ247" i="20"/>
  <c r="JRM247" i="20" l="1"/>
  <c r="JRI247" i="20" s="1"/>
  <c r="JRE247" i="20" s="1"/>
  <c r="JRA247" i="20" s="1"/>
  <c r="JRL247" i="20"/>
  <c r="JRH247" i="20" l="1"/>
  <c r="JRD247" i="20" s="1"/>
  <c r="JQZ247" i="20" s="1"/>
  <c r="JQV247" i="20" s="1"/>
  <c r="JRG247" i="20"/>
  <c r="JRC247" i="20" l="1"/>
  <c r="JQY247" i="20" s="1"/>
  <c r="JQU247" i="20" s="1"/>
  <c r="JQQ247" i="20" s="1"/>
  <c r="JRB247" i="20"/>
  <c r="JQX247" i="20" l="1"/>
  <c r="JQT247" i="20" s="1"/>
  <c r="JQP247" i="20" s="1"/>
  <c r="JQL247" i="20" s="1"/>
  <c r="JQW247" i="20"/>
  <c r="JQS247" i="20" l="1"/>
  <c r="JQO247" i="20" s="1"/>
  <c r="JQK247" i="20" s="1"/>
  <c r="JQG247" i="20" s="1"/>
  <c r="JQR247" i="20"/>
  <c r="JQN247" i="20" l="1"/>
  <c r="JQJ247" i="20" s="1"/>
  <c r="JQF247" i="20" s="1"/>
  <c r="JQB247" i="20" s="1"/>
  <c r="JQM247" i="20"/>
  <c r="JQI247" i="20" l="1"/>
  <c r="JQE247" i="20" s="1"/>
  <c r="JQA247" i="20" s="1"/>
  <c r="JPW247" i="20" s="1"/>
  <c r="JQH247" i="20"/>
  <c r="JQD247" i="20" l="1"/>
  <c r="JPZ247" i="20" s="1"/>
  <c r="JPV247" i="20" s="1"/>
  <c r="JPR247" i="20" s="1"/>
  <c r="JQC247" i="20"/>
  <c r="JPY247" i="20" l="1"/>
  <c r="JPU247" i="20" s="1"/>
  <c r="JPQ247" i="20" s="1"/>
  <c r="JPM247" i="20" s="1"/>
  <c r="JPX247" i="20"/>
  <c r="JPT247" i="20" l="1"/>
  <c r="JPP247" i="20" s="1"/>
  <c r="JPL247" i="20" s="1"/>
  <c r="JPH247" i="20" s="1"/>
  <c r="JPS247" i="20"/>
  <c r="JPO247" i="20" l="1"/>
  <c r="JPK247" i="20" s="1"/>
  <c r="JPG247" i="20" s="1"/>
  <c r="JPC247" i="20" s="1"/>
  <c r="JPN247" i="20"/>
  <c r="JPJ247" i="20" l="1"/>
  <c r="JPF247" i="20" s="1"/>
  <c r="JPB247" i="20" s="1"/>
  <c r="JOX247" i="20" s="1"/>
  <c r="JPI247" i="20"/>
  <c r="JPE247" i="20" l="1"/>
  <c r="JPA247" i="20" s="1"/>
  <c r="JOW247" i="20" s="1"/>
  <c r="JOS247" i="20" s="1"/>
  <c r="JPD247" i="20"/>
  <c r="JOZ247" i="20" l="1"/>
  <c r="JOV247" i="20" s="1"/>
  <c r="JOR247" i="20" s="1"/>
  <c r="JON247" i="20" s="1"/>
  <c r="JOY247" i="20"/>
  <c r="JOU247" i="20" l="1"/>
  <c r="JOQ247" i="20" s="1"/>
  <c r="JOM247" i="20" s="1"/>
  <c r="JOI247" i="20" s="1"/>
  <c r="JOT247" i="20"/>
  <c r="JOP247" i="20" l="1"/>
  <c r="JOL247" i="20" s="1"/>
  <c r="JOH247" i="20" s="1"/>
  <c r="JOD247" i="20" s="1"/>
  <c r="JOO247" i="20"/>
  <c r="JOK247" i="20" l="1"/>
  <c r="JOG247" i="20" s="1"/>
  <c r="JOC247" i="20" s="1"/>
  <c r="JNY247" i="20" s="1"/>
  <c r="JOJ247" i="20"/>
  <c r="JOF247" i="20" l="1"/>
  <c r="JOB247" i="20" s="1"/>
  <c r="JNX247" i="20" s="1"/>
  <c r="JNT247" i="20" s="1"/>
  <c r="JOE247" i="20"/>
  <c r="JOA247" i="20" l="1"/>
  <c r="JNW247" i="20" s="1"/>
  <c r="JNS247" i="20" s="1"/>
  <c r="JNO247" i="20" s="1"/>
  <c r="JNZ247" i="20"/>
  <c r="JNV247" i="20" l="1"/>
  <c r="JNR247" i="20" s="1"/>
  <c r="JNN247" i="20" s="1"/>
  <c r="JNJ247" i="20" s="1"/>
  <c r="JNU247" i="20"/>
  <c r="JNQ247" i="20" l="1"/>
  <c r="JNM247" i="20" s="1"/>
  <c r="JNI247" i="20" s="1"/>
  <c r="JNE247" i="20" s="1"/>
  <c r="JNP247" i="20"/>
  <c r="JNL247" i="20" l="1"/>
  <c r="JNH247" i="20" s="1"/>
  <c r="JND247" i="20" s="1"/>
  <c r="JMZ247" i="20" s="1"/>
  <c r="JNK247" i="20"/>
  <c r="JNG247" i="20" l="1"/>
  <c r="JNC247" i="20" s="1"/>
  <c r="JMY247" i="20" s="1"/>
  <c r="JMU247" i="20" s="1"/>
  <c r="JNF247" i="20"/>
  <c r="JNB247" i="20" l="1"/>
  <c r="JMX247" i="20" s="1"/>
  <c r="JMT247" i="20" s="1"/>
  <c r="JMP247" i="20" s="1"/>
  <c r="JNA247" i="20"/>
  <c r="JMW247" i="20" l="1"/>
  <c r="JMS247" i="20" s="1"/>
  <c r="JMO247" i="20" s="1"/>
  <c r="JMK247" i="20" s="1"/>
  <c r="JMV247" i="20"/>
  <c r="JMR247" i="20" l="1"/>
  <c r="JMN247" i="20" s="1"/>
  <c r="JMJ247" i="20" s="1"/>
  <c r="JMF247" i="20" s="1"/>
  <c r="JMQ247" i="20"/>
  <c r="JMM247" i="20" l="1"/>
  <c r="JMI247" i="20" s="1"/>
  <c r="JME247" i="20" s="1"/>
  <c r="JMA247" i="20" s="1"/>
  <c r="JML247" i="20"/>
  <c r="JMH247" i="20" l="1"/>
  <c r="JMD247" i="20" s="1"/>
  <c r="JLZ247" i="20" s="1"/>
  <c r="JLV247" i="20" s="1"/>
  <c r="JMG247" i="20"/>
  <c r="JMC247" i="20" l="1"/>
  <c r="JLY247" i="20" s="1"/>
  <c r="JLU247" i="20" s="1"/>
  <c r="JLQ247" i="20" s="1"/>
  <c r="JMB247" i="20"/>
  <c r="JLX247" i="20" l="1"/>
  <c r="JLT247" i="20" s="1"/>
  <c r="JLP247" i="20" s="1"/>
  <c r="JLL247" i="20" s="1"/>
  <c r="JLW247" i="20"/>
  <c r="JLS247" i="20" l="1"/>
  <c r="JLO247" i="20" s="1"/>
  <c r="JLK247" i="20" s="1"/>
  <c r="JLG247" i="20" s="1"/>
  <c r="JLR247" i="20"/>
  <c r="JLN247" i="20" l="1"/>
  <c r="JLJ247" i="20" s="1"/>
  <c r="JLF247" i="20" s="1"/>
  <c r="JLB247" i="20" s="1"/>
  <c r="JLM247" i="20"/>
  <c r="JLI247" i="20" l="1"/>
  <c r="JLE247" i="20" s="1"/>
  <c r="JLA247" i="20" s="1"/>
  <c r="JKW247" i="20" s="1"/>
  <c r="JLH247" i="20"/>
  <c r="JLD247" i="20" l="1"/>
  <c r="JKZ247" i="20" s="1"/>
  <c r="JKV247" i="20" s="1"/>
  <c r="JKR247" i="20" s="1"/>
  <c r="JLC247" i="20"/>
  <c r="JKY247" i="20" l="1"/>
  <c r="JKU247" i="20" s="1"/>
  <c r="JKQ247" i="20" s="1"/>
  <c r="JKM247" i="20" s="1"/>
  <c r="JKX247" i="20"/>
  <c r="JKT247" i="20" l="1"/>
  <c r="JKP247" i="20" s="1"/>
  <c r="JKL247" i="20" s="1"/>
  <c r="JKH247" i="20" s="1"/>
  <c r="JKS247" i="20"/>
  <c r="JKO247" i="20" l="1"/>
  <c r="JKK247" i="20" s="1"/>
  <c r="JKG247" i="20" s="1"/>
  <c r="JKC247" i="20" s="1"/>
  <c r="JKN247" i="20"/>
  <c r="JKJ247" i="20" l="1"/>
  <c r="JKF247" i="20" s="1"/>
  <c r="JKB247" i="20" s="1"/>
  <c r="JJX247" i="20" s="1"/>
  <c r="JKI247" i="20"/>
  <c r="JKE247" i="20" l="1"/>
  <c r="JKA247" i="20" s="1"/>
  <c r="JJW247" i="20" s="1"/>
  <c r="JJS247" i="20" s="1"/>
  <c r="JKD247" i="20"/>
  <c r="JJZ247" i="20" l="1"/>
  <c r="JJV247" i="20" s="1"/>
  <c r="JJR247" i="20" s="1"/>
  <c r="JJN247" i="20" s="1"/>
  <c r="JJY247" i="20"/>
  <c r="JJU247" i="20" l="1"/>
  <c r="JJQ247" i="20" s="1"/>
  <c r="JJM247" i="20" s="1"/>
  <c r="JJI247" i="20" s="1"/>
  <c r="JJT247" i="20"/>
  <c r="JJP247" i="20" l="1"/>
  <c r="JJL247" i="20" s="1"/>
  <c r="JJH247" i="20" s="1"/>
  <c r="JJD247" i="20" s="1"/>
  <c r="JJO247" i="20"/>
  <c r="JJK247" i="20" l="1"/>
  <c r="JJG247" i="20" s="1"/>
  <c r="JJC247" i="20" s="1"/>
  <c r="JIY247" i="20" s="1"/>
  <c r="JJJ247" i="20"/>
  <c r="JJF247" i="20" l="1"/>
  <c r="JJB247" i="20" s="1"/>
  <c r="JIX247" i="20" s="1"/>
  <c r="JIT247" i="20" s="1"/>
  <c r="JJE247" i="20"/>
  <c r="JJA247" i="20" l="1"/>
  <c r="JIW247" i="20" s="1"/>
  <c r="JIS247" i="20" s="1"/>
  <c r="JIO247" i="20" s="1"/>
  <c r="JIZ247" i="20"/>
  <c r="JIV247" i="20" l="1"/>
  <c r="JIR247" i="20" s="1"/>
  <c r="JIN247" i="20" s="1"/>
  <c r="JIJ247" i="20" s="1"/>
  <c r="JIU247" i="20"/>
  <c r="JIQ247" i="20" l="1"/>
  <c r="JIM247" i="20" s="1"/>
  <c r="JII247" i="20" s="1"/>
  <c r="JIE247" i="20" s="1"/>
  <c r="JIP247" i="20"/>
  <c r="JIL247" i="20" l="1"/>
  <c r="JIH247" i="20" s="1"/>
  <c r="JID247" i="20" s="1"/>
  <c r="JHZ247" i="20" s="1"/>
  <c r="JIK247" i="20"/>
  <c r="JIG247" i="20" l="1"/>
  <c r="JIC247" i="20" s="1"/>
  <c r="JHY247" i="20" s="1"/>
  <c r="JHU247" i="20" s="1"/>
  <c r="JIF247" i="20"/>
  <c r="JIB247" i="20" l="1"/>
  <c r="JHX247" i="20" s="1"/>
  <c r="JHT247" i="20" s="1"/>
  <c r="JHP247" i="20" s="1"/>
  <c r="JIA247" i="20"/>
  <c r="JHW247" i="20" l="1"/>
  <c r="JHS247" i="20" s="1"/>
  <c r="JHO247" i="20" s="1"/>
  <c r="JHK247" i="20" s="1"/>
  <c r="JHV247" i="20"/>
  <c r="JHR247" i="20" l="1"/>
  <c r="JHN247" i="20" s="1"/>
  <c r="JHJ247" i="20" s="1"/>
  <c r="JHF247" i="20" s="1"/>
  <c r="JHQ247" i="20"/>
  <c r="JHM247" i="20" l="1"/>
  <c r="JHI247" i="20" s="1"/>
  <c r="JHE247" i="20" s="1"/>
  <c r="JHA247" i="20" s="1"/>
  <c r="JHL247" i="20"/>
  <c r="JHH247" i="20" l="1"/>
  <c r="JHD247" i="20" s="1"/>
  <c r="JGZ247" i="20" s="1"/>
  <c r="JGV247" i="20" s="1"/>
  <c r="JHG247" i="20"/>
  <c r="JHC247" i="20" l="1"/>
  <c r="JGY247" i="20" s="1"/>
  <c r="JGU247" i="20" s="1"/>
  <c r="JGQ247" i="20" s="1"/>
  <c r="JHB247" i="20"/>
  <c r="JGX247" i="20" l="1"/>
  <c r="JGT247" i="20" s="1"/>
  <c r="JGP247" i="20" s="1"/>
  <c r="JGL247" i="20" s="1"/>
  <c r="JGW247" i="20"/>
  <c r="JGS247" i="20" l="1"/>
  <c r="JGO247" i="20" s="1"/>
  <c r="JGK247" i="20" s="1"/>
  <c r="JGG247" i="20" s="1"/>
  <c r="JGR247" i="20"/>
  <c r="JGN247" i="20" l="1"/>
  <c r="JGJ247" i="20" s="1"/>
  <c r="JGF247" i="20" s="1"/>
  <c r="JGB247" i="20" s="1"/>
  <c r="JGM247" i="20"/>
  <c r="JGI247" i="20" l="1"/>
  <c r="JGE247" i="20" s="1"/>
  <c r="JGA247" i="20" s="1"/>
  <c r="JFW247" i="20" s="1"/>
  <c r="JGH247" i="20"/>
  <c r="JGD247" i="20" l="1"/>
  <c r="JFZ247" i="20" s="1"/>
  <c r="JFV247" i="20" s="1"/>
  <c r="JFR247" i="20" s="1"/>
  <c r="JGC247" i="20"/>
  <c r="JFY247" i="20" l="1"/>
  <c r="JFU247" i="20" s="1"/>
  <c r="JFQ247" i="20" s="1"/>
  <c r="JFM247" i="20" s="1"/>
  <c r="JFX247" i="20"/>
  <c r="JFT247" i="20" l="1"/>
  <c r="JFP247" i="20" s="1"/>
  <c r="JFL247" i="20" s="1"/>
  <c r="JFH247" i="20" s="1"/>
  <c r="JFS247" i="20"/>
  <c r="JFO247" i="20" l="1"/>
  <c r="JFK247" i="20" s="1"/>
  <c r="JFG247" i="20" s="1"/>
  <c r="JFC247" i="20" s="1"/>
  <c r="JFN247" i="20"/>
  <c r="JFJ247" i="20" l="1"/>
  <c r="JFF247" i="20" s="1"/>
  <c r="JFB247" i="20" s="1"/>
  <c r="JEX247" i="20" s="1"/>
  <c r="JFI247" i="20"/>
  <c r="JFE247" i="20" l="1"/>
  <c r="JFA247" i="20" s="1"/>
  <c r="JEW247" i="20" s="1"/>
  <c r="JES247" i="20" s="1"/>
  <c r="JFD247" i="20"/>
  <c r="JEZ247" i="20" l="1"/>
  <c r="JEV247" i="20" s="1"/>
  <c r="JER247" i="20" s="1"/>
  <c r="JEN247" i="20" s="1"/>
  <c r="JEY247" i="20"/>
  <c r="JEU247" i="20" l="1"/>
  <c r="JEQ247" i="20" s="1"/>
  <c r="JEM247" i="20" s="1"/>
  <c r="JEI247" i="20" s="1"/>
  <c r="JET247" i="20"/>
  <c r="JEP247" i="20" l="1"/>
  <c r="JEL247" i="20" s="1"/>
  <c r="JEH247" i="20" s="1"/>
  <c r="JED247" i="20" s="1"/>
  <c r="JEO247" i="20"/>
  <c r="JEK247" i="20" l="1"/>
  <c r="JEG247" i="20" s="1"/>
  <c r="JEC247" i="20" s="1"/>
  <c r="JDY247" i="20" s="1"/>
  <c r="JEJ247" i="20"/>
  <c r="JEF247" i="20" l="1"/>
  <c r="JEB247" i="20" s="1"/>
  <c r="JDX247" i="20" s="1"/>
  <c r="JDT247" i="20" s="1"/>
  <c r="JEE247" i="20"/>
  <c r="JEA247" i="20" l="1"/>
  <c r="JDW247" i="20" s="1"/>
  <c r="JDS247" i="20" s="1"/>
  <c r="JDO247" i="20" s="1"/>
  <c r="JDZ247" i="20"/>
  <c r="JDV247" i="20" l="1"/>
  <c r="JDR247" i="20" s="1"/>
  <c r="JDN247" i="20" s="1"/>
  <c r="JDJ247" i="20" s="1"/>
  <c r="JDU247" i="20"/>
  <c r="JDQ247" i="20" l="1"/>
  <c r="JDM247" i="20" s="1"/>
  <c r="JDI247" i="20" s="1"/>
  <c r="JDE247" i="20" s="1"/>
  <c r="JDP247" i="20"/>
  <c r="JDL247" i="20" l="1"/>
  <c r="JDH247" i="20" s="1"/>
  <c r="JDD247" i="20" s="1"/>
  <c r="JCZ247" i="20" s="1"/>
  <c r="JDK247" i="20"/>
  <c r="JDG247" i="20" l="1"/>
  <c r="JDC247" i="20" s="1"/>
  <c r="JCY247" i="20" s="1"/>
  <c r="JCU247" i="20" s="1"/>
  <c r="JDF247" i="20"/>
  <c r="JDB247" i="20" l="1"/>
  <c r="JCX247" i="20" s="1"/>
  <c r="JCT247" i="20" s="1"/>
  <c r="JCP247" i="20" s="1"/>
  <c r="JDA247" i="20"/>
  <c r="JCW247" i="20" l="1"/>
  <c r="JCS247" i="20" s="1"/>
  <c r="JCO247" i="20" s="1"/>
  <c r="JCK247" i="20" s="1"/>
  <c r="JCV247" i="20"/>
  <c r="JCR247" i="20" l="1"/>
  <c r="JCN247" i="20" s="1"/>
  <c r="JCJ247" i="20" s="1"/>
  <c r="JCF247" i="20" s="1"/>
  <c r="JCQ247" i="20"/>
  <c r="JCM247" i="20" l="1"/>
  <c r="JCI247" i="20" s="1"/>
  <c r="JCE247" i="20" s="1"/>
  <c r="JCA247" i="20" s="1"/>
  <c r="JCL247" i="20"/>
  <c r="JCH247" i="20" l="1"/>
  <c r="JCD247" i="20" s="1"/>
  <c r="JBZ247" i="20" s="1"/>
  <c r="JBV247" i="20" s="1"/>
  <c r="JCG247" i="20"/>
  <c r="JCC247" i="20" l="1"/>
  <c r="JBY247" i="20" s="1"/>
  <c r="JBU247" i="20" s="1"/>
  <c r="JBQ247" i="20" s="1"/>
  <c r="JCB247" i="20"/>
  <c r="JBX247" i="20" l="1"/>
  <c r="JBT247" i="20" s="1"/>
  <c r="JBP247" i="20" s="1"/>
  <c r="JBL247" i="20" s="1"/>
  <c r="JBW247" i="20"/>
  <c r="JBS247" i="20" l="1"/>
  <c r="JBO247" i="20" s="1"/>
  <c r="JBK247" i="20" s="1"/>
  <c r="JBG247" i="20" s="1"/>
  <c r="JBR247" i="20"/>
  <c r="JBN247" i="20" l="1"/>
  <c r="JBJ247" i="20" s="1"/>
  <c r="JBF247" i="20" s="1"/>
  <c r="JBB247" i="20" s="1"/>
  <c r="JBM247" i="20"/>
  <c r="JBI247" i="20" l="1"/>
  <c r="JBE247" i="20" s="1"/>
  <c r="JBA247" i="20" s="1"/>
  <c r="JAW247" i="20" s="1"/>
  <c r="JBH247" i="20"/>
  <c r="JBD247" i="20" l="1"/>
  <c r="JAZ247" i="20" s="1"/>
  <c r="JAV247" i="20" s="1"/>
  <c r="JAR247" i="20" s="1"/>
  <c r="JBC247" i="20"/>
  <c r="JAY247" i="20" l="1"/>
  <c r="JAU247" i="20" s="1"/>
  <c r="JAQ247" i="20" s="1"/>
  <c r="JAM247" i="20" s="1"/>
  <c r="JAX247" i="20"/>
  <c r="JAT247" i="20" l="1"/>
  <c r="JAP247" i="20" s="1"/>
  <c r="JAL247" i="20" s="1"/>
  <c r="JAH247" i="20" s="1"/>
  <c r="JAS247" i="20"/>
  <c r="JAO247" i="20" l="1"/>
  <c r="JAK247" i="20" s="1"/>
  <c r="JAG247" i="20" s="1"/>
  <c r="JAC247" i="20" s="1"/>
  <c r="JAN247" i="20"/>
  <c r="JAJ247" i="20" l="1"/>
  <c r="JAF247" i="20" s="1"/>
  <c r="JAB247" i="20" s="1"/>
  <c r="IZX247" i="20" s="1"/>
  <c r="JAI247" i="20"/>
  <c r="JAE247" i="20" l="1"/>
  <c r="JAA247" i="20" s="1"/>
  <c r="IZW247" i="20" s="1"/>
  <c r="IZS247" i="20" s="1"/>
  <c r="JAD247" i="20"/>
  <c r="IZZ247" i="20" l="1"/>
  <c r="IZV247" i="20" s="1"/>
  <c r="IZR247" i="20" s="1"/>
  <c r="IZN247" i="20" s="1"/>
  <c r="IZY247" i="20"/>
  <c r="IZU247" i="20" l="1"/>
  <c r="IZQ247" i="20" s="1"/>
  <c r="IZM247" i="20" s="1"/>
  <c r="IZI247" i="20" s="1"/>
  <c r="IZT247" i="20"/>
  <c r="IZP247" i="20" l="1"/>
  <c r="IZL247" i="20" s="1"/>
  <c r="IZH247" i="20" s="1"/>
  <c r="IZD247" i="20" s="1"/>
  <c r="IZO247" i="20"/>
  <c r="IZK247" i="20" l="1"/>
  <c r="IZG247" i="20" s="1"/>
  <c r="IZC247" i="20" s="1"/>
  <c r="IYY247" i="20" s="1"/>
  <c r="IZJ247" i="20"/>
  <c r="IZF247" i="20" l="1"/>
  <c r="IZB247" i="20" s="1"/>
  <c r="IYX247" i="20" s="1"/>
  <c r="IYT247" i="20" s="1"/>
  <c r="IZE247" i="20"/>
  <c r="IZA247" i="20" l="1"/>
  <c r="IYW247" i="20" s="1"/>
  <c r="IYS247" i="20" s="1"/>
  <c r="IYO247" i="20" s="1"/>
  <c r="IYZ247" i="20"/>
  <c r="IYV247" i="20" l="1"/>
  <c r="IYR247" i="20" s="1"/>
  <c r="IYN247" i="20" s="1"/>
  <c r="IYJ247" i="20" s="1"/>
  <c r="IYU247" i="20"/>
  <c r="IYQ247" i="20" l="1"/>
  <c r="IYM247" i="20" s="1"/>
  <c r="IYI247" i="20" s="1"/>
  <c r="IYE247" i="20" s="1"/>
  <c r="IYP247" i="20"/>
  <c r="IYL247" i="20" l="1"/>
  <c r="IYH247" i="20" s="1"/>
  <c r="IYD247" i="20" s="1"/>
  <c r="IXZ247" i="20" s="1"/>
  <c r="IYK247" i="20"/>
  <c r="IYG247" i="20" l="1"/>
  <c r="IYC247" i="20" s="1"/>
  <c r="IXY247" i="20" s="1"/>
  <c r="IXU247" i="20" s="1"/>
  <c r="IYF247" i="20"/>
  <c r="IYB247" i="20" l="1"/>
  <c r="IXX247" i="20" s="1"/>
  <c r="IXT247" i="20" s="1"/>
  <c r="IXP247" i="20" s="1"/>
  <c r="IYA247" i="20"/>
  <c r="IXW247" i="20" l="1"/>
  <c r="IXS247" i="20" s="1"/>
  <c r="IXO247" i="20" s="1"/>
  <c r="IXK247" i="20" s="1"/>
  <c r="IXV247" i="20"/>
  <c r="IXR247" i="20" l="1"/>
  <c r="IXN247" i="20" s="1"/>
  <c r="IXJ247" i="20" s="1"/>
  <c r="IXF247" i="20" s="1"/>
  <c r="IXQ247" i="20"/>
  <c r="IXM247" i="20" l="1"/>
  <c r="IXI247" i="20" s="1"/>
  <c r="IXE247" i="20" s="1"/>
  <c r="IXA247" i="20" s="1"/>
  <c r="IXL247" i="20"/>
  <c r="IXH247" i="20" l="1"/>
  <c r="IXD247" i="20" s="1"/>
  <c r="IWZ247" i="20" s="1"/>
  <c r="IWV247" i="20" s="1"/>
  <c r="IXG247" i="20"/>
  <c r="IXC247" i="20" l="1"/>
  <c r="IWY247" i="20" s="1"/>
  <c r="IWU247" i="20" s="1"/>
  <c r="IWQ247" i="20" s="1"/>
  <c r="IXB247" i="20"/>
  <c r="IWX247" i="20" l="1"/>
  <c r="IWT247" i="20" s="1"/>
  <c r="IWP247" i="20" s="1"/>
  <c r="IWL247" i="20" s="1"/>
  <c r="IWW247" i="20"/>
  <c r="IWS247" i="20" l="1"/>
  <c r="IWO247" i="20" s="1"/>
  <c r="IWK247" i="20" s="1"/>
  <c r="IWG247" i="20" s="1"/>
  <c r="IWR247" i="20"/>
  <c r="IWN247" i="20" l="1"/>
  <c r="IWJ247" i="20" s="1"/>
  <c r="IWF247" i="20" s="1"/>
  <c r="IWB247" i="20" s="1"/>
  <c r="IWM247" i="20"/>
  <c r="IWI247" i="20" l="1"/>
  <c r="IWE247" i="20" s="1"/>
  <c r="IWA247" i="20" s="1"/>
  <c r="IVW247" i="20" s="1"/>
  <c r="IWH247" i="20"/>
  <c r="IWD247" i="20" l="1"/>
  <c r="IVZ247" i="20" s="1"/>
  <c r="IVV247" i="20" s="1"/>
  <c r="IVR247" i="20" s="1"/>
  <c r="IWC247" i="20"/>
  <c r="IVY247" i="20" l="1"/>
  <c r="IVU247" i="20" s="1"/>
  <c r="IVQ247" i="20" s="1"/>
  <c r="IVM247" i="20" s="1"/>
  <c r="IVX247" i="20"/>
  <c r="IVT247" i="20" l="1"/>
  <c r="IVP247" i="20" s="1"/>
  <c r="IVL247" i="20" s="1"/>
  <c r="IVH247" i="20" s="1"/>
  <c r="IVS247" i="20"/>
  <c r="IVO247" i="20" l="1"/>
  <c r="IVK247" i="20" s="1"/>
  <c r="IVG247" i="20" s="1"/>
  <c r="IVC247" i="20" s="1"/>
  <c r="IVN247" i="20"/>
  <c r="IVJ247" i="20" l="1"/>
  <c r="IVF247" i="20" s="1"/>
  <c r="IVB247" i="20" s="1"/>
  <c r="IUX247" i="20" s="1"/>
  <c r="IVI247" i="20"/>
  <c r="IVE247" i="20" l="1"/>
  <c r="IVA247" i="20" s="1"/>
  <c r="IUW247" i="20" s="1"/>
  <c r="IUS247" i="20" s="1"/>
  <c r="IVD247" i="20"/>
  <c r="IUZ247" i="20" l="1"/>
  <c r="IUV247" i="20" s="1"/>
  <c r="IUR247" i="20" s="1"/>
  <c r="IUN247" i="20" s="1"/>
  <c r="IUY247" i="20"/>
  <c r="IUU247" i="20" l="1"/>
  <c r="IUQ247" i="20" s="1"/>
  <c r="IUM247" i="20" s="1"/>
  <c r="IUI247" i="20" s="1"/>
  <c r="IUT247" i="20"/>
  <c r="IUP247" i="20" l="1"/>
  <c r="IUL247" i="20" s="1"/>
  <c r="IUH247" i="20" s="1"/>
  <c r="IUD247" i="20" s="1"/>
  <c r="IUO247" i="20"/>
  <c r="IUK247" i="20" l="1"/>
  <c r="IUG247" i="20" s="1"/>
  <c r="IUC247" i="20" s="1"/>
  <c r="ITY247" i="20" s="1"/>
  <c r="IUJ247" i="20"/>
  <c r="IUF247" i="20" l="1"/>
  <c r="IUB247" i="20" s="1"/>
  <c r="ITX247" i="20" s="1"/>
  <c r="ITT247" i="20" s="1"/>
  <c r="IUE247" i="20"/>
  <c r="IUA247" i="20" l="1"/>
  <c r="ITW247" i="20" s="1"/>
  <c r="ITS247" i="20" s="1"/>
  <c r="ITO247" i="20" s="1"/>
  <c r="ITZ247" i="20"/>
  <c r="ITV247" i="20" l="1"/>
  <c r="ITR247" i="20" s="1"/>
  <c r="ITN247" i="20" s="1"/>
  <c r="ITJ247" i="20" s="1"/>
  <c r="ITU247" i="20"/>
  <c r="ITQ247" i="20" l="1"/>
  <c r="ITM247" i="20" s="1"/>
  <c r="ITI247" i="20" s="1"/>
  <c r="ITE247" i="20" s="1"/>
  <c r="ITP247" i="20"/>
  <c r="ITL247" i="20" l="1"/>
  <c r="ITH247" i="20" s="1"/>
  <c r="ITD247" i="20" s="1"/>
  <c r="ISZ247" i="20" s="1"/>
  <c r="ITK247" i="20"/>
  <c r="ITG247" i="20" l="1"/>
  <c r="ITC247" i="20" s="1"/>
  <c r="ISY247" i="20" s="1"/>
  <c r="ISU247" i="20" s="1"/>
  <c r="ITF247" i="20"/>
  <c r="ITB247" i="20" l="1"/>
  <c r="ISX247" i="20" s="1"/>
  <c r="IST247" i="20" s="1"/>
  <c r="ISP247" i="20" s="1"/>
  <c r="ITA247" i="20"/>
  <c r="ISW247" i="20" l="1"/>
  <c r="ISS247" i="20" s="1"/>
  <c r="ISO247" i="20" s="1"/>
  <c r="ISK247" i="20" s="1"/>
  <c r="ISV247" i="20"/>
  <c r="ISR247" i="20" l="1"/>
  <c r="ISN247" i="20" s="1"/>
  <c r="ISJ247" i="20" s="1"/>
  <c r="ISF247" i="20" s="1"/>
  <c r="ISQ247" i="20"/>
  <c r="ISM247" i="20" l="1"/>
  <c r="ISI247" i="20" s="1"/>
  <c r="ISE247" i="20" s="1"/>
  <c r="ISA247" i="20" s="1"/>
  <c r="ISL247" i="20"/>
  <c r="ISH247" i="20" l="1"/>
  <c r="ISD247" i="20" s="1"/>
  <c r="IRZ247" i="20" s="1"/>
  <c r="IRV247" i="20" s="1"/>
  <c r="ISG247" i="20"/>
  <c r="ISC247" i="20" l="1"/>
  <c r="IRY247" i="20" s="1"/>
  <c r="IRU247" i="20" s="1"/>
  <c r="IRQ247" i="20" s="1"/>
  <c r="ISB247" i="20"/>
  <c r="IRX247" i="20" l="1"/>
  <c r="IRT247" i="20" s="1"/>
  <c r="IRP247" i="20" s="1"/>
  <c r="IRL247" i="20" s="1"/>
  <c r="IRW247" i="20"/>
  <c r="IRS247" i="20" l="1"/>
  <c r="IRO247" i="20" s="1"/>
  <c r="IRK247" i="20" s="1"/>
  <c r="IRG247" i="20" s="1"/>
  <c r="IRR247" i="20"/>
  <c r="IRN247" i="20" l="1"/>
  <c r="IRJ247" i="20" s="1"/>
  <c r="IRF247" i="20" s="1"/>
  <c r="IRB247" i="20" s="1"/>
  <c r="IRM247" i="20"/>
  <c r="IRI247" i="20" l="1"/>
  <c r="IRE247" i="20" s="1"/>
  <c r="IRA247" i="20" s="1"/>
  <c r="IQW247" i="20" s="1"/>
  <c r="IRH247" i="20"/>
  <c r="IRD247" i="20" l="1"/>
  <c r="IQZ247" i="20" s="1"/>
  <c r="IQV247" i="20" s="1"/>
  <c r="IQR247" i="20" s="1"/>
  <c r="IRC247" i="20"/>
  <c r="IQY247" i="20" l="1"/>
  <c r="IQU247" i="20" s="1"/>
  <c r="IQQ247" i="20" s="1"/>
  <c r="IQM247" i="20" s="1"/>
  <c r="IQX247" i="20"/>
  <c r="IQT247" i="20" l="1"/>
  <c r="IQP247" i="20" s="1"/>
  <c r="IQL247" i="20" s="1"/>
  <c r="IQH247" i="20" s="1"/>
  <c r="IQS247" i="20"/>
  <c r="IQO247" i="20" l="1"/>
  <c r="IQK247" i="20" s="1"/>
  <c r="IQG247" i="20" s="1"/>
  <c r="IQC247" i="20" s="1"/>
  <c r="IQN247" i="20"/>
  <c r="IQJ247" i="20" l="1"/>
  <c r="IQF247" i="20" s="1"/>
  <c r="IQB247" i="20" s="1"/>
  <c r="IPX247" i="20" s="1"/>
  <c r="IQI247" i="20"/>
  <c r="IQE247" i="20" l="1"/>
  <c r="IQA247" i="20" s="1"/>
  <c r="IPW247" i="20" s="1"/>
  <c r="IPS247" i="20" s="1"/>
  <c r="IQD247" i="20"/>
  <c r="IPZ247" i="20" l="1"/>
  <c r="IPV247" i="20" s="1"/>
  <c r="IPR247" i="20" s="1"/>
  <c r="IPN247" i="20" s="1"/>
  <c r="IPY247" i="20"/>
  <c r="IPU247" i="20" l="1"/>
  <c r="IPQ247" i="20" s="1"/>
  <c r="IPM247" i="20" s="1"/>
  <c r="IPI247" i="20" s="1"/>
  <c r="IPT247" i="20"/>
  <c r="IPP247" i="20" l="1"/>
  <c r="IPL247" i="20" s="1"/>
  <c r="IPH247" i="20" s="1"/>
  <c r="IPD247" i="20" s="1"/>
  <c r="IPO247" i="20"/>
  <c r="IPK247" i="20" l="1"/>
  <c r="IPG247" i="20" s="1"/>
  <c r="IPC247" i="20" s="1"/>
  <c r="IOY247" i="20" s="1"/>
  <c r="IPJ247" i="20"/>
  <c r="IPF247" i="20" l="1"/>
  <c r="IPB247" i="20" s="1"/>
  <c r="IOX247" i="20" s="1"/>
  <c r="IOT247" i="20" s="1"/>
  <c r="IPE247" i="20"/>
  <c r="IPA247" i="20" l="1"/>
  <c r="IOW247" i="20" s="1"/>
  <c r="IOS247" i="20" s="1"/>
  <c r="IOO247" i="20" s="1"/>
  <c r="IOZ247" i="20"/>
  <c r="IOV247" i="20" l="1"/>
  <c r="IOR247" i="20" s="1"/>
  <c r="ION247" i="20" s="1"/>
  <c r="IOJ247" i="20" s="1"/>
  <c r="IOU247" i="20"/>
  <c r="IOQ247" i="20" l="1"/>
  <c r="IOM247" i="20" s="1"/>
  <c r="IOI247" i="20" s="1"/>
  <c r="IOE247" i="20" s="1"/>
  <c r="IOP247" i="20"/>
  <c r="IOL247" i="20" l="1"/>
  <c r="IOH247" i="20" s="1"/>
  <c r="IOD247" i="20" s="1"/>
  <c r="INZ247" i="20" s="1"/>
  <c r="IOK247" i="20"/>
  <c r="IOG247" i="20" l="1"/>
  <c r="IOC247" i="20" s="1"/>
  <c r="INY247" i="20" s="1"/>
  <c r="INU247" i="20" s="1"/>
  <c r="IOF247" i="20"/>
  <c r="IOB247" i="20" l="1"/>
  <c r="INX247" i="20" s="1"/>
  <c r="INT247" i="20" s="1"/>
  <c r="INP247" i="20" s="1"/>
  <c r="IOA247" i="20"/>
  <c r="INW247" i="20" l="1"/>
  <c r="INS247" i="20" s="1"/>
  <c r="INO247" i="20" s="1"/>
  <c r="INK247" i="20" s="1"/>
  <c r="INV247" i="20"/>
  <c r="INR247" i="20" l="1"/>
  <c r="INN247" i="20" s="1"/>
  <c r="INJ247" i="20" s="1"/>
  <c r="INF247" i="20" s="1"/>
  <c r="INQ247" i="20"/>
  <c r="INM247" i="20" l="1"/>
  <c r="INI247" i="20" s="1"/>
  <c r="INE247" i="20" s="1"/>
  <c r="INA247" i="20" s="1"/>
  <c r="INL247" i="20"/>
  <c r="INH247" i="20" l="1"/>
  <c r="IND247" i="20" s="1"/>
  <c r="IMZ247" i="20" s="1"/>
  <c r="IMV247" i="20" s="1"/>
  <c r="ING247" i="20"/>
  <c r="INC247" i="20" l="1"/>
  <c r="IMY247" i="20" s="1"/>
  <c r="IMU247" i="20" s="1"/>
  <c r="IMQ247" i="20" s="1"/>
  <c r="INB247" i="20"/>
  <c r="IMX247" i="20" l="1"/>
  <c r="IMT247" i="20" s="1"/>
  <c r="IMP247" i="20" s="1"/>
  <c r="IML247" i="20" s="1"/>
  <c r="IMW247" i="20"/>
  <c r="IMS247" i="20" l="1"/>
  <c r="IMO247" i="20" s="1"/>
  <c r="IMK247" i="20" s="1"/>
  <c r="IMG247" i="20" s="1"/>
  <c r="IMR247" i="20"/>
  <c r="IMN247" i="20" l="1"/>
  <c r="IMJ247" i="20" s="1"/>
  <c r="IMF247" i="20" s="1"/>
  <c r="IMB247" i="20" s="1"/>
  <c r="IMM247" i="20"/>
  <c r="IMI247" i="20" l="1"/>
  <c r="IME247" i="20" s="1"/>
  <c r="IMA247" i="20" s="1"/>
  <c r="ILW247" i="20" s="1"/>
  <c r="IMH247" i="20"/>
  <c r="IMD247" i="20" l="1"/>
  <c r="ILZ247" i="20" s="1"/>
  <c r="ILV247" i="20" s="1"/>
  <c r="ILR247" i="20" s="1"/>
  <c r="IMC247" i="20"/>
  <c r="ILY247" i="20" l="1"/>
  <c r="ILU247" i="20" s="1"/>
  <c r="ILQ247" i="20" s="1"/>
  <c r="ILM247" i="20" s="1"/>
  <c r="ILX247" i="20"/>
  <c r="ILT247" i="20" l="1"/>
  <c r="ILP247" i="20" s="1"/>
  <c r="ILL247" i="20" s="1"/>
  <c r="ILH247" i="20" s="1"/>
  <c r="ILS247" i="20"/>
  <c r="ILO247" i="20" l="1"/>
  <c r="ILK247" i="20" s="1"/>
  <c r="ILG247" i="20" s="1"/>
  <c r="ILC247" i="20" s="1"/>
  <c r="ILN247" i="20"/>
  <c r="ILJ247" i="20" l="1"/>
  <c r="ILF247" i="20" s="1"/>
  <c r="ILB247" i="20" s="1"/>
  <c r="IKX247" i="20" s="1"/>
  <c r="ILI247" i="20"/>
  <c r="ILE247" i="20" l="1"/>
  <c r="ILA247" i="20" s="1"/>
  <c r="IKW247" i="20" s="1"/>
  <c r="IKS247" i="20" s="1"/>
  <c r="ILD247" i="20"/>
  <c r="IKZ247" i="20" l="1"/>
  <c r="IKV247" i="20" s="1"/>
  <c r="IKR247" i="20" s="1"/>
  <c r="IKN247" i="20" s="1"/>
  <c r="IKY247" i="20"/>
  <c r="IKU247" i="20" l="1"/>
  <c r="IKQ247" i="20" s="1"/>
  <c r="IKM247" i="20" s="1"/>
  <c r="IKI247" i="20" s="1"/>
  <c r="IKT247" i="20"/>
  <c r="IKP247" i="20" l="1"/>
  <c r="IKL247" i="20" s="1"/>
  <c r="IKH247" i="20" s="1"/>
  <c r="IKD247" i="20" s="1"/>
  <c r="IKO247" i="20"/>
  <c r="IKK247" i="20" l="1"/>
  <c r="IKG247" i="20" s="1"/>
  <c r="IKC247" i="20" s="1"/>
  <c r="IJY247" i="20" s="1"/>
  <c r="IKJ247" i="20"/>
  <c r="IKF247" i="20" l="1"/>
  <c r="IKB247" i="20" s="1"/>
  <c r="IJX247" i="20" s="1"/>
  <c r="IJT247" i="20" s="1"/>
  <c r="IKE247" i="20"/>
  <c r="IKA247" i="20" l="1"/>
  <c r="IJW247" i="20" s="1"/>
  <c r="IJS247" i="20" s="1"/>
  <c r="IJO247" i="20" s="1"/>
  <c r="IJZ247" i="20"/>
  <c r="IJV247" i="20" l="1"/>
  <c r="IJR247" i="20" s="1"/>
  <c r="IJN247" i="20" s="1"/>
  <c r="IJJ247" i="20" s="1"/>
  <c r="IJU247" i="20"/>
  <c r="IJQ247" i="20" l="1"/>
  <c r="IJM247" i="20" s="1"/>
  <c r="IJI247" i="20" s="1"/>
  <c r="IJE247" i="20" s="1"/>
  <c r="IJP247" i="20"/>
  <c r="IJL247" i="20" l="1"/>
  <c r="IJH247" i="20" s="1"/>
  <c r="IJD247" i="20" s="1"/>
  <c r="IIZ247" i="20" s="1"/>
  <c r="IJK247" i="20"/>
  <c r="IJG247" i="20" l="1"/>
  <c r="IJC247" i="20" s="1"/>
  <c r="IIY247" i="20" s="1"/>
  <c r="IIU247" i="20" s="1"/>
  <c r="IJF247" i="20"/>
  <c r="IJB247" i="20" l="1"/>
  <c r="IIX247" i="20" s="1"/>
  <c r="IIT247" i="20" s="1"/>
  <c r="IIP247" i="20" s="1"/>
  <c r="IJA247" i="20"/>
  <c r="IIW247" i="20" l="1"/>
  <c r="IIS247" i="20" s="1"/>
  <c r="IIO247" i="20" s="1"/>
  <c r="IIK247" i="20" s="1"/>
  <c r="IIV247" i="20"/>
  <c r="IIR247" i="20" l="1"/>
  <c r="IIN247" i="20" s="1"/>
  <c r="IIJ247" i="20" s="1"/>
  <c r="IIF247" i="20" s="1"/>
  <c r="IIQ247" i="20"/>
  <c r="IIM247" i="20" l="1"/>
  <c r="III247" i="20" s="1"/>
  <c r="IIE247" i="20" s="1"/>
  <c r="IIA247" i="20" s="1"/>
  <c r="IIL247" i="20"/>
  <c r="IIH247" i="20" l="1"/>
  <c r="IID247" i="20" s="1"/>
  <c r="IHZ247" i="20" s="1"/>
  <c r="IHV247" i="20" s="1"/>
  <c r="IIG247" i="20"/>
  <c r="IIC247" i="20" l="1"/>
  <c r="IHY247" i="20" s="1"/>
  <c r="IHU247" i="20" s="1"/>
  <c r="IHQ247" i="20" s="1"/>
  <c r="IIB247" i="20"/>
  <c r="IHX247" i="20" l="1"/>
  <c r="IHT247" i="20" s="1"/>
  <c r="IHP247" i="20" s="1"/>
  <c r="IHL247" i="20" s="1"/>
  <c r="IHW247" i="20"/>
  <c r="IHS247" i="20" l="1"/>
  <c r="IHO247" i="20" s="1"/>
  <c r="IHK247" i="20" s="1"/>
  <c r="IHG247" i="20" s="1"/>
  <c r="IHR247" i="20"/>
  <c r="IHN247" i="20" l="1"/>
  <c r="IHJ247" i="20" s="1"/>
  <c r="IHF247" i="20" s="1"/>
  <c r="IHB247" i="20" s="1"/>
  <c r="IHM247" i="20"/>
  <c r="IHI247" i="20" l="1"/>
  <c r="IHE247" i="20" s="1"/>
  <c r="IHA247" i="20" s="1"/>
  <c r="IGW247" i="20" s="1"/>
  <c r="IHH247" i="20"/>
  <c r="IHD247" i="20" l="1"/>
  <c r="IGZ247" i="20" s="1"/>
  <c r="IGV247" i="20" s="1"/>
  <c r="IGR247" i="20" s="1"/>
  <c r="IHC247" i="20"/>
  <c r="IGY247" i="20" l="1"/>
  <c r="IGU247" i="20" s="1"/>
  <c r="IGQ247" i="20" s="1"/>
  <c r="IGM247" i="20" s="1"/>
  <c r="IGX247" i="20"/>
  <c r="IGT247" i="20" l="1"/>
  <c r="IGP247" i="20" s="1"/>
  <c r="IGL247" i="20" s="1"/>
  <c r="IGH247" i="20" s="1"/>
  <c r="IGS247" i="20"/>
  <c r="IGO247" i="20" l="1"/>
  <c r="IGK247" i="20" s="1"/>
  <c r="IGG247" i="20" s="1"/>
  <c r="IGC247" i="20" s="1"/>
  <c r="IGN247" i="20"/>
  <c r="IGJ247" i="20" l="1"/>
  <c r="IGF247" i="20" s="1"/>
  <c r="IGB247" i="20" s="1"/>
  <c r="IFX247" i="20" s="1"/>
  <c r="IGI247" i="20"/>
  <c r="IGE247" i="20" l="1"/>
  <c r="IGA247" i="20" s="1"/>
  <c r="IFW247" i="20" s="1"/>
  <c r="IFS247" i="20" s="1"/>
  <c r="IGD247" i="20"/>
  <c r="IFZ247" i="20" l="1"/>
  <c r="IFV247" i="20" s="1"/>
  <c r="IFR247" i="20" s="1"/>
  <c r="IFN247" i="20" s="1"/>
  <c r="IFY247" i="20"/>
  <c r="IFU247" i="20" l="1"/>
  <c r="IFQ247" i="20" s="1"/>
  <c r="IFM247" i="20" s="1"/>
  <c r="IFI247" i="20" s="1"/>
  <c r="IFT247" i="20"/>
  <c r="IFP247" i="20" l="1"/>
  <c r="IFL247" i="20" s="1"/>
  <c r="IFH247" i="20" s="1"/>
  <c r="IFD247" i="20" s="1"/>
  <c r="IFO247" i="20"/>
  <c r="IFK247" i="20" l="1"/>
  <c r="IFG247" i="20" s="1"/>
  <c r="IFC247" i="20" s="1"/>
  <c r="IEY247" i="20" s="1"/>
  <c r="IFJ247" i="20"/>
  <c r="IFF247" i="20" l="1"/>
  <c r="IFB247" i="20" s="1"/>
  <c r="IEX247" i="20" s="1"/>
  <c r="IET247" i="20" s="1"/>
  <c r="IFE247" i="20"/>
  <c r="IFA247" i="20" l="1"/>
  <c r="IEW247" i="20" s="1"/>
  <c r="IES247" i="20" s="1"/>
  <c r="IEO247" i="20" s="1"/>
  <c r="IEZ247" i="20"/>
  <c r="IEV247" i="20" l="1"/>
  <c r="IER247" i="20" s="1"/>
  <c r="IEN247" i="20" s="1"/>
  <c r="IEJ247" i="20" s="1"/>
  <c r="IEU247" i="20"/>
  <c r="IEQ247" i="20" l="1"/>
  <c r="IEM247" i="20" s="1"/>
  <c r="IEI247" i="20" s="1"/>
  <c r="IEE247" i="20" s="1"/>
  <c r="IEP247" i="20"/>
  <c r="IEL247" i="20" l="1"/>
  <c r="IEH247" i="20" s="1"/>
  <c r="IED247" i="20" s="1"/>
  <c r="IDZ247" i="20" s="1"/>
  <c r="IEK247" i="20"/>
  <c r="IEG247" i="20" l="1"/>
  <c r="IEC247" i="20" s="1"/>
  <c r="IDY247" i="20" s="1"/>
  <c r="IDU247" i="20" s="1"/>
  <c r="IEF247" i="20"/>
  <c r="IEB247" i="20" l="1"/>
  <c r="IDX247" i="20" s="1"/>
  <c r="IDT247" i="20" s="1"/>
  <c r="IDP247" i="20" s="1"/>
  <c r="IEA247" i="20"/>
  <c r="IDW247" i="20" l="1"/>
  <c r="IDS247" i="20" s="1"/>
  <c r="IDO247" i="20" s="1"/>
  <c r="IDK247" i="20" s="1"/>
  <c r="IDV247" i="20"/>
  <c r="IDR247" i="20" l="1"/>
  <c r="IDN247" i="20" s="1"/>
  <c r="IDJ247" i="20" s="1"/>
  <c r="IDF247" i="20" s="1"/>
  <c r="IDQ247" i="20"/>
  <c r="IDM247" i="20" l="1"/>
  <c r="IDI247" i="20" s="1"/>
  <c r="IDE247" i="20" s="1"/>
  <c r="IDA247" i="20" s="1"/>
  <c r="IDL247" i="20"/>
  <c r="IDH247" i="20" l="1"/>
  <c r="IDD247" i="20" s="1"/>
  <c r="ICZ247" i="20" s="1"/>
  <c r="ICV247" i="20" s="1"/>
  <c r="IDG247" i="20"/>
  <c r="IDC247" i="20" l="1"/>
  <c r="ICY247" i="20" s="1"/>
  <c r="ICU247" i="20" s="1"/>
  <c r="ICQ247" i="20" s="1"/>
  <c r="IDB247" i="20"/>
  <c r="ICX247" i="20" l="1"/>
  <c r="ICT247" i="20" s="1"/>
  <c r="ICP247" i="20" s="1"/>
  <c r="ICL247" i="20" s="1"/>
  <c r="ICW247" i="20"/>
  <c r="ICS247" i="20" l="1"/>
  <c r="ICO247" i="20" s="1"/>
  <c r="ICK247" i="20" s="1"/>
  <c r="ICG247" i="20" s="1"/>
  <c r="ICR247" i="20"/>
  <c r="ICN247" i="20" l="1"/>
  <c r="ICJ247" i="20" s="1"/>
  <c r="ICF247" i="20" s="1"/>
  <c r="ICB247" i="20" s="1"/>
  <c r="ICM247" i="20"/>
  <c r="ICI247" i="20" l="1"/>
  <c r="ICE247" i="20" s="1"/>
  <c r="ICA247" i="20" s="1"/>
  <c r="IBW247" i="20" s="1"/>
  <c r="ICH247" i="20"/>
  <c r="ICD247" i="20" l="1"/>
  <c r="IBZ247" i="20" s="1"/>
  <c r="IBV247" i="20" s="1"/>
  <c r="IBR247" i="20" s="1"/>
  <c r="ICC247" i="20"/>
  <c r="IBY247" i="20" l="1"/>
  <c r="IBU247" i="20" s="1"/>
  <c r="IBQ247" i="20" s="1"/>
  <c r="IBM247" i="20" s="1"/>
  <c r="IBX247" i="20"/>
  <c r="IBT247" i="20" l="1"/>
  <c r="IBP247" i="20" s="1"/>
  <c r="IBL247" i="20" s="1"/>
  <c r="IBH247" i="20" s="1"/>
  <c r="IBS247" i="20"/>
  <c r="IBO247" i="20" l="1"/>
  <c r="IBK247" i="20" s="1"/>
  <c r="IBG247" i="20" s="1"/>
  <c r="IBC247" i="20" s="1"/>
  <c r="IBN247" i="20"/>
  <c r="IBJ247" i="20" l="1"/>
  <c r="IBF247" i="20" s="1"/>
  <c r="IBB247" i="20" s="1"/>
  <c r="IAX247" i="20" s="1"/>
  <c r="IBI247" i="20"/>
  <c r="IBE247" i="20" l="1"/>
  <c r="IBA247" i="20" s="1"/>
  <c r="IAW247" i="20" s="1"/>
  <c r="IAS247" i="20" s="1"/>
  <c r="IBD247" i="20"/>
  <c r="IAZ247" i="20" l="1"/>
  <c r="IAV247" i="20" s="1"/>
  <c r="IAR247" i="20" s="1"/>
  <c r="IAN247" i="20" s="1"/>
  <c r="IAY247" i="20"/>
  <c r="IAU247" i="20" l="1"/>
  <c r="IAQ247" i="20" s="1"/>
  <c r="IAM247" i="20" s="1"/>
  <c r="IAI247" i="20" s="1"/>
  <c r="IAT247" i="20"/>
  <c r="IAP247" i="20" l="1"/>
  <c r="IAL247" i="20" s="1"/>
  <c r="IAH247" i="20" s="1"/>
  <c r="IAD247" i="20" s="1"/>
  <c r="IAO247" i="20"/>
  <c r="IAK247" i="20" l="1"/>
  <c r="IAG247" i="20" s="1"/>
  <c r="IAC247" i="20" s="1"/>
  <c r="HZY247" i="20" s="1"/>
  <c r="IAJ247" i="20"/>
  <c r="IAF247" i="20" l="1"/>
  <c r="IAB247" i="20" s="1"/>
  <c r="HZX247" i="20" s="1"/>
  <c r="HZT247" i="20" s="1"/>
  <c r="IAE247" i="20"/>
  <c r="IAA247" i="20" l="1"/>
  <c r="HZW247" i="20" s="1"/>
  <c r="HZS247" i="20" s="1"/>
  <c r="HZO247" i="20" s="1"/>
  <c r="HZZ247" i="20"/>
  <c r="HZV247" i="20" l="1"/>
  <c r="HZR247" i="20" s="1"/>
  <c r="HZN247" i="20" s="1"/>
  <c r="HZJ247" i="20" s="1"/>
  <c r="HZU247" i="20"/>
  <c r="HZQ247" i="20" l="1"/>
  <c r="HZM247" i="20" s="1"/>
  <c r="HZI247" i="20" s="1"/>
  <c r="HZE247" i="20" s="1"/>
  <c r="HZP247" i="20"/>
  <c r="HZL247" i="20" l="1"/>
  <c r="HZH247" i="20" s="1"/>
  <c r="HZD247" i="20" s="1"/>
  <c r="HYZ247" i="20" s="1"/>
  <c r="HZK247" i="20"/>
  <c r="HZG247" i="20" l="1"/>
  <c r="HZC247" i="20" s="1"/>
  <c r="HYY247" i="20" s="1"/>
  <c r="HYU247" i="20" s="1"/>
  <c r="HZF247" i="20"/>
  <c r="HZB247" i="20" l="1"/>
  <c r="HYX247" i="20" s="1"/>
  <c r="HYT247" i="20" s="1"/>
  <c r="HYP247" i="20" s="1"/>
  <c r="HZA247" i="20"/>
  <c r="HYW247" i="20" l="1"/>
  <c r="HYS247" i="20" s="1"/>
  <c r="HYO247" i="20" s="1"/>
  <c r="HYK247" i="20" s="1"/>
  <c r="HYV247" i="20"/>
  <c r="HYR247" i="20" l="1"/>
  <c r="HYN247" i="20" s="1"/>
  <c r="HYJ247" i="20" s="1"/>
  <c r="HYF247" i="20" s="1"/>
  <c r="HYQ247" i="20"/>
  <c r="HYM247" i="20" l="1"/>
  <c r="HYI247" i="20" s="1"/>
  <c r="HYE247" i="20" s="1"/>
  <c r="HYA247" i="20" s="1"/>
  <c r="HYL247" i="20"/>
  <c r="HYH247" i="20" l="1"/>
  <c r="HYD247" i="20" s="1"/>
  <c r="HXZ247" i="20" s="1"/>
  <c r="HXV247" i="20" s="1"/>
  <c r="HYG247" i="20"/>
  <c r="HYC247" i="20" l="1"/>
  <c r="HXY247" i="20" s="1"/>
  <c r="HXU247" i="20" s="1"/>
  <c r="HXQ247" i="20" s="1"/>
  <c r="HYB247" i="20"/>
  <c r="HXX247" i="20" l="1"/>
  <c r="HXT247" i="20" s="1"/>
  <c r="HXP247" i="20" s="1"/>
  <c r="HXL247" i="20" s="1"/>
  <c r="HXW247" i="20"/>
  <c r="HXS247" i="20" l="1"/>
  <c r="HXO247" i="20" s="1"/>
  <c r="HXK247" i="20" s="1"/>
  <c r="HXG247" i="20" s="1"/>
  <c r="HXR247" i="20"/>
  <c r="HXN247" i="20" l="1"/>
  <c r="HXJ247" i="20" s="1"/>
  <c r="HXF247" i="20" s="1"/>
  <c r="HXB247" i="20" s="1"/>
  <c r="HXM247" i="20"/>
  <c r="HXI247" i="20" l="1"/>
  <c r="HXE247" i="20" s="1"/>
  <c r="HXA247" i="20" s="1"/>
  <c r="HWW247" i="20" s="1"/>
  <c r="HXH247" i="20"/>
  <c r="HXD247" i="20" l="1"/>
  <c r="HWZ247" i="20" s="1"/>
  <c r="HWV247" i="20" s="1"/>
  <c r="HWR247" i="20" s="1"/>
  <c r="HXC247" i="20"/>
  <c r="HWY247" i="20" l="1"/>
  <c r="HWU247" i="20" s="1"/>
  <c r="HWQ247" i="20" s="1"/>
  <c r="HWM247" i="20" s="1"/>
  <c r="HWX247" i="20"/>
  <c r="HWT247" i="20" l="1"/>
  <c r="HWP247" i="20" s="1"/>
  <c r="HWL247" i="20" s="1"/>
  <c r="HWH247" i="20" s="1"/>
  <c r="HWS247" i="20"/>
  <c r="HWO247" i="20" l="1"/>
  <c r="HWK247" i="20" s="1"/>
  <c r="HWG247" i="20" s="1"/>
  <c r="HWC247" i="20" s="1"/>
  <c r="HWN247" i="20"/>
  <c r="HWJ247" i="20" l="1"/>
  <c r="HWF247" i="20" s="1"/>
  <c r="HWB247" i="20" s="1"/>
  <c r="HVX247" i="20" s="1"/>
  <c r="HWI247" i="20"/>
  <c r="HWE247" i="20" l="1"/>
  <c r="HWA247" i="20" s="1"/>
  <c r="HVW247" i="20" s="1"/>
  <c r="HVS247" i="20" s="1"/>
  <c r="HWD247" i="20"/>
  <c r="HVZ247" i="20" l="1"/>
  <c r="HVV247" i="20" s="1"/>
  <c r="HVR247" i="20" s="1"/>
  <c r="HVN247" i="20" s="1"/>
  <c r="HVY247" i="20"/>
  <c r="HVU247" i="20" l="1"/>
  <c r="HVQ247" i="20" s="1"/>
  <c r="HVM247" i="20" s="1"/>
  <c r="HVI247" i="20" s="1"/>
  <c r="HVT247" i="20"/>
  <c r="HVP247" i="20" l="1"/>
  <c r="HVL247" i="20" s="1"/>
  <c r="HVH247" i="20" s="1"/>
  <c r="HVD247" i="20" s="1"/>
  <c r="HVO247" i="20"/>
  <c r="HVK247" i="20" l="1"/>
  <c r="HVG247" i="20" s="1"/>
  <c r="HVC247" i="20" s="1"/>
  <c r="HUY247" i="20" s="1"/>
  <c r="HVJ247" i="20"/>
  <c r="HVF247" i="20" l="1"/>
  <c r="HVB247" i="20" s="1"/>
  <c r="HUX247" i="20" s="1"/>
  <c r="HUT247" i="20" s="1"/>
  <c r="HVE247" i="20"/>
  <c r="HVA247" i="20" l="1"/>
  <c r="HUW247" i="20" s="1"/>
  <c r="HUS247" i="20" s="1"/>
  <c r="HUO247" i="20" s="1"/>
  <c r="HUZ247" i="20"/>
  <c r="HUV247" i="20" l="1"/>
  <c r="HUR247" i="20" s="1"/>
  <c r="HUN247" i="20" s="1"/>
  <c r="HUJ247" i="20" s="1"/>
  <c r="HUU247" i="20"/>
  <c r="HUQ247" i="20" l="1"/>
  <c r="HUM247" i="20" s="1"/>
  <c r="HUI247" i="20" s="1"/>
  <c r="HUE247" i="20" s="1"/>
  <c r="HUP247" i="20"/>
  <c r="HUL247" i="20" l="1"/>
  <c r="HUH247" i="20" s="1"/>
  <c r="HUD247" i="20" s="1"/>
  <c r="HTZ247" i="20" s="1"/>
  <c r="HUK247" i="20"/>
  <c r="HUG247" i="20" l="1"/>
  <c r="HUC247" i="20" s="1"/>
  <c r="HTY247" i="20" s="1"/>
  <c r="HTU247" i="20" s="1"/>
  <c r="HUF247" i="20"/>
  <c r="HUB247" i="20" l="1"/>
  <c r="HTX247" i="20" s="1"/>
  <c r="HTT247" i="20" s="1"/>
  <c r="HTP247" i="20" s="1"/>
  <c r="HUA247" i="20"/>
  <c r="HTW247" i="20" l="1"/>
  <c r="HTS247" i="20" s="1"/>
  <c r="HTO247" i="20" s="1"/>
  <c r="HTK247" i="20" s="1"/>
  <c r="HTV247" i="20"/>
  <c r="HTR247" i="20" l="1"/>
  <c r="HTN247" i="20" s="1"/>
  <c r="HTJ247" i="20" s="1"/>
  <c r="HTF247" i="20" s="1"/>
  <c r="HTQ247" i="20"/>
  <c r="HTM247" i="20" l="1"/>
  <c r="HTI247" i="20" s="1"/>
  <c r="HTE247" i="20" s="1"/>
  <c r="HTA247" i="20" s="1"/>
  <c r="HTL247" i="20"/>
  <c r="HTH247" i="20" l="1"/>
  <c r="HTD247" i="20" s="1"/>
  <c r="HSZ247" i="20" s="1"/>
  <c r="HSV247" i="20" s="1"/>
  <c r="HTG247" i="20"/>
  <c r="HTC247" i="20" l="1"/>
  <c r="HSY247" i="20" s="1"/>
  <c r="HSU247" i="20" s="1"/>
  <c r="HSQ247" i="20" s="1"/>
  <c r="HTB247" i="20"/>
  <c r="HSX247" i="20" l="1"/>
  <c r="HST247" i="20" s="1"/>
  <c r="HSP247" i="20" s="1"/>
  <c r="HSL247" i="20" s="1"/>
  <c r="HSW247" i="20"/>
  <c r="HSS247" i="20" l="1"/>
  <c r="HSO247" i="20" s="1"/>
  <c r="HSK247" i="20" s="1"/>
  <c r="HSG247" i="20" s="1"/>
  <c r="HSR247" i="20"/>
  <c r="HSN247" i="20" l="1"/>
  <c r="HSJ247" i="20" s="1"/>
  <c r="HSF247" i="20" s="1"/>
  <c r="HSB247" i="20" s="1"/>
  <c r="HSM247" i="20"/>
  <c r="HSI247" i="20" l="1"/>
  <c r="HSE247" i="20" s="1"/>
  <c r="HSA247" i="20" s="1"/>
  <c r="HRW247" i="20" s="1"/>
  <c r="HSH247" i="20"/>
  <c r="HSD247" i="20" l="1"/>
  <c r="HRZ247" i="20" s="1"/>
  <c r="HRV247" i="20" s="1"/>
  <c r="HRR247" i="20" s="1"/>
  <c r="HSC247" i="20"/>
  <c r="HRY247" i="20" l="1"/>
  <c r="HRU247" i="20" s="1"/>
  <c r="HRQ247" i="20" s="1"/>
  <c r="HRM247" i="20" s="1"/>
  <c r="HRX247" i="20"/>
  <c r="HRT247" i="20" l="1"/>
  <c r="HRP247" i="20" s="1"/>
  <c r="HRL247" i="20" s="1"/>
  <c r="HRH247" i="20" s="1"/>
  <c r="HRS247" i="20"/>
  <c r="HRO247" i="20" l="1"/>
  <c r="HRK247" i="20" s="1"/>
  <c r="HRG247" i="20" s="1"/>
  <c r="HRC247" i="20" s="1"/>
  <c r="HRN247" i="20"/>
  <c r="HRJ247" i="20" l="1"/>
  <c r="HRF247" i="20" s="1"/>
  <c r="HRB247" i="20" s="1"/>
  <c r="HQX247" i="20" s="1"/>
  <c r="HRI247" i="20"/>
  <c r="HRE247" i="20" l="1"/>
  <c r="HRA247" i="20" s="1"/>
  <c r="HQW247" i="20" s="1"/>
  <c r="HQS247" i="20" s="1"/>
  <c r="HRD247" i="20"/>
  <c r="HQZ247" i="20" l="1"/>
  <c r="HQV247" i="20" s="1"/>
  <c r="HQR247" i="20" s="1"/>
  <c r="HQN247" i="20" s="1"/>
  <c r="HQY247" i="20"/>
  <c r="HQU247" i="20" l="1"/>
  <c r="HQQ247" i="20" s="1"/>
  <c r="HQM247" i="20" s="1"/>
  <c r="HQI247" i="20" s="1"/>
  <c r="HQT247" i="20"/>
  <c r="HQP247" i="20" l="1"/>
  <c r="HQL247" i="20" s="1"/>
  <c r="HQH247" i="20" s="1"/>
  <c r="HQD247" i="20" s="1"/>
  <c r="HQO247" i="20"/>
  <c r="HQK247" i="20" l="1"/>
  <c r="HQG247" i="20" s="1"/>
  <c r="HQC247" i="20" s="1"/>
  <c r="HPY247" i="20" s="1"/>
  <c r="HQJ247" i="20"/>
  <c r="HQF247" i="20" l="1"/>
  <c r="HQB247" i="20" s="1"/>
  <c r="HPX247" i="20" s="1"/>
  <c r="HPT247" i="20" s="1"/>
  <c r="HQE247" i="20"/>
  <c r="HQA247" i="20" l="1"/>
  <c r="HPW247" i="20" s="1"/>
  <c r="HPS247" i="20" s="1"/>
  <c r="HPO247" i="20" s="1"/>
  <c r="HPZ247" i="20"/>
  <c r="HPV247" i="20" l="1"/>
  <c r="HPR247" i="20" s="1"/>
  <c r="HPN247" i="20" s="1"/>
  <c r="HPJ247" i="20" s="1"/>
  <c r="HPU247" i="20"/>
  <c r="HPQ247" i="20" l="1"/>
  <c r="HPM247" i="20" s="1"/>
  <c r="HPI247" i="20" s="1"/>
  <c r="HPE247" i="20" s="1"/>
  <c r="HPP247" i="20"/>
  <c r="HPL247" i="20" l="1"/>
  <c r="HPH247" i="20" s="1"/>
  <c r="HPD247" i="20" s="1"/>
  <c r="HOZ247" i="20" s="1"/>
  <c r="HPK247" i="20"/>
  <c r="HPG247" i="20" l="1"/>
  <c r="HPC247" i="20" s="1"/>
  <c r="HOY247" i="20" s="1"/>
  <c r="HOU247" i="20" s="1"/>
  <c r="HPF247" i="20"/>
  <c r="HPB247" i="20" l="1"/>
  <c r="HOX247" i="20" s="1"/>
  <c r="HOT247" i="20" s="1"/>
  <c r="HOP247" i="20" s="1"/>
  <c r="HPA247" i="20"/>
  <c r="HOW247" i="20" l="1"/>
  <c r="HOS247" i="20" s="1"/>
  <c r="HOO247" i="20" s="1"/>
  <c r="HOK247" i="20" s="1"/>
  <c r="HOV247" i="20"/>
  <c r="HOR247" i="20" l="1"/>
  <c r="HON247" i="20" s="1"/>
  <c r="HOJ247" i="20" s="1"/>
  <c r="HOF247" i="20" s="1"/>
  <c r="HOQ247" i="20"/>
  <c r="HOM247" i="20" l="1"/>
  <c r="HOI247" i="20" s="1"/>
  <c r="HOE247" i="20" s="1"/>
  <c r="HOA247" i="20" s="1"/>
  <c r="HOL247" i="20"/>
  <c r="HOH247" i="20" l="1"/>
  <c r="HOD247" i="20" s="1"/>
  <c r="HNZ247" i="20" s="1"/>
  <c r="HNV247" i="20" s="1"/>
  <c r="HOG247" i="20"/>
  <c r="HOC247" i="20" l="1"/>
  <c r="HNY247" i="20" s="1"/>
  <c r="HNU247" i="20" s="1"/>
  <c r="HNQ247" i="20" s="1"/>
  <c r="HOB247" i="20"/>
  <c r="HNX247" i="20" l="1"/>
  <c r="HNT247" i="20" s="1"/>
  <c r="HNP247" i="20" s="1"/>
  <c r="HNL247" i="20" s="1"/>
  <c r="HNW247" i="20"/>
  <c r="HNS247" i="20" l="1"/>
  <c r="HNO247" i="20" s="1"/>
  <c r="HNK247" i="20" s="1"/>
  <c r="HNG247" i="20" s="1"/>
  <c r="HNR247" i="20"/>
  <c r="HNN247" i="20" l="1"/>
  <c r="HNJ247" i="20" s="1"/>
  <c r="HNF247" i="20" s="1"/>
  <c r="HNB247" i="20" s="1"/>
  <c r="HNM247" i="20"/>
  <c r="HNI247" i="20" l="1"/>
  <c r="HNE247" i="20" s="1"/>
  <c r="HNA247" i="20" s="1"/>
  <c r="HMW247" i="20" s="1"/>
  <c r="HNH247" i="20"/>
  <c r="HND247" i="20" l="1"/>
  <c r="HMZ247" i="20" s="1"/>
  <c r="HMV247" i="20" s="1"/>
  <c r="HMR247" i="20" s="1"/>
  <c r="HNC247" i="20"/>
  <c r="HMY247" i="20" l="1"/>
  <c r="HMU247" i="20" s="1"/>
  <c r="HMQ247" i="20" s="1"/>
  <c r="HMM247" i="20" s="1"/>
  <c r="HMX247" i="20"/>
  <c r="HMT247" i="20" l="1"/>
  <c r="HMP247" i="20" s="1"/>
  <c r="HML247" i="20" s="1"/>
  <c r="HMH247" i="20" s="1"/>
  <c r="HMS247" i="20"/>
  <c r="HMO247" i="20" l="1"/>
  <c r="HMK247" i="20" s="1"/>
  <c r="HMG247" i="20" s="1"/>
  <c r="HMC247" i="20" s="1"/>
  <c r="HMN247" i="20"/>
  <c r="HMJ247" i="20" l="1"/>
  <c r="HMF247" i="20" s="1"/>
  <c r="HMB247" i="20" s="1"/>
  <c r="HLX247" i="20" s="1"/>
  <c r="HMI247" i="20"/>
  <c r="HME247" i="20" l="1"/>
  <c r="HMA247" i="20" s="1"/>
  <c r="HLW247" i="20" s="1"/>
  <c r="HLS247" i="20" s="1"/>
  <c r="HMD247" i="20"/>
  <c r="HLZ247" i="20" l="1"/>
  <c r="HLV247" i="20" s="1"/>
  <c r="HLR247" i="20" s="1"/>
  <c r="HLN247" i="20" s="1"/>
  <c r="HLY247" i="20"/>
  <c r="HLU247" i="20" l="1"/>
  <c r="HLQ247" i="20" s="1"/>
  <c r="HLM247" i="20" s="1"/>
  <c r="HLI247" i="20" s="1"/>
  <c r="HLT247" i="20"/>
  <c r="HLP247" i="20" l="1"/>
  <c r="HLL247" i="20" s="1"/>
  <c r="HLH247" i="20" s="1"/>
  <c r="HLD247" i="20" s="1"/>
  <c r="HLO247" i="20"/>
  <c r="HLK247" i="20" l="1"/>
  <c r="HLG247" i="20" s="1"/>
  <c r="HLC247" i="20" s="1"/>
  <c r="HKY247" i="20" s="1"/>
  <c r="HLJ247" i="20"/>
  <c r="HLF247" i="20" l="1"/>
  <c r="HLB247" i="20" s="1"/>
  <c r="HKX247" i="20" s="1"/>
  <c r="HKT247" i="20" s="1"/>
  <c r="HLE247" i="20"/>
  <c r="HLA247" i="20" l="1"/>
  <c r="HKW247" i="20" s="1"/>
  <c r="HKS247" i="20" s="1"/>
  <c r="HKO247" i="20" s="1"/>
  <c r="HKZ247" i="20"/>
  <c r="HKV247" i="20" l="1"/>
  <c r="HKR247" i="20" s="1"/>
  <c r="HKN247" i="20" s="1"/>
  <c r="HKJ247" i="20" s="1"/>
  <c r="HKU247" i="20"/>
  <c r="HKQ247" i="20" l="1"/>
  <c r="HKM247" i="20" s="1"/>
  <c r="HKI247" i="20" s="1"/>
  <c r="HKE247" i="20" s="1"/>
  <c r="HKP247" i="20"/>
  <c r="HKL247" i="20" l="1"/>
  <c r="HKH247" i="20" s="1"/>
  <c r="HKD247" i="20" s="1"/>
  <c r="HJZ247" i="20" s="1"/>
  <c r="HKK247" i="20"/>
  <c r="HKG247" i="20" l="1"/>
  <c r="HKC247" i="20" s="1"/>
  <c r="HJY247" i="20" s="1"/>
  <c r="HJU247" i="20" s="1"/>
  <c r="HKF247" i="20"/>
  <c r="HKB247" i="20" l="1"/>
  <c r="HJX247" i="20" s="1"/>
  <c r="HJT247" i="20" s="1"/>
  <c r="HJP247" i="20" s="1"/>
  <c r="HKA247" i="20"/>
  <c r="HJW247" i="20" l="1"/>
  <c r="HJS247" i="20" s="1"/>
  <c r="HJO247" i="20" s="1"/>
  <c r="HJK247" i="20" s="1"/>
  <c r="HJV247" i="20"/>
  <c r="HJR247" i="20" l="1"/>
  <c r="HJN247" i="20" s="1"/>
  <c r="HJJ247" i="20" s="1"/>
  <c r="HJF247" i="20" s="1"/>
  <c r="HJQ247" i="20"/>
  <c r="HJM247" i="20" l="1"/>
  <c r="HJI247" i="20" s="1"/>
  <c r="HJE247" i="20" s="1"/>
  <c r="HJA247" i="20" s="1"/>
  <c r="HJL247" i="20"/>
  <c r="HJH247" i="20" l="1"/>
  <c r="HJD247" i="20" s="1"/>
  <c r="HIZ247" i="20" s="1"/>
  <c r="HIV247" i="20" s="1"/>
  <c r="HJG247" i="20"/>
  <c r="HJC247" i="20" l="1"/>
  <c r="HIY247" i="20" s="1"/>
  <c r="HIU247" i="20" s="1"/>
  <c r="HIQ247" i="20" s="1"/>
  <c r="HJB247" i="20"/>
  <c r="HIX247" i="20" l="1"/>
  <c r="HIT247" i="20" s="1"/>
  <c r="HIP247" i="20" s="1"/>
  <c r="HIL247" i="20" s="1"/>
  <c r="HIW247" i="20"/>
  <c r="HIS247" i="20" l="1"/>
  <c r="HIO247" i="20" s="1"/>
  <c r="HIK247" i="20" s="1"/>
  <c r="HIG247" i="20" s="1"/>
  <c r="HIR247" i="20"/>
  <c r="HIN247" i="20" l="1"/>
  <c r="HIJ247" i="20" s="1"/>
  <c r="HIF247" i="20" s="1"/>
  <c r="HIB247" i="20" s="1"/>
  <c r="HIM247" i="20"/>
  <c r="HII247" i="20" l="1"/>
  <c r="HIE247" i="20" s="1"/>
  <c r="HIA247" i="20" s="1"/>
  <c r="HHW247" i="20" s="1"/>
  <c r="HIH247" i="20"/>
  <c r="HID247" i="20" l="1"/>
  <c r="HHZ247" i="20" s="1"/>
  <c r="HHV247" i="20" s="1"/>
  <c r="HHR247" i="20" s="1"/>
  <c r="HIC247" i="20"/>
  <c r="HHY247" i="20" l="1"/>
  <c r="HHU247" i="20" s="1"/>
  <c r="HHQ247" i="20" s="1"/>
  <c r="HHM247" i="20" s="1"/>
  <c r="HHX247" i="20"/>
  <c r="HHT247" i="20" l="1"/>
  <c r="HHP247" i="20" s="1"/>
  <c r="HHL247" i="20" s="1"/>
  <c r="HHH247" i="20" s="1"/>
  <c r="HHS247" i="20"/>
  <c r="HHO247" i="20" l="1"/>
  <c r="HHK247" i="20" s="1"/>
  <c r="HHG247" i="20" s="1"/>
  <c r="HHC247" i="20" s="1"/>
  <c r="HHN247" i="20"/>
  <c r="HHJ247" i="20" l="1"/>
  <c r="HHF247" i="20" s="1"/>
  <c r="HHB247" i="20" s="1"/>
  <c r="HGX247" i="20" s="1"/>
  <c r="HHI247" i="20"/>
  <c r="HHE247" i="20" l="1"/>
  <c r="HHA247" i="20" s="1"/>
  <c r="HGW247" i="20" s="1"/>
  <c r="HGS247" i="20" s="1"/>
  <c r="HHD247" i="20"/>
  <c r="HGZ247" i="20" l="1"/>
  <c r="HGV247" i="20" s="1"/>
  <c r="HGR247" i="20" s="1"/>
  <c r="HGN247" i="20" s="1"/>
  <c r="HGY247" i="20"/>
  <c r="HGU247" i="20" l="1"/>
  <c r="HGQ247" i="20" s="1"/>
  <c r="HGM247" i="20" s="1"/>
  <c r="HGI247" i="20" s="1"/>
  <c r="HGT247" i="20"/>
  <c r="HGP247" i="20" l="1"/>
  <c r="HGL247" i="20" s="1"/>
  <c r="HGH247" i="20" s="1"/>
  <c r="HGD247" i="20" s="1"/>
  <c r="HGO247" i="20"/>
  <c r="HGK247" i="20" l="1"/>
  <c r="HGG247" i="20" s="1"/>
  <c r="HGC247" i="20" s="1"/>
  <c r="HFY247" i="20" s="1"/>
  <c r="HGJ247" i="20"/>
  <c r="HGF247" i="20" l="1"/>
  <c r="HGB247" i="20" s="1"/>
  <c r="HFX247" i="20" s="1"/>
  <c r="HFT247" i="20" s="1"/>
  <c r="HGE247" i="20"/>
  <c r="HGA247" i="20" l="1"/>
  <c r="HFW247" i="20" s="1"/>
  <c r="HFS247" i="20" s="1"/>
  <c r="HFO247" i="20" s="1"/>
  <c r="HFZ247" i="20"/>
  <c r="HFV247" i="20" l="1"/>
  <c r="HFR247" i="20" s="1"/>
  <c r="HFN247" i="20" s="1"/>
  <c r="HFJ247" i="20" s="1"/>
  <c r="HFU247" i="20"/>
  <c r="HFQ247" i="20" l="1"/>
  <c r="HFM247" i="20" s="1"/>
  <c r="HFI247" i="20" s="1"/>
  <c r="HFE247" i="20" s="1"/>
  <c r="HFP247" i="20"/>
  <c r="HFL247" i="20" l="1"/>
  <c r="HFH247" i="20" s="1"/>
  <c r="HFD247" i="20" s="1"/>
  <c r="HEZ247" i="20" s="1"/>
  <c r="HFK247" i="20"/>
  <c r="HFG247" i="20" l="1"/>
  <c r="HFC247" i="20" s="1"/>
  <c r="HEY247" i="20" s="1"/>
  <c r="HEU247" i="20" s="1"/>
  <c r="HFF247" i="20"/>
  <c r="HFB247" i="20" l="1"/>
  <c r="HEX247" i="20" s="1"/>
  <c r="HET247" i="20" s="1"/>
  <c r="HEP247" i="20" s="1"/>
  <c r="HFA247" i="20"/>
  <c r="HEW247" i="20" l="1"/>
  <c r="HES247" i="20" s="1"/>
  <c r="HEO247" i="20" s="1"/>
  <c r="HEK247" i="20" s="1"/>
  <c r="HEV247" i="20"/>
  <c r="HER247" i="20" l="1"/>
  <c r="HEN247" i="20" s="1"/>
  <c r="HEJ247" i="20" s="1"/>
  <c r="HEF247" i="20" s="1"/>
  <c r="HEQ247" i="20"/>
  <c r="HEM247" i="20" l="1"/>
  <c r="HEI247" i="20" s="1"/>
  <c r="HEE247" i="20" s="1"/>
  <c r="HEA247" i="20" s="1"/>
  <c r="HEL247" i="20"/>
  <c r="HEH247" i="20" l="1"/>
  <c r="HED247" i="20" s="1"/>
  <c r="HDZ247" i="20" s="1"/>
  <c r="HDV247" i="20" s="1"/>
  <c r="HEG247" i="20"/>
  <c r="HEC247" i="20" l="1"/>
  <c r="HDY247" i="20" s="1"/>
  <c r="HDU247" i="20" s="1"/>
  <c r="HDQ247" i="20" s="1"/>
  <c r="HEB247" i="20"/>
  <c r="HDX247" i="20" l="1"/>
  <c r="HDT247" i="20" s="1"/>
  <c r="HDP247" i="20" s="1"/>
  <c r="HDL247" i="20" s="1"/>
  <c r="HDW247" i="20"/>
  <c r="HDS247" i="20" l="1"/>
  <c r="HDO247" i="20" s="1"/>
  <c r="HDK247" i="20" s="1"/>
  <c r="HDG247" i="20" s="1"/>
  <c r="HDR247" i="20"/>
  <c r="HDN247" i="20" l="1"/>
  <c r="HDJ247" i="20" s="1"/>
  <c r="HDF247" i="20" s="1"/>
  <c r="HDB247" i="20" s="1"/>
  <c r="HDM247" i="20"/>
  <c r="HDI247" i="20" l="1"/>
  <c r="HDE247" i="20" s="1"/>
  <c r="HDA247" i="20" s="1"/>
  <c r="HCW247" i="20" s="1"/>
  <c r="HDH247" i="20"/>
  <c r="HDD247" i="20" l="1"/>
  <c r="HCZ247" i="20" s="1"/>
  <c r="HCV247" i="20" s="1"/>
  <c r="HCR247" i="20" s="1"/>
  <c r="HDC247" i="20"/>
  <c r="HCY247" i="20" l="1"/>
  <c r="HCU247" i="20" s="1"/>
  <c r="HCQ247" i="20" s="1"/>
  <c r="HCM247" i="20" s="1"/>
  <c r="HCX247" i="20"/>
  <c r="HCT247" i="20" l="1"/>
  <c r="HCP247" i="20" s="1"/>
  <c r="HCL247" i="20" s="1"/>
  <c r="HCH247" i="20" s="1"/>
  <c r="HCS247" i="20"/>
  <c r="HCO247" i="20" l="1"/>
  <c r="HCK247" i="20" s="1"/>
  <c r="HCG247" i="20" s="1"/>
  <c r="HCC247" i="20" s="1"/>
  <c r="HCN247" i="20"/>
  <c r="HCJ247" i="20" l="1"/>
  <c r="HCF247" i="20" s="1"/>
  <c r="HCB247" i="20" s="1"/>
  <c r="HBX247" i="20" s="1"/>
  <c r="HCI247" i="20"/>
  <c r="HCE247" i="20" l="1"/>
  <c r="HCA247" i="20" s="1"/>
  <c r="HBW247" i="20" s="1"/>
  <c r="HBS247" i="20" s="1"/>
  <c r="HCD247" i="20"/>
  <c r="HBZ247" i="20" l="1"/>
  <c r="HBV247" i="20" s="1"/>
  <c r="HBR247" i="20" s="1"/>
  <c r="HBN247" i="20" s="1"/>
  <c r="HBY247" i="20"/>
  <c r="HBU247" i="20" l="1"/>
  <c r="HBQ247" i="20" s="1"/>
  <c r="HBM247" i="20" s="1"/>
  <c r="HBI247" i="20" s="1"/>
  <c r="HBT247" i="20"/>
  <c r="HBP247" i="20" l="1"/>
  <c r="HBL247" i="20" s="1"/>
  <c r="HBH247" i="20" s="1"/>
  <c r="HBD247" i="20" s="1"/>
  <c r="HBO247" i="20"/>
  <c r="HBK247" i="20" l="1"/>
  <c r="HBG247" i="20" s="1"/>
  <c r="HBC247" i="20" s="1"/>
  <c r="HAY247" i="20" s="1"/>
  <c r="HBJ247" i="20"/>
  <c r="HBF247" i="20" l="1"/>
  <c r="HBB247" i="20" s="1"/>
  <c r="HAX247" i="20" s="1"/>
  <c r="HAT247" i="20" s="1"/>
  <c r="HBE247" i="20"/>
  <c r="HBA247" i="20" l="1"/>
  <c r="HAW247" i="20" s="1"/>
  <c r="HAS247" i="20" s="1"/>
  <c r="HAO247" i="20" s="1"/>
  <c r="HAZ247" i="20"/>
  <c r="HAV247" i="20" l="1"/>
  <c r="HAR247" i="20" s="1"/>
  <c r="HAN247" i="20" s="1"/>
  <c r="HAJ247" i="20" s="1"/>
  <c r="HAU247" i="20"/>
  <c r="HAQ247" i="20" l="1"/>
  <c r="HAM247" i="20" s="1"/>
  <c r="HAI247" i="20" s="1"/>
  <c r="HAE247" i="20" s="1"/>
  <c r="HAP247" i="20"/>
  <c r="HAL247" i="20" l="1"/>
  <c r="HAH247" i="20" s="1"/>
  <c r="HAD247" i="20" s="1"/>
  <c r="GZZ247" i="20" s="1"/>
  <c r="HAK247" i="20"/>
  <c r="HAG247" i="20" l="1"/>
  <c r="HAC247" i="20" s="1"/>
  <c r="GZY247" i="20" s="1"/>
  <c r="GZU247" i="20" s="1"/>
  <c r="HAF247" i="20"/>
  <c r="HAB247" i="20" l="1"/>
  <c r="GZX247" i="20" s="1"/>
  <c r="GZT247" i="20" s="1"/>
  <c r="GZP247" i="20" s="1"/>
  <c r="HAA247" i="20"/>
  <c r="GZW247" i="20" l="1"/>
  <c r="GZS247" i="20" s="1"/>
  <c r="GZO247" i="20" s="1"/>
  <c r="GZK247" i="20" s="1"/>
  <c r="GZV247" i="20"/>
  <c r="GZR247" i="20" l="1"/>
  <c r="GZN247" i="20" s="1"/>
  <c r="GZJ247" i="20" s="1"/>
  <c r="GZF247" i="20" s="1"/>
  <c r="GZQ247" i="20"/>
  <c r="GZM247" i="20" l="1"/>
  <c r="GZI247" i="20" s="1"/>
  <c r="GZE247" i="20" s="1"/>
  <c r="GZA247" i="20" s="1"/>
  <c r="GZL247" i="20"/>
  <c r="GZH247" i="20" l="1"/>
  <c r="GZD247" i="20" s="1"/>
  <c r="GYZ247" i="20" s="1"/>
  <c r="GYV247" i="20" s="1"/>
  <c r="GZG247" i="20"/>
  <c r="GZC247" i="20" l="1"/>
  <c r="GYY247" i="20" s="1"/>
  <c r="GYU247" i="20" s="1"/>
  <c r="GYQ247" i="20" s="1"/>
  <c r="GZB247" i="20"/>
  <c r="GYX247" i="20" l="1"/>
  <c r="GYT247" i="20" s="1"/>
  <c r="GYP247" i="20" s="1"/>
  <c r="GYL247" i="20" s="1"/>
  <c r="GYW247" i="20"/>
  <c r="GYS247" i="20" l="1"/>
  <c r="GYO247" i="20" s="1"/>
  <c r="GYK247" i="20" s="1"/>
  <c r="GYG247" i="20" s="1"/>
  <c r="GYR247" i="20"/>
  <c r="GYN247" i="20" l="1"/>
  <c r="GYJ247" i="20" s="1"/>
  <c r="GYF247" i="20" s="1"/>
  <c r="GYB247" i="20" s="1"/>
  <c r="GYM247" i="20"/>
  <c r="GYI247" i="20" l="1"/>
  <c r="GYE247" i="20" s="1"/>
  <c r="GYA247" i="20" s="1"/>
  <c r="GXW247" i="20" s="1"/>
  <c r="GYH247" i="20"/>
  <c r="GYD247" i="20" l="1"/>
  <c r="GXZ247" i="20" s="1"/>
  <c r="GXV247" i="20" s="1"/>
  <c r="GXR247" i="20" s="1"/>
  <c r="GYC247" i="20"/>
  <c r="GXY247" i="20" l="1"/>
  <c r="GXU247" i="20" s="1"/>
  <c r="GXQ247" i="20" s="1"/>
  <c r="GXM247" i="20" s="1"/>
  <c r="GXX247" i="20"/>
  <c r="GXT247" i="20" l="1"/>
  <c r="GXP247" i="20" s="1"/>
  <c r="GXL247" i="20" s="1"/>
  <c r="GXH247" i="20" s="1"/>
  <c r="GXS247" i="20"/>
  <c r="GXO247" i="20" l="1"/>
  <c r="GXK247" i="20" s="1"/>
  <c r="GXG247" i="20" s="1"/>
  <c r="GXC247" i="20" s="1"/>
  <c r="GXN247" i="20"/>
  <c r="GXJ247" i="20" l="1"/>
  <c r="GXF247" i="20" s="1"/>
  <c r="GXB247" i="20" s="1"/>
  <c r="GWX247" i="20" s="1"/>
  <c r="GXI247" i="20"/>
  <c r="GXE247" i="20" l="1"/>
  <c r="GXA247" i="20" s="1"/>
  <c r="GWW247" i="20" s="1"/>
  <c r="GWS247" i="20" s="1"/>
  <c r="GXD247" i="20"/>
  <c r="GWZ247" i="20" l="1"/>
  <c r="GWV247" i="20" s="1"/>
  <c r="GWR247" i="20" s="1"/>
  <c r="GWN247" i="20" s="1"/>
  <c r="GWY247" i="20"/>
  <c r="GWU247" i="20" l="1"/>
  <c r="GWQ247" i="20" s="1"/>
  <c r="GWM247" i="20" s="1"/>
  <c r="GWI247" i="20" s="1"/>
  <c r="GWT247" i="20"/>
  <c r="GWP247" i="20" l="1"/>
  <c r="GWL247" i="20" s="1"/>
  <c r="GWH247" i="20" s="1"/>
  <c r="GWD247" i="20" s="1"/>
  <c r="GWO247" i="20"/>
  <c r="GWK247" i="20" l="1"/>
  <c r="GWG247" i="20" s="1"/>
  <c r="GWC247" i="20" s="1"/>
  <c r="GVY247" i="20" s="1"/>
  <c r="GWJ247" i="20"/>
  <c r="GWF247" i="20" l="1"/>
  <c r="GWB247" i="20" s="1"/>
  <c r="GVX247" i="20" s="1"/>
  <c r="GVT247" i="20" s="1"/>
  <c r="GWE247" i="20"/>
  <c r="GWA247" i="20" l="1"/>
  <c r="GVW247" i="20" s="1"/>
  <c r="GVS247" i="20" s="1"/>
  <c r="GVO247" i="20" s="1"/>
  <c r="GVZ247" i="20"/>
  <c r="GVV247" i="20" l="1"/>
  <c r="GVR247" i="20" s="1"/>
  <c r="GVN247" i="20" s="1"/>
  <c r="GVJ247" i="20" s="1"/>
  <c r="GVU247" i="20"/>
  <c r="GVQ247" i="20" l="1"/>
  <c r="GVM247" i="20" s="1"/>
  <c r="GVI247" i="20" s="1"/>
  <c r="GVE247" i="20" s="1"/>
  <c r="GVP247" i="20"/>
  <c r="GVL247" i="20" l="1"/>
  <c r="GVH247" i="20" s="1"/>
  <c r="GVD247" i="20" s="1"/>
  <c r="GUZ247" i="20" s="1"/>
  <c r="GVK247" i="20"/>
  <c r="GVG247" i="20" l="1"/>
  <c r="GVC247" i="20" s="1"/>
  <c r="GUY247" i="20" s="1"/>
  <c r="GUU247" i="20" s="1"/>
  <c r="GVF247" i="20"/>
  <c r="GVB247" i="20" l="1"/>
  <c r="GUX247" i="20" s="1"/>
  <c r="GUT247" i="20" s="1"/>
  <c r="GUP247" i="20" s="1"/>
  <c r="GVA247" i="20"/>
  <c r="GUW247" i="20" l="1"/>
  <c r="GUS247" i="20" s="1"/>
  <c r="GUO247" i="20" s="1"/>
  <c r="GUK247" i="20" s="1"/>
  <c r="GUV247" i="20"/>
  <c r="GUR247" i="20" l="1"/>
  <c r="GUN247" i="20" s="1"/>
  <c r="GUJ247" i="20" s="1"/>
  <c r="GUF247" i="20" s="1"/>
  <c r="GUQ247" i="20"/>
  <c r="GUM247" i="20" l="1"/>
  <c r="GUI247" i="20" s="1"/>
  <c r="GUE247" i="20" s="1"/>
  <c r="GUA247" i="20" s="1"/>
  <c r="GUL247" i="20"/>
  <c r="GUH247" i="20" l="1"/>
  <c r="GUD247" i="20" s="1"/>
  <c r="GTZ247" i="20" s="1"/>
  <c r="GTV247" i="20" s="1"/>
  <c r="GUG247" i="20"/>
  <c r="GUC247" i="20" l="1"/>
  <c r="GTY247" i="20" s="1"/>
  <c r="GTU247" i="20" s="1"/>
  <c r="GTQ247" i="20" s="1"/>
  <c r="GUB247" i="20"/>
  <c r="GTX247" i="20" l="1"/>
  <c r="GTT247" i="20" s="1"/>
  <c r="GTP247" i="20" s="1"/>
  <c r="GTL247" i="20" s="1"/>
  <c r="GTW247" i="20"/>
  <c r="GTS247" i="20" l="1"/>
  <c r="GTO247" i="20" s="1"/>
  <c r="GTK247" i="20" s="1"/>
  <c r="GTG247" i="20" s="1"/>
  <c r="GTR247" i="20"/>
  <c r="GTN247" i="20" l="1"/>
  <c r="GTJ247" i="20" s="1"/>
  <c r="GTF247" i="20" s="1"/>
  <c r="GTB247" i="20" s="1"/>
  <c r="GTM247" i="20"/>
  <c r="GTI247" i="20" l="1"/>
  <c r="GTE247" i="20" s="1"/>
  <c r="GTA247" i="20" s="1"/>
  <c r="GSW247" i="20" s="1"/>
  <c r="GTH247" i="20"/>
  <c r="GTD247" i="20" l="1"/>
  <c r="GSZ247" i="20" s="1"/>
  <c r="GSV247" i="20" s="1"/>
  <c r="GSR247" i="20" s="1"/>
  <c r="GTC247" i="20"/>
  <c r="GSY247" i="20" l="1"/>
  <c r="GSU247" i="20" s="1"/>
  <c r="GSQ247" i="20" s="1"/>
  <c r="GSM247" i="20" s="1"/>
  <c r="GSX247" i="20"/>
  <c r="GST247" i="20" l="1"/>
  <c r="GSP247" i="20" s="1"/>
  <c r="GSL247" i="20" s="1"/>
  <c r="GSH247" i="20" s="1"/>
  <c r="GSS247" i="20"/>
  <c r="GSO247" i="20" l="1"/>
  <c r="GSK247" i="20" s="1"/>
  <c r="GSG247" i="20" s="1"/>
  <c r="GSC247" i="20" s="1"/>
  <c r="GSN247" i="20"/>
  <c r="GSJ247" i="20" l="1"/>
  <c r="GSF247" i="20" s="1"/>
  <c r="GSB247" i="20" s="1"/>
  <c r="GRX247" i="20" s="1"/>
  <c r="GSI247" i="20"/>
  <c r="GSE247" i="20" l="1"/>
  <c r="GSA247" i="20" s="1"/>
  <c r="GRW247" i="20" s="1"/>
  <c r="GRS247" i="20" s="1"/>
  <c r="GSD247" i="20"/>
  <c r="GRZ247" i="20" l="1"/>
  <c r="GRV247" i="20" s="1"/>
  <c r="GRR247" i="20" s="1"/>
  <c r="GRN247" i="20" s="1"/>
  <c r="GRY247" i="20"/>
  <c r="GRU247" i="20" l="1"/>
  <c r="GRQ247" i="20" s="1"/>
  <c r="GRM247" i="20" s="1"/>
  <c r="GRI247" i="20" s="1"/>
  <c r="GRT247" i="20"/>
  <c r="GRP247" i="20" l="1"/>
  <c r="GRL247" i="20" s="1"/>
  <c r="GRH247" i="20" s="1"/>
  <c r="GRD247" i="20" s="1"/>
  <c r="GRO247" i="20"/>
  <c r="GRK247" i="20" l="1"/>
  <c r="GRG247" i="20" s="1"/>
  <c r="GRC247" i="20" s="1"/>
  <c r="GQY247" i="20" s="1"/>
  <c r="GRJ247" i="20"/>
  <c r="GRF247" i="20" l="1"/>
  <c r="GRB247" i="20" s="1"/>
  <c r="GQX247" i="20" s="1"/>
  <c r="GQT247" i="20" s="1"/>
  <c r="GRE247" i="20"/>
  <c r="GRA247" i="20" l="1"/>
  <c r="GQW247" i="20" s="1"/>
  <c r="GQS247" i="20" s="1"/>
  <c r="GQO247" i="20" s="1"/>
  <c r="GQZ247" i="20"/>
  <c r="GQV247" i="20" l="1"/>
  <c r="GQR247" i="20" s="1"/>
  <c r="GQN247" i="20" s="1"/>
  <c r="GQJ247" i="20" s="1"/>
  <c r="GQU247" i="20"/>
  <c r="GQQ247" i="20" l="1"/>
  <c r="GQM247" i="20" s="1"/>
  <c r="GQI247" i="20" s="1"/>
  <c r="GQE247" i="20" s="1"/>
  <c r="GQP247" i="20"/>
  <c r="GQL247" i="20" l="1"/>
  <c r="GQH247" i="20" s="1"/>
  <c r="GQD247" i="20" s="1"/>
  <c r="GPZ247" i="20" s="1"/>
  <c r="GQK247" i="20"/>
  <c r="GQG247" i="20" l="1"/>
  <c r="GQC247" i="20" s="1"/>
  <c r="GPY247" i="20" s="1"/>
  <c r="GPU247" i="20" s="1"/>
  <c r="GQF247" i="20"/>
  <c r="GQB247" i="20" l="1"/>
  <c r="GPX247" i="20" s="1"/>
  <c r="GPT247" i="20" s="1"/>
  <c r="GPP247" i="20" s="1"/>
  <c r="GQA247" i="20"/>
  <c r="GPW247" i="20" l="1"/>
  <c r="GPS247" i="20" s="1"/>
  <c r="GPO247" i="20" s="1"/>
  <c r="GPK247" i="20" s="1"/>
  <c r="GPV247" i="20"/>
  <c r="GPR247" i="20" l="1"/>
  <c r="GPN247" i="20" s="1"/>
  <c r="GPJ247" i="20" s="1"/>
  <c r="GPF247" i="20" s="1"/>
  <c r="GPQ247" i="20"/>
  <c r="GPM247" i="20" l="1"/>
  <c r="GPI247" i="20" s="1"/>
  <c r="GPE247" i="20" s="1"/>
  <c r="GPA247" i="20" s="1"/>
  <c r="GPL247" i="20"/>
  <c r="GPH247" i="20" l="1"/>
  <c r="GPD247" i="20" s="1"/>
  <c r="GOZ247" i="20" s="1"/>
  <c r="GOV247" i="20" s="1"/>
  <c r="GPG247" i="20"/>
  <c r="GPC247" i="20" l="1"/>
  <c r="GOY247" i="20" s="1"/>
  <c r="GOU247" i="20" s="1"/>
  <c r="GOQ247" i="20" s="1"/>
  <c r="GPB247" i="20"/>
  <c r="GOX247" i="20" l="1"/>
  <c r="GOT247" i="20" s="1"/>
  <c r="GOP247" i="20" s="1"/>
  <c r="GOL247" i="20" s="1"/>
  <c r="GOW247" i="20"/>
  <c r="GOS247" i="20" l="1"/>
  <c r="GOO247" i="20" s="1"/>
  <c r="GOK247" i="20" s="1"/>
  <c r="GOG247" i="20" s="1"/>
  <c r="GOR247" i="20"/>
  <c r="GON247" i="20" l="1"/>
  <c r="GOJ247" i="20" s="1"/>
  <c r="GOF247" i="20" s="1"/>
  <c r="GOB247" i="20" s="1"/>
  <c r="GOM247" i="20"/>
  <c r="GOI247" i="20" l="1"/>
  <c r="GOE247" i="20" s="1"/>
  <c r="GOA247" i="20" s="1"/>
  <c r="GNW247" i="20" s="1"/>
  <c r="GOH247" i="20"/>
  <c r="GOD247" i="20" l="1"/>
  <c r="GNZ247" i="20" s="1"/>
  <c r="GNV247" i="20" s="1"/>
  <c r="GNR247" i="20" s="1"/>
  <c r="GOC247" i="20"/>
  <c r="GNY247" i="20" l="1"/>
  <c r="GNU247" i="20" s="1"/>
  <c r="GNQ247" i="20" s="1"/>
  <c r="GNM247" i="20" s="1"/>
  <c r="GNX247" i="20"/>
  <c r="GNT247" i="20" l="1"/>
  <c r="GNP247" i="20" s="1"/>
  <c r="GNL247" i="20" s="1"/>
  <c r="GNH247" i="20" s="1"/>
  <c r="GNS247" i="20"/>
  <c r="GNO247" i="20" l="1"/>
  <c r="GNK247" i="20" s="1"/>
  <c r="GNG247" i="20" s="1"/>
  <c r="GNC247" i="20" s="1"/>
  <c r="GNN247" i="20"/>
  <c r="GNJ247" i="20" l="1"/>
  <c r="GNF247" i="20" s="1"/>
  <c r="GNB247" i="20" s="1"/>
  <c r="GMX247" i="20" s="1"/>
  <c r="GNI247" i="20"/>
  <c r="GNE247" i="20" l="1"/>
  <c r="GNA247" i="20" s="1"/>
  <c r="GMW247" i="20" s="1"/>
  <c r="GMS247" i="20" s="1"/>
  <c r="GND247" i="20"/>
  <c r="GMZ247" i="20" l="1"/>
  <c r="GMV247" i="20" s="1"/>
  <c r="GMR247" i="20" s="1"/>
  <c r="GMN247" i="20" s="1"/>
  <c r="GMY247" i="20"/>
  <c r="GMU247" i="20" l="1"/>
  <c r="GMQ247" i="20" s="1"/>
  <c r="GMM247" i="20" s="1"/>
  <c r="GMI247" i="20" s="1"/>
  <c r="GMT247" i="20"/>
  <c r="GMP247" i="20" l="1"/>
  <c r="GML247" i="20" s="1"/>
  <c r="GMH247" i="20" s="1"/>
  <c r="GMD247" i="20" s="1"/>
  <c r="GMO247" i="20"/>
  <c r="GMK247" i="20" l="1"/>
  <c r="GMG247" i="20" s="1"/>
  <c r="GMC247" i="20" s="1"/>
  <c r="GLY247" i="20" s="1"/>
  <c r="GMJ247" i="20"/>
  <c r="GMF247" i="20" l="1"/>
  <c r="GMB247" i="20" s="1"/>
  <c r="GLX247" i="20" s="1"/>
  <c r="GLT247" i="20" s="1"/>
  <c r="GME247" i="20"/>
  <c r="GMA247" i="20" l="1"/>
  <c r="GLW247" i="20" s="1"/>
  <c r="GLS247" i="20" s="1"/>
  <c r="GLO247" i="20" s="1"/>
  <c r="GLZ247" i="20"/>
  <c r="GLV247" i="20" l="1"/>
  <c r="GLR247" i="20" s="1"/>
  <c r="GLN247" i="20" s="1"/>
  <c r="GLJ247" i="20" s="1"/>
  <c r="GLU247" i="20"/>
  <c r="GLQ247" i="20" l="1"/>
  <c r="GLM247" i="20" s="1"/>
  <c r="GLI247" i="20" s="1"/>
  <c r="GLE247" i="20" s="1"/>
  <c r="GLP247" i="20"/>
  <c r="GLL247" i="20" l="1"/>
  <c r="GLH247" i="20" s="1"/>
  <c r="GLD247" i="20" s="1"/>
  <c r="GKZ247" i="20" s="1"/>
  <c r="GLK247" i="20"/>
  <c r="GLG247" i="20" l="1"/>
  <c r="GLC247" i="20" s="1"/>
  <c r="GKY247" i="20" s="1"/>
  <c r="GKU247" i="20" s="1"/>
  <c r="GLF247" i="20"/>
  <c r="GLB247" i="20" l="1"/>
  <c r="GKX247" i="20" s="1"/>
  <c r="GKT247" i="20" s="1"/>
  <c r="GKP247" i="20" s="1"/>
  <c r="GLA247" i="20"/>
  <c r="GKW247" i="20" l="1"/>
  <c r="GKS247" i="20" s="1"/>
  <c r="GKO247" i="20" s="1"/>
  <c r="GKK247" i="20" s="1"/>
  <c r="GKV247" i="20"/>
  <c r="GKR247" i="20" l="1"/>
  <c r="GKN247" i="20" s="1"/>
  <c r="GKJ247" i="20" s="1"/>
  <c r="GKF247" i="20" s="1"/>
  <c r="GKQ247" i="20"/>
  <c r="GKM247" i="20" l="1"/>
  <c r="GKI247" i="20" s="1"/>
  <c r="GKE247" i="20" s="1"/>
  <c r="GKA247" i="20" s="1"/>
  <c r="GKL247" i="20"/>
  <c r="GKH247" i="20" l="1"/>
  <c r="GKD247" i="20" s="1"/>
  <c r="GJZ247" i="20" s="1"/>
  <c r="GJV247" i="20" s="1"/>
  <c r="GKG247" i="20"/>
  <c r="GKC247" i="20" l="1"/>
  <c r="GJY247" i="20" s="1"/>
  <c r="GJU247" i="20" s="1"/>
  <c r="GJQ247" i="20" s="1"/>
  <c r="GKB247" i="20"/>
  <c r="GJX247" i="20" l="1"/>
  <c r="GJT247" i="20" s="1"/>
  <c r="GJP247" i="20" s="1"/>
  <c r="GJL247" i="20" s="1"/>
  <c r="GJW247" i="20"/>
  <c r="GJS247" i="20" l="1"/>
  <c r="GJO247" i="20" s="1"/>
  <c r="GJK247" i="20" s="1"/>
  <c r="GJG247" i="20" s="1"/>
  <c r="GJR247" i="20"/>
  <c r="GJN247" i="20" l="1"/>
  <c r="GJJ247" i="20" s="1"/>
  <c r="GJF247" i="20" s="1"/>
  <c r="GJB247" i="20" s="1"/>
  <c r="GJM247" i="20"/>
  <c r="GJI247" i="20" l="1"/>
  <c r="GJE247" i="20" s="1"/>
  <c r="GJA247" i="20" s="1"/>
  <c r="GIW247" i="20" s="1"/>
  <c r="GJH247" i="20"/>
  <c r="GJD247" i="20" l="1"/>
  <c r="GIZ247" i="20" s="1"/>
  <c r="GIV247" i="20" s="1"/>
  <c r="GIR247" i="20" s="1"/>
  <c r="GJC247" i="20"/>
  <c r="GIY247" i="20" l="1"/>
  <c r="GIU247" i="20" s="1"/>
  <c r="GIQ247" i="20" s="1"/>
  <c r="GIM247" i="20" s="1"/>
  <c r="GIX247" i="20"/>
  <c r="GIT247" i="20" l="1"/>
  <c r="GIP247" i="20" s="1"/>
  <c r="GIL247" i="20" s="1"/>
  <c r="GIH247" i="20" s="1"/>
  <c r="GIS247" i="20"/>
  <c r="GIO247" i="20" l="1"/>
  <c r="GIK247" i="20" s="1"/>
  <c r="GIG247" i="20" s="1"/>
  <c r="GIC247" i="20" s="1"/>
  <c r="GIN247" i="20"/>
  <c r="GIJ247" i="20" l="1"/>
  <c r="GIF247" i="20" s="1"/>
  <c r="GIB247" i="20" s="1"/>
  <c r="GHX247" i="20" s="1"/>
  <c r="GII247" i="20"/>
  <c r="GIE247" i="20" l="1"/>
  <c r="GIA247" i="20" s="1"/>
  <c r="GHW247" i="20" s="1"/>
  <c r="GHS247" i="20" s="1"/>
  <c r="GID247" i="20"/>
  <c r="GHZ247" i="20" l="1"/>
  <c r="GHV247" i="20" s="1"/>
  <c r="GHR247" i="20" s="1"/>
  <c r="GHN247" i="20" s="1"/>
  <c r="GHY247" i="20"/>
  <c r="GHU247" i="20" l="1"/>
  <c r="GHQ247" i="20" s="1"/>
  <c r="GHM247" i="20" s="1"/>
  <c r="GHI247" i="20" s="1"/>
  <c r="GHT247" i="20"/>
  <c r="GHP247" i="20" l="1"/>
  <c r="GHL247" i="20" s="1"/>
  <c r="GHH247" i="20" s="1"/>
  <c r="GHD247" i="20" s="1"/>
  <c r="GHO247" i="20"/>
  <c r="GHK247" i="20" l="1"/>
  <c r="GHG247" i="20" s="1"/>
  <c r="GHC247" i="20" s="1"/>
  <c r="GGY247" i="20" s="1"/>
  <c r="GHJ247" i="20"/>
  <c r="GHF247" i="20" l="1"/>
  <c r="GHB247" i="20" s="1"/>
  <c r="GGX247" i="20" s="1"/>
  <c r="GGT247" i="20" s="1"/>
  <c r="GHE247" i="20"/>
  <c r="GHA247" i="20" l="1"/>
  <c r="GGW247" i="20" s="1"/>
  <c r="GGS247" i="20" s="1"/>
  <c r="GGO247" i="20" s="1"/>
  <c r="GGZ247" i="20"/>
  <c r="GGV247" i="20" l="1"/>
  <c r="GGR247" i="20" s="1"/>
  <c r="GGN247" i="20" s="1"/>
  <c r="GGJ247" i="20" s="1"/>
  <c r="GGU247" i="20"/>
  <c r="GGQ247" i="20" l="1"/>
  <c r="GGM247" i="20" s="1"/>
  <c r="GGI247" i="20" s="1"/>
  <c r="GGE247" i="20" s="1"/>
  <c r="GGP247" i="20"/>
  <c r="GGL247" i="20" l="1"/>
  <c r="GGH247" i="20" s="1"/>
  <c r="GGD247" i="20" s="1"/>
  <c r="GFZ247" i="20" s="1"/>
  <c r="GGK247" i="20"/>
  <c r="GGG247" i="20" l="1"/>
  <c r="GGC247" i="20" s="1"/>
  <c r="GFY247" i="20" s="1"/>
  <c r="GFU247" i="20" s="1"/>
  <c r="GGF247" i="20"/>
  <c r="GGB247" i="20" l="1"/>
  <c r="GFX247" i="20" s="1"/>
  <c r="GFT247" i="20" s="1"/>
  <c r="GFP247" i="20" s="1"/>
  <c r="GGA247" i="20"/>
  <c r="GFW247" i="20" l="1"/>
  <c r="GFS247" i="20" s="1"/>
  <c r="GFO247" i="20" s="1"/>
  <c r="GFK247" i="20" s="1"/>
  <c r="GFV247" i="20"/>
  <c r="GFR247" i="20" l="1"/>
  <c r="GFN247" i="20" s="1"/>
  <c r="GFJ247" i="20" s="1"/>
  <c r="GFF247" i="20" s="1"/>
  <c r="GFQ247" i="20"/>
  <c r="GFM247" i="20" l="1"/>
  <c r="GFI247" i="20" s="1"/>
  <c r="GFE247" i="20" s="1"/>
  <c r="GFA247" i="20" s="1"/>
  <c r="GFL247" i="20"/>
  <c r="GFH247" i="20" l="1"/>
  <c r="GFD247" i="20" s="1"/>
  <c r="GEZ247" i="20" s="1"/>
  <c r="GEV247" i="20" s="1"/>
  <c r="GFG247" i="20"/>
  <c r="GFC247" i="20" l="1"/>
  <c r="GEY247" i="20" s="1"/>
  <c r="GEU247" i="20" s="1"/>
  <c r="GEQ247" i="20" s="1"/>
  <c r="GFB247" i="20"/>
  <c r="GEX247" i="20" l="1"/>
  <c r="GET247" i="20" s="1"/>
  <c r="GEP247" i="20" s="1"/>
  <c r="GEL247" i="20" s="1"/>
  <c r="GEW247" i="20"/>
  <c r="GES247" i="20" l="1"/>
  <c r="GEO247" i="20" s="1"/>
  <c r="GEK247" i="20" s="1"/>
  <c r="GEG247" i="20" s="1"/>
  <c r="GER247" i="20"/>
  <c r="GEN247" i="20" l="1"/>
  <c r="GEJ247" i="20" s="1"/>
  <c r="GEF247" i="20" s="1"/>
  <c r="GEB247" i="20" s="1"/>
  <c r="GEM247" i="20"/>
  <c r="GEI247" i="20" l="1"/>
  <c r="GEE247" i="20" s="1"/>
  <c r="GEA247" i="20" s="1"/>
  <c r="GDW247" i="20" s="1"/>
  <c r="GEH247" i="20"/>
  <c r="GED247" i="20" l="1"/>
  <c r="GDZ247" i="20" s="1"/>
  <c r="GDV247" i="20" s="1"/>
  <c r="GDR247" i="20" s="1"/>
  <c r="GEC247" i="20"/>
  <c r="GDY247" i="20" l="1"/>
  <c r="GDU247" i="20" s="1"/>
  <c r="GDQ247" i="20" s="1"/>
  <c r="GDM247" i="20" s="1"/>
  <c r="GDX247" i="20"/>
  <c r="GDT247" i="20" l="1"/>
  <c r="GDP247" i="20" s="1"/>
  <c r="GDL247" i="20" s="1"/>
  <c r="GDH247" i="20" s="1"/>
  <c r="GDS247" i="20"/>
  <c r="GDO247" i="20" l="1"/>
  <c r="GDK247" i="20" s="1"/>
  <c r="GDG247" i="20" s="1"/>
  <c r="GDC247" i="20" s="1"/>
  <c r="GDN247" i="20"/>
  <c r="GDJ247" i="20" l="1"/>
  <c r="GDF247" i="20" s="1"/>
  <c r="GDB247" i="20" s="1"/>
  <c r="GCX247" i="20" s="1"/>
  <c r="GDI247" i="20"/>
  <c r="GDE247" i="20" l="1"/>
  <c r="GDA247" i="20" s="1"/>
  <c r="GCW247" i="20" s="1"/>
  <c r="GCS247" i="20" s="1"/>
  <c r="GDD247" i="20"/>
  <c r="GCZ247" i="20" l="1"/>
  <c r="GCV247" i="20" s="1"/>
  <c r="GCR247" i="20" s="1"/>
  <c r="GCN247" i="20" s="1"/>
  <c r="GCY247" i="20"/>
  <c r="GCU247" i="20" l="1"/>
  <c r="GCQ247" i="20" s="1"/>
  <c r="GCM247" i="20" s="1"/>
  <c r="GCI247" i="20" s="1"/>
  <c r="GCT247" i="20"/>
  <c r="GCP247" i="20" l="1"/>
  <c r="GCL247" i="20" s="1"/>
  <c r="GCH247" i="20" s="1"/>
  <c r="GCD247" i="20" s="1"/>
  <c r="GCO247" i="20"/>
  <c r="GCK247" i="20" l="1"/>
  <c r="GCG247" i="20" s="1"/>
  <c r="GCC247" i="20" s="1"/>
  <c r="GBY247" i="20" s="1"/>
  <c r="GCJ247" i="20"/>
  <c r="GCF247" i="20" l="1"/>
  <c r="GCB247" i="20" s="1"/>
  <c r="GBX247" i="20" s="1"/>
  <c r="GBT247" i="20" s="1"/>
  <c r="GCE247" i="20"/>
  <c r="GCA247" i="20" l="1"/>
  <c r="GBW247" i="20" s="1"/>
  <c r="GBS247" i="20" s="1"/>
  <c r="GBO247" i="20" s="1"/>
  <c r="GBZ247" i="20"/>
  <c r="GBV247" i="20" l="1"/>
  <c r="GBR247" i="20" s="1"/>
  <c r="GBN247" i="20" s="1"/>
  <c r="GBJ247" i="20" s="1"/>
  <c r="GBU247" i="20"/>
  <c r="GBQ247" i="20" l="1"/>
  <c r="GBM247" i="20" s="1"/>
  <c r="GBI247" i="20" s="1"/>
  <c r="GBE247" i="20" s="1"/>
  <c r="GBP247" i="20"/>
  <c r="GBL247" i="20" l="1"/>
  <c r="GBH247" i="20" s="1"/>
  <c r="GBD247" i="20" s="1"/>
  <c r="GAZ247" i="20" s="1"/>
  <c r="GBK247" i="20"/>
  <c r="GBG247" i="20" l="1"/>
  <c r="GBC247" i="20" s="1"/>
  <c r="GAY247" i="20" s="1"/>
  <c r="GAU247" i="20" s="1"/>
  <c r="GBF247" i="20"/>
  <c r="GBB247" i="20" l="1"/>
  <c r="GAX247" i="20" s="1"/>
  <c r="GAT247" i="20" s="1"/>
  <c r="GAP247" i="20" s="1"/>
  <c r="GBA247" i="20"/>
  <c r="GAW247" i="20" l="1"/>
  <c r="GAS247" i="20" s="1"/>
  <c r="GAO247" i="20" s="1"/>
  <c r="GAK247" i="20" s="1"/>
  <c r="GAV247" i="20"/>
  <c r="GAR247" i="20" l="1"/>
  <c r="GAN247" i="20" s="1"/>
  <c r="GAJ247" i="20" s="1"/>
  <c r="GAF247" i="20" s="1"/>
  <c r="GAQ247" i="20"/>
  <c r="GAM247" i="20" l="1"/>
  <c r="GAI247" i="20" s="1"/>
  <c r="GAE247" i="20" s="1"/>
  <c r="GAA247" i="20" s="1"/>
  <c r="GAL247" i="20"/>
  <c r="GAH247" i="20" l="1"/>
  <c r="GAD247" i="20" s="1"/>
  <c r="FZZ247" i="20" s="1"/>
  <c r="FZV247" i="20" s="1"/>
  <c r="GAG247" i="20"/>
  <c r="GAC247" i="20" l="1"/>
  <c r="FZY247" i="20" s="1"/>
  <c r="FZU247" i="20" s="1"/>
  <c r="FZQ247" i="20" s="1"/>
  <c r="GAB247" i="20"/>
  <c r="FZX247" i="20" l="1"/>
  <c r="FZT247" i="20" s="1"/>
  <c r="FZP247" i="20" s="1"/>
  <c r="FZL247" i="20" s="1"/>
  <c r="FZW247" i="20"/>
  <c r="FZS247" i="20" l="1"/>
  <c r="FZO247" i="20" s="1"/>
  <c r="FZK247" i="20" s="1"/>
  <c r="FZG247" i="20" s="1"/>
  <c r="FZR247" i="20"/>
  <c r="FZN247" i="20" l="1"/>
  <c r="FZJ247" i="20" s="1"/>
  <c r="FZF247" i="20" s="1"/>
  <c r="FZB247" i="20" s="1"/>
  <c r="FZM247" i="20"/>
  <c r="FZI247" i="20" l="1"/>
  <c r="FZE247" i="20" s="1"/>
  <c r="FZA247" i="20" s="1"/>
  <c r="FYW247" i="20" s="1"/>
  <c r="FZH247" i="20"/>
  <c r="FZD247" i="20" l="1"/>
  <c r="FYZ247" i="20" s="1"/>
  <c r="FYV247" i="20" s="1"/>
  <c r="FYR247" i="20" s="1"/>
  <c r="FZC247" i="20"/>
  <c r="FYY247" i="20" l="1"/>
  <c r="FYU247" i="20" s="1"/>
  <c r="FYQ247" i="20" s="1"/>
  <c r="FYM247" i="20" s="1"/>
  <c r="FYX247" i="20"/>
  <c r="FYT247" i="20" l="1"/>
  <c r="FYP247" i="20" s="1"/>
  <c r="FYL247" i="20" s="1"/>
  <c r="FYH247" i="20" s="1"/>
  <c r="FYS247" i="20"/>
  <c r="FYO247" i="20" l="1"/>
  <c r="FYK247" i="20" s="1"/>
  <c r="FYG247" i="20" s="1"/>
  <c r="FYC247" i="20" s="1"/>
  <c r="FYN247" i="20"/>
  <c r="FYJ247" i="20" l="1"/>
  <c r="FYF247" i="20" s="1"/>
  <c r="FYB247" i="20" s="1"/>
  <c r="FXX247" i="20" s="1"/>
  <c r="FYI247" i="20"/>
  <c r="FYE247" i="20" l="1"/>
  <c r="FYA247" i="20" s="1"/>
  <c r="FXW247" i="20" s="1"/>
  <c r="FXS247" i="20" s="1"/>
  <c r="FYD247" i="20"/>
  <c r="FXZ247" i="20" l="1"/>
  <c r="FXV247" i="20" s="1"/>
  <c r="FXR247" i="20" s="1"/>
  <c r="FXN247" i="20" s="1"/>
  <c r="FXY247" i="20"/>
  <c r="FXU247" i="20" l="1"/>
  <c r="FXQ247" i="20" s="1"/>
  <c r="FXM247" i="20" s="1"/>
  <c r="FXI247" i="20" s="1"/>
  <c r="FXT247" i="20"/>
  <c r="FXP247" i="20" l="1"/>
  <c r="FXL247" i="20" s="1"/>
  <c r="FXH247" i="20" s="1"/>
  <c r="FXD247" i="20" s="1"/>
  <c r="FXO247" i="20"/>
  <c r="FXK247" i="20" l="1"/>
  <c r="FXG247" i="20" s="1"/>
  <c r="FXC247" i="20" s="1"/>
  <c r="FWY247" i="20" s="1"/>
  <c r="FXJ247" i="20"/>
  <c r="FXF247" i="20" l="1"/>
  <c r="FXB247" i="20" s="1"/>
  <c r="FWX247" i="20" s="1"/>
  <c r="FWT247" i="20" s="1"/>
  <c r="FXE247" i="20"/>
  <c r="FXA247" i="20" l="1"/>
  <c r="FWW247" i="20" s="1"/>
  <c r="FWS247" i="20" s="1"/>
  <c r="FWO247" i="20" s="1"/>
  <c r="FWZ247" i="20"/>
  <c r="FWV247" i="20" l="1"/>
  <c r="FWR247" i="20" s="1"/>
  <c r="FWN247" i="20" s="1"/>
  <c r="FWJ247" i="20" s="1"/>
  <c r="FWU247" i="20"/>
  <c r="FWQ247" i="20" l="1"/>
  <c r="FWM247" i="20" s="1"/>
  <c r="FWI247" i="20" s="1"/>
  <c r="FWE247" i="20" s="1"/>
  <c r="FWP247" i="20"/>
  <c r="FWL247" i="20" l="1"/>
  <c r="FWH247" i="20" s="1"/>
  <c r="FWD247" i="20" s="1"/>
  <c r="FVZ247" i="20" s="1"/>
  <c r="FWK247" i="20"/>
  <c r="FWG247" i="20" l="1"/>
  <c r="FWC247" i="20" s="1"/>
  <c r="FVY247" i="20" s="1"/>
  <c r="FVU247" i="20" s="1"/>
  <c r="FWF247" i="20"/>
  <c r="FWB247" i="20" l="1"/>
  <c r="FVX247" i="20" s="1"/>
  <c r="FVT247" i="20" s="1"/>
  <c r="FVP247" i="20" s="1"/>
  <c r="FWA247" i="20"/>
  <c r="FVW247" i="20" l="1"/>
  <c r="FVS247" i="20" s="1"/>
  <c r="FVO247" i="20" s="1"/>
  <c r="FVK247" i="20" s="1"/>
  <c r="FVV247" i="20"/>
  <c r="FVR247" i="20" l="1"/>
  <c r="FVN247" i="20" s="1"/>
  <c r="FVJ247" i="20" s="1"/>
  <c r="FVF247" i="20" s="1"/>
  <c r="FVQ247" i="20"/>
  <c r="FVM247" i="20" l="1"/>
  <c r="FVI247" i="20" s="1"/>
  <c r="FVE247" i="20" s="1"/>
  <c r="FVA247" i="20" s="1"/>
  <c r="FVL247" i="20"/>
  <c r="FVH247" i="20" l="1"/>
  <c r="FVD247" i="20" s="1"/>
  <c r="FUZ247" i="20" s="1"/>
  <c r="FUV247" i="20" s="1"/>
  <c r="FVG247" i="20"/>
  <c r="FVC247" i="20" l="1"/>
  <c r="FUY247" i="20" s="1"/>
  <c r="FUU247" i="20" s="1"/>
  <c r="FUQ247" i="20" s="1"/>
  <c r="FVB247" i="20"/>
  <c r="FUX247" i="20" l="1"/>
  <c r="FUT247" i="20" s="1"/>
  <c r="FUP247" i="20" s="1"/>
  <c r="FUL247" i="20" s="1"/>
  <c r="FUW247" i="20"/>
  <c r="FUS247" i="20" l="1"/>
  <c r="FUO247" i="20" s="1"/>
  <c r="FUK247" i="20" s="1"/>
  <c r="FUG247" i="20" s="1"/>
  <c r="FUR247" i="20"/>
  <c r="FUN247" i="20" l="1"/>
  <c r="FUJ247" i="20" s="1"/>
  <c r="FUF247" i="20" s="1"/>
  <c r="FUB247" i="20" s="1"/>
  <c r="FUM247" i="20"/>
  <c r="FUI247" i="20" l="1"/>
  <c r="FUE247" i="20" s="1"/>
  <c r="FUA247" i="20" s="1"/>
  <c r="FTW247" i="20" s="1"/>
  <c r="FUH247" i="20"/>
  <c r="FUD247" i="20" l="1"/>
  <c r="FTZ247" i="20" s="1"/>
  <c r="FTV247" i="20" s="1"/>
  <c r="FTR247" i="20" s="1"/>
  <c r="FUC247" i="20"/>
  <c r="FTY247" i="20" l="1"/>
  <c r="FTU247" i="20" s="1"/>
  <c r="FTQ247" i="20" s="1"/>
  <c r="FTM247" i="20" s="1"/>
  <c r="FTX247" i="20"/>
  <c r="FTT247" i="20" l="1"/>
  <c r="FTP247" i="20" s="1"/>
  <c r="FTL247" i="20" s="1"/>
  <c r="FTH247" i="20" s="1"/>
  <c r="FTS247" i="20"/>
  <c r="FTO247" i="20" l="1"/>
  <c r="FTK247" i="20" s="1"/>
  <c r="FTG247" i="20" s="1"/>
  <c r="FTC247" i="20" s="1"/>
  <c r="FTN247" i="20"/>
  <c r="FTJ247" i="20" l="1"/>
  <c r="FTF247" i="20" s="1"/>
  <c r="FTB247" i="20" s="1"/>
  <c r="FSX247" i="20" s="1"/>
  <c r="FTI247" i="20"/>
  <c r="FTE247" i="20" l="1"/>
  <c r="FTA247" i="20" s="1"/>
  <c r="FSW247" i="20" s="1"/>
  <c r="FSS247" i="20" s="1"/>
  <c r="FTD247" i="20"/>
  <c r="FSZ247" i="20" l="1"/>
  <c r="FSV247" i="20" s="1"/>
  <c r="FSR247" i="20" s="1"/>
  <c r="FSN247" i="20" s="1"/>
  <c r="FSY247" i="20"/>
  <c r="FSU247" i="20" l="1"/>
  <c r="FSQ247" i="20" s="1"/>
  <c r="FSM247" i="20" s="1"/>
  <c r="FSI247" i="20" s="1"/>
  <c r="FST247" i="20"/>
  <c r="FSP247" i="20" l="1"/>
  <c r="FSL247" i="20" s="1"/>
  <c r="FSH247" i="20" s="1"/>
  <c r="FSD247" i="20" s="1"/>
  <c r="FSO247" i="20"/>
  <c r="FSK247" i="20" l="1"/>
  <c r="FSG247" i="20" s="1"/>
  <c r="FSC247" i="20" s="1"/>
  <c r="FRY247" i="20" s="1"/>
  <c r="FSJ247" i="20"/>
  <c r="FSF247" i="20" l="1"/>
  <c r="FSB247" i="20" s="1"/>
  <c r="FRX247" i="20" s="1"/>
  <c r="FRT247" i="20" s="1"/>
  <c r="FSE247" i="20"/>
  <c r="FSA247" i="20" l="1"/>
  <c r="FRW247" i="20" s="1"/>
  <c r="FRS247" i="20" s="1"/>
  <c r="FRO247" i="20" s="1"/>
  <c r="FRZ247" i="20"/>
  <c r="FRV247" i="20" l="1"/>
  <c r="FRR247" i="20" s="1"/>
  <c r="FRN247" i="20" s="1"/>
  <c r="FRJ247" i="20" s="1"/>
  <c r="FRU247" i="20"/>
  <c r="FRQ247" i="20" l="1"/>
  <c r="FRM247" i="20" s="1"/>
  <c r="FRI247" i="20" s="1"/>
  <c r="FRE247" i="20" s="1"/>
  <c r="FRP247" i="20"/>
  <c r="FRL247" i="20" l="1"/>
  <c r="FRH247" i="20" s="1"/>
  <c r="FRD247" i="20" s="1"/>
  <c r="FQZ247" i="20" s="1"/>
  <c r="FRK247" i="20"/>
  <c r="FRG247" i="20" l="1"/>
  <c r="FRC247" i="20" s="1"/>
  <c r="FQY247" i="20" s="1"/>
  <c r="FQU247" i="20" s="1"/>
  <c r="FRF247" i="20"/>
  <c r="FRB247" i="20" l="1"/>
  <c r="FQX247" i="20" s="1"/>
  <c r="FQT247" i="20" s="1"/>
  <c r="FQP247" i="20" s="1"/>
  <c r="FRA247" i="20"/>
  <c r="FQW247" i="20" l="1"/>
  <c r="FQS247" i="20" s="1"/>
  <c r="FQO247" i="20" s="1"/>
  <c r="FQK247" i="20" s="1"/>
  <c r="FQV247" i="20"/>
  <c r="FQR247" i="20" l="1"/>
  <c r="FQN247" i="20" s="1"/>
  <c r="FQJ247" i="20" s="1"/>
  <c r="FQF247" i="20" s="1"/>
  <c r="FQQ247" i="20"/>
  <c r="FQM247" i="20" l="1"/>
  <c r="FQI247" i="20" s="1"/>
  <c r="FQE247" i="20" s="1"/>
  <c r="FQA247" i="20" s="1"/>
  <c r="FQL247" i="20"/>
  <c r="FQH247" i="20" l="1"/>
  <c r="FQD247" i="20" s="1"/>
  <c r="FPZ247" i="20" s="1"/>
  <c r="FPV247" i="20" s="1"/>
  <c r="FQG247" i="20"/>
  <c r="FQC247" i="20" l="1"/>
  <c r="FPY247" i="20" s="1"/>
  <c r="FPU247" i="20" s="1"/>
  <c r="FPQ247" i="20" s="1"/>
  <c r="FQB247" i="20"/>
  <c r="FPX247" i="20" l="1"/>
  <c r="FPT247" i="20" s="1"/>
  <c r="FPP247" i="20" s="1"/>
  <c r="FPL247" i="20" s="1"/>
  <c r="FPW247" i="20"/>
  <c r="FPS247" i="20" l="1"/>
  <c r="FPO247" i="20" s="1"/>
  <c r="FPK247" i="20" s="1"/>
  <c r="FPG247" i="20" s="1"/>
  <c r="FPR247" i="20"/>
  <c r="FPN247" i="20" l="1"/>
  <c r="FPJ247" i="20" s="1"/>
  <c r="FPF247" i="20" s="1"/>
  <c r="FPB247" i="20" s="1"/>
  <c r="FPM247" i="20"/>
  <c r="FPI247" i="20" l="1"/>
  <c r="FPE247" i="20" s="1"/>
  <c r="FPA247" i="20" s="1"/>
  <c r="FOW247" i="20" s="1"/>
  <c r="FPH247" i="20"/>
  <c r="FPD247" i="20" l="1"/>
  <c r="FOZ247" i="20" s="1"/>
  <c r="FOV247" i="20" s="1"/>
  <c r="FOR247" i="20" s="1"/>
  <c r="FPC247" i="20"/>
  <c r="FOY247" i="20" l="1"/>
  <c r="FOU247" i="20" s="1"/>
  <c r="FOQ247" i="20" s="1"/>
  <c r="FOM247" i="20" s="1"/>
  <c r="FOX247" i="20"/>
  <c r="FOT247" i="20" l="1"/>
  <c r="FOP247" i="20" s="1"/>
  <c r="FOL247" i="20" s="1"/>
  <c r="FOH247" i="20" s="1"/>
  <c r="FOS247" i="20"/>
  <c r="FOO247" i="20" l="1"/>
  <c r="FOK247" i="20" s="1"/>
  <c r="FOG247" i="20" s="1"/>
  <c r="FOC247" i="20" s="1"/>
  <c r="FON247" i="20"/>
  <c r="FOJ247" i="20" l="1"/>
  <c r="FOF247" i="20" s="1"/>
  <c r="FOB247" i="20" s="1"/>
  <c r="FNX247" i="20" s="1"/>
  <c r="FOI247" i="20"/>
  <c r="FOE247" i="20" l="1"/>
  <c r="FOA247" i="20" s="1"/>
  <c r="FNW247" i="20" s="1"/>
  <c r="FNS247" i="20" s="1"/>
  <c r="FOD247" i="20"/>
  <c r="FNZ247" i="20" l="1"/>
  <c r="FNV247" i="20" s="1"/>
  <c r="FNR247" i="20" s="1"/>
  <c r="FNN247" i="20" s="1"/>
  <c r="FNY247" i="20"/>
  <c r="FNU247" i="20" l="1"/>
  <c r="FNQ247" i="20" s="1"/>
  <c r="FNM247" i="20" s="1"/>
  <c r="FNI247" i="20" s="1"/>
  <c r="FNT247" i="20"/>
  <c r="FNP247" i="20" l="1"/>
  <c r="FNL247" i="20" s="1"/>
  <c r="FNH247" i="20" s="1"/>
  <c r="FND247" i="20" s="1"/>
  <c r="FNO247" i="20"/>
  <c r="FNK247" i="20" l="1"/>
  <c r="FNG247" i="20" s="1"/>
  <c r="FNC247" i="20" s="1"/>
  <c r="FMY247" i="20" s="1"/>
  <c r="FNJ247" i="20"/>
  <c r="FNF247" i="20" l="1"/>
  <c r="FNB247" i="20" s="1"/>
  <c r="FMX247" i="20" s="1"/>
  <c r="FMT247" i="20" s="1"/>
  <c r="FNE247" i="20"/>
  <c r="FNA247" i="20" l="1"/>
  <c r="FMW247" i="20" s="1"/>
  <c r="FMS247" i="20" s="1"/>
  <c r="FMO247" i="20" s="1"/>
  <c r="FMZ247" i="20"/>
  <c r="FMV247" i="20" l="1"/>
  <c r="FMR247" i="20" s="1"/>
  <c r="FMN247" i="20" s="1"/>
  <c r="FMJ247" i="20" s="1"/>
  <c r="FMU247" i="20"/>
  <c r="FMQ247" i="20" l="1"/>
  <c r="FMM247" i="20" s="1"/>
  <c r="FMI247" i="20" s="1"/>
  <c r="FME247" i="20" s="1"/>
  <c r="FMP247" i="20"/>
  <c r="FML247" i="20" l="1"/>
  <c r="FMH247" i="20" s="1"/>
  <c r="FMD247" i="20" s="1"/>
  <c r="FLZ247" i="20" s="1"/>
  <c r="FMK247" i="20"/>
  <c r="FMG247" i="20" l="1"/>
  <c r="FMC247" i="20" s="1"/>
  <c r="FLY247" i="20" s="1"/>
  <c r="FLU247" i="20" s="1"/>
  <c r="FMF247" i="20"/>
  <c r="FMB247" i="20" l="1"/>
  <c r="FLX247" i="20" s="1"/>
  <c r="FLT247" i="20" s="1"/>
  <c r="FLP247" i="20" s="1"/>
  <c r="FMA247" i="20"/>
  <c r="FLW247" i="20" l="1"/>
  <c r="FLS247" i="20" s="1"/>
  <c r="FLO247" i="20" s="1"/>
  <c r="FLK247" i="20" s="1"/>
  <c r="FLV247" i="20"/>
  <c r="FLR247" i="20" l="1"/>
  <c r="FLN247" i="20" s="1"/>
  <c r="FLJ247" i="20" s="1"/>
  <c r="FLF247" i="20" s="1"/>
  <c r="FLQ247" i="20"/>
  <c r="FLM247" i="20" l="1"/>
  <c r="FLI247" i="20" s="1"/>
  <c r="FLE247" i="20" s="1"/>
  <c r="FLA247" i="20" s="1"/>
  <c r="FLL247" i="20"/>
  <c r="FLH247" i="20" l="1"/>
  <c r="FLD247" i="20" s="1"/>
  <c r="FKZ247" i="20" s="1"/>
  <c r="FKV247" i="20" s="1"/>
  <c r="FLG247" i="20"/>
  <c r="FLC247" i="20" l="1"/>
  <c r="FKY247" i="20" s="1"/>
  <c r="FKU247" i="20" s="1"/>
  <c r="FKQ247" i="20" s="1"/>
  <c r="FLB247" i="20"/>
  <c r="FKX247" i="20" l="1"/>
  <c r="FKT247" i="20" s="1"/>
  <c r="FKP247" i="20" s="1"/>
  <c r="FKL247" i="20" s="1"/>
  <c r="FKW247" i="20"/>
  <c r="FKS247" i="20" l="1"/>
  <c r="FKO247" i="20" s="1"/>
  <c r="FKK247" i="20" s="1"/>
  <c r="FKG247" i="20" s="1"/>
  <c r="FKR247" i="20"/>
  <c r="FKN247" i="20" l="1"/>
  <c r="FKJ247" i="20" s="1"/>
  <c r="FKF247" i="20" s="1"/>
  <c r="FKB247" i="20" s="1"/>
  <c r="FKM247" i="20"/>
  <c r="FKI247" i="20" l="1"/>
  <c r="FKE247" i="20" s="1"/>
  <c r="FKA247" i="20" s="1"/>
  <c r="FJW247" i="20" s="1"/>
  <c r="FKH247" i="20"/>
  <c r="FKD247" i="20" l="1"/>
  <c r="FJZ247" i="20" s="1"/>
  <c r="FJV247" i="20" s="1"/>
  <c r="FJR247" i="20" s="1"/>
  <c r="FKC247" i="20"/>
  <c r="FJY247" i="20" l="1"/>
  <c r="FJU247" i="20" s="1"/>
  <c r="FJQ247" i="20" s="1"/>
  <c r="FJM247" i="20" s="1"/>
  <c r="FJX247" i="20"/>
  <c r="FJT247" i="20" l="1"/>
  <c r="FJP247" i="20" s="1"/>
  <c r="FJL247" i="20" s="1"/>
  <c r="FJH247" i="20" s="1"/>
  <c r="FJS247" i="20"/>
  <c r="FJO247" i="20" l="1"/>
  <c r="FJK247" i="20" s="1"/>
  <c r="FJG247" i="20" s="1"/>
  <c r="FJC247" i="20" s="1"/>
  <c r="FJN247" i="20"/>
  <c r="FJJ247" i="20" l="1"/>
  <c r="FJF247" i="20" s="1"/>
  <c r="FJB247" i="20" s="1"/>
  <c r="FIX247" i="20" s="1"/>
  <c r="FJI247" i="20"/>
  <c r="FJE247" i="20" l="1"/>
  <c r="FJA247" i="20" s="1"/>
  <c r="FIW247" i="20" s="1"/>
  <c r="FIS247" i="20" s="1"/>
  <c r="FJD247" i="20"/>
  <c r="FIZ247" i="20" l="1"/>
  <c r="FIV247" i="20" s="1"/>
  <c r="FIR247" i="20" s="1"/>
  <c r="FIN247" i="20" s="1"/>
  <c r="FIY247" i="20"/>
  <c r="FIU247" i="20" l="1"/>
  <c r="FIQ247" i="20" s="1"/>
  <c r="FIM247" i="20" s="1"/>
  <c r="FII247" i="20" s="1"/>
  <c r="FIT247" i="20"/>
  <c r="FIP247" i="20" l="1"/>
  <c r="FIL247" i="20" s="1"/>
  <c r="FIH247" i="20" s="1"/>
  <c r="FID247" i="20" s="1"/>
  <c r="FIO247" i="20"/>
  <c r="FIK247" i="20" l="1"/>
  <c r="FIG247" i="20" s="1"/>
  <c r="FIC247" i="20" s="1"/>
  <c r="FHY247" i="20" s="1"/>
  <c r="FIJ247" i="20"/>
  <c r="FIF247" i="20" l="1"/>
  <c r="FIB247" i="20" s="1"/>
  <c r="FHX247" i="20" s="1"/>
  <c r="FHT247" i="20" s="1"/>
  <c r="FIE247" i="20"/>
  <c r="FIA247" i="20" l="1"/>
  <c r="FHW247" i="20" s="1"/>
  <c r="FHS247" i="20" s="1"/>
  <c r="FHO247" i="20" s="1"/>
  <c r="FHZ247" i="20"/>
  <c r="FHV247" i="20" l="1"/>
  <c r="FHR247" i="20" s="1"/>
  <c r="FHN247" i="20" s="1"/>
  <c r="FHJ247" i="20" s="1"/>
  <c r="FHU247" i="20"/>
  <c r="FHQ247" i="20" l="1"/>
  <c r="FHM247" i="20" s="1"/>
  <c r="FHI247" i="20" s="1"/>
  <c r="FHE247" i="20" s="1"/>
  <c r="FHP247" i="20"/>
  <c r="FHL247" i="20" l="1"/>
  <c r="FHH247" i="20" s="1"/>
  <c r="FHD247" i="20" s="1"/>
  <c r="FGZ247" i="20" s="1"/>
  <c r="FHK247" i="20"/>
  <c r="FHG247" i="20" l="1"/>
  <c r="FHC247" i="20" s="1"/>
  <c r="FGY247" i="20" s="1"/>
  <c r="FGU247" i="20" s="1"/>
  <c r="FHF247" i="20"/>
  <c r="FHB247" i="20" l="1"/>
  <c r="FGX247" i="20" s="1"/>
  <c r="FGT247" i="20" s="1"/>
  <c r="FGP247" i="20" s="1"/>
  <c r="FHA247" i="20"/>
  <c r="FGW247" i="20" l="1"/>
  <c r="FGS247" i="20" s="1"/>
  <c r="FGO247" i="20" s="1"/>
  <c r="FGK247" i="20" s="1"/>
  <c r="FGV247" i="20"/>
  <c r="FGR247" i="20" l="1"/>
  <c r="FGN247" i="20" s="1"/>
  <c r="FGJ247" i="20" s="1"/>
  <c r="FGF247" i="20" s="1"/>
  <c r="FGQ247" i="20"/>
  <c r="FGM247" i="20" l="1"/>
  <c r="FGI247" i="20" s="1"/>
  <c r="FGE247" i="20" s="1"/>
  <c r="FGA247" i="20" s="1"/>
  <c r="FGL247" i="20"/>
  <c r="FGH247" i="20" l="1"/>
  <c r="FGD247" i="20" s="1"/>
  <c r="FFZ247" i="20" s="1"/>
  <c r="FFV247" i="20" s="1"/>
  <c r="FGG247" i="20"/>
  <c r="FGC247" i="20" l="1"/>
  <c r="FFY247" i="20" s="1"/>
  <c r="FFU247" i="20" s="1"/>
  <c r="FFQ247" i="20" s="1"/>
  <c r="FGB247" i="20"/>
  <c r="FFX247" i="20" l="1"/>
  <c r="FFT247" i="20" s="1"/>
  <c r="FFP247" i="20" s="1"/>
  <c r="FFL247" i="20" s="1"/>
  <c r="FFW247" i="20"/>
  <c r="FFS247" i="20" l="1"/>
  <c r="FFO247" i="20" s="1"/>
  <c r="FFK247" i="20" s="1"/>
  <c r="FFG247" i="20" s="1"/>
  <c r="FFR247" i="20"/>
  <c r="FFN247" i="20" l="1"/>
  <c r="FFJ247" i="20" s="1"/>
  <c r="FFF247" i="20" s="1"/>
  <c r="FFB247" i="20" s="1"/>
  <c r="FFM247" i="20"/>
  <c r="FFI247" i="20" l="1"/>
  <c r="FFE247" i="20" s="1"/>
  <c r="FFA247" i="20" s="1"/>
  <c r="FEW247" i="20" s="1"/>
  <c r="FFH247" i="20"/>
  <c r="FFD247" i="20" l="1"/>
  <c r="FEZ247" i="20" s="1"/>
  <c r="FEV247" i="20" s="1"/>
  <c r="FER247" i="20" s="1"/>
  <c r="FFC247" i="20"/>
  <c r="FEY247" i="20" l="1"/>
  <c r="FEU247" i="20" s="1"/>
  <c r="FEQ247" i="20" s="1"/>
  <c r="FEM247" i="20" s="1"/>
  <c r="FEX247" i="20"/>
  <c r="FET247" i="20" l="1"/>
  <c r="FEP247" i="20" s="1"/>
  <c r="FEL247" i="20" s="1"/>
  <c r="FEH247" i="20" s="1"/>
  <c r="FES247" i="20"/>
  <c r="FEO247" i="20" l="1"/>
  <c r="FEK247" i="20" s="1"/>
  <c r="FEG247" i="20" s="1"/>
  <c r="FEC247" i="20" s="1"/>
  <c r="FEN247" i="20"/>
  <c r="FEJ247" i="20" l="1"/>
  <c r="FEF247" i="20" s="1"/>
  <c r="FEB247" i="20" s="1"/>
  <c r="FDX247" i="20" s="1"/>
  <c r="FEI247" i="20"/>
  <c r="FEE247" i="20" l="1"/>
  <c r="FEA247" i="20" s="1"/>
  <c r="FDW247" i="20" s="1"/>
  <c r="FDS247" i="20" s="1"/>
  <c r="FED247" i="20"/>
  <c r="FDZ247" i="20" l="1"/>
  <c r="FDV247" i="20" s="1"/>
  <c r="FDR247" i="20" s="1"/>
  <c r="FDN247" i="20" s="1"/>
  <c r="FDY247" i="20"/>
  <c r="FDU247" i="20" l="1"/>
  <c r="FDQ247" i="20" s="1"/>
  <c r="FDM247" i="20" s="1"/>
  <c r="FDI247" i="20" s="1"/>
  <c r="FDT247" i="20"/>
  <c r="FDP247" i="20" l="1"/>
  <c r="FDL247" i="20" s="1"/>
  <c r="FDH247" i="20" s="1"/>
  <c r="FDD247" i="20" s="1"/>
  <c r="FDO247" i="20"/>
  <c r="FDK247" i="20" l="1"/>
  <c r="FDG247" i="20" s="1"/>
  <c r="FDC247" i="20" s="1"/>
  <c r="FCY247" i="20" s="1"/>
  <c r="FDJ247" i="20"/>
  <c r="FDF247" i="20" l="1"/>
  <c r="FDB247" i="20" s="1"/>
  <c r="FCX247" i="20" s="1"/>
  <c r="FCT247" i="20" s="1"/>
  <c r="FDE247" i="20"/>
  <c r="FDA247" i="20" l="1"/>
  <c r="FCW247" i="20" s="1"/>
  <c r="FCS247" i="20" s="1"/>
  <c r="FCO247" i="20" s="1"/>
  <c r="FCZ247" i="20"/>
  <c r="FCV247" i="20" l="1"/>
  <c r="FCR247" i="20" s="1"/>
  <c r="FCN247" i="20" s="1"/>
  <c r="FCJ247" i="20" s="1"/>
  <c r="FCU247" i="20"/>
  <c r="FCQ247" i="20" l="1"/>
  <c r="FCM247" i="20" s="1"/>
  <c r="FCI247" i="20" s="1"/>
  <c r="FCE247" i="20" s="1"/>
  <c r="FCP247" i="20"/>
  <c r="FCL247" i="20" l="1"/>
  <c r="FCH247" i="20" s="1"/>
  <c r="FCD247" i="20" s="1"/>
  <c r="FBZ247" i="20" s="1"/>
  <c r="FCK247" i="20"/>
  <c r="FCG247" i="20" l="1"/>
  <c r="FCC247" i="20" s="1"/>
  <c r="FBY247" i="20" s="1"/>
  <c r="FBU247" i="20" s="1"/>
  <c r="FCF247" i="20"/>
  <c r="FCB247" i="20" l="1"/>
  <c r="FBX247" i="20" s="1"/>
  <c r="FBT247" i="20" s="1"/>
  <c r="FBP247" i="20" s="1"/>
  <c r="FCA247" i="20"/>
  <c r="FBW247" i="20" l="1"/>
  <c r="FBS247" i="20" s="1"/>
  <c r="FBO247" i="20" s="1"/>
  <c r="FBK247" i="20" s="1"/>
  <c r="FBV247" i="20"/>
  <c r="FBR247" i="20" l="1"/>
  <c r="FBN247" i="20" s="1"/>
  <c r="FBJ247" i="20" s="1"/>
  <c r="FBF247" i="20" s="1"/>
  <c r="FBQ247" i="20"/>
  <c r="FBM247" i="20" l="1"/>
  <c r="FBI247" i="20" s="1"/>
  <c r="FBE247" i="20" s="1"/>
  <c r="FBA247" i="20" s="1"/>
  <c r="FBL247" i="20"/>
  <c r="FBH247" i="20" l="1"/>
  <c r="FBD247" i="20" s="1"/>
  <c r="FAZ247" i="20" s="1"/>
  <c r="FAV247" i="20" s="1"/>
  <c r="FBG247" i="20"/>
  <c r="FBC247" i="20" l="1"/>
  <c r="FAY247" i="20" s="1"/>
  <c r="FAU247" i="20" s="1"/>
  <c r="FAQ247" i="20" s="1"/>
  <c r="FBB247" i="20"/>
  <c r="FAX247" i="20" l="1"/>
  <c r="FAT247" i="20" s="1"/>
  <c r="FAP247" i="20" s="1"/>
  <c r="FAL247" i="20" s="1"/>
  <c r="FAW247" i="20"/>
  <c r="FAS247" i="20" l="1"/>
  <c r="FAO247" i="20" s="1"/>
  <c r="FAK247" i="20" s="1"/>
  <c r="FAG247" i="20" s="1"/>
  <c r="FAR247" i="20"/>
  <c r="FAN247" i="20" l="1"/>
  <c r="FAJ247" i="20" s="1"/>
  <c r="FAF247" i="20" s="1"/>
  <c r="FAB247" i="20" s="1"/>
  <c r="FAM247" i="20"/>
  <c r="FAI247" i="20" l="1"/>
  <c r="FAE247" i="20" s="1"/>
  <c r="FAA247" i="20" s="1"/>
  <c r="EZW247" i="20" s="1"/>
  <c r="FAH247" i="20"/>
  <c r="FAD247" i="20" l="1"/>
  <c r="EZZ247" i="20" s="1"/>
  <c r="EZV247" i="20" s="1"/>
  <c r="EZR247" i="20" s="1"/>
  <c r="FAC247" i="20"/>
  <c r="EZY247" i="20" l="1"/>
  <c r="EZU247" i="20" s="1"/>
  <c r="EZQ247" i="20" s="1"/>
  <c r="EZM247" i="20" s="1"/>
  <c r="EZX247" i="20"/>
  <c r="EZT247" i="20" l="1"/>
  <c r="EZP247" i="20" s="1"/>
  <c r="EZL247" i="20" s="1"/>
  <c r="EZH247" i="20" s="1"/>
  <c r="EZS247" i="20"/>
  <c r="EZO247" i="20" l="1"/>
  <c r="EZK247" i="20" s="1"/>
  <c r="EZG247" i="20" s="1"/>
  <c r="EZC247" i="20" s="1"/>
  <c r="EZN247" i="20"/>
  <c r="EZJ247" i="20" l="1"/>
  <c r="EZF247" i="20" s="1"/>
  <c r="EZB247" i="20" s="1"/>
  <c r="EYX247" i="20" s="1"/>
  <c r="EZI247" i="20"/>
  <c r="EZE247" i="20" l="1"/>
  <c r="EZA247" i="20" s="1"/>
  <c r="EYW247" i="20" s="1"/>
  <c r="EYS247" i="20" s="1"/>
  <c r="EZD247" i="20"/>
  <c r="EYZ247" i="20" l="1"/>
  <c r="EYV247" i="20" s="1"/>
  <c r="EYR247" i="20" s="1"/>
  <c r="EYN247" i="20" s="1"/>
  <c r="EYY247" i="20"/>
  <c r="EYU247" i="20" l="1"/>
  <c r="EYQ247" i="20" s="1"/>
  <c r="EYM247" i="20" s="1"/>
  <c r="EYI247" i="20" s="1"/>
  <c r="EYT247" i="20"/>
  <c r="EYP247" i="20" l="1"/>
  <c r="EYL247" i="20" s="1"/>
  <c r="EYH247" i="20" s="1"/>
  <c r="EYD247" i="20" s="1"/>
  <c r="EYO247" i="20"/>
  <c r="EYK247" i="20" l="1"/>
  <c r="EYG247" i="20" s="1"/>
  <c r="EYC247" i="20" s="1"/>
  <c r="EXY247" i="20" s="1"/>
  <c r="EYJ247" i="20"/>
  <c r="EYF247" i="20" l="1"/>
  <c r="EYB247" i="20" s="1"/>
  <c r="EXX247" i="20" s="1"/>
  <c r="EXT247" i="20" s="1"/>
  <c r="EYE247" i="20"/>
  <c r="EYA247" i="20" l="1"/>
  <c r="EXW247" i="20" s="1"/>
  <c r="EXS247" i="20" s="1"/>
  <c r="EXO247" i="20" s="1"/>
  <c r="EXZ247" i="20"/>
  <c r="EXV247" i="20" l="1"/>
  <c r="EXR247" i="20" s="1"/>
  <c r="EXN247" i="20" s="1"/>
  <c r="EXJ247" i="20" s="1"/>
  <c r="EXU247" i="20"/>
  <c r="EXQ247" i="20" l="1"/>
  <c r="EXM247" i="20" s="1"/>
  <c r="EXI247" i="20" s="1"/>
  <c r="EXE247" i="20" s="1"/>
  <c r="EXP247" i="20"/>
  <c r="EXL247" i="20" l="1"/>
  <c r="EXH247" i="20" s="1"/>
  <c r="EXD247" i="20" s="1"/>
  <c r="EWZ247" i="20" s="1"/>
  <c r="EXK247" i="20"/>
  <c r="EXG247" i="20" l="1"/>
  <c r="EXC247" i="20" s="1"/>
  <c r="EWY247" i="20" s="1"/>
  <c r="EWU247" i="20" s="1"/>
  <c r="EXF247" i="20"/>
  <c r="EXB247" i="20" l="1"/>
  <c r="EWX247" i="20" s="1"/>
  <c r="EWT247" i="20" s="1"/>
  <c r="EWP247" i="20" s="1"/>
  <c r="EXA247" i="20"/>
  <c r="EWW247" i="20" l="1"/>
  <c r="EWS247" i="20" s="1"/>
  <c r="EWO247" i="20" s="1"/>
  <c r="EWK247" i="20" s="1"/>
  <c r="EWV247" i="20"/>
  <c r="EWR247" i="20" l="1"/>
  <c r="EWN247" i="20" s="1"/>
  <c r="EWJ247" i="20" s="1"/>
  <c r="EWF247" i="20" s="1"/>
  <c r="EWQ247" i="20"/>
  <c r="EWM247" i="20" l="1"/>
  <c r="EWI247" i="20" s="1"/>
  <c r="EWE247" i="20" s="1"/>
  <c r="EWA247" i="20" s="1"/>
  <c r="EWL247" i="20"/>
  <c r="EWH247" i="20" l="1"/>
  <c r="EWD247" i="20" s="1"/>
  <c r="EVZ247" i="20" s="1"/>
  <c r="EVV247" i="20" s="1"/>
  <c r="EWG247" i="20"/>
  <c r="EWC247" i="20" l="1"/>
  <c r="EVY247" i="20" s="1"/>
  <c r="EVU247" i="20" s="1"/>
  <c r="EVQ247" i="20" s="1"/>
  <c r="EWB247" i="20"/>
  <c r="EVX247" i="20" l="1"/>
  <c r="EVT247" i="20" s="1"/>
  <c r="EVP247" i="20" s="1"/>
  <c r="EVL247" i="20" s="1"/>
  <c r="EVW247" i="20"/>
  <c r="EVS247" i="20" l="1"/>
  <c r="EVO247" i="20" s="1"/>
  <c r="EVK247" i="20" s="1"/>
  <c r="EVG247" i="20" s="1"/>
  <c r="EVR247" i="20"/>
  <c r="EVN247" i="20" l="1"/>
  <c r="EVJ247" i="20" s="1"/>
  <c r="EVF247" i="20" s="1"/>
  <c r="EVB247" i="20" s="1"/>
  <c r="EVM247" i="20"/>
  <c r="EVI247" i="20" l="1"/>
  <c r="EVE247" i="20" s="1"/>
  <c r="EVA247" i="20" s="1"/>
  <c r="EUW247" i="20" s="1"/>
  <c r="EVH247" i="20"/>
  <c r="EVD247" i="20" l="1"/>
  <c r="EUZ247" i="20" s="1"/>
  <c r="EUV247" i="20" s="1"/>
  <c r="EUR247" i="20" s="1"/>
  <c r="EVC247" i="20"/>
  <c r="EUY247" i="20" l="1"/>
  <c r="EUU247" i="20" s="1"/>
  <c r="EUQ247" i="20" s="1"/>
  <c r="EUM247" i="20" s="1"/>
  <c r="EUX247" i="20"/>
  <c r="EUT247" i="20" l="1"/>
  <c r="EUP247" i="20" s="1"/>
  <c r="EUL247" i="20" s="1"/>
  <c r="EUH247" i="20" s="1"/>
  <c r="EUS247" i="20"/>
  <c r="EUO247" i="20" l="1"/>
  <c r="EUK247" i="20" s="1"/>
  <c r="EUG247" i="20" s="1"/>
  <c r="EUC247" i="20" s="1"/>
  <c r="EUN247" i="20"/>
  <c r="EUJ247" i="20" l="1"/>
  <c r="EUF247" i="20" s="1"/>
  <c r="EUB247" i="20" s="1"/>
  <c r="ETX247" i="20" s="1"/>
  <c r="EUI247" i="20"/>
  <c r="EUE247" i="20" l="1"/>
  <c r="EUA247" i="20" s="1"/>
  <c r="ETW247" i="20" s="1"/>
  <c r="ETS247" i="20" s="1"/>
  <c r="EUD247" i="20"/>
  <c r="ETZ247" i="20" l="1"/>
  <c r="ETV247" i="20" s="1"/>
  <c r="ETR247" i="20" s="1"/>
  <c r="ETN247" i="20" s="1"/>
  <c r="ETY247" i="20"/>
  <c r="ETU247" i="20" l="1"/>
  <c r="ETQ247" i="20" s="1"/>
  <c r="ETM247" i="20" s="1"/>
  <c r="ETI247" i="20" s="1"/>
  <c r="ETT247" i="20"/>
  <c r="ETP247" i="20" l="1"/>
  <c r="ETL247" i="20" s="1"/>
  <c r="ETH247" i="20" s="1"/>
  <c r="ETD247" i="20" s="1"/>
  <c r="ETO247" i="20"/>
  <c r="ETK247" i="20" l="1"/>
  <c r="ETG247" i="20" s="1"/>
  <c r="ETC247" i="20" s="1"/>
  <c r="ESY247" i="20" s="1"/>
  <c r="ETJ247" i="20"/>
  <c r="ETF247" i="20" l="1"/>
  <c r="ETB247" i="20" s="1"/>
  <c r="ESX247" i="20" s="1"/>
  <c r="EST247" i="20" s="1"/>
  <c r="ETE247" i="20"/>
  <c r="ETA247" i="20" l="1"/>
  <c r="ESW247" i="20" s="1"/>
  <c r="ESS247" i="20" s="1"/>
  <c r="ESO247" i="20" s="1"/>
  <c r="ESZ247" i="20"/>
  <c r="ESV247" i="20" l="1"/>
  <c r="ESR247" i="20" s="1"/>
  <c r="ESN247" i="20" s="1"/>
  <c r="ESJ247" i="20" s="1"/>
  <c r="ESU247" i="20"/>
  <c r="ESQ247" i="20" l="1"/>
  <c r="ESM247" i="20" s="1"/>
  <c r="ESI247" i="20" s="1"/>
  <c r="ESE247" i="20" s="1"/>
  <c r="ESP247" i="20"/>
  <c r="ESL247" i="20" l="1"/>
  <c r="ESH247" i="20" s="1"/>
  <c r="ESD247" i="20" s="1"/>
  <c r="ERZ247" i="20" s="1"/>
  <c r="ESK247" i="20"/>
  <c r="ESG247" i="20" l="1"/>
  <c r="ESC247" i="20" s="1"/>
  <c r="ERY247" i="20" s="1"/>
  <c r="ERU247" i="20" s="1"/>
  <c r="ESF247" i="20"/>
  <c r="ESB247" i="20" l="1"/>
  <c r="ERX247" i="20" s="1"/>
  <c r="ERT247" i="20" s="1"/>
  <c r="ERP247" i="20" s="1"/>
  <c r="ESA247" i="20"/>
  <c r="ERW247" i="20" l="1"/>
  <c r="ERS247" i="20" s="1"/>
  <c r="ERO247" i="20" s="1"/>
  <c r="ERK247" i="20" s="1"/>
  <c r="ERV247" i="20"/>
  <c r="ERR247" i="20" l="1"/>
  <c r="ERN247" i="20" s="1"/>
  <c r="ERJ247" i="20" s="1"/>
  <c r="ERF247" i="20" s="1"/>
  <c r="ERQ247" i="20"/>
  <c r="ERM247" i="20" l="1"/>
  <c r="ERI247" i="20" s="1"/>
  <c r="ERE247" i="20" s="1"/>
  <c r="ERA247" i="20" s="1"/>
  <c r="ERL247" i="20"/>
  <c r="ERH247" i="20" l="1"/>
  <c r="ERD247" i="20" s="1"/>
  <c r="EQZ247" i="20" s="1"/>
  <c r="EQV247" i="20" s="1"/>
  <c r="ERG247" i="20"/>
  <c r="ERC247" i="20" l="1"/>
  <c r="EQY247" i="20" s="1"/>
  <c r="EQU247" i="20" s="1"/>
  <c r="EQQ247" i="20" s="1"/>
  <c r="ERB247" i="20"/>
  <c r="EQX247" i="20" l="1"/>
  <c r="EQT247" i="20" s="1"/>
  <c r="EQP247" i="20" s="1"/>
  <c r="EQL247" i="20" s="1"/>
  <c r="EQW247" i="20"/>
  <c r="EQS247" i="20" l="1"/>
  <c r="EQO247" i="20" s="1"/>
  <c r="EQK247" i="20" s="1"/>
  <c r="EQG247" i="20" s="1"/>
  <c r="EQR247" i="20"/>
  <c r="EQN247" i="20" l="1"/>
  <c r="EQJ247" i="20" s="1"/>
  <c r="EQF247" i="20" s="1"/>
  <c r="EQB247" i="20" s="1"/>
  <c r="EQM247" i="20"/>
  <c r="EQI247" i="20" l="1"/>
  <c r="EQE247" i="20" s="1"/>
  <c r="EQA247" i="20" s="1"/>
  <c r="EPW247" i="20" s="1"/>
  <c r="EQH247" i="20"/>
  <c r="EQD247" i="20" l="1"/>
  <c r="EPZ247" i="20" s="1"/>
  <c r="EPV247" i="20" s="1"/>
  <c r="EPR247" i="20" s="1"/>
  <c r="EQC247" i="20"/>
  <c r="EPY247" i="20" l="1"/>
  <c r="EPU247" i="20" s="1"/>
  <c r="EPQ247" i="20" s="1"/>
  <c r="EPM247" i="20" s="1"/>
  <c r="EPX247" i="20"/>
  <c r="EPT247" i="20" l="1"/>
  <c r="EPP247" i="20" s="1"/>
  <c r="EPL247" i="20" s="1"/>
  <c r="EPH247" i="20" s="1"/>
  <c r="EPS247" i="20"/>
  <c r="EPO247" i="20" l="1"/>
  <c r="EPK247" i="20" s="1"/>
  <c r="EPG247" i="20" s="1"/>
  <c r="EPC247" i="20" s="1"/>
  <c r="EPN247" i="20"/>
  <c r="EPJ247" i="20" l="1"/>
  <c r="EPF247" i="20" s="1"/>
  <c r="EPB247" i="20" s="1"/>
  <c r="EOX247" i="20" s="1"/>
  <c r="EPI247" i="20"/>
  <c r="EPE247" i="20" l="1"/>
  <c r="EPA247" i="20" s="1"/>
  <c r="EOW247" i="20" s="1"/>
  <c r="EOS247" i="20" s="1"/>
  <c r="EPD247" i="20"/>
  <c r="EOZ247" i="20" l="1"/>
  <c r="EOV247" i="20" s="1"/>
  <c r="EOR247" i="20" s="1"/>
  <c r="EON247" i="20" s="1"/>
  <c r="EOY247" i="20"/>
  <c r="EOU247" i="20" l="1"/>
  <c r="EOQ247" i="20" s="1"/>
  <c r="EOM247" i="20" s="1"/>
  <c r="EOI247" i="20" s="1"/>
  <c r="EOT247" i="20"/>
  <c r="EOP247" i="20" l="1"/>
  <c r="EOL247" i="20" s="1"/>
  <c r="EOH247" i="20" s="1"/>
  <c r="EOD247" i="20" s="1"/>
  <c r="EOO247" i="20"/>
  <c r="EOK247" i="20" l="1"/>
  <c r="EOG247" i="20" s="1"/>
  <c r="EOC247" i="20" s="1"/>
  <c r="ENY247" i="20" s="1"/>
  <c r="EOJ247" i="20"/>
  <c r="EOF247" i="20" l="1"/>
  <c r="EOB247" i="20" s="1"/>
  <c r="ENX247" i="20" s="1"/>
  <c r="ENT247" i="20" s="1"/>
  <c r="EOE247" i="20"/>
  <c r="EOA247" i="20" l="1"/>
  <c r="ENW247" i="20" s="1"/>
  <c r="ENS247" i="20" s="1"/>
  <c r="ENO247" i="20" s="1"/>
  <c r="ENZ247" i="20"/>
  <c r="ENV247" i="20" l="1"/>
  <c r="ENR247" i="20" s="1"/>
  <c r="ENN247" i="20" s="1"/>
  <c r="ENJ247" i="20" s="1"/>
  <c r="ENU247" i="20"/>
  <c r="ENQ247" i="20" l="1"/>
  <c r="ENM247" i="20" s="1"/>
  <c r="ENI247" i="20" s="1"/>
  <c r="ENE247" i="20" s="1"/>
  <c r="ENP247" i="20"/>
  <c r="ENL247" i="20" l="1"/>
  <c r="ENH247" i="20" s="1"/>
  <c r="END247" i="20" s="1"/>
  <c r="EMZ247" i="20" s="1"/>
  <c r="ENK247" i="20"/>
  <c r="ENG247" i="20" l="1"/>
  <c r="ENC247" i="20" s="1"/>
  <c r="EMY247" i="20" s="1"/>
  <c r="EMU247" i="20" s="1"/>
  <c r="ENF247" i="20"/>
  <c r="ENB247" i="20" l="1"/>
  <c r="EMX247" i="20" s="1"/>
  <c r="EMT247" i="20" s="1"/>
  <c r="EMP247" i="20" s="1"/>
  <c r="ENA247" i="20"/>
  <c r="EMW247" i="20" l="1"/>
  <c r="EMS247" i="20" s="1"/>
  <c r="EMO247" i="20" s="1"/>
  <c r="EMK247" i="20" s="1"/>
  <c r="EMV247" i="20"/>
  <c r="EMR247" i="20" l="1"/>
  <c r="EMN247" i="20" s="1"/>
  <c r="EMJ247" i="20" s="1"/>
  <c r="EMF247" i="20" s="1"/>
  <c r="EMQ247" i="20"/>
  <c r="EMM247" i="20" l="1"/>
  <c r="EMI247" i="20" s="1"/>
  <c r="EME247" i="20" s="1"/>
  <c r="EMA247" i="20" s="1"/>
  <c r="EML247" i="20"/>
  <c r="EMH247" i="20" l="1"/>
  <c r="EMD247" i="20" s="1"/>
  <c r="ELZ247" i="20" s="1"/>
  <c r="ELV247" i="20" s="1"/>
  <c r="EMG247" i="20"/>
  <c r="EMC247" i="20" l="1"/>
  <c r="ELY247" i="20" s="1"/>
  <c r="ELU247" i="20" s="1"/>
  <c r="ELQ247" i="20" s="1"/>
  <c r="EMB247" i="20"/>
  <c r="ELX247" i="20" l="1"/>
  <c r="ELT247" i="20" s="1"/>
  <c r="ELP247" i="20" s="1"/>
  <c r="ELL247" i="20" s="1"/>
  <c r="ELW247" i="20"/>
  <c r="ELS247" i="20" l="1"/>
  <c r="ELO247" i="20" s="1"/>
  <c r="ELK247" i="20" s="1"/>
  <c r="ELG247" i="20" s="1"/>
  <c r="ELR247" i="20"/>
  <c r="ELN247" i="20" l="1"/>
  <c r="ELJ247" i="20" s="1"/>
  <c r="ELF247" i="20" s="1"/>
  <c r="ELB247" i="20" s="1"/>
  <c r="ELM247" i="20"/>
  <c r="ELI247" i="20" l="1"/>
  <c r="ELE247" i="20" s="1"/>
  <c r="ELA247" i="20" s="1"/>
  <c r="EKW247" i="20" s="1"/>
  <c r="ELH247" i="20"/>
  <c r="ELD247" i="20" l="1"/>
  <c r="EKZ247" i="20" s="1"/>
  <c r="EKV247" i="20" s="1"/>
  <c r="EKR247" i="20" s="1"/>
  <c r="ELC247" i="20"/>
  <c r="EKY247" i="20" l="1"/>
  <c r="EKU247" i="20" s="1"/>
  <c r="EKQ247" i="20" s="1"/>
  <c r="EKM247" i="20" s="1"/>
  <c r="EKX247" i="20"/>
  <c r="EKT247" i="20" l="1"/>
  <c r="EKP247" i="20" s="1"/>
  <c r="EKL247" i="20" s="1"/>
  <c r="EKH247" i="20" s="1"/>
  <c r="EKS247" i="20"/>
  <c r="EKO247" i="20" l="1"/>
  <c r="EKK247" i="20" s="1"/>
  <c r="EKG247" i="20" s="1"/>
  <c r="EKC247" i="20" s="1"/>
  <c r="EKN247" i="20"/>
  <c r="EKJ247" i="20" l="1"/>
  <c r="EKF247" i="20" s="1"/>
  <c r="EKB247" i="20" s="1"/>
  <c r="EJX247" i="20" s="1"/>
  <c r="EKI247" i="20"/>
  <c r="EKE247" i="20" l="1"/>
  <c r="EKA247" i="20" s="1"/>
  <c r="EJW247" i="20" s="1"/>
  <c r="EJS247" i="20" s="1"/>
  <c r="EKD247" i="20"/>
  <c r="EJZ247" i="20" l="1"/>
  <c r="EJV247" i="20" s="1"/>
  <c r="EJR247" i="20" s="1"/>
  <c r="EJN247" i="20" s="1"/>
  <c r="EJY247" i="20"/>
  <c r="EJU247" i="20" l="1"/>
  <c r="EJQ247" i="20" s="1"/>
  <c r="EJM247" i="20" s="1"/>
  <c r="EJI247" i="20" s="1"/>
  <c r="EJT247" i="20"/>
  <c r="EJP247" i="20" l="1"/>
  <c r="EJL247" i="20" s="1"/>
  <c r="EJH247" i="20" s="1"/>
  <c r="EJD247" i="20" s="1"/>
  <c r="EJO247" i="20"/>
  <c r="EJK247" i="20" l="1"/>
  <c r="EJG247" i="20" s="1"/>
  <c r="EJC247" i="20" s="1"/>
  <c r="EIY247" i="20" s="1"/>
  <c r="EJJ247" i="20"/>
  <c r="EJF247" i="20" l="1"/>
  <c r="EJB247" i="20" s="1"/>
  <c r="EIX247" i="20" s="1"/>
  <c r="EIT247" i="20" s="1"/>
  <c r="EJE247" i="20"/>
  <c r="EJA247" i="20" l="1"/>
  <c r="EIW247" i="20" s="1"/>
  <c r="EIS247" i="20" s="1"/>
  <c r="EIO247" i="20" s="1"/>
  <c r="EIZ247" i="20"/>
  <c r="EIV247" i="20" l="1"/>
  <c r="EIR247" i="20" s="1"/>
  <c r="EIN247" i="20" s="1"/>
  <c r="EIJ247" i="20" s="1"/>
  <c r="EIU247" i="20"/>
  <c r="EIQ247" i="20" l="1"/>
  <c r="EIM247" i="20" s="1"/>
  <c r="EII247" i="20" s="1"/>
  <c r="EIE247" i="20" s="1"/>
  <c r="EIP247" i="20"/>
  <c r="EIL247" i="20" l="1"/>
  <c r="EIH247" i="20" s="1"/>
  <c r="EID247" i="20" s="1"/>
  <c r="EHZ247" i="20" s="1"/>
  <c r="EIK247" i="20"/>
  <c r="EIG247" i="20" l="1"/>
  <c r="EIC247" i="20" s="1"/>
  <c r="EHY247" i="20" s="1"/>
  <c r="EHU247" i="20" s="1"/>
  <c r="EIF247" i="20"/>
  <c r="EIB247" i="20" l="1"/>
  <c r="EHX247" i="20" s="1"/>
  <c r="EHT247" i="20" s="1"/>
  <c r="EHP247" i="20" s="1"/>
  <c r="EIA247" i="20"/>
  <c r="EHW247" i="20" l="1"/>
  <c r="EHS247" i="20" s="1"/>
  <c r="EHO247" i="20" s="1"/>
  <c r="EHK247" i="20" s="1"/>
  <c r="EHV247" i="20"/>
  <c r="EHR247" i="20" l="1"/>
  <c r="EHN247" i="20" s="1"/>
  <c r="EHJ247" i="20" s="1"/>
  <c r="EHF247" i="20" s="1"/>
  <c r="EHQ247" i="20"/>
  <c r="EHM247" i="20" l="1"/>
  <c r="EHI247" i="20" s="1"/>
  <c r="EHE247" i="20" s="1"/>
  <c r="EHA247" i="20" s="1"/>
  <c r="EHL247" i="20"/>
  <c r="EHH247" i="20" l="1"/>
  <c r="EHD247" i="20" s="1"/>
  <c r="EGZ247" i="20" s="1"/>
  <c r="EGV247" i="20" s="1"/>
  <c r="EHG247" i="20"/>
  <c r="EHC247" i="20" l="1"/>
  <c r="EGY247" i="20" s="1"/>
  <c r="EGU247" i="20" s="1"/>
  <c r="EGQ247" i="20" s="1"/>
  <c r="EHB247" i="20"/>
  <c r="EGX247" i="20" l="1"/>
  <c r="EGT247" i="20" s="1"/>
  <c r="EGP247" i="20" s="1"/>
  <c r="EGL247" i="20" s="1"/>
  <c r="EGW247" i="20"/>
  <c r="EGS247" i="20" l="1"/>
  <c r="EGO247" i="20" s="1"/>
  <c r="EGK247" i="20" s="1"/>
  <c r="EGG247" i="20" s="1"/>
  <c r="EGR247" i="20"/>
  <c r="EGN247" i="20" l="1"/>
  <c r="EGJ247" i="20" s="1"/>
  <c r="EGF247" i="20" s="1"/>
  <c r="EGB247" i="20" s="1"/>
  <c r="EGM247" i="20"/>
  <c r="EGI247" i="20" l="1"/>
  <c r="EGE247" i="20" s="1"/>
  <c r="EGA247" i="20" s="1"/>
  <c r="EFW247" i="20" s="1"/>
  <c r="EGH247" i="20"/>
  <c r="EGD247" i="20" l="1"/>
  <c r="EFZ247" i="20" s="1"/>
  <c r="EFV247" i="20" s="1"/>
  <c r="EFR247" i="20" s="1"/>
  <c r="EGC247" i="20"/>
  <c r="EFY247" i="20" l="1"/>
  <c r="EFU247" i="20" s="1"/>
  <c r="EFQ247" i="20" s="1"/>
  <c r="EFM247" i="20" s="1"/>
  <c r="EFX247" i="20"/>
  <c r="EFT247" i="20" l="1"/>
  <c r="EFP247" i="20" s="1"/>
  <c r="EFL247" i="20" s="1"/>
  <c r="EFH247" i="20" s="1"/>
  <c r="EFS247" i="20"/>
  <c r="EFO247" i="20" l="1"/>
  <c r="EFK247" i="20" s="1"/>
  <c r="EFG247" i="20" s="1"/>
  <c r="EFC247" i="20" s="1"/>
  <c r="EFN247" i="20"/>
  <c r="EFJ247" i="20" l="1"/>
  <c r="EFF247" i="20" s="1"/>
  <c r="EFB247" i="20" s="1"/>
  <c r="EEX247" i="20" s="1"/>
  <c r="EFI247" i="20"/>
  <c r="EFE247" i="20" l="1"/>
  <c r="EFA247" i="20" s="1"/>
  <c r="EEW247" i="20" s="1"/>
  <c r="EES247" i="20" s="1"/>
  <c r="EFD247" i="20"/>
  <c r="EEZ247" i="20" l="1"/>
  <c r="EEV247" i="20" s="1"/>
  <c r="EER247" i="20" s="1"/>
  <c r="EEN247" i="20" s="1"/>
  <c r="EEY247" i="20"/>
  <c r="EEU247" i="20" l="1"/>
  <c r="EEQ247" i="20" s="1"/>
  <c r="EEM247" i="20" s="1"/>
  <c r="EEI247" i="20" s="1"/>
  <c r="EET247" i="20"/>
  <c r="EEP247" i="20" l="1"/>
  <c r="EEL247" i="20" s="1"/>
  <c r="EEH247" i="20" s="1"/>
  <c r="EED247" i="20" s="1"/>
  <c r="EEO247" i="20"/>
  <c r="EEK247" i="20" l="1"/>
  <c r="EEG247" i="20" s="1"/>
  <c r="EEC247" i="20" s="1"/>
  <c r="EDY247" i="20" s="1"/>
  <c r="EEJ247" i="20"/>
  <c r="EEF247" i="20" l="1"/>
  <c r="EEB247" i="20" s="1"/>
  <c r="EDX247" i="20" s="1"/>
  <c r="EDT247" i="20" s="1"/>
  <c r="EEE247" i="20"/>
  <c r="EEA247" i="20" l="1"/>
  <c r="EDW247" i="20" s="1"/>
  <c r="EDS247" i="20" s="1"/>
  <c r="EDO247" i="20" s="1"/>
  <c r="EDZ247" i="20"/>
  <c r="EDV247" i="20" l="1"/>
  <c r="EDR247" i="20" s="1"/>
  <c r="EDN247" i="20" s="1"/>
  <c r="EDJ247" i="20" s="1"/>
  <c r="EDU247" i="20"/>
  <c r="EDQ247" i="20" l="1"/>
  <c r="EDM247" i="20" s="1"/>
  <c r="EDI247" i="20" s="1"/>
  <c r="EDE247" i="20" s="1"/>
  <c r="EDP247" i="20"/>
  <c r="EDL247" i="20" l="1"/>
  <c r="EDH247" i="20" s="1"/>
  <c r="EDD247" i="20" s="1"/>
  <c r="ECZ247" i="20" s="1"/>
  <c r="EDK247" i="20"/>
  <c r="EDG247" i="20" l="1"/>
  <c r="EDC247" i="20" s="1"/>
  <c r="ECY247" i="20" s="1"/>
  <c r="ECU247" i="20" s="1"/>
  <c r="EDF247" i="20"/>
  <c r="EDB247" i="20" l="1"/>
  <c r="ECX247" i="20" s="1"/>
  <c r="ECT247" i="20" s="1"/>
  <c r="ECP247" i="20" s="1"/>
  <c r="EDA247" i="20"/>
  <c r="ECW247" i="20" l="1"/>
  <c r="ECS247" i="20" s="1"/>
  <c r="ECO247" i="20" s="1"/>
  <c r="ECK247" i="20" s="1"/>
  <c r="ECV247" i="20"/>
  <c r="ECR247" i="20" l="1"/>
  <c r="ECN247" i="20" s="1"/>
  <c r="ECJ247" i="20" s="1"/>
  <c r="ECF247" i="20" s="1"/>
  <c r="ECQ247" i="20"/>
  <c r="ECM247" i="20" l="1"/>
  <c r="ECI247" i="20" s="1"/>
  <c r="ECE247" i="20" s="1"/>
  <c r="ECA247" i="20" s="1"/>
  <c r="ECL247" i="20"/>
  <c r="ECH247" i="20" l="1"/>
  <c r="ECD247" i="20" s="1"/>
  <c r="EBZ247" i="20" s="1"/>
  <c r="EBV247" i="20" s="1"/>
  <c r="ECG247" i="20"/>
  <c r="ECC247" i="20" l="1"/>
  <c r="EBY247" i="20" s="1"/>
  <c r="EBU247" i="20" s="1"/>
  <c r="EBQ247" i="20" s="1"/>
  <c r="ECB247" i="20"/>
  <c r="EBX247" i="20" l="1"/>
  <c r="EBT247" i="20" s="1"/>
  <c r="EBP247" i="20" s="1"/>
  <c r="EBL247" i="20" s="1"/>
  <c r="EBW247" i="20"/>
  <c r="EBS247" i="20" l="1"/>
  <c r="EBO247" i="20" s="1"/>
  <c r="EBK247" i="20" s="1"/>
  <c r="EBG247" i="20" s="1"/>
  <c r="EBR247" i="20"/>
  <c r="EBN247" i="20" l="1"/>
  <c r="EBJ247" i="20" s="1"/>
  <c r="EBF247" i="20" s="1"/>
  <c r="EBB247" i="20" s="1"/>
  <c r="EBM247" i="20"/>
  <c r="EBI247" i="20" l="1"/>
  <c r="EBE247" i="20" s="1"/>
  <c r="EBA247" i="20" s="1"/>
  <c r="EAW247" i="20" s="1"/>
  <c r="EBH247" i="20"/>
  <c r="EBD247" i="20" l="1"/>
  <c r="EAZ247" i="20" s="1"/>
  <c r="EAV247" i="20" s="1"/>
  <c r="EAR247" i="20" s="1"/>
  <c r="EBC247" i="20"/>
  <c r="EAY247" i="20" l="1"/>
  <c r="EAU247" i="20" s="1"/>
  <c r="EAQ247" i="20" s="1"/>
  <c r="EAM247" i="20" s="1"/>
  <c r="EAX247" i="20"/>
  <c r="EAT247" i="20" l="1"/>
  <c r="EAP247" i="20" s="1"/>
  <c r="EAL247" i="20" s="1"/>
  <c r="EAH247" i="20" s="1"/>
  <c r="EAS247" i="20"/>
  <c r="EAO247" i="20" l="1"/>
  <c r="EAK247" i="20" s="1"/>
  <c r="EAG247" i="20" s="1"/>
  <c r="EAC247" i="20" s="1"/>
  <c r="EAN247" i="20"/>
  <c r="EAJ247" i="20" l="1"/>
  <c r="EAF247" i="20" s="1"/>
  <c r="EAB247" i="20" s="1"/>
  <c r="DZX247" i="20" s="1"/>
  <c r="EAI247" i="20"/>
  <c r="EAE247" i="20" l="1"/>
  <c r="EAA247" i="20" s="1"/>
  <c r="DZW247" i="20" s="1"/>
  <c r="DZS247" i="20" s="1"/>
  <c r="EAD247" i="20"/>
  <c r="DZZ247" i="20" l="1"/>
  <c r="DZV247" i="20" s="1"/>
  <c r="DZR247" i="20" s="1"/>
  <c r="DZN247" i="20" s="1"/>
  <c r="DZY247" i="20"/>
  <c r="DZU247" i="20" l="1"/>
  <c r="DZQ247" i="20" s="1"/>
  <c r="DZM247" i="20" s="1"/>
  <c r="DZI247" i="20" s="1"/>
  <c r="DZT247" i="20"/>
  <c r="DZP247" i="20" l="1"/>
  <c r="DZL247" i="20" s="1"/>
  <c r="DZH247" i="20" s="1"/>
  <c r="DZD247" i="20" s="1"/>
  <c r="DZO247" i="20"/>
  <c r="DZK247" i="20" l="1"/>
  <c r="DZG247" i="20" s="1"/>
  <c r="DZC247" i="20" s="1"/>
  <c r="DYY247" i="20" s="1"/>
  <c r="DZJ247" i="20"/>
  <c r="DZF247" i="20" l="1"/>
  <c r="DZB247" i="20" s="1"/>
  <c r="DYX247" i="20" s="1"/>
  <c r="DYT247" i="20" s="1"/>
  <c r="DZE247" i="20"/>
  <c r="DZA247" i="20" l="1"/>
  <c r="DYW247" i="20" s="1"/>
  <c r="DYS247" i="20" s="1"/>
  <c r="DYO247" i="20" s="1"/>
  <c r="DYZ247" i="20"/>
  <c r="DYV247" i="20" l="1"/>
  <c r="DYR247" i="20" s="1"/>
  <c r="DYN247" i="20" s="1"/>
  <c r="DYJ247" i="20" s="1"/>
  <c r="DYU247" i="20"/>
  <c r="DYQ247" i="20" l="1"/>
  <c r="DYM247" i="20" s="1"/>
  <c r="DYI247" i="20" s="1"/>
  <c r="DYE247" i="20" s="1"/>
  <c r="DYP247" i="20"/>
  <c r="DYL247" i="20" l="1"/>
  <c r="DYH247" i="20" s="1"/>
  <c r="DYD247" i="20" s="1"/>
  <c r="DXZ247" i="20" s="1"/>
  <c r="DYK247" i="20"/>
  <c r="DYG247" i="20" l="1"/>
  <c r="DYC247" i="20" s="1"/>
  <c r="DXY247" i="20" s="1"/>
  <c r="DXU247" i="20" s="1"/>
  <c r="DYF247" i="20"/>
  <c r="DYB247" i="20" l="1"/>
  <c r="DXX247" i="20" s="1"/>
  <c r="DXT247" i="20" s="1"/>
  <c r="DXP247" i="20" s="1"/>
  <c r="DYA247" i="20"/>
  <c r="DXW247" i="20" l="1"/>
  <c r="DXS247" i="20" s="1"/>
  <c r="DXO247" i="20" s="1"/>
  <c r="DXK247" i="20" s="1"/>
  <c r="DXV247" i="20"/>
  <c r="DXR247" i="20" l="1"/>
  <c r="DXN247" i="20" s="1"/>
  <c r="DXJ247" i="20" s="1"/>
  <c r="DXF247" i="20" s="1"/>
  <c r="DXQ247" i="20"/>
  <c r="DXM247" i="20" l="1"/>
  <c r="DXI247" i="20" s="1"/>
  <c r="DXE247" i="20" s="1"/>
  <c r="DXA247" i="20" s="1"/>
  <c r="DXL247" i="20"/>
  <c r="DXH247" i="20" l="1"/>
  <c r="DXD247" i="20" s="1"/>
  <c r="DWZ247" i="20" s="1"/>
  <c r="DWV247" i="20" s="1"/>
  <c r="DXG247" i="20"/>
  <c r="DXC247" i="20" l="1"/>
  <c r="DWY247" i="20" s="1"/>
  <c r="DWU247" i="20" s="1"/>
  <c r="DWQ247" i="20" s="1"/>
  <c r="DXB247" i="20"/>
  <c r="DWX247" i="20" l="1"/>
  <c r="DWT247" i="20" s="1"/>
  <c r="DWP247" i="20" s="1"/>
  <c r="DWL247" i="20" s="1"/>
  <c r="DWW247" i="20"/>
  <c r="DWS247" i="20" l="1"/>
  <c r="DWO247" i="20" s="1"/>
  <c r="DWK247" i="20" s="1"/>
  <c r="DWG247" i="20" s="1"/>
  <c r="DWR247" i="20"/>
  <c r="DWN247" i="20" l="1"/>
  <c r="DWJ247" i="20" s="1"/>
  <c r="DWF247" i="20" s="1"/>
  <c r="DWB247" i="20" s="1"/>
  <c r="DWM247" i="20"/>
  <c r="DWI247" i="20" l="1"/>
  <c r="DWE247" i="20" s="1"/>
  <c r="DWA247" i="20" s="1"/>
  <c r="DVW247" i="20" s="1"/>
  <c r="DWH247" i="20"/>
  <c r="DWD247" i="20" l="1"/>
  <c r="DVZ247" i="20" s="1"/>
  <c r="DVV247" i="20" s="1"/>
  <c r="DVR247" i="20" s="1"/>
  <c r="DWC247" i="20"/>
  <c r="DVY247" i="20" l="1"/>
  <c r="DVU247" i="20" s="1"/>
  <c r="DVQ247" i="20" s="1"/>
  <c r="DVM247" i="20" s="1"/>
  <c r="DVX247" i="20"/>
  <c r="DVT247" i="20" l="1"/>
  <c r="DVP247" i="20" s="1"/>
  <c r="DVL247" i="20" s="1"/>
  <c r="DVH247" i="20" s="1"/>
  <c r="DVS247" i="20"/>
  <c r="DVO247" i="20" l="1"/>
  <c r="DVK247" i="20" s="1"/>
  <c r="DVG247" i="20" s="1"/>
  <c r="DVC247" i="20" s="1"/>
  <c r="DVN247" i="20"/>
  <c r="DVJ247" i="20" l="1"/>
  <c r="DVF247" i="20" s="1"/>
  <c r="DVB247" i="20" s="1"/>
  <c r="DUX247" i="20" s="1"/>
  <c r="DVI247" i="20"/>
  <c r="DVE247" i="20" l="1"/>
  <c r="DVA247" i="20" s="1"/>
  <c r="DUW247" i="20" s="1"/>
  <c r="DUS247" i="20" s="1"/>
  <c r="DVD247" i="20"/>
  <c r="DUZ247" i="20" l="1"/>
  <c r="DUV247" i="20" s="1"/>
  <c r="DUR247" i="20" s="1"/>
  <c r="DUN247" i="20" s="1"/>
  <c r="DUY247" i="20"/>
  <c r="DUU247" i="20" l="1"/>
  <c r="DUQ247" i="20" s="1"/>
  <c r="DUM247" i="20" s="1"/>
  <c r="DUI247" i="20" s="1"/>
  <c r="DUT247" i="20"/>
  <c r="DUP247" i="20" l="1"/>
  <c r="DUL247" i="20" s="1"/>
  <c r="DUH247" i="20" s="1"/>
  <c r="DUD247" i="20" s="1"/>
  <c r="DUO247" i="20"/>
  <c r="DUK247" i="20" l="1"/>
  <c r="DUG247" i="20" s="1"/>
  <c r="DUC247" i="20" s="1"/>
  <c r="DTY247" i="20" s="1"/>
  <c r="DUJ247" i="20"/>
  <c r="DUF247" i="20" l="1"/>
  <c r="DUB247" i="20" s="1"/>
  <c r="DTX247" i="20" s="1"/>
  <c r="DTT247" i="20" s="1"/>
  <c r="DUE247" i="20"/>
  <c r="DUA247" i="20" l="1"/>
  <c r="DTW247" i="20" s="1"/>
  <c r="DTS247" i="20" s="1"/>
  <c r="DTO247" i="20" s="1"/>
  <c r="DTZ247" i="20"/>
  <c r="DTV247" i="20" l="1"/>
  <c r="DTR247" i="20" s="1"/>
  <c r="DTN247" i="20" s="1"/>
  <c r="DTJ247" i="20" s="1"/>
  <c r="DTU247" i="20"/>
  <c r="DTQ247" i="20" l="1"/>
  <c r="DTM247" i="20" s="1"/>
  <c r="DTI247" i="20" s="1"/>
  <c r="DTE247" i="20" s="1"/>
  <c r="DTP247" i="20"/>
  <c r="DTL247" i="20" l="1"/>
  <c r="DTH247" i="20" s="1"/>
  <c r="DTD247" i="20" s="1"/>
  <c r="DSZ247" i="20" s="1"/>
  <c r="DTK247" i="20"/>
  <c r="DTG247" i="20" l="1"/>
  <c r="DTC247" i="20" s="1"/>
  <c r="DSY247" i="20" s="1"/>
  <c r="DSU247" i="20" s="1"/>
  <c r="DTF247" i="20"/>
  <c r="DTB247" i="20" l="1"/>
  <c r="DSX247" i="20" s="1"/>
  <c r="DST247" i="20" s="1"/>
  <c r="DSP247" i="20" s="1"/>
  <c r="DTA247" i="20"/>
  <c r="DSW247" i="20" l="1"/>
  <c r="DSS247" i="20" s="1"/>
  <c r="DSO247" i="20" s="1"/>
  <c r="DSK247" i="20" s="1"/>
  <c r="DSV247" i="20"/>
  <c r="DSR247" i="20" l="1"/>
  <c r="DSN247" i="20" s="1"/>
  <c r="DSJ247" i="20" s="1"/>
  <c r="DSF247" i="20" s="1"/>
  <c r="DSQ247" i="20"/>
  <c r="DSM247" i="20" l="1"/>
  <c r="DSI247" i="20" s="1"/>
  <c r="DSE247" i="20" s="1"/>
  <c r="DSA247" i="20" s="1"/>
  <c r="DSL247" i="20"/>
  <c r="DSH247" i="20" l="1"/>
  <c r="DSD247" i="20" s="1"/>
  <c r="DRZ247" i="20" s="1"/>
  <c r="DRV247" i="20" s="1"/>
  <c r="DSG247" i="20"/>
  <c r="DSC247" i="20" l="1"/>
  <c r="DRY247" i="20" s="1"/>
  <c r="DRU247" i="20" s="1"/>
  <c r="DRQ247" i="20" s="1"/>
  <c r="DSB247" i="20"/>
  <c r="DRX247" i="20" l="1"/>
  <c r="DRT247" i="20" s="1"/>
  <c r="DRP247" i="20" s="1"/>
  <c r="DRL247" i="20" s="1"/>
  <c r="DRW247" i="20"/>
  <c r="DRS247" i="20" l="1"/>
  <c r="DRO247" i="20" s="1"/>
  <c r="DRK247" i="20" s="1"/>
  <c r="DRG247" i="20" s="1"/>
  <c r="DRR247" i="20"/>
  <c r="DRN247" i="20" l="1"/>
  <c r="DRJ247" i="20" s="1"/>
  <c r="DRF247" i="20" s="1"/>
  <c r="DRB247" i="20" s="1"/>
  <c r="DRM247" i="20"/>
  <c r="DRI247" i="20" l="1"/>
  <c r="DRE247" i="20" s="1"/>
  <c r="DRA247" i="20" s="1"/>
  <c r="DQW247" i="20" s="1"/>
  <c r="DRH247" i="20"/>
  <c r="DRD247" i="20" l="1"/>
  <c r="DQZ247" i="20" s="1"/>
  <c r="DQV247" i="20" s="1"/>
  <c r="DQR247" i="20" s="1"/>
  <c r="DRC247" i="20"/>
  <c r="DQY247" i="20" l="1"/>
  <c r="DQU247" i="20" s="1"/>
  <c r="DQQ247" i="20" s="1"/>
  <c r="DQM247" i="20" s="1"/>
  <c r="DQX247" i="20"/>
  <c r="DQT247" i="20" l="1"/>
  <c r="DQP247" i="20" s="1"/>
  <c r="DQL247" i="20" s="1"/>
  <c r="DQH247" i="20" s="1"/>
  <c r="DQS247" i="20"/>
  <c r="DQO247" i="20" l="1"/>
  <c r="DQK247" i="20" s="1"/>
  <c r="DQG247" i="20" s="1"/>
  <c r="DQC247" i="20" s="1"/>
  <c r="DQN247" i="20"/>
  <c r="DQJ247" i="20" l="1"/>
  <c r="DQF247" i="20" s="1"/>
  <c r="DQB247" i="20" s="1"/>
  <c r="DPX247" i="20" s="1"/>
  <c r="DQI247" i="20"/>
  <c r="DQE247" i="20" l="1"/>
  <c r="DQA247" i="20" s="1"/>
  <c r="DPW247" i="20" s="1"/>
  <c r="DPS247" i="20" s="1"/>
  <c r="DQD247" i="20"/>
  <c r="DPZ247" i="20" l="1"/>
  <c r="DPV247" i="20" s="1"/>
  <c r="DPR247" i="20" s="1"/>
  <c r="DPN247" i="20" s="1"/>
  <c r="DPY247" i="20"/>
  <c r="DPU247" i="20" l="1"/>
  <c r="DPQ247" i="20" s="1"/>
  <c r="DPM247" i="20" s="1"/>
  <c r="DPI247" i="20" s="1"/>
  <c r="DPT247" i="20"/>
  <c r="DPP247" i="20" l="1"/>
  <c r="DPL247" i="20" s="1"/>
  <c r="DPH247" i="20" s="1"/>
  <c r="DPD247" i="20" s="1"/>
  <c r="DPO247" i="20"/>
  <c r="DPK247" i="20" l="1"/>
  <c r="DPG247" i="20" s="1"/>
  <c r="DPC247" i="20" s="1"/>
  <c r="DOY247" i="20" s="1"/>
  <c r="DPJ247" i="20"/>
  <c r="DPF247" i="20" l="1"/>
  <c r="DPB247" i="20" s="1"/>
  <c r="DOX247" i="20" s="1"/>
  <c r="DOT247" i="20" s="1"/>
  <c r="DPE247" i="20"/>
  <c r="DPA247" i="20" l="1"/>
  <c r="DOW247" i="20" s="1"/>
  <c r="DOS247" i="20" s="1"/>
  <c r="DOO247" i="20" s="1"/>
  <c r="DOZ247" i="20"/>
  <c r="DOV247" i="20" l="1"/>
  <c r="DOR247" i="20" s="1"/>
  <c r="DON247" i="20" s="1"/>
  <c r="DOJ247" i="20" s="1"/>
  <c r="DOU247" i="20"/>
  <c r="DOQ247" i="20" l="1"/>
  <c r="DOM247" i="20" s="1"/>
  <c r="DOI247" i="20" s="1"/>
  <c r="DOE247" i="20" s="1"/>
  <c r="DOP247" i="20"/>
  <c r="DOL247" i="20" l="1"/>
  <c r="DOH247" i="20" s="1"/>
  <c r="DOD247" i="20" s="1"/>
  <c r="DNZ247" i="20" s="1"/>
  <c r="DOK247" i="20"/>
  <c r="DOG247" i="20" l="1"/>
  <c r="DOC247" i="20" s="1"/>
  <c r="DNY247" i="20" s="1"/>
  <c r="DNU247" i="20" s="1"/>
  <c r="DOF247" i="20"/>
  <c r="DOB247" i="20" l="1"/>
  <c r="DNX247" i="20" s="1"/>
  <c r="DNT247" i="20" s="1"/>
  <c r="DNP247" i="20" s="1"/>
  <c r="DOA247" i="20"/>
  <c r="DNW247" i="20" l="1"/>
  <c r="DNS247" i="20" s="1"/>
  <c r="DNO247" i="20" s="1"/>
  <c r="DNK247" i="20" s="1"/>
  <c r="DNV247" i="20"/>
  <c r="DNR247" i="20" l="1"/>
  <c r="DNN247" i="20" s="1"/>
  <c r="DNJ247" i="20" s="1"/>
  <c r="DNF247" i="20" s="1"/>
  <c r="DNQ247" i="20"/>
  <c r="DNM247" i="20" l="1"/>
  <c r="DNI247" i="20" s="1"/>
  <c r="DNE247" i="20" s="1"/>
  <c r="DNA247" i="20" s="1"/>
  <c r="DNL247" i="20"/>
  <c r="DNH247" i="20" l="1"/>
  <c r="DND247" i="20" s="1"/>
  <c r="DMZ247" i="20" s="1"/>
  <c r="DMV247" i="20" s="1"/>
  <c r="DNG247" i="20"/>
  <c r="DNC247" i="20" l="1"/>
  <c r="DMY247" i="20" s="1"/>
  <c r="DMU247" i="20" s="1"/>
  <c r="DMQ247" i="20" s="1"/>
  <c r="DNB247" i="20"/>
  <c r="DMX247" i="20" l="1"/>
  <c r="DMT247" i="20" s="1"/>
  <c r="DMP247" i="20" s="1"/>
  <c r="DML247" i="20" s="1"/>
  <c r="DMW247" i="20"/>
  <c r="DMS247" i="20" l="1"/>
  <c r="DMO247" i="20" s="1"/>
  <c r="DMK247" i="20" s="1"/>
  <c r="DMG247" i="20" s="1"/>
  <c r="DMR247" i="20"/>
  <c r="DMN247" i="20" l="1"/>
  <c r="DMJ247" i="20" s="1"/>
  <c r="DMF247" i="20" s="1"/>
  <c r="DMB247" i="20" s="1"/>
  <c r="DMM247" i="20"/>
  <c r="DMI247" i="20" l="1"/>
  <c r="DME247" i="20" s="1"/>
  <c r="DMA247" i="20" s="1"/>
  <c r="DLW247" i="20" s="1"/>
  <c r="DMH247" i="20"/>
  <c r="DMD247" i="20" l="1"/>
  <c r="DLZ247" i="20" s="1"/>
  <c r="DLV247" i="20" s="1"/>
  <c r="DLR247" i="20" s="1"/>
  <c r="DMC247" i="20"/>
  <c r="DLY247" i="20" l="1"/>
  <c r="DLU247" i="20" s="1"/>
  <c r="DLQ247" i="20" s="1"/>
  <c r="DLM247" i="20" s="1"/>
  <c r="DLX247" i="20"/>
  <c r="DLT247" i="20" l="1"/>
  <c r="DLP247" i="20" s="1"/>
  <c r="DLL247" i="20" s="1"/>
  <c r="DLH247" i="20" s="1"/>
  <c r="DLS247" i="20"/>
  <c r="DLO247" i="20" l="1"/>
  <c r="DLK247" i="20" s="1"/>
  <c r="DLG247" i="20" s="1"/>
  <c r="DLC247" i="20" s="1"/>
  <c r="DLN247" i="20"/>
  <c r="DLJ247" i="20" l="1"/>
  <c r="DLF247" i="20" s="1"/>
  <c r="DLB247" i="20" s="1"/>
  <c r="DKX247" i="20" s="1"/>
  <c r="DLI247" i="20"/>
  <c r="DLE247" i="20" l="1"/>
  <c r="DLA247" i="20" s="1"/>
  <c r="DKW247" i="20" s="1"/>
  <c r="DKS247" i="20" s="1"/>
  <c r="DLD247" i="20"/>
  <c r="DKZ247" i="20" l="1"/>
  <c r="DKV247" i="20" s="1"/>
  <c r="DKR247" i="20" s="1"/>
  <c r="DKN247" i="20" s="1"/>
  <c r="DKY247" i="20"/>
  <c r="DKU247" i="20" l="1"/>
  <c r="DKQ247" i="20" s="1"/>
  <c r="DKM247" i="20" s="1"/>
  <c r="DKI247" i="20" s="1"/>
  <c r="DKT247" i="20"/>
  <c r="DKP247" i="20" l="1"/>
  <c r="DKL247" i="20" s="1"/>
  <c r="DKH247" i="20" s="1"/>
  <c r="DKD247" i="20" s="1"/>
  <c r="DKO247" i="20"/>
  <c r="DKK247" i="20" l="1"/>
  <c r="DKG247" i="20" s="1"/>
  <c r="DKC247" i="20" s="1"/>
  <c r="DJY247" i="20" s="1"/>
  <c r="DKJ247" i="20"/>
  <c r="DKF247" i="20" l="1"/>
  <c r="DKB247" i="20" s="1"/>
  <c r="DJX247" i="20" s="1"/>
  <c r="DJT247" i="20" s="1"/>
  <c r="DKE247" i="20"/>
  <c r="DKA247" i="20" l="1"/>
  <c r="DJW247" i="20" s="1"/>
  <c r="DJS247" i="20" s="1"/>
  <c r="DJO247" i="20" s="1"/>
  <c r="DJZ247" i="20"/>
  <c r="DJV247" i="20" l="1"/>
  <c r="DJR247" i="20" s="1"/>
  <c r="DJN247" i="20" s="1"/>
  <c r="DJJ247" i="20" s="1"/>
  <c r="DJU247" i="20"/>
  <c r="DJQ247" i="20" l="1"/>
  <c r="DJM247" i="20" s="1"/>
  <c r="DJI247" i="20" s="1"/>
  <c r="DJE247" i="20" s="1"/>
  <c r="DJP247" i="20"/>
  <c r="DJL247" i="20" l="1"/>
  <c r="DJH247" i="20" s="1"/>
  <c r="DJD247" i="20" s="1"/>
  <c r="DIZ247" i="20" s="1"/>
  <c r="DJK247" i="20"/>
  <c r="DJG247" i="20" l="1"/>
  <c r="DJC247" i="20" s="1"/>
  <c r="DIY247" i="20" s="1"/>
  <c r="DIU247" i="20" s="1"/>
  <c r="DJF247" i="20"/>
  <c r="DJB247" i="20" l="1"/>
  <c r="DIX247" i="20" s="1"/>
  <c r="DIT247" i="20" s="1"/>
  <c r="DIP247" i="20" s="1"/>
  <c r="DJA247" i="20"/>
  <c r="DIW247" i="20" l="1"/>
  <c r="DIS247" i="20" s="1"/>
  <c r="DIO247" i="20" s="1"/>
  <c r="DIK247" i="20" s="1"/>
  <c r="DIV247" i="20"/>
  <c r="DIR247" i="20" l="1"/>
  <c r="DIN247" i="20" s="1"/>
  <c r="DIJ247" i="20" s="1"/>
  <c r="DIF247" i="20" s="1"/>
  <c r="DIQ247" i="20"/>
  <c r="DIM247" i="20" l="1"/>
  <c r="DII247" i="20" s="1"/>
  <c r="DIE247" i="20" s="1"/>
  <c r="DIA247" i="20" s="1"/>
  <c r="DIL247" i="20"/>
  <c r="DIH247" i="20" l="1"/>
  <c r="DID247" i="20" s="1"/>
  <c r="DHZ247" i="20" s="1"/>
  <c r="DHV247" i="20" s="1"/>
  <c r="DIG247" i="20"/>
  <c r="DIC247" i="20" l="1"/>
  <c r="DHY247" i="20" s="1"/>
  <c r="DHU247" i="20" s="1"/>
  <c r="DHQ247" i="20" s="1"/>
  <c r="DIB247" i="20"/>
  <c r="DHX247" i="20" l="1"/>
  <c r="DHT247" i="20" s="1"/>
  <c r="DHP247" i="20" s="1"/>
  <c r="DHL247" i="20" s="1"/>
  <c r="DHW247" i="20"/>
  <c r="DHS247" i="20" l="1"/>
  <c r="DHO247" i="20" s="1"/>
  <c r="DHK247" i="20" s="1"/>
  <c r="DHG247" i="20" s="1"/>
  <c r="DHR247" i="20"/>
  <c r="DHN247" i="20" l="1"/>
  <c r="DHJ247" i="20" s="1"/>
  <c r="DHF247" i="20" s="1"/>
  <c r="DHB247" i="20" s="1"/>
  <c r="DHM247" i="20"/>
  <c r="DHI247" i="20" l="1"/>
  <c r="DHE247" i="20" s="1"/>
  <c r="DHA247" i="20" s="1"/>
  <c r="DGW247" i="20" s="1"/>
  <c r="DHH247" i="20"/>
  <c r="DHD247" i="20" l="1"/>
  <c r="DGZ247" i="20" s="1"/>
  <c r="DGV247" i="20" s="1"/>
  <c r="DGR247" i="20" s="1"/>
  <c r="DHC247" i="20"/>
  <c r="DGY247" i="20" l="1"/>
  <c r="DGU247" i="20" s="1"/>
  <c r="DGQ247" i="20" s="1"/>
  <c r="DGM247" i="20" s="1"/>
  <c r="DGX247" i="20"/>
  <c r="DGT247" i="20" l="1"/>
  <c r="DGP247" i="20" s="1"/>
  <c r="DGL247" i="20" s="1"/>
  <c r="DGH247" i="20" s="1"/>
  <c r="DGS247" i="20"/>
  <c r="DGO247" i="20" l="1"/>
  <c r="DGK247" i="20" s="1"/>
  <c r="DGG247" i="20" s="1"/>
  <c r="DGC247" i="20" s="1"/>
  <c r="DGN247" i="20"/>
  <c r="DGJ247" i="20" l="1"/>
  <c r="DGF247" i="20" s="1"/>
  <c r="DGB247" i="20" s="1"/>
  <c r="DFX247" i="20" s="1"/>
  <c r="DGI247" i="20"/>
  <c r="DGE247" i="20" l="1"/>
  <c r="DGA247" i="20" s="1"/>
  <c r="DFW247" i="20" s="1"/>
  <c r="DFS247" i="20" s="1"/>
  <c r="DGD247" i="20"/>
  <c r="DFZ247" i="20" l="1"/>
  <c r="DFV247" i="20" s="1"/>
  <c r="DFR247" i="20" s="1"/>
  <c r="DFN247" i="20" s="1"/>
  <c r="DFY247" i="20"/>
  <c r="DFU247" i="20" l="1"/>
  <c r="DFQ247" i="20" s="1"/>
  <c r="DFM247" i="20" s="1"/>
  <c r="DFI247" i="20" s="1"/>
  <c r="DFT247" i="20"/>
  <c r="DFP247" i="20" l="1"/>
  <c r="DFL247" i="20" s="1"/>
  <c r="DFH247" i="20" s="1"/>
  <c r="DFD247" i="20" s="1"/>
  <c r="DFO247" i="20"/>
  <c r="DFK247" i="20" l="1"/>
  <c r="DFG247" i="20" s="1"/>
  <c r="DFC247" i="20" s="1"/>
  <c r="DEY247" i="20" s="1"/>
  <c r="DFJ247" i="20"/>
  <c r="DFF247" i="20" l="1"/>
  <c r="DFB247" i="20" s="1"/>
  <c r="DEX247" i="20" s="1"/>
  <c r="DET247" i="20" s="1"/>
  <c r="DFE247" i="20"/>
  <c r="DFA247" i="20" l="1"/>
  <c r="DEW247" i="20" s="1"/>
  <c r="DES247" i="20" s="1"/>
  <c r="DEO247" i="20" s="1"/>
  <c r="DEZ247" i="20"/>
  <c r="DEV247" i="20" l="1"/>
  <c r="DER247" i="20" s="1"/>
  <c r="DEN247" i="20" s="1"/>
  <c r="DEJ247" i="20" s="1"/>
  <c r="DEU247" i="20"/>
  <c r="DEQ247" i="20" l="1"/>
  <c r="DEM247" i="20" s="1"/>
  <c r="DEI247" i="20" s="1"/>
  <c r="DEE247" i="20" s="1"/>
  <c r="DEP247" i="20"/>
  <c r="DEL247" i="20" l="1"/>
  <c r="DEH247" i="20" s="1"/>
  <c r="DED247" i="20" s="1"/>
  <c r="DDZ247" i="20" s="1"/>
  <c r="DEK247" i="20"/>
  <c r="DEG247" i="20" l="1"/>
  <c r="DEC247" i="20" s="1"/>
  <c r="DDY247" i="20" s="1"/>
  <c r="DDU247" i="20" s="1"/>
  <c r="DEF247" i="20"/>
  <c r="DEB247" i="20" l="1"/>
  <c r="DDX247" i="20" s="1"/>
  <c r="DDT247" i="20" s="1"/>
  <c r="DDP247" i="20" s="1"/>
  <c r="DEA247" i="20"/>
  <c r="DDW247" i="20" l="1"/>
  <c r="DDS247" i="20" s="1"/>
  <c r="DDO247" i="20" s="1"/>
  <c r="DDK247" i="20" s="1"/>
  <c r="DDV247" i="20"/>
  <c r="DDR247" i="20" l="1"/>
  <c r="DDN247" i="20" s="1"/>
  <c r="DDJ247" i="20" s="1"/>
  <c r="DDF247" i="20" s="1"/>
  <c r="DDQ247" i="20"/>
  <c r="DDM247" i="20" l="1"/>
  <c r="DDI247" i="20" s="1"/>
  <c r="DDE247" i="20" s="1"/>
  <c r="DDA247" i="20" s="1"/>
  <c r="DDL247" i="20"/>
  <c r="DDH247" i="20" l="1"/>
  <c r="DDD247" i="20" s="1"/>
  <c r="DCZ247" i="20" s="1"/>
  <c r="DCV247" i="20" s="1"/>
  <c r="DDG247" i="20"/>
  <c r="DDC247" i="20" l="1"/>
  <c r="DCY247" i="20" s="1"/>
  <c r="DCU247" i="20" s="1"/>
  <c r="DCQ247" i="20" s="1"/>
  <c r="DDB247" i="20"/>
  <c r="DCX247" i="20" l="1"/>
  <c r="DCT247" i="20" s="1"/>
  <c r="DCP247" i="20" s="1"/>
  <c r="DCL247" i="20" s="1"/>
  <c r="DCW247" i="20"/>
  <c r="DCS247" i="20" l="1"/>
  <c r="DCO247" i="20" s="1"/>
  <c r="DCK247" i="20" s="1"/>
  <c r="DCG247" i="20" s="1"/>
  <c r="DCR247" i="20"/>
  <c r="DCN247" i="20" l="1"/>
  <c r="DCJ247" i="20" s="1"/>
  <c r="DCF247" i="20" s="1"/>
  <c r="DCB247" i="20" s="1"/>
  <c r="DCM247" i="20"/>
  <c r="DCI247" i="20" l="1"/>
  <c r="DCE247" i="20" s="1"/>
  <c r="DCA247" i="20" s="1"/>
  <c r="DBW247" i="20" s="1"/>
  <c r="DCH247" i="20"/>
  <c r="DCD247" i="20" l="1"/>
  <c r="DBZ247" i="20" s="1"/>
  <c r="DBV247" i="20" s="1"/>
  <c r="DBR247" i="20" s="1"/>
  <c r="DCC247" i="20"/>
  <c r="DBY247" i="20" l="1"/>
  <c r="DBU247" i="20" s="1"/>
  <c r="DBQ247" i="20" s="1"/>
  <c r="DBM247" i="20" s="1"/>
  <c r="DBX247" i="20"/>
  <c r="DBT247" i="20" l="1"/>
  <c r="DBP247" i="20" s="1"/>
  <c r="DBL247" i="20" s="1"/>
  <c r="DBH247" i="20" s="1"/>
  <c r="DBS247" i="20"/>
  <c r="DBO247" i="20" l="1"/>
  <c r="DBK247" i="20" s="1"/>
  <c r="DBG247" i="20" s="1"/>
  <c r="DBC247" i="20" s="1"/>
  <c r="DBN247" i="20"/>
  <c r="DBJ247" i="20" l="1"/>
  <c r="DBF247" i="20" s="1"/>
  <c r="DBB247" i="20" s="1"/>
  <c r="DAX247" i="20" s="1"/>
  <c r="DBI247" i="20"/>
  <c r="DBE247" i="20" l="1"/>
  <c r="DBA247" i="20" s="1"/>
  <c r="DAW247" i="20" s="1"/>
  <c r="DAS247" i="20" s="1"/>
  <c r="DBD247" i="20"/>
  <c r="DAZ247" i="20" l="1"/>
  <c r="DAV247" i="20" s="1"/>
  <c r="DAR247" i="20" s="1"/>
  <c r="DAN247" i="20" s="1"/>
  <c r="DAY247" i="20"/>
  <c r="DAU247" i="20" l="1"/>
  <c r="DAQ247" i="20" s="1"/>
  <c r="DAM247" i="20" s="1"/>
  <c r="DAI247" i="20" s="1"/>
  <c r="DAT247" i="20"/>
  <c r="DAP247" i="20" l="1"/>
  <c r="DAL247" i="20" s="1"/>
  <c r="DAH247" i="20" s="1"/>
  <c r="DAD247" i="20" s="1"/>
  <c r="DAO247" i="20"/>
  <c r="DAK247" i="20" l="1"/>
  <c r="DAG247" i="20" s="1"/>
  <c r="DAC247" i="20" s="1"/>
  <c r="CZY247" i="20" s="1"/>
  <c r="DAJ247" i="20"/>
  <c r="DAF247" i="20" l="1"/>
  <c r="DAB247" i="20" s="1"/>
  <c r="CZX247" i="20" s="1"/>
  <c r="CZT247" i="20" s="1"/>
  <c r="DAE247" i="20"/>
  <c r="DAA247" i="20" l="1"/>
  <c r="CZW247" i="20" s="1"/>
  <c r="CZS247" i="20" s="1"/>
  <c r="CZO247" i="20" s="1"/>
  <c r="CZZ247" i="20"/>
  <c r="CZV247" i="20" l="1"/>
  <c r="CZR247" i="20" s="1"/>
  <c r="CZN247" i="20" s="1"/>
  <c r="CZJ247" i="20" s="1"/>
  <c r="CZU247" i="20"/>
  <c r="CZQ247" i="20" l="1"/>
  <c r="CZM247" i="20" s="1"/>
  <c r="CZI247" i="20" s="1"/>
  <c r="CZE247" i="20" s="1"/>
  <c r="CZP247" i="20"/>
  <c r="CZL247" i="20" l="1"/>
  <c r="CZH247" i="20" s="1"/>
  <c r="CZD247" i="20" s="1"/>
  <c r="CYZ247" i="20" s="1"/>
  <c r="CZK247" i="20"/>
  <c r="CZG247" i="20" l="1"/>
  <c r="CZC247" i="20" s="1"/>
  <c r="CYY247" i="20" s="1"/>
  <c r="CYU247" i="20" s="1"/>
  <c r="CZF247" i="20"/>
  <c r="CZB247" i="20" l="1"/>
  <c r="CYX247" i="20" s="1"/>
  <c r="CYT247" i="20" s="1"/>
  <c r="CYP247" i="20" s="1"/>
  <c r="CZA247" i="20"/>
  <c r="CYW247" i="20" l="1"/>
  <c r="CYS247" i="20" s="1"/>
  <c r="CYO247" i="20" s="1"/>
  <c r="CYK247" i="20" s="1"/>
  <c r="CYV247" i="20"/>
  <c r="CYR247" i="20" l="1"/>
  <c r="CYN247" i="20" s="1"/>
  <c r="CYJ247" i="20" s="1"/>
  <c r="CYF247" i="20" s="1"/>
  <c r="CYQ247" i="20"/>
  <c r="CYM247" i="20" l="1"/>
  <c r="CYI247" i="20" s="1"/>
  <c r="CYE247" i="20" s="1"/>
  <c r="CYA247" i="20" s="1"/>
  <c r="CYL247" i="20"/>
  <c r="CYH247" i="20" l="1"/>
  <c r="CYD247" i="20" s="1"/>
  <c r="CXZ247" i="20" s="1"/>
  <c r="CXV247" i="20" s="1"/>
  <c r="CYG247" i="20"/>
  <c r="CYC247" i="20" l="1"/>
  <c r="CXY247" i="20" s="1"/>
  <c r="CXU247" i="20" s="1"/>
  <c r="CXQ247" i="20" s="1"/>
  <c r="CYB247" i="20"/>
  <c r="CXX247" i="20" l="1"/>
  <c r="CXT247" i="20" s="1"/>
  <c r="CXP247" i="20" s="1"/>
  <c r="CXL247" i="20" s="1"/>
  <c r="CXW247" i="20"/>
  <c r="CXS247" i="20" l="1"/>
  <c r="CXO247" i="20" s="1"/>
  <c r="CXK247" i="20" s="1"/>
  <c r="CXG247" i="20" s="1"/>
  <c r="CXR247" i="20"/>
  <c r="CXN247" i="20" l="1"/>
  <c r="CXJ247" i="20" s="1"/>
  <c r="CXF247" i="20" s="1"/>
  <c r="CXB247" i="20" s="1"/>
  <c r="CXM247" i="20"/>
  <c r="CXI247" i="20" l="1"/>
  <c r="CXE247" i="20" s="1"/>
  <c r="CXA247" i="20" s="1"/>
  <c r="CWW247" i="20" s="1"/>
  <c r="CXH247" i="20"/>
  <c r="CXD247" i="20" l="1"/>
  <c r="CWZ247" i="20" s="1"/>
  <c r="CWV247" i="20" s="1"/>
  <c r="CWR247" i="20" s="1"/>
  <c r="CXC247" i="20"/>
  <c r="CWY247" i="20" l="1"/>
  <c r="CWU247" i="20" s="1"/>
  <c r="CWQ247" i="20" s="1"/>
  <c r="CWM247" i="20" s="1"/>
  <c r="CWX247" i="20"/>
  <c r="CWT247" i="20" l="1"/>
  <c r="CWP247" i="20" s="1"/>
  <c r="CWL247" i="20" s="1"/>
  <c r="CWH247" i="20" s="1"/>
  <c r="CWS247" i="20"/>
  <c r="CWO247" i="20" l="1"/>
  <c r="CWK247" i="20" s="1"/>
  <c r="CWG247" i="20" s="1"/>
  <c r="CWC247" i="20" s="1"/>
  <c r="CWN247" i="20"/>
  <c r="CWJ247" i="20" l="1"/>
  <c r="CWF247" i="20" s="1"/>
  <c r="CWB247" i="20" s="1"/>
  <c r="CVX247" i="20" s="1"/>
  <c r="CWI247" i="20"/>
  <c r="CWE247" i="20" l="1"/>
  <c r="CWA247" i="20" s="1"/>
  <c r="CVW247" i="20" s="1"/>
  <c r="CVS247" i="20" s="1"/>
  <c r="CWD247" i="20"/>
  <c r="CVZ247" i="20" l="1"/>
  <c r="CVV247" i="20" s="1"/>
  <c r="CVR247" i="20" s="1"/>
  <c r="CVN247" i="20" s="1"/>
  <c r="CVY247" i="20"/>
  <c r="CVU247" i="20" l="1"/>
  <c r="CVQ247" i="20" s="1"/>
  <c r="CVM247" i="20" s="1"/>
  <c r="CVI247" i="20" s="1"/>
  <c r="CVT247" i="20"/>
  <c r="CVP247" i="20" l="1"/>
  <c r="CVL247" i="20" s="1"/>
  <c r="CVH247" i="20" s="1"/>
  <c r="CVD247" i="20" s="1"/>
  <c r="CVO247" i="20"/>
  <c r="CVK247" i="20" l="1"/>
  <c r="CVG247" i="20" s="1"/>
  <c r="CVC247" i="20" s="1"/>
  <c r="CUY247" i="20" s="1"/>
  <c r="CVJ247" i="20"/>
  <c r="CVF247" i="20" l="1"/>
  <c r="CVB247" i="20" s="1"/>
  <c r="CUX247" i="20" s="1"/>
  <c r="CUT247" i="20" s="1"/>
  <c r="CVE247" i="20"/>
  <c r="CVA247" i="20" l="1"/>
  <c r="CUW247" i="20" s="1"/>
  <c r="CUS247" i="20" s="1"/>
  <c r="CUO247" i="20" s="1"/>
  <c r="CUZ247" i="20"/>
  <c r="CUV247" i="20" l="1"/>
  <c r="CUR247" i="20" s="1"/>
  <c r="CUN247" i="20" s="1"/>
  <c r="CUJ247" i="20" s="1"/>
  <c r="CUU247" i="20"/>
  <c r="CUQ247" i="20" l="1"/>
  <c r="CUM247" i="20" s="1"/>
  <c r="CUI247" i="20" s="1"/>
  <c r="CUE247" i="20" s="1"/>
  <c r="CUP247" i="20"/>
  <c r="CUL247" i="20" l="1"/>
  <c r="CUH247" i="20" s="1"/>
  <c r="CUD247" i="20" s="1"/>
  <c r="CTZ247" i="20" s="1"/>
  <c r="CUK247" i="20"/>
  <c r="CUG247" i="20" l="1"/>
  <c r="CUC247" i="20" s="1"/>
  <c r="CTY247" i="20" s="1"/>
  <c r="CTU247" i="20" s="1"/>
  <c r="CUF247" i="20"/>
  <c r="CUB247" i="20" l="1"/>
  <c r="CTX247" i="20" s="1"/>
  <c r="CTT247" i="20" s="1"/>
  <c r="CTP247" i="20" s="1"/>
  <c r="CUA247" i="20"/>
  <c r="CTW247" i="20" l="1"/>
  <c r="CTS247" i="20" s="1"/>
  <c r="CTO247" i="20" s="1"/>
  <c r="CTK247" i="20" s="1"/>
  <c r="CTV247" i="20"/>
  <c r="CTR247" i="20" l="1"/>
  <c r="CTN247" i="20" s="1"/>
  <c r="CTJ247" i="20" s="1"/>
  <c r="CTF247" i="20" s="1"/>
  <c r="CTQ247" i="20"/>
  <c r="CTM247" i="20" l="1"/>
  <c r="CTI247" i="20" s="1"/>
  <c r="CTE247" i="20" s="1"/>
  <c r="CTA247" i="20" s="1"/>
  <c r="CTL247" i="20"/>
  <c r="CTH247" i="20" l="1"/>
  <c r="CTD247" i="20" s="1"/>
  <c r="CSZ247" i="20" s="1"/>
  <c r="CSV247" i="20" s="1"/>
  <c r="CTG247" i="20"/>
  <c r="CTC247" i="20" l="1"/>
  <c r="CSY247" i="20" s="1"/>
  <c r="CSU247" i="20" s="1"/>
  <c r="CSQ247" i="20" s="1"/>
  <c r="CTB247" i="20"/>
  <c r="CSX247" i="20" l="1"/>
  <c r="CST247" i="20" s="1"/>
  <c r="CSP247" i="20" s="1"/>
  <c r="CSL247" i="20" s="1"/>
  <c r="CSW247" i="20"/>
  <c r="CSS247" i="20" l="1"/>
  <c r="CSO247" i="20" s="1"/>
  <c r="CSK247" i="20" s="1"/>
  <c r="CSG247" i="20" s="1"/>
  <c r="CSR247" i="20"/>
  <c r="CSN247" i="20" l="1"/>
  <c r="CSJ247" i="20" s="1"/>
  <c r="CSF247" i="20" s="1"/>
  <c r="CSB247" i="20" s="1"/>
  <c r="CSM247" i="20"/>
  <c r="CSI247" i="20" l="1"/>
  <c r="CSE247" i="20" s="1"/>
  <c r="CSA247" i="20" s="1"/>
  <c r="CRW247" i="20" s="1"/>
  <c r="CSH247" i="20"/>
  <c r="CSD247" i="20" l="1"/>
  <c r="CRZ247" i="20" s="1"/>
  <c r="CRV247" i="20" s="1"/>
  <c r="CRR247" i="20" s="1"/>
  <c r="CSC247" i="20"/>
  <c r="CRY247" i="20" l="1"/>
  <c r="CRU247" i="20" s="1"/>
  <c r="CRQ247" i="20" s="1"/>
  <c r="CRM247" i="20" s="1"/>
  <c r="CRX247" i="20"/>
  <c r="CRT247" i="20" l="1"/>
  <c r="CRP247" i="20" s="1"/>
  <c r="CRL247" i="20" s="1"/>
  <c r="CRH247" i="20" s="1"/>
  <c r="CRS247" i="20"/>
  <c r="CRO247" i="20" l="1"/>
  <c r="CRK247" i="20" s="1"/>
  <c r="CRG247" i="20" s="1"/>
  <c r="CRC247" i="20" s="1"/>
  <c r="CRN247" i="20"/>
  <c r="CRJ247" i="20" l="1"/>
  <c r="CRF247" i="20" s="1"/>
  <c r="CRB247" i="20" s="1"/>
  <c r="CQX247" i="20" s="1"/>
  <c r="CRI247" i="20"/>
  <c r="CRE247" i="20" l="1"/>
  <c r="CRA247" i="20" s="1"/>
  <c r="CQW247" i="20" s="1"/>
  <c r="CQS247" i="20" s="1"/>
  <c r="CRD247" i="20"/>
  <c r="CQZ247" i="20" l="1"/>
  <c r="CQV247" i="20" s="1"/>
  <c r="CQR247" i="20" s="1"/>
  <c r="CQN247" i="20" s="1"/>
  <c r="CQY247" i="20"/>
  <c r="CQU247" i="20" l="1"/>
  <c r="CQQ247" i="20" s="1"/>
  <c r="CQM247" i="20" s="1"/>
  <c r="CQI247" i="20" s="1"/>
  <c r="CQT247" i="20"/>
  <c r="CQP247" i="20" l="1"/>
  <c r="CQL247" i="20" s="1"/>
  <c r="CQH247" i="20" s="1"/>
  <c r="CQD247" i="20" s="1"/>
  <c r="CQO247" i="20"/>
  <c r="CQK247" i="20" l="1"/>
  <c r="CQG247" i="20" s="1"/>
  <c r="CQC247" i="20" s="1"/>
  <c r="CPY247" i="20" s="1"/>
  <c r="CQJ247" i="20"/>
  <c r="CQF247" i="20" l="1"/>
  <c r="CQB247" i="20" s="1"/>
  <c r="CPX247" i="20" s="1"/>
  <c r="CPT247" i="20" s="1"/>
  <c r="CQE247" i="20"/>
  <c r="CQA247" i="20" l="1"/>
  <c r="CPW247" i="20" s="1"/>
  <c r="CPS247" i="20" s="1"/>
  <c r="CPO247" i="20" s="1"/>
  <c r="CPZ247" i="20"/>
  <c r="CPV247" i="20" l="1"/>
  <c r="CPR247" i="20" s="1"/>
  <c r="CPN247" i="20" s="1"/>
  <c r="CPJ247" i="20" s="1"/>
  <c r="CPU247" i="20"/>
  <c r="CPQ247" i="20" l="1"/>
  <c r="CPM247" i="20" s="1"/>
  <c r="CPI247" i="20" s="1"/>
  <c r="CPE247" i="20" s="1"/>
  <c r="CPP247" i="20"/>
  <c r="CPL247" i="20" l="1"/>
  <c r="CPH247" i="20" s="1"/>
  <c r="CPD247" i="20" s="1"/>
  <c r="COZ247" i="20" s="1"/>
  <c r="CPK247" i="20"/>
  <c r="CPG247" i="20" l="1"/>
  <c r="CPC247" i="20" s="1"/>
  <c r="COY247" i="20" s="1"/>
  <c r="COU247" i="20" s="1"/>
  <c r="CPF247" i="20"/>
  <c r="CPB247" i="20" l="1"/>
  <c r="COX247" i="20" s="1"/>
  <c r="COT247" i="20" s="1"/>
  <c r="COP247" i="20" s="1"/>
  <c r="CPA247" i="20"/>
  <c r="COW247" i="20" l="1"/>
  <c r="COS247" i="20" s="1"/>
  <c r="COO247" i="20" s="1"/>
  <c r="COK247" i="20" s="1"/>
  <c r="COV247" i="20"/>
  <c r="COR247" i="20" l="1"/>
  <c r="CON247" i="20" s="1"/>
  <c r="COJ247" i="20" s="1"/>
  <c r="COF247" i="20" s="1"/>
  <c r="COQ247" i="20"/>
  <c r="COM247" i="20" l="1"/>
  <c r="COI247" i="20" s="1"/>
  <c r="COE247" i="20" s="1"/>
  <c r="COA247" i="20" s="1"/>
  <c r="COL247" i="20"/>
  <c r="COH247" i="20" l="1"/>
  <c r="COD247" i="20" s="1"/>
  <c r="CNZ247" i="20" s="1"/>
  <c r="CNV247" i="20" s="1"/>
  <c r="COG247" i="20"/>
  <c r="COC247" i="20" l="1"/>
  <c r="CNY247" i="20" s="1"/>
  <c r="CNU247" i="20" s="1"/>
  <c r="CNQ247" i="20" s="1"/>
  <c r="COB247" i="20"/>
  <c r="CNX247" i="20" l="1"/>
  <c r="CNT247" i="20" s="1"/>
  <c r="CNP247" i="20" s="1"/>
  <c r="CNL247" i="20" s="1"/>
  <c r="CNW247" i="20"/>
  <c r="CNS247" i="20" l="1"/>
  <c r="CNO247" i="20" s="1"/>
  <c r="CNK247" i="20" s="1"/>
  <c r="CNG247" i="20" s="1"/>
  <c r="CNR247" i="20"/>
  <c r="CNN247" i="20" l="1"/>
  <c r="CNJ247" i="20" s="1"/>
  <c r="CNF247" i="20" s="1"/>
  <c r="CNB247" i="20" s="1"/>
  <c r="CNM247" i="20"/>
  <c r="CNI247" i="20" l="1"/>
  <c r="CNE247" i="20" s="1"/>
  <c r="CNA247" i="20" s="1"/>
  <c r="CMW247" i="20" s="1"/>
  <c r="CNH247" i="20"/>
  <c r="CND247" i="20" l="1"/>
  <c r="CMZ247" i="20" s="1"/>
  <c r="CMV247" i="20" s="1"/>
  <c r="CMR247" i="20" s="1"/>
  <c r="CNC247" i="20"/>
  <c r="CMY247" i="20" l="1"/>
  <c r="CMU247" i="20" s="1"/>
  <c r="CMQ247" i="20" s="1"/>
  <c r="CMM247" i="20" s="1"/>
  <c r="CMX247" i="20"/>
  <c r="CMT247" i="20" l="1"/>
  <c r="CMP247" i="20" s="1"/>
  <c r="CML247" i="20" s="1"/>
  <c r="CMH247" i="20" s="1"/>
  <c r="CMS247" i="20"/>
  <c r="CMO247" i="20" l="1"/>
  <c r="CMK247" i="20" s="1"/>
  <c r="CMG247" i="20" s="1"/>
  <c r="CMC247" i="20" s="1"/>
  <c r="CMN247" i="20"/>
  <c r="CMJ247" i="20" l="1"/>
  <c r="CMF247" i="20" s="1"/>
  <c r="CMB247" i="20" s="1"/>
  <c r="CLX247" i="20" s="1"/>
  <c r="CMI247" i="20"/>
  <c r="CME247" i="20" l="1"/>
  <c r="CMA247" i="20" s="1"/>
  <c r="CLW247" i="20" s="1"/>
  <c r="CLS247" i="20" s="1"/>
  <c r="CMD247" i="20"/>
  <c r="CLZ247" i="20" l="1"/>
  <c r="CLV247" i="20" s="1"/>
  <c r="CLR247" i="20" s="1"/>
  <c r="CLN247" i="20" s="1"/>
  <c r="CLY247" i="20"/>
  <c r="CLU247" i="20" l="1"/>
  <c r="CLQ247" i="20" s="1"/>
  <c r="CLM247" i="20" s="1"/>
  <c r="CLI247" i="20" s="1"/>
  <c r="CLT247" i="20"/>
  <c r="CLP247" i="20" l="1"/>
  <c r="CLL247" i="20" s="1"/>
  <c r="CLH247" i="20" s="1"/>
  <c r="CLD247" i="20" s="1"/>
  <c r="CLO247" i="20"/>
  <c r="CLK247" i="20" l="1"/>
  <c r="CLG247" i="20" s="1"/>
  <c r="CLC247" i="20" s="1"/>
  <c r="CKY247" i="20" s="1"/>
  <c r="CLJ247" i="20"/>
  <c r="CLF247" i="20" l="1"/>
  <c r="CLB247" i="20" s="1"/>
  <c r="CKX247" i="20" s="1"/>
  <c r="CKT247" i="20" s="1"/>
  <c r="CLE247" i="20"/>
  <c r="CLA247" i="20" l="1"/>
  <c r="CKW247" i="20" s="1"/>
  <c r="CKS247" i="20" s="1"/>
  <c r="CKO247" i="20" s="1"/>
  <c r="CKZ247" i="20"/>
  <c r="CKV247" i="20" l="1"/>
  <c r="CKR247" i="20" s="1"/>
  <c r="CKN247" i="20" s="1"/>
  <c r="CKJ247" i="20" s="1"/>
  <c r="CKU247" i="20"/>
  <c r="CKQ247" i="20" l="1"/>
  <c r="CKM247" i="20" s="1"/>
  <c r="CKI247" i="20" s="1"/>
  <c r="CKE247" i="20" s="1"/>
  <c r="CKP247" i="20"/>
  <c r="CKL247" i="20" l="1"/>
  <c r="CKH247" i="20" s="1"/>
  <c r="CKD247" i="20" s="1"/>
  <c r="CJZ247" i="20" s="1"/>
  <c r="CKK247" i="20"/>
  <c r="CKG247" i="20" l="1"/>
  <c r="CKC247" i="20" s="1"/>
  <c r="CJY247" i="20" s="1"/>
  <c r="CJU247" i="20" s="1"/>
  <c r="CKF247" i="20"/>
  <c r="CKB247" i="20" l="1"/>
  <c r="CJX247" i="20" s="1"/>
  <c r="CJT247" i="20" s="1"/>
  <c r="CJP247" i="20" s="1"/>
  <c r="CKA247" i="20"/>
  <c r="CJW247" i="20" l="1"/>
  <c r="CJS247" i="20" s="1"/>
  <c r="CJO247" i="20" s="1"/>
  <c r="CJK247" i="20" s="1"/>
  <c r="CJV247" i="20"/>
  <c r="CJR247" i="20" l="1"/>
  <c r="CJN247" i="20" s="1"/>
  <c r="CJJ247" i="20" s="1"/>
  <c r="CJF247" i="20" s="1"/>
  <c r="CJQ247" i="20"/>
  <c r="CJM247" i="20" l="1"/>
  <c r="CJI247" i="20" s="1"/>
  <c r="CJE247" i="20" s="1"/>
  <c r="CJA247" i="20" s="1"/>
  <c r="CJL247" i="20"/>
  <c r="CJH247" i="20" l="1"/>
  <c r="CJD247" i="20" s="1"/>
  <c r="CIZ247" i="20" s="1"/>
  <c r="CIV247" i="20" s="1"/>
  <c r="CJG247" i="20"/>
  <c r="CJC247" i="20" l="1"/>
  <c r="CIY247" i="20" s="1"/>
  <c r="CIU247" i="20" s="1"/>
  <c r="CIQ247" i="20" s="1"/>
  <c r="CJB247" i="20"/>
  <c r="CIX247" i="20" l="1"/>
  <c r="CIT247" i="20" s="1"/>
  <c r="CIP247" i="20" s="1"/>
  <c r="CIL247" i="20" s="1"/>
  <c r="CIW247" i="20"/>
  <c r="CIS247" i="20" l="1"/>
  <c r="CIO247" i="20" s="1"/>
  <c r="CIK247" i="20" s="1"/>
  <c r="CIG247" i="20" s="1"/>
  <c r="CIR247" i="20"/>
  <c r="CIN247" i="20" l="1"/>
  <c r="CIJ247" i="20" s="1"/>
  <c r="CIF247" i="20" s="1"/>
  <c r="CIB247" i="20" s="1"/>
  <c r="CIM247" i="20"/>
  <c r="CII247" i="20" l="1"/>
  <c r="CIE247" i="20" s="1"/>
  <c r="CIA247" i="20" s="1"/>
  <c r="CHW247" i="20" s="1"/>
  <c r="CIH247" i="20"/>
  <c r="CID247" i="20" l="1"/>
  <c r="CHZ247" i="20" s="1"/>
  <c r="CHV247" i="20" s="1"/>
  <c r="CHR247" i="20" s="1"/>
  <c r="CIC247" i="20"/>
  <c r="CHY247" i="20" l="1"/>
  <c r="CHU247" i="20" s="1"/>
  <c r="CHQ247" i="20" s="1"/>
  <c r="CHM247" i="20" s="1"/>
  <c r="CHX247" i="20"/>
  <c r="CHT247" i="20" l="1"/>
  <c r="CHP247" i="20" s="1"/>
  <c r="CHL247" i="20" s="1"/>
  <c r="CHH247" i="20" s="1"/>
  <c r="CHS247" i="20"/>
  <c r="CHO247" i="20" l="1"/>
  <c r="CHK247" i="20" s="1"/>
  <c r="CHG247" i="20" s="1"/>
  <c r="CHC247" i="20" s="1"/>
  <c r="CHN247" i="20"/>
  <c r="CHJ247" i="20" l="1"/>
  <c r="CHF247" i="20" s="1"/>
  <c r="CHB247" i="20" s="1"/>
  <c r="CGX247" i="20" s="1"/>
  <c r="CHI247" i="20"/>
  <c r="CHE247" i="20" l="1"/>
  <c r="CHA247" i="20" s="1"/>
  <c r="CGW247" i="20" s="1"/>
  <c r="CGS247" i="20" s="1"/>
  <c r="CHD247" i="20"/>
  <c r="CGZ247" i="20" l="1"/>
  <c r="CGV247" i="20" s="1"/>
  <c r="CGR247" i="20" s="1"/>
  <c r="CGN247" i="20" s="1"/>
  <c r="CGY247" i="20"/>
  <c r="CGU247" i="20" l="1"/>
  <c r="CGQ247" i="20" s="1"/>
  <c r="CGM247" i="20" s="1"/>
  <c r="CGI247" i="20" s="1"/>
  <c r="CGT247" i="20"/>
  <c r="CGP247" i="20" l="1"/>
  <c r="CGL247" i="20" s="1"/>
  <c r="CGH247" i="20" s="1"/>
  <c r="CGD247" i="20" s="1"/>
  <c r="CGO247" i="20"/>
  <c r="CGK247" i="20" l="1"/>
  <c r="CGG247" i="20" s="1"/>
  <c r="CGC247" i="20" s="1"/>
  <c r="CFY247" i="20" s="1"/>
  <c r="CGJ247" i="20"/>
  <c r="CGF247" i="20" l="1"/>
  <c r="CGB247" i="20" s="1"/>
  <c r="CFX247" i="20" s="1"/>
  <c r="CFT247" i="20" s="1"/>
  <c r="CGE247" i="20"/>
  <c r="CGA247" i="20" l="1"/>
  <c r="CFW247" i="20" s="1"/>
  <c r="CFS247" i="20" s="1"/>
  <c r="CFO247" i="20" s="1"/>
  <c r="CFZ247" i="20"/>
  <c r="CFV247" i="20" l="1"/>
  <c r="CFR247" i="20" s="1"/>
  <c r="CFN247" i="20" s="1"/>
  <c r="CFJ247" i="20" s="1"/>
  <c r="CFU247" i="20"/>
  <c r="CFQ247" i="20" l="1"/>
  <c r="CFM247" i="20" s="1"/>
  <c r="CFI247" i="20" s="1"/>
  <c r="CFE247" i="20" s="1"/>
  <c r="CFP247" i="20"/>
  <c r="CFL247" i="20" l="1"/>
  <c r="CFH247" i="20" s="1"/>
  <c r="CFD247" i="20" s="1"/>
  <c r="CEZ247" i="20" s="1"/>
  <c r="CFK247" i="20"/>
  <c r="CFG247" i="20" l="1"/>
  <c r="CFC247" i="20" s="1"/>
  <c r="CEY247" i="20" s="1"/>
  <c r="CEU247" i="20" s="1"/>
  <c r="CFF247" i="20"/>
  <c r="CFB247" i="20" l="1"/>
  <c r="CEX247" i="20" s="1"/>
  <c r="CET247" i="20" s="1"/>
  <c r="CEP247" i="20" s="1"/>
  <c r="CFA247" i="20"/>
  <c r="CEW247" i="20" l="1"/>
  <c r="CES247" i="20" s="1"/>
  <c r="CEO247" i="20" s="1"/>
  <c r="CEK247" i="20" s="1"/>
  <c r="CEV247" i="20"/>
  <c r="CER247" i="20" l="1"/>
  <c r="CEN247" i="20" s="1"/>
  <c r="CEJ247" i="20" s="1"/>
  <c r="CEF247" i="20" s="1"/>
  <c r="CEQ247" i="20"/>
  <c r="CEM247" i="20" l="1"/>
  <c r="CEI247" i="20" s="1"/>
  <c r="CEE247" i="20" s="1"/>
  <c r="CEA247" i="20" s="1"/>
  <c r="CEL247" i="20"/>
  <c r="CEH247" i="20" l="1"/>
  <c r="CED247" i="20" s="1"/>
  <c r="CDZ247" i="20" s="1"/>
  <c r="CDV247" i="20" s="1"/>
  <c r="CEG247" i="20"/>
  <c r="CEC247" i="20" l="1"/>
  <c r="CDY247" i="20" s="1"/>
  <c r="CDU247" i="20" s="1"/>
  <c r="CDQ247" i="20" s="1"/>
  <c r="CEB247" i="20"/>
  <c r="CDX247" i="20" l="1"/>
  <c r="CDT247" i="20" s="1"/>
  <c r="CDP247" i="20" s="1"/>
  <c r="CDL247" i="20" s="1"/>
  <c r="CDW247" i="20"/>
  <c r="CDS247" i="20" l="1"/>
  <c r="CDO247" i="20" s="1"/>
  <c r="CDK247" i="20" s="1"/>
  <c r="CDG247" i="20" s="1"/>
  <c r="CDR247" i="20"/>
  <c r="CDN247" i="20" l="1"/>
  <c r="CDJ247" i="20" s="1"/>
  <c r="CDF247" i="20" s="1"/>
  <c r="CDB247" i="20" s="1"/>
  <c r="CDM247" i="20"/>
  <c r="CDI247" i="20" l="1"/>
  <c r="CDE247" i="20" s="1"/>
  <c r="CDA247" i="20" s="1"/>
  <c r="CCW247" i="20" s="1"/>
  <c r="CDH247" i="20"/>
  <c r="CDD247" i="20" l="1"/>
  <c r="CCZ247" i="20" s="1"/>
  <c r="CCV247" i="20" s="1"/>
  <c r="CCR247" i="20" s="1"/>
  <c r="CDC247" i="20"/>
  <c r="CCY247" i="20" l="1"/>
  <c r="CCU247" i="20" s="1"/>
  <c r="CCQ247" i="20" s="1"/>
  <c r="CCM247" i="20" s="1"/>
  <c r="CCX247" i="20"/>
  <c r="CCT247" i="20" l="1"/>
  <c r="CCP247" i="20" s="1"/>
  <c r="CCL247" i="20" s="1"/>
  <c r="CCH247" i="20" s="1"/>
  <c r="CCS247" i="20"/>
  <c r="CCO247" i="20" l="1"/>
  <c r="CCK247" i="20" s="1"/>
  <c r="CCG247" i="20" s="1"/>
  <c r="CCC247" i="20" s="1"/>
  <c r="CCN247" i="20"/>
  <c r="CCJ247" i="20" l="1"/>
  <c r="CCF247" i="20" s="1"/>
  <c r="CCB247" i="20" s="1"/>
  <c r="CBX247" i="20" s="1"/>
  <c r="CCI247" i="20"/>
  <c r="CCE247" i="20" l="1"/>
  <c r="CCA247" i="20" s="1"/>
  <c r="CBW247" i="20" s="1"/>
  <c r="CBS247" i="20" s="1"/>
  <c r="CCD247" i="20"/>
  <c r="CBZ247" i="20" l="1"/>
  <c r="CBV247" i="20" s="1"/>
  <c r="CBR247" i="20" s="1"/>
  <c r="CBN247" i="20" s="1"/>
  <c r="CBY247" i="20"/>
  <c r="CBU247" i="20" l="1"/>
  <c r="CBQ247" i="20" s="1"/>
  <c r="CBM247" i="20" s="1"/>
  <c r="CBI247" i="20" s="1"/>
  <c r="CBT247" i="20"/>
  <c r="CBP247" i="20" l="1"/>
  <c r="CBL247" i="20" s="1"/>
  <c r="CBH247" i="20" s="1"/>
  <c r="CBD247" i="20" s="1"/>
  <c r="CBO247" i="20"/>
  <c r="CBK247" i="20" l="1"/>
  <c r="CBG247" i="20" s="1"/>
  <c r="CBC247" i="20" s="1"/>
  <c r="CAY247" i="20" s="1"/>
  <c r="CBJ247" i="20"/>
  <c r="CBF247" i="20" l="1"/>
  <c r="CBB247" i="20" s="1"/>
  <c r="CAX247" i="20" s="1"/>
  <c r="CAT247" i="20" s="1"/>
  <c r="CBE247" i="20"/>
  <c r="CBA247" i="20" l="1"/>
  <c r="CAW247" i="20" s="1"/>
  <c r="CAS247" i="20" s="1"/>
  <c r="CAO247" i="20" s="1"/>
  <c r="CAZ247" i="20"/>
  <c r="CAV247" i="20" l="1"/>
  <c r="CAR247" i="20" s="1"/>
  <c r="CAN247" i="20" s="1"/>
  <c r="CAJ247" i="20" s="1"/>
  <c r="CAU247" i="20"/>
  <c r="CAQ247" i="20" l="1"/>
  <c r="CAM247" i="20" s="1"/>
  <c r="CAI247" i="20" s="1"/>
  <c r="CAE247" i="20" s="1"/>
  <c r="CAP247" i="20"/>
  <c r="CAL247" i="20" l="1"/>
  <c r="CAH247" i="20" s="1"/>
  <c r="CAD247" i="20" s="1"/>
  <c r="BZZ247" i="20" s="1"/>
  <c r="CAK247" i="20"/>
  <c r="CAG247" i="20" l="1"/>
  <c r="CAC247" i="20" s="1"/>
  <c r="BZY247" i="20" s="1"/>
  <c r="BZU247" i="20" s="1"/>
  <c r="CAF247" i="20"/>
  <c r="CAB247" i="20" l="1"/>
  <c r="BZX247" i="20" s="1"/>
  <c r="BZT247" i="20" s="1"/>
  <c r="BZP247" i="20" s="1"/>
  <c r="CAA247" i="20"/>
  <c r="BZW247" i="20" l="1"/>
  <c r="BZS247" i="20" s="1"/>
  <c r="BZO247" i="20" s="1"/>
  <c r="BZK247" i="20" s="1"/>
  <c r="BZV247" i="20"/>
  <c r="BZR247" i="20" l="1"/>
  <c r="BZN247" i="20" s="1"/>
  <c r="BZJ247" i="20" s="1"/>
  <c r="BZF247" i="20" s="1"/>
  <c r="BZQ247" i="20"/>
  <c r="BZM247" i="20" l="1"/>
  <c r="BZI247" i="20" s="1"/>
  <c r="BZE247" i="20" s="1"/>
  <c r="BZA247" i="20" s="1"/>
  <c r="BZL247" i="20"/>
  <c r="BZH247" i="20" l="1"/>
  <c r="BZD247" i="20" s="1"/>
  <c r="BYZ247" i="20" s="1"/>
  <c r="BYV247" i="20" s="1"/>
  <c r="BZG247" i="20"/>
  <c r="BZC247" i="20" l="1"/>
  <c r="BYY247" i="20" s="1"/>
  <c r="BYU247" i="20" s="1"/>
  <c r="BYQ247" i="20" s="1"/>
  <c r="BZB247" i="20"/>
  <c r="BYX247" i="20" l="1"/>
  <c r="BYT247" i="20" s="1"/>
  <c r="BYP247" i="20" s="1"/>
  <c r="BYL247" i="20" s="1"/>
  <c r="BYW247" i="20"/>
  <c r="BYS247" i="20" l="1"/>
  <c r="BYO247" i="20" s="1"/>
  <c r="BYK247" i="20" s="1"/>
  <c r="BYG247" i="20" s="1"/>
  <c r="BYR247" i="20"/>
  <c r="BYN247" i="20" l="1"/>
  <c r="BYJ247" i="20" s="1"/>
  <c r="BYF247" i="20" s="1"/>
  <c r="BYB247" i="20" s="1"/>
  <c r="BYM247" i="20"/>
  <c r="BYI247" i="20" l="1"/>
  <c r="BYE247" i="20" s="1"/>
  <c r="BYA247" i="20" s="1"/>
  <c r="BXW247" i="20" s="1"/>
  <c r="BYH247" i="20"/>
  <c r="BYD247" i="20" l="1"/>
  <c r="BXZ247" i="20" s="1"/>
  <c r="BXV247" i="20" s="1"/>
  <c r="BXR247" i="20" s="1"/>
  <c r="BYC247" i="20"/>
  <c r="BXY247" i="20" l="1"/>
  <c r="BXU247" i="20" s="1"/>
  <c r="BXQ247" i="20" s="1"/>
  <c r="BXM247" i="20" s="1"/>
  <c r="BXX247" i="20"/>
  <c r="BXT247" i="20" l="1"/>
  <c r="BXP247" i="20" s="1"/>
  <c r="BXL247" i="20" s="1"/>
  <c r="BXH247" i="20" s="1"/>
  <c r="BXS247" i="20"/>
  <c r="BXO247" i="20" l="1"/>
  <c r="BXK247" i="20" s="1"/>
  <c r="BXG247" i="20" s="1"/>
  <c r="BXC247" i="20" s="1"/>
  <c r="BXN247" i="20"/>
  <c r="BXJ247" i="20" l="1"/>
  <c r="BXF247" i="20" s="1"/>
  <c r="BXB247" i="20" s="1"/>
  <c r="BWX247" i="20" s="1"/>
  <c r="BXI247" i="20"/>
  <c r="BXE247" i="20" l="1"/>
  <c r="BXA247" i="20" s="1"/>
  <c r="BWW247" i="20" s="1"/>
  <c r="BWS247" i="20" s="1"/>
  <c r="BXD247" i="20"/>
  <c r="BWZ247" i="20" l="1"/>
  <c r="BWV247" i="20" s="1"/>
  <c r="BWR247" i="20" s="1"/>
  <c r="BWN247" i="20" s="1"/>
  <c r="BWY247" i="20"/>
  <c r="BWU247" i="20" l="1"/>
  <c r="BWQ247" i="20" s="1"/>
  <c r="BWM247" i="20" s="1"/>
  <c r="BWI247" i="20" s="1"/>
  <c r="BWT247" i="20"/>
  <c r="BWP247" i="20" l="1"/>
  <c r="BWL247" i="20" s="1"/>
  <c r="BWH247" i="20" s="1"/>
  <c r="BWD247" i="20" s="1"/>
  <c r="BWO247" i="20"/>
  <c r="BWK247" i="20" l="1"/>
  <c r="BWG247" i="20" s="1"/>
  <c r="BWC247" i="20" s="1"/>
  <c r="BVY247" i="20" s="1"/>
  <c r="BWJ247" i="20"/>
  <c r="BWF247" i="20" l="1"/>
  <c r="BWB247" i="20" s="1"/>
  <c r="BVX247" i="20" s="1"/>
  <c r="BVT247" i="20" s="1"/>
  <c r="BWE247" i="20"/>
  <c r="BWA247" i="20" l="1"/>
  <c r="BVW247" i="20" s="1"/>
  <c r="BVS247" i="20" s="1"/>
  <c r="BVO247" i="20" s="1"/>
  <c r="BVZ247" i="20"/>
  <c r="BVV247" i="20" l="1"/>
  <c r="BVR247" i="20" s="1"/>
  <c r="BVN247" i="20" s="1"/>
  <c r="BVJ247" i="20" s="1"/>
  <c r="BVU247" i="20"/>
  <c r="BVQ247" i="20" l="1"/>
  <c r="BVM247" i="20" s="1"/>
  <c r="BVI247" i="20" s="1"/>
  <c r="BVE247" i="20" s="1"/>
  <c r="BVP247" i="20"/>
  <c r="BVL247" i="20" l="1"/>
  <c r="BVH247" i="20" s="1"/>
  <c r="BVD247" i="20" s="1"/>
  <c r="BUZ247" i="20" s="1"/>
  <c r="BVK247" i="20"/>
  <c r="BVG247" i="20" l="1"/>
  <c r="BVC247" i="20" s="1"/>
  <c r="BUY247" i="20" s="1"/>
  <c r="BUU247" i="20" s="1"/>
  <c r="BVF247" i="20"/>
  <c r="BVB247" i="20" l="1"/>
  <c r="BUX247" i="20" s="1"/>
  <c r="BUT247" i="20" s="1"/>
  <c r="BUP247" i="20" s="1"/>
  <c r="BVA247" i="20"/>
  <c r="BUW247" i="20" l="1"/>
  <c r="BUS247" i="20" s="1"/>
  <c r="BUO247" i="20" s="1"/>
  <c r="BUK247" i="20" s="1"/>
  <c r="BUV247" i="20"/>
  <c r="BUR247" i="20" l="1"/>
  <c r="BUN247" i="20" s="1"/>
  <c r="BUJ247" i="20" s="1"/>
  <c r="BUF247" i="20" s="1"/>
  <c r="BUQ247" i="20"/>
  <c r="BUM247" i="20" l="1"/>
  <c r="BUI247" i="20" s="1"/>
  <c r="BUE247" i="20" s="1"/>
  <c r="BUA247" i="20" s="1"/>
  <c r="BUL247" i="20"/>
  <c r="BUH247" i="20" l="1"/>
  <c r="BUD247" i="20" s="1"/>
  <c r="BTZ247" i="20" s="1"/>
  <c r="BTV247" i="20" s="1"/>
  <c r="BUG247" i="20"/>
  <c r="BUC247" i="20" l="1"/>
  <c r="BTY247" i="20" s="1"/>
  <c r="BTU247" i="20" s="1"/>
  <c r="BTQ247" i="20" s="1"/>
  <c r="BUB247" i="20"/>
  <c r="BTX247" i="20" l="1"/>
  <c r="BTT247" i="20" s="1"/>
  <c r="BTP247" i="20" s="1"/>
  <c r="BTL247" i="20" s="1"/>
  <c r="BTW247" i="20"/>
  <c r="BTS247" i="20" l="1"/>
  <c r="BTO247" i="20" s="1"/>
  <c r="BTK247" i="20" s="1"/>
  <c r="BTG247" i="20" s="1"/>
  <c r="BTR247" i="20"/>
  <c r="BTN247" i="20" l="1"/>
  <c r="BTJ247" i="20" s="1"/>
  <c r="BTF247" i="20" s="1"/>
  <c r="BTB247" i="20" s="1"/>
  <c r="BTM247" i="20"/>
  <c r="BTI247" i="20" l="1"/>
  <c r="BTE247" i="20" s="1"/>
  <c r="BTA247" i="20" s="1"/>
  <c r="BSW247" i="20" s="1"/>
  <c r="BTH247" i="20"/>
  <c r="BTD247" i="20" l="1"/>
  <c r="BSZ247" i="20" s="1"/>
  <c r="BSV247" i="20" s="1"/>
  <c r="BSR247" i="20" s="1"/>
  <c r="BTC247" i="20"/>
  <c r="BSY247" i="20" l="1"/>
  <c r="BSU247" i="20" s="1"/>
  <c r="BSQ247" i="20" s="1"/>
  <c r="BSM247" i="20" s="1"/>
  <c r="BSX247" i="20"/>
  <c r="BST247" i="20" l="1"/>
  <c r="BSP247" i="20" s="1"/>
  <c r="BSL247" i="20" s="1"/>
  <c r="BSH247" i="20" s="1"/>
  <c r="BSS247" i="20"/>
  <c r="BSO247" i="20" l="1"/>
  <c r="BSK247" i="20" s="1"/>
  <c r="BSG247" i="20" s="1"/>
  <c r="BSC247" i="20" s="1"/>
  <c r="BSN247" i="20"/>
  <c r="BSJ247" i="20" l="1"/>
  <c r="BSF247" i="20" s="1"/>
  <c r="BSB247" i="20" s="1"/>
  <c r="BRX247" i="20" s="1"/>
  <c r="BSI247" i="20"/>
  <c r="BSE247" i="20" l="1"/>
  <c r="BSA247" i="20" s="1"/>
  <c r="BRW247" i="20" s="1"/>
  <c r="BRS247" i="20" s="1"/>
  <c r="BSD247" i="20"/>
  <c r="BRZ247" i="20" l="1"/>
  <c r="BRV247" i="20" s="1"/>
  <c r="BRR247" i="20" s="1"/>
  <c r="BRN247" i="20" s="1"/>
  <c r="BRY247" i="20"/>
  <c r="BRU247" i="20" l="1"/>
  <c r="BRQ247" i="20" s="1"/>
  <c r="BRM247" i="20" s="1"/>
  <c r="BRI247" i="20" s="1"/>
  <c r="BRT247" i="20"/>
  <c r="BRP247" i="20" l="1"/>
  <c r="BRL247" i="20" s="1"/>
  <c r="BRH247" i="20" s="1"/>
  <c r="BRD247" i="20" s="1"/>
  <c r="BRO247" i="20"/>
  <c r="BRK247" i="20" l="1"/>
  <c r="BRG247" i="20" s="1"/>
  <c r="BRC247" i="20" s="1"/>
  <c r="BQY247" i="20" s="1"/>
  <c r="BRJ247" i="20"/>
  <c r="BRF247" i="20" l="1"/>
  <c r="BRB247" i="20" s="1"/>
  <c r="BQX247" i="20" s="1"/>
  <c r="BQT247" i="20" s="1"/>
  <c r="BRE247" i="20"/>
  <c r="BRA247" i="20" l="1"/>
  <c r="BQW247" i="20" s="1"/>
  <c r="BQS247" i="20" s="1"/>
  <c r="BQO247" i="20" s="1"/>
  <c r="BQZ247" i="20"/>
  <c r="BQV247" i="20" l="1"/>
  <c r="BQR247" i="20" s="1"/>
  <c r="BQN247" i="20" s="1"/>
  <c r="BQJ247" i="20" s="1"/>
  <c r="BQU247" i="20"/>
  <c r="BQQ247" i="20" l="1"/>
  <c r="BQM247" i="20" s="1"/>
  <c r="BQI247" i="20" s="1"/>
  <c r="BQE247" i="20" s="1"/>
  <c r="BQP247" i="20"/>
  <c r="BQL247" i="20" l="1"/>
  <c r="BQH247" i="20" s="1"/>
  <c r="BQD247" i="20" s="1"/>
  <c r="BPZ247" i="20" s="1"/>
  <c r="BQK247" i="20"/>
  <c r="BQG247" i="20" l="1"/>
  <c r="BQC247" i="20" s="1"/>
  <c r="BPY247" i="20" s="1"/>
  <c r="BPU247" i="20" s="1"/>
  <c r="BQF247" i="20"/>
  <c r="BQB247" i="20" l="1"/>
  <c r="BPX247" i="20" s="1"/>
  <c r="BPT247" i="20" s="1"/>
  <c r="BPP247" i="20" s="1"/>
  <c r="BQA247" i="20"/>
  <c r="BPW247" i="20" l="1"/>
  <c r="BPS247" i="20" s="1"/>
  <c r="BPO247" i="20" s="1"/>
  <c r="BPK247" i="20" s="1"/>
  <c r="BPV247" i="20"/>
  <c r="BPR247" i="20" l="1"/>
  <c r="BPN247" i="20" s="1"/>
  <c r="BPJ247" i="20" s="1"/>
  <c r="BPF247" i="20" s="1"/>
  <c r="BPQ247" i="20"/>
  <c r="BPM247" i="20" l="1"/>
  <c r="BPI247" i="20" s="1"/>
  <c r="BPE247" i="20" s="1"/>
  <c r="BPA247" i="20" s="1"/>
  <c r="BPL247" i="20"/>
  <c r="BPH247" i="20" l="1"/>
  <c r="BPD247" i="20" s="1"/>
  <c r="BOZ247" i="20" s="1"/>
  <c r="BOV247" i="20" s="1"/>
  <c r="BPG247" i="20"/>
  <c r="BPC247" i="20" l="1"/>
  <c r="BOY247" i="20" s="1"/>
  <c r="BOU247" i="20" s="1"/>
  <c r="BOQ247" i="20" s="1"/>
  <c r="BPB247" i="20"/>
  <c r="BOX247" i="20" l="1"/>
  <c r="BOT247" i="20" s="1"/>
  <c r="BOP247" i="20" s="1"/>
  <c r="BOL247" i="20" s="1"/>
  <c r="BOW247" i="20"/>
  <c r="BOS247" i="20" l="1"/>
  <c r="BOO247" i="20" s="1"/>
  <c r="BOK247" i="20" s="1"/>
  <c r="BOG247" i="20" s="1"/>
  <c r="BOR247" i="20"/>
  <c r="BON247" i="20" l="1"/>
  <c r="BOJ247" i="20" s="1"/>
  <c r="BOF247" i="20" s="1"/>
  <c r="BOB247" i="20" s="1"/>
  <c r="BOM247" i="20"/>
  <c r="BOI247" i="20" l="1"/>
  <c r="BOE247" i="20" s="1"/>
  <c r="BOA247" i="20" s="1"/>
  <c r="BNW247" i="20" s="1"/>
  <c r="BOH247" i="20"/>
  <c r="BOD247" i="20" l="1"/>
  <c r="BNZ247" i="20" s="1"/>
  <c r="BNV247" i="20" s="1"/>
  <c r="BNR247" i="20" s="1"/>
  <c r="BOC247" i="20"/>
  <c r="BNY247" i="20" l="1"/>
  <c r="BNU247" i="20" s="1"/>
  <c r="BNQ247" i="20" s="1"/>
  <c r="BNM247" i="20" s="1"/>
  <c r="BNX247" i="20"/>
  <c r="BNT247" i="20" l="1"/>
  <c r="BNP247" i="20" s="1"/>
  <c r="BNL247" i="20" s="1"/>
  <c r="BNH247" i="20" s="1"/>
  <c r="BNS247" i="20"/>
  <c r="BNO247" i="20" l="1"/>
  <c r="BNK247" i="20" s="1"/>
  <c r="BNG247" i="20" s="1"/>
  <c r="BNC247" i="20" s="1"/>
  <c r="BNN247" i="20"/>
  <c r="BNJ247" i="20" l="1"/>
  <c r="BNF247" i="20" s="1"/>
  <c r="BNB247" i="20" s="1"/>
  <c r="BMX247" i="20" s="1"/>
  <c r="BNI247" i="20"/>
  <c r="BNE247" i="20" l="1"/>
  <c r="BNA247" i="20" s="1"/>
  <c r="BMW247" i="20" s="1"/>
  <c r="BMS247" i="20" s="1"/>
  <c r="BND247" i="20"/>
  <c r="BMZ247" i="20" l="1"/>
  <c r="BMV247" i="20" s="1"/>
  <c r="BMR247" i="20" s="1"/>
  <c r="BMN247" i="20" s="1"/>
  <c r="BMY247" i="20"/>
  <c r="BMU247" i="20" l="1"/>
  <c r="BMQ247" i="20" s="1"/>
  <c r="BMM247" i="20" s="1"/>
  <c r="BMI247" i="20" s="1"/>
  <c r="BMT247" i="20"/>
  <c r="BMP247" i="20" l="1"/>
  <c r="BML247" i="20" s="1"/>
  <c r="BMH247" i="20" s="1"/>
  <c r="BMD247" i="20" s="1"/>
  <c r="BMO247" i="20"/>
  <c r="BMK247" i="20" l="1"/>
  <c r="BMG247" i="20" s="1"/>
  <c r="BMC247" i="20" s="1"/>
  <c r="BLY247" i="20" s="1"/>
  <c r="BMJ247" i="20"/>
  <c r="BMF247" i="20" l="1"/>
  <c r="BMB247" i="20" s="1"/>
  <c r="BLX247" i="20" s="1"/>
  <c r="BLT247" i="20" s="1"/>
  <c r="BME247" i="20"/>
  <c r="BMA247" i="20" l="1"/>
  <c r="BLW247" i="20" s="1"/>
  <c r="BLS247" i="20" s="1"/>
  <c r="BLO247" i="20" s="1"/>
  <c r="BLZ247" i="20"/>
  <c r="BLV247" i="20" l="1"/>
  <c r="BLR247" i="20" s="1"/>
  <c r="BLN247" i="20" s="1"/>
  <c r="BLJ247" i="20" s="1"/>
  <c r="BLU247" i="20"/>
  <c r="BLQ247" i="20" l="1"/>
  <c r="BLM247" i="20" s="1"/>
  <c r="BLI247" i="20" s="1"/>
  <c r="BLE247" i="20" s="1"/>
  <c r="BLP247" i="20"/>
  <c r="BLL247" i="20" l="1"/>
  <c r="BLH247" i="20" s="1"/>
  <c r="BLD247" i="20" s="1"/>
  <c r="BKZ247" i="20" s="1"/>
  <c r="BLK247" i="20"/>
  <c r="BLG247" i="20" l="1"/>
  <c r="BLC247" i="20" s="1"/>
  <c r="BKY247" i="20" s="1"/>
  <c r="BKU247" i="20" s="1"/>
  <c r="BLF247" i="20"/>
  <c r="BLB247" i="20" l="1"/>
  <c r="BKX247" i="20" s="1"/>
  <c r="BKT247" i="20" s="1"/>
  <c r="BKP247" i="20" s="1"/>
  <c r="BLA247" i="20"/>
  <c r="BKW247" i="20" l="1"/>
  <c r="BKS247" i="20" s="1"/>
  <c r="BKO247" i="20" s="1"/>
  <c r="BKK247" i="20" s="1"/>
  <c r="BKV247" i="20"/>
  <c r="BKR247" i="20" l="1"/>
  <c r="BKN247" i="20" s="1"/>
  <c r="BKJ247" i="20" s="1"/>
  <c r="BKF247" i="20" s="1"/>
  <c r="BKQ247" i="20"/>
  <c r="BKM247" i="20" l="1"/>
  <c r="BKI247" i="20" s="1"/>
  <c r="BKE247" i="20" s="1"/>
  <c r="BKA247" i="20" s="1"/>
  <c r="BKL247" i="20"/>
  <c r="BKH247" i="20" l="1"/>
  <c r="BKD247" i="20" s="1"/>
  <c r="BJZ247" i="20" s="1"/>
  <c r="BJV247" i="20" s="1"/>
  <c r="BKG247" i="20"/>
  <c r="BKC247" i="20" l="1"/>
  <c r="BJY247" i="20" s="1"/>
  <c r="BJU247" i="20" s="1"/>
  <c r="BJQ247" i="20" s="1"/>
  <c r="BKB247" i="20"/>
  <c r="BJX247" i="20" l="1"/>
  <c r="BJT247" i="20" s="1"/>
  <c r="BJP247" i="20" s="1"/>
  <c r="BJL247" i="20" s="1"/>
  <c r="BJW247" i="20"/>
  <c r="BJS247" i="20" l="1"/>
  <c r="BJO247" i="20" s="1"/>
  <c r="BJK247" i="20" s="1"/>
  <c r="BJG247" i="20" s="1"/>
  <c r="BJR247" i="20"/>
  <c r="BJN247" i="20" l="1"/>
  <c r="BJJ247" i="20" s="1"/>
  <c r="BJF247" i="20" s="1"/>
  <c r="BJB247" i="20" s="1"/>
  <c r="BJM247" i="20"/>
  <c r="BJI247" i="20" l="1"/>
  <c r="BJE247" i="20" s="1"/>
  <c r="BJA247" i="20" s="1"/>
  <c r="BIW247" i="20" s="1"/>
  <c r="BJH247" i="20"/>
  <c r="BJD247" i="20" l="1"/>
  <c r="BIZ247" i="20" s="1"/>
  <c r="BIV247" i="20" s="1"/>
  <c r="BIR247" i="20" s="1"/>
  <c r="BJC247" i="20"/>
  <c r="BIY247" i="20" l="1"/>
  <c r="BIU247" i="20" s="1"/>
  <c r="BIQ247" i="20" s="1"/>
  <c r="BIM247" i="20" s="1"/>
  <c r="BIX247" i="20"/>
  <c r="BIT247" i="20" l="1"/>
  <c r="BIP247" i="20" s="1"/>
  <c r="BIL247" i="20" s="1"/>
  <c r="BIH247" i="20" s="1"/>
  <c r="BIS247" i="20"/>
  <c r="BIO247" i="20" l="1"/>
  <c r="BIK247" i="20" s="1"/>
  <c r="BIG247" i="20" s="1"/>
  <c r="BIC247" i="20" s="1"/>
  <c r="BIN247" i="20"/>
  <c r="BIJ247" i="20" l="1"/>
  <c r="BIF247" i="20" s="1"/>
  <c r="BIB247" i="20" s="1"/>
  <c r="BHX247" i="20" s="1"/>
  <c r="BII247" i="20"/>
  <c r="BIE247" i="20" l="1"/>
  <c r="BIA247" i="20" s="1"/>
  <c r="BHW247" i="20" s="1"/>
  <c r="BHS247" i="20" s="1"/>
  <c r="BID247" i="20"/>
  <c r="BHZ247" i="20" l="1"/>
  <c r="BHV247" i="20" s="1"/>
  <c r="BHR247" i="20" s="1"/>
  <c r="BHN247" i="20" s="1"/>
  <c r="BHY247" i="20"/>
  <c r="BHU247" i="20" l="1"/>
  <c r="BHQ247" i="20" s="1"/>
  <c r="BHM247" i="20" s="1"/>
  <c r="BHI247" i="20" s="1"/>
  <c r="BHT247" i="20"/>
  <c r="BHP247" i="20" l="1"/>
  <c r="BHL247" i="20" s="1"/>
  <c r="BHH247" i="20" s="1"/>
  <c r="BHD247" i="20" s="1"/>
  <c r="BHO247" i="20"/>
  <c r="BHK247" i="20" l="1"/>
  <c r="BHG247" i="20" s="1"/>
  <c r="BHC247" i="20" s="1"/>
  <c r="BGY247" i="20" s="1"/>
  <c r="BHJ247" i="20"/>
  <c r="BHF247" i="20" l="1"/>
  <c r="BHB247" i="20" s="1"/>
  <c r="BGX247" i="20" s="1"/>
  <c r="BGT247" i="20" s="1"/>
  <c r="BHE247" i="20"/>
  <c r="BHA247" i="20" l="1"/>
  <c r="BGW247" i="20" s="1"/>
  <c r="BGS247" i="20" s="1"/>
  <c r="BGO247" i="20" s="1"/>
  <c r="BGZ247" i="20"/>
  <c r="BGV247" i="20" l="1"/>
  <c r="BGR247" i="20" s="1"/>
  <c r="BGN247" i="20" s="1"/>
  <c r="BGJ247" i="20" s="1"/>
  <c r="BGU247" i="20"/>
  <c r="BGQ247" i="20" l="1"/>
  <c r="BGM247" i="20" s="1"/>
  <c r="BGI247" i="20" s="1"/>
  <c r="BGE247" i="20" s="1"/>
  <c r="BGP247" i="20"/>
  <c r="BGL247" i="20" l="1"/>
  <c r="BGH247" i="20" s="1"/>
  <c r="BGD247" i="20" s="1"/>
  <c r="BFZ247" i="20" s="1"/>
  <c r="BGK247" i="20"/>
  <c r="BGG247" i="20" l="1"/>
  <c r="BGC247" i="20" s="1"/>
  <c r="BFY247" i="20" s="1"/>
  <c r="BFU247" i="20" s="1"/>
  <c r="BGF247" i="20"/>
  <c r="BGB247" i="20" l="1"/>
  <c r="BFX247" i="20" s="1"/>
  <c r="BFT247" i="20" s="1"/>
  <c r="BFP247" i="20" s="1"/>
  <c r="BGA247" i="20"/>
  <c r="BFW247" i="20" l="1"/>
  <c r="BFS247" i="20" s="1"/>
  <c r="BFO247" i="20" s="1"/>
  <c r="BFK247" i="20" s="1"/>
  <c r="BFV247" i="20"/>
  <c r="BFR247" i="20" l="1"/>
  <c r="BFN247" i="20" s="1"/>
  <c r="BFJ247" i="20" s="1"/>
  <c r="BFF247" i="20" s="1"/>
  <c r="BFQ247" i="20"/>
  <c r="BFM247" i="20" l="1"/>
  <c r="BFI247" i="20" s="1"/>
  <c r="BFE247" i="20" s="1"/>
  <c r="BFA247" i="20" s="1"/>
  <c r="BFL247" i="20"/>
  <c r="BFH247" i="20" l="1"/>
  <c r="BFD247" i="20" s="1"/>
  <c r="BEZ247" i="20" s="1"/>
  <c r="BEV247" i="20" s="1"/>
  <c r="BFG247" i="20"/>
  <c r="BFC247" i="20" l="1"/>
  <c r="BEY247" i="20" s="1"/>
  <c r="BEU247" i="20" s="1"/>
  <c r="BEQ247" i="20" s="1"/>
  <c r="BFB247" i="20"/>
  <c r="BEX247" i="20" l="1"/>
  <c r="BET247" i="20" s="1"/>
  <c r="BEP247" i="20" s="1"/>
  <c r="BEL247" i="20" s="1"/>
  <c r="BEW247" i="20"/>
  <c r="BES247" i="20" l="1"/>
  <c r="BEO247" i="20" s="1"/>
  <c r="BEK247" i="20" s="1"/>
  <c r="BEG247" i="20" s="1"/>
  <c r="BER247" i="20"/>
  <c r="BEN247" i="20" l="1"/>
  <c r="BEJ247" i="20" s="1"/>
  <c r="BEF247" i="20" s="1"/>
  <c r="BEB247" i="20" s="1"/>
  <c r="BEM247" i="20"/>
  <c r="BEI247" i="20" l="1"/>
  <c r="BEE247" i="20" s="1"/>
  <c r="BEA247" i="20" s="1"/>
  <c r="BDW247" i="20" s="1"/>
  <c r="BEH247" i="20"/>
  <c r="BED247" i="20" l="1"/>
  <c r="BDZ247" i="20" s="1"/>
  <c r="BDV247" i="20" s="1"/>
  <c r="BDR247" i="20" s="1"/>
  <c r="BEC247" i="20"/>
  <c r="BDY247" i="20" l="1"/>
  <c r="BDU247" i="20" s="1"/>
  <c r="BDQ247" i="20" s="1"/>
  <c r="BDM247" i="20" s="1"/>
  <c r="BDX247" i="20"/>
  <c r="BDT247" i="20" l="1"/>
  <c r="BDP247" i="20" s="1"/>
  <c r="BDL247" i="20" s="1"/>
  <c r="BDH247" i="20" s="1"/>
  <c r="BDS247" i="20"/>
  <c r="BDO247" i="20" l="1"/>
  <c r="BDK247" i="20" s="1"/>
  <c r="BDG247" i="20" s="1"/>
  <c r="BDC247" i="20" s="1"/>
  <c r="BDN247" i="20"/>
  <c r="BDJ247" i="20" l="1"/>
  <c r="BDF247" i="20" s="1"/>
  <c r="BDB247" i="20" s="1"/>
  <c r="BCX247" i="20" s="1"/>
  <c r="BDI247" i="20"/>
  <c r="BDE247" i="20" l="1"/>
  <c r="BDA247" i="20" s="1"/>
  <c r="BCW247" i="20" s="1"/>
  <c r="BCS247" i="20" s="1"/>
  <c r="BDD247" i="20"/>
  <c r="BCZ247" i="20" l="1"/>
  <c r="BCV247" i="20" s="1"/>
  <c r="BCR247" i="20" s="1"/>
  <c r="BCN247" i="20" s="1"/>
  <c r="BCY247" i="20"/>
  <c r="BCU247" i="20" l="1"/>
  <c r="BCQ247" i="20" s="1"/>
  <c r="BCM247" i="20" s="1"/>
  <c r="BCI247" i="20" s="1"/>
  <c r="BCT247" i="20"/>
  <c r="BCP247" i="20" l="1"/>
  <c r="BCL247" i="20" s="1"/>
  <c r="BCH247" i="20" s="1"/>
  <c r="BCD247" i="20" s="1"/>
  <c r="BCO247" i="20"/>
  <c r="BCK247" i="20" l="1"/>
  <c r="BCG247" i="20" s="1"/>
  <c r="BCC247" i="20" s="1"/>
  <c r="BBY247" i="20" s="1"/>
  <c r="BCJ247" i="20"/>
  <c r="BCF247" i="20" l="1"/>
  <c r="BCB247" i="20" s="1"/>
  <c r="BBX247" i="20" s="1"/>
  <c r="BBT247" i="20" s="1"/>
  <c r="BCE247" i="20"/>
  <c r="BCA247" i="20" l="1"/>
  <c r="BBW247" i="20" s="1"/>
  <c r="BBS247" i="20" s="1"/>
  <c r="BBO247" i="20" s="1"/>
  <c r="BBZ247" i="20"/>
  <c r="BBV247" i="20" l="1"/>
  <c r="BBR247" i="20" s="1"/>
  <c r="BBN247" i="20" s="1"/>
  <c r="BBJ247" i="20" s="1"/>
  <c r="BBU247" i="20"/>
  <c r="BBQ247" i="20" l="1"/>
  <c r="BBM247" i="20" s="1"/>
  <c r="BBI247" i="20" s="1"/>
  <c r="BBE247" i="20" s="1"/>
  <c r="BBP247" i="20"/>
  <c r="BBL247" i="20" l="1"/>
  <c r="BBH247" i="20" s="1"/>
  <c r="BBD247" i="20" s="1"/>
  <c r="BAZ247" i="20" s="1"/>
  <c r="BBK247" i="20"/>
  <c r="BBG247" i="20" l="1"/>
  <c r="BBC247" i="20" s="1"/>
  <c r="BAY247" i="20" s="1"/>
  <c r="BAU247" i="20" s="1"/>
  <c r="BBF247" i="20"/>
  <c r="BBB247" i="20" l="1"/>
  <c r="BAX247" i="20" s="1"/>
  <c r="BAT247" i="20" s="1"/>
  <c r="BAP247" i="20" s="1"/>
  <c r="BBA247" i="20"/>
  <c r="BAW247" i="20" l="1"/>
  <c r="BAS247" i="20" s="1"/>
  <c r="BAO247" i="20" s="1"/>
  <c r="BAK247" i="20" s="1"/>
  <c r="BAV247" i="20"/>
  <c r="BAR247" i="20" l="1"/>
  <c r="BAN247" i="20" s="1"/>
  <c r="BAJ247" i="20" s="1"/>
  <c r="BAF247" i="20" s="1"/>
  <c r="BAQ247" i="20"/>
  <c r="BAM247" i="20" l="1"/>
  <c r="BAI247" i="20" s="1"/>
  <c r="BAE247" i="20" s="1"/>
  <c r="BAA247" i="20" s="1"/>
  <c r="BAL247" i="20"/>
  <c r="BAH247" i="20" l="1"/>
  <c r="BAD247" i="20" s="1"/>
  <c r="AZZ247" i="20" s="1"/>
  <c r="AZV247" i="20" s="1"/>
  <c r="BAG247" i="20"/>
  <c r="BAC247" i="20" l="1"/>
  <c r="AZY247" i="20" s="1"/>
  <c r="AZU247" i="20" s="1"/>
  <c r="AZQ247" i="20" s="1"/>
  <c r="BAB247" i="20"/>
  <c r="AZX247" i="20" l="1"/>
  <c r="AZT247" i="20" s="1"/>
  <c r="AZP247" i="20" s="1"/>
  <c r="AZL247" i="20" s="1"/>
  <c r="AZW247" i="20"/>
  <c r="AZS247" i="20" l="1"/>
  <c r="AZO247" i="20" s="1"/>
  <c r="AZK247" i="20" s="1"/>
  <c r="AZG247" i="20" s="1"/>
  <c r="AZR247" i="20"/>
  <c r="AZN247" i="20" l="1"/>
  <c r="AZJ247" i="20" s="1"/>
  <c r="AZF247" i="20" s="1"/>
  <c r="AZB247" i="20" s="1"/>
  <c r="AZM247" i="20"/>
  <c r="AZI247" i="20" l="1"/>
  <c r="AZE247" i="20" s="1"/>
  <c r="AZA247" i="20" s="1"/>
  <c r="AYW247" i="20" s="1"/>
  <c r="AZH247" i="20"/>
  <c r="AZD247" i="20" l="1"/>
  <c r="AYZ247" i="20" s="1"/>
  <c r="AYV247" i="20" s="1"/>
  <c r="AYR247" i="20" s="1"/>
  <c r="AZC247" i="20"/>
  <c r="AYY247" i="20" l="1"/>
  <c r="AYU247" i="20" s="1"/>
  <c r="AYQ247" i="20" s="1"/>
  <c r="AYM247" i="20" s="1"/>
  <c r="AYX247" i="20"/>
  <c r="AYT247" i="20" l="1"/>
  <c r="AYP247" i="20" s="1"/>
  <c r="AYL247" i="20" s="1"/>
  <c r="AYH247" i="20" s="1"/>
  <c r="AYS247" i="20"/>
  <c r="AYO247" i="20" l="1"/>
  <c r="AYK247" i="20" s="1"/>
  <c r="AYG247" i="20" s="1"/>
  <c r="AYC247" i="20" s="1"/>
  <c r="AYN247" i="20"/>
  <c r="AYJ247" i="20" l="1"/>
  <c r="AYF247" i="20" s="1"/>
  <c r="AYB247" i="20" s="1"/>
  <c r="AXX247" i="20" s="1"/>
  <c r="AYI247" i="20"/>
  <c r="AYE247" i="20" l="1"/>
  <c r="AYA247" i="20" s="1"/>
  <c r="AXW247" i="20" s="1"/>
  <c r="AXS247" i="20" s="1"/>
  <c r="AYD247" i="20"/>
  <c r="AXZ247" i="20" l="1"/>
  <c r="AXV247" i="20" s="1"/>
  <c r="AXR247" i="20" s="1"/>
  <c r="AXN247" i="20" s="1"/>
  <c r="AXY247" i="20"/>
  <c r="AXU247" i="20" l="1"/>
  <c r="AXQ247" i="20" s="1"/>
  <c r="AXM247" i="20" s="1"/>
  <c r="AXI247" i="20" s="1"/>
  <c r="AXT247" i="20"/>
  <c r="AXP247" i="20" l="1"/>
  <c r="AXL247" i="20" s="1"/>
  <c r="AXH247" i="20" s="1"/>
  <c r="AXD247" i="20" s="1"/>
  <c r="AXO247" i="20"/>
  <c r="AXK247" i="20" l="1"/>
  <c r="AXG247" i="20" s="1"/>
  <c r="AXC247" i="20" s="1"/>
  <c r="AWY247" i="20" s="1"/>
  <c r="AXJ247" i="20"/>
  <c r="AXF247" i="20" l="1"/>
  <c r="AXB247" i="20" s="1"/>
  <c r="AWX247" i="20" s="1"/>
  <c r="AWT247" i="20" s="1"/>
  <c r="AXE247" i="20"/>
  <c r="AXA247" i="20" l="1"/>
  <c r="AWW247" i="20" s="1"/>
  <c r="AWS247" i="20" s="1"/>
  <c r="AWO247" i="20" s="1"/>
  <c r="AWZ247" i="20"/>
  <c r="AWV247" i="20" l="1"/>
  <c r="AWR247" i="20" s="1"/>
  <c r="AWN247" i="20" s="1"/>
  <c r="AWJ247" i="20" s="1"/>
  <c r="AWU247" i="20"/>
  <c r="AWQ247" i="20" l="1"/>
  <c r="AWM247" i="20" s="1"/>
  <c r="AWI247" i="20" s="1"/>
  <c r="AWE247" i="20" s="1"/>
  <c r="AWP247" i="20"/>
  <c r="AWL247" i="20" l="1"/>
  <c r="AWH247" i="20" s="1"/>
  <c r="AWD247" i="20" s="1"/>
  <c r="AVZ247" i="20" s="1"/>
  <c r="AWK247" i="20"/>
  <c r="AWG247" i="20" l="1"/>
  <c r="AWC247" i="20" s="1"/>
  <c r="AVY247" i="20" s="1"/>
  <c r="AVU247" i="20" s="1"/>
  <c r="AWF247" i="20"/>
  <c r="AWB247" i="20" l="1"/>
  <c r="AVX247" i="20" s="1"/>
  <c r="AVT247" i="20" s="1"/>
  <c r="AVP247" i="20" s="1"/>
  <c r="AWA247" i="20"/>
  <c r="AVW247" i="20" l="1"/>
  <c r="AVS247" i="20" s="1"/>
  <c r="AVO247" i="20" s="1"/>
  <c r="AVK247" i="20" s="1"/>
  <c r="AVV247" i="20"/>
  <c r="AVR247" i="20" l="1"/>
  <c r="AVN247" i="20" s="1"/>
  <c r="AVJ247" i="20" s="1"/>
  <c r="AVF247" i="20" s="1"/>
  <c r="AVQ247" i="20"/>
  <c r="AVM247" i="20" l="1"/>
  <c r="AVI247" i="20" s="1"/>
  <c r="AVE247" i="20" s="1"/>
  <c r="AVA247" i="20" s="1"/>
  <c r="AVL247" i="20"/>
  <c r="AVH247" i="20" l="1"/>
  <c r="AVD247" i="20" s="1"/>
  <c r="AUZ247" i="20" s="1"/>
  <c r="AUV247" i="20" s="1"/>
  <c r="AVG247" i="20"/>
  <c r="AVC247" i="20" l="1"/>
  <c r="AUY247" i="20" s="1"/>
  <c r="AUU247" i="20" s="1"/>
  <c r="AUQ247" i="20" s="1"/>
  <c r="AVB247" i="20"/>
  <c r="AUX247" i="20" l="1"/>
  <c r="AUT247" i="20" s="1"/>
  <c r="AUP247" i="20" s="1"/>
  <c r="AUL247" i="20" s="1"/>
  <c r="AUW247" i="20"/>
  <c r="AUS247" i="20" l="1"/>
  <c r="AUO247" i="20" s="1"/>
  <c r="AUK247" i="20" s="1"/>
  <c r="AUG247" i="20" s="1"/>
  <c r="AUR247" i="20"/>
  <c r="AUN247" i="20" l="1"/>
  <c r="AUJ247" i="20" s="1"/>
  <c r="AUF247" i="20" s="1"/>
  <c r="AUB247" i="20" s="1"/>
  <c r="AUM247" i="20"/>
  <c r="AUI247" i="20" l="1"/>
  <c r="AUE247" i="20" s="1"/>
  <c r="AUA247" i="20" s="1"/>
  <c r="ATW247" i="20" s="1"/>
  <c r="AUH247" i="20"/>
  <c r="AUD247" i="20" l="1"/>
  <c r="ATZ247" i="20" s="1"/>
  <c r="ATV247" i="20" s="1"/>
  <c r="ATR247" i="20" s="1"/>
  <c r="AUC247" i="20"/>
  <c r="ATY247" i="20" l="1"/>
  <c r="ATU247" i="20" s="1"/>
  <c r="ATQ247" i="20" s="1"/>
  <c r="ATM247" i="20" s="1"/>
  <c r="ATX247" i="20"/>
  <c r="ATT247" i="20" l="1"/>
  <c r="ATP247" i="20" s="1"/>
  <c r="ATL247" i="20" s="1"/>
  <c r="ATH247" i="20" s="1"/>
  <c r="ATS247" i="20"/>
  <c r="ATO247" i="20" l="1"/>
  <c r="ATK247" i="20" s="1"/>
  <c r="ATG247" i="20" s="1"/>
  <c r="ATC247" i="20" s="1"/>
  <c r="ATN247" i="20"/>
  <c r="ATJ247" i="20" l="1"/>
  <c r="ATF247" i="20" s="1"/>
  <c r="ATB247" i="20" s="1"/>
  <c r="ASX247" i="20" s="1"/>
  <c r="ATI247" i="20"/>
  <c r="ATE247" i="20" l="1"/>
  <c r="ATA247" i="20" s="1"/>
  <c r="ASW247" i="20" s="1"/>
  <c r="ASS247" i="20" s="1"/>
  <c r="ATD247" i="20"/>
  <c r="ASZ247" i="20" l="1"/>
  <c r="ASV247" i="20" s="1"/>
  <c r="ASR247" i="20" s="1"/>
  <c r="ASN247" i="20" s="1"/>
  <c r="ASY247" i="20"/>
  <c r="ASU247" i="20" l="1"/>
  <c r="ASQ247" i="20" s="1"/>
  <c r="ASM247" i="20" s="1"/>
  <c r="ASI247" i="20" s="1"/>
  <c r="AST247" i="20"/>
  <c r="ASP247" i="20" l="1"/>
  <c r="ASL247" i="20" s="1"/>
  <c r="ASH247" i="20" s="1"/>
  <c r="ASD247" i="20" s="1"/>
  <c r="ASO247" i="20"/>
  <c r="ASK247" i="20" l="1"/>
  <c r="ASG247" i="20" s="1"/>
  <c r="ASC247" i="20" s="1"/>
  <c r="ARY247" i="20" s="1"/>
  <c r="ASJ247" i="20"/>
  <c r="ASF247" i="20" l="1"/>
  <c r="ASB247" i="20" s="1"/>
  <c r="ARX247" i="20" s="1"/>
  <c r="ART247" i="20" s="1"/>
  <c r="ASE247" i="20"/>
  <c r="ASA247" i="20" l="1"/>
  <c r="ARW247" i="20" s="1"/>
  <c r="ARS247" i="20" s="1"/>
  <c r="ARO247" i="20" s="1"/>
  <c r="ARZ247" i="20"/>
  <c r="ARV247" i="20" l="1"/>
  <c r="ARR247" i="20" s="1"/>
  <c r="ARN247" i="20" s="1"/>
  <c r="ARJ247" i="20" s="1"/>
  <c r="ARU247" i="20"/>
  <c r="ARQ247" i="20" l="1"/>
  <c r="ARM247" i="20" s="1"/>
  <c r="ARI247" i="20" s="1"/>
  <c r="ARE247" i="20" s="1"/>
  <c r="ARP247" i="20"/>
  <c r="ARL247" i="20" l="1"/>
  <c r="ARH247" i="20" s="1"/>
  <c r="ARD247" i="20" s="1"/>
  <c r="AQZ247" i="20" s="1"/>
  <c r="ARK247" i="20"/>
  <c r="ARG247" i="20" l="1"/>
  <c r="ARC247" i="20" s="1"/>
  <c r="AQY247" i="20" s="1"/>
  <c r="AQU247" i="20" s="1"/>
  <c r="ARF247" i="20"/>
  <c r="ARB247" i="20" l="1"/>
  <c r="AQX247" i="20" s="1"/>
  <c r="AQT247" i="20" s="1"/>
  <c r="AQP247" i="20" s="1"/>
  <c r="ARA247" i="20"/>
  <c r="AQW247" i="20" l="1"/>
  <c r="AQS247" i="20" s="1"/>
  <c r="AQO247" i="20" s="1"/>
  <c r="AQK247" i="20" s="1"/>
  <c r="AQV247" i="20"/>
  <c r="AQR247" i="20" l="1"/>
  <c r="AQN247" i="20" s="1"/>
  <c r="AQJ247" i="20" s="1"/>
  <c r="AQF247" i="20" s="1"/>
  <c r="AQQ247" i="20"/>
  <c r="AQM247" i="20" l="1"/>
  <c r="AQI247" i="20" s="1"/>
  <c r="AQE247" i="20" s="1"/>
  <c r="AQA247" i="20" s="1"/>
  <c r="AQL247" i="20"/>
  <c r="AQH247" i="20" l="1"/>
  <c r="AQD247" i="20" s="1"/>
  <c r="APZ247" i="20" s="1"/>
  <c r="APV247" i="20" s="1"/>
  <c r="AQG247" i="20"/>
  <c r="AQC247" i="20" l="1"/>
  <c r="APY247" i="20" s="1"/>
  <c r="APU247" i="20" s="1"/>
  <c r="APQ247" i="20" s="1"/>
  <c r="AQB247" i="20"/>
  <c r="APX247" i="20" l="1"/>
  <c r="APT247" i="20" s="1"/>
  <c r="APP247" i="20" s="1"/>
  <c r="APL247" i="20" s="1"/>
  <c r="APW247" i="20"/>
  <c r="APS247" i="20" l="1"/>
  <c r="APO247" i="20" s="1"/>
  <c r="APK247" i="20" s="1"/>
  <c r="APG247" i="20" s="1"/>
  <c r="APR247" i="20"/>
  <c r="APN247" i="20" l="1"/>
  <c r="APJ247" i="20" s="1"/>
  <c r="APF247" i="20" s="1"/>
  <c r="APB247" i="20" s="1"/>
  <c r="APM247" i="20"/>
  <c r="API247" i="20" l="1"/>
  <c r="APE247" i="20" s="1"/>
  <c r="APA247" i="20" s="1"/>
  <c r="AOW247" i="20" s="1"/>
  <c r="APH247" i="20"/>
  <c r="APD247" i="20" l="1"/>
  <c r="AOZ247" i="20" s="1"/>
  <c r="AOV247" i="20" s="1"/>
  <c r="AOR247" i="20" s="1"/>
  <c r="APC247" i="20"/>
  <c r="AOY247" i="20" l="1"/>
  <c r="AOU247" i="20" s="1"/>
  <c r="AOQ247" i="20" s="1"/>
  <c r="AOM247" i="20" s="1"/>
  <c r="AOX247" i="20"/>
  <c r="AOT247" i="20" l="1"/>
  <c r="AOP247" i="20" s="1"/>
  <c r="AOL247" i="20" s="1"/>
  <c r="AOH247" i="20" s="1"/>
  <c r="AOS247" i="20"/>
  <c r="AOO247" i="20" l="1"/>
  <c r="AOK247" i="20" s="1"/>
  <c r="AOG247" i="20" s="1"/>
  <c r="AOC247" i="20" s="1"/>
  <c r="AON247" i="20"/>
  <c r="AOJ247" i="20" l="1"/>
  <c r="AOF247" i="20" s="1"/>
  <c r="AOB247" i="20" s="1"/>
  <c r="ANX247" i="20" s="1"/>
  <c r="AOI247" i="20"/>
  <c r="AOE247" i="20" l="1"/>
  <c r="AOA247" i="20" s="1"/>
  <c r="ANW247" i="20" s="1"/>
  <c r="ANS247" i="20" s="1"/>
  <c r="AOD247" i="20"/>
  <c r="ANZ247" i="20" l="1"/>
  <c r="ANV247" i="20" s="1"/>
  <c r="ANR247" i="20" s="1"/>
  <c r="ANN247" i="20" s="1"/>
  <c r="ANY247" i="20"/>
  <c r="ANU247" i="20" l="1"/>
  <c r="ANQ247" i="20" s="1"/>
  <c r="ANM247" i="20" s="1"/>
  <c r="ANI247" i="20" s="1"/>
  <c r="ANT247" i="20"/>
  <c r="ANP247" i="20" l="1"/>
  <c r="ANL247" i="20" s="1"/>
  <c r="ANH247" i="20" s="1"/>
  <c r="AND247" i="20" s="1"/>
  <c r="ANO247" i="20"/>
  <c r="ANK247" i="20" l="1"/>
  <c r="ANG247" i="20" s="1"/>
  <c r="ANC247" i="20" s="1"/>
  <c r="AMY247" i="20" s="1"/>
  <c r="ANJ247" i="20"/>
  <c r="ANF247" i="20" l="1"/>
  <c r="ANB247" i="20" s="1"/>
  <c r="AMX247" i="20" s="1"/>
  <c r="AMT247" i="20" s="1"/>
  <c r="ANE247" i="20"/>
  <c r="ANA247" i="20" l="1"/>
  <c r="AMW247" i="20" s="1"/>
  <c r="AMS247" i="20" s="1"/>
  <c r="AMO247" i="20" s="1"/>
  <c r="AMZ247" i="20"/>
  <c r="AMV247" i="20" l="1"/>
  <c r="AMR247" i="20" s="1"/>
  <c r="AMN247" i="20" s="1"/>
  <c r="AMJ247" i="20" s="1"/>
  <c r="AMU247" i="20"/>
  <c r="AMQ247" i="20" l="1"/>
  <c r="AMM247" i="20" s="1"/>
  <c r="AMI247" i="20" s="1"/>
  <c r="AME247" i="20" s="1"/>
  <c r="AMP247" i="20"/>
  <c r="AML247" i="20" l="1"/>
  <c r="AMH247" i="20" s="1"/>
  <c r="AMD247" i="20" s="1"/>
  <c r="ALZ247" i="20" s="1"/>
  <c r="AMK247" i="20"/>
  <c r="AMG247" i="20" l="1"/>
  <c r="AMC247" i="20" s="1"/>
  <c r="ALY247" i="20" s="1"/>
  <c r="ALU247" i="20" s="1"/>
  <c r="AMF247" i="20"/>
  <c r="AMB247" i="20" l="1"/>
  <c r="ALX247" i="20" s="1"/>
  <c r="ALT247" i="20" s="1"/>
  <c r="ALP247" i="20" s="1"/>
  <c r="AMA247" i="20"/>
  <c r="ALW247" i="20" l="1"/>
  <c r="ALS247" i="20" s="1"/>
  <c r="ALO247" i="20" s="1"/>
  <c r="ALK247" i="20" s="1"/>
  <c r="ALV247" i="20"/>
  <c r="ALR247" i="20" l="1"/>
  <c r="ALN247" i="20" s="1"/>
  <c r="ALJ247" i="20" s="1"/>
  <c r="ALF247" i="20" s="1"/>
  <c r="ALQ247" i="20"/>
  <c r="ALM247" i="20" l="1"/>
  <c r="ALI247" i="20" s="1"/>
  <c r="ALE247" i="20" s="1"/>
  <c r="ALA247" i="20" s="1"/>
  <c r="ALL247" i="20"/>
  <c r="ALH247" i="20" l="1"/>
  <c r="ALD247" i="20" s="1"/>
  <c r="AKZ247" i="20" s="1"/>
  <c r="AKV247" i="20" s="1"/>
  <c r="ALG247" i="20"/>
  <c r="ALC247" i="20" l="1"/>
  <c r="AKY247" i="20" s="1"/>
  <c r="AKU247" i="20" s="1"/>
  <c r="AKQ247" i="20" s="1"/>
  <c r="ALB247" i="20"/>
  <c r="AKX247" i="20" l="1"/>
  <c r="AKT247" i="20" s="1"/>
  <c r="AKP247" i="20" s="1"/>
  <c r="AKL247" i="20" s="1"/>
  <c r="AKW247" i="20"/>
  <c r="AKS247" i="20" l="1"/>
  <c r="AKO247" i="20" s="1"/>
  <c r="AKK247" i="20" s="1"/>
  <c r="AKG247" i="20" s="1"/>
  <c r="AKR247" i="20"/>
  <c r="AKN247" i="20" l="1"/>
  <c r="AKJ247" i="20" s="1"/>
  <c r="AKF247" i="20" s="1"/>
  <c r="AKB247" i="20" s="1"/>
  <c r="AKM247" i="20"/>
  <c r="AKI247" i="20" l="1"/>
  <c r="AKE247" i="20" s="1"/>
  <c r="AKA247" i="20" s="1"/>
  <c r="AJW247" i="20" s="1"/>
  <c r="AKH247" i="20"/>
  <c r="AKD247" i="20" l="1"/>
  <c r="AJZ247" i="20" s="1"/>
  <c r="AJV247" i="20" s="1"/>
  <c r="AJR247" i="20" s="1"/>
  <c r="AKC247" i="20"/>
  <c r="AJY247" i="20" l="1"/>
  <c r="AJU247" i="20" s="1"/>
  <c r="AJQ247" i="20" s="1"/>
  <c r="AJM247" i="20" s="1"/>
  <c r="AJX247" i="20"/>
  <c r="AJT247" i="20" l="1"/>
  <c r="AJP247" i="20" s="1"/>
  <c r="AJL247" i="20" s="1"/>
  <c r="AJH247" i="20" s="1"/>
  <c r="AJS247" i="20"/>
  <c r="AJO247" i="20" l="1"/>
  <c r="AJK247" i="20" s="1"/>
  <c r="AJG247" i="20" s="1"/>
  <c r="AJC247" i="20" s="1"/>
  <c r="AJN247" i="20"/>
  <c r="AJJ247" i="20" l="1"/>
  <c r="AJF247" i="20" s="1"/>
  <c r="AJB247" i="20" s="1"/>
  <c r="AIX247" i="20" s="1"/>
  <c r="AJI247" i="20"/>
  <c r="AJE247" i="20" l="1"/>
  <c r="AJA247" i="20" s="1"/>
  <c r="AIW247" i="20" s="1"/>
  <c r="AIS247" i="20" s="1"/>
  <c r="AJD247" i="20"/>
  <c r="AIZ247" i="20" l="1"/>
  <c r="AIV247" i="20" s="1"/>
  <c r="AIR247" i="20" s="1"/>
  <c r="AIN247" i="20" s="1"/>
  <c r="AIY247" i="20"/>
  <c r="AIU247" i="20" l="1"/>
  <c r="AIQ247" i="20" s="1"/>
  <c r="AIM247" i="20" s="1"/>
  <c r="AII247" i="20" s="1"/>
  <c r="AIT247" i="20"/>
  <c r="AIP247" i="20" l="1"/>
  <c r="AIL247" i="20" s="1"/>
  <c r="AIH247" i="20" s="1"/>
  <c r="AID247" i="20" s="1"/>
  <c r="AIO247" i="20"/>
  <c r="AIK247" i="20" l="1"/>
  <c r="AIG247" i="20" s="1"/>
  <c r="AIC247" i="20" s="1"/>
  <c r="AHY247" i="20" s="1"/>
  <c r="AIJ247" i="20"/>
  <c r="AIF247" i="20" l="1"/>
  <c r="AIB247" i="20" s="1"/>
  <c r="AHX247" i="20" s="1"/>
  <c r="AHT247" i="20" s="1"/>
  <c r="AIE247" i="20"/>
  <c r="AIA247" i="20" l="1"/>
  <c r="AHW247" i="20" s="1"/>
  <c r="AHS247" i="20" s="1"/>
  <c r="AHO247" i="20" s="1"/>
  <c r="AHZ247" i="20"/>
  <c r="AHV247" i="20" l="1"/>
  <c r="AHR247" i="20" s="1"/>
  <c r="AHN247" i="20" s="1"/>
  <c r="AHJ247" i="20" s="1"/>
  <c r="AHU247" i="20"/>
  <c r="AHQ247" i="20" l="1"/>
  <c r="AHM247" i="20" s="1"/>
  <c r="AHI247" i="20" s="1"/>
  <c r="AHE247" i="20" s="1"/>
  <c r="AHP247" i="20"/>
  <c r="AHL247" i="20" l="1"/>
  <c r="AHH247" i="20" s="1"/>
  <c r="AHD247" i="20" s="1"/>
  <c r="AGZ247" i="20" s="1"/>
  <c r="AHK247" i="20"/>
  <c r="AHG247" i="20" l="1"/>
  <c r="AHC247" i="20" s="1"/>
  <c r="AGY247" i="20" s="1"/>
  <c r="AGU247" i="20" s="1"/>
  <c r="AHF247" i="20"/>
  <c r="AHB247" i="20" l="1"/>
  <c r="AGX247" i="20" s="1"/>
  <c r="AGT247" i="20" s="1"/>
  <c r="AGP247" i="20" s="1"/>
  <c r="AHA247" i="20"/>
  <c r="AGW247" i="20" l="1"/>
  <c r="AGS247" i="20" s="1"/>
  <c r="AGO247" i="20" s="1"/>
  <c r="AGK247" i="20" s="1"/>
  <c r="AGV247" i="20"/>
  <c r="AGR247" i="20" l="1"/>
  <c r="AGN247" i="20" s="1"/>
  <c r="AGJ247" i="20" s="1"/>
  <c r="AGF247" i="20" s="1"/>
  <c r="AGQ247" i="20"/>
  <c r="AGM247" i="20" l="1"/>
  <c r="AGI247" i="20" s="1"/>
  <c r="AGE247" i="20" s="1"/>
  <c r="AGA247" i="20" s="1"/>
  <c r="AGL247" i="20"/>
  <c r="AGH247" i="20" l="1"/>
  <c r="AGD247" i="20" s="1"/>
  <c r="AFZ247" i="20" s="1"/>
  <c r="AFV247" i="20" s="1"/>
  <c r="AGG247" i="20"/>
  <c r="AGC247" i="20" l="1"/>
  <c r="AFY247" i="20" s="1"/>
  <c r="AFU247" i="20" s="1"/>
  <c r="AFQ247" i="20" s="1"/>
  <c r="AGB247" i="20"/>
  <c r="AFX247" i="20" l="1"/>
  <c r="AFT247" i="20" s="1"/>
  <c r="AFP247" i="20" s="1"/>
  <c r="AFL247" i="20" s="1"/>
  <c r="AFW247" i="20"/>
  <c r="AFS247" i="20" l="1"/>
  <c r="AFO247" i="20" s="1"/>
  <c r="AFK247" i="20" s="1"/>
  <c r="AFG247" i="20" s="1"/>
  <c r="AFR247" i="20"/>
  <c r="AFN247" i="20" l="1"/>
  <c r="AFJ247" i="20" s="1"/>
  <c r="AFF247" i="20" s="1"/>
  <c r="AFB247" i="20" s="1"/>
  <c r="AFM247" i="20"/>
  <c r="AFI247" i="20" l="1"/>
  <c r="AFE247" i="20" s="1"/>
  <c r="AFA247" i="20" s="1"/>
  <c r="AEW247" i="20" s="1"/>
  <c r="AFH247" i="20"/>
  <c r="AFD247" i="20" l="1"/>
  <c r="AEZ247" i="20" s="1"/>
  <c r="AEV247" i="20" s="1"/>
  <c r="AER247" i="20" s="1"/>
  <c r="AFC247" i="20"/>
  <c r="AEY247" i="20" l="1"/>
  <c r="AEU247" i="20" s="1"/>
  <c r="AEQ247" i="20" s="1"/>
  <c r="AEM247" i="20" s="1"/>
  <c r="AEX247" i="20"/>
  <c r="AET247" i="20" l="1"/>
  <c r="AEP247" i="20" s="1"/>
  <c r="AEL247" i="20" s="1"/>
  <c r="AEH247" i="20" s="1"/>
  <c r="AES247" i="20"/>
  <c r="AEO247" i="20" l="1"/>
  <c r="AEK247" i="20" s="1"/>
  <c r="AEG247" i="20" s="1"/>
  <c r="AEC247" i="20" s="1"/>
  <c r="AEN247" i="20"/>
  <c r="AEJ247" i="20" l="1"/>
  <c r="AEF247" i="20" s="1"/>
  <c r="AEB247" i="20" s="1"/>
  <c r="ADX247" i="20" s="1"/>
  <c r="AEI247" i="20"/>
  <c r="AEE247" i="20" l="1"/>
  <c r="AEA247" i="20" s="1"/>
  <c r="ADW247" i="20" s="1"/>
  <c r="ADS247" i="20" s="1"/>
  <c r="AED247" i="20"/>
  <c r="ADZ247" i="20" l="1"/>
  <c r="ADV247" i="20" s="1"/>
  <c r="ADR247" i="20" s="1"/>
  <c r="ADN247" i="20" s="1"/>
  <c r="ADY247" i="20"/>
  <c r="ADU247" i="20" l="1"/>
  <c r="ADQ247" i="20" s="1"/>
  <c r="ADM247" i="20" s="1"/>
  <c r="ADI247" i="20" s="1"/>
  <c r="ADT247" i="20"/>
  <c r="ADP247" i="20" l="1"/>
  <c r="ADL247" i="20" s="1"/>
  <c r="ADH247" i="20" s="1"/>
  <c r="ADD247" i="20" s="1"/>
  <c r="ADO247" i="20"/>
  <c r="ADK247" i="20" l="1"/>
  <c r="ADG247" i="20" s="1"/>
  <c r="ADC247" i="20" s="1"/>
  <c r="ACY247" i="20" s="1"/>
  <c r="ADJ247" i="20"/>
  <c r="ADF247" i="20" l="1"/>
  <c r="ADB247" i="20" s="1"/>
  <c r="ACX247" i="20" s="1"/>
  <c r="ACT247" i="20" s="1"/>
  <c r="ADE247" i="20"/>
  <c r="ADA247" i="20" l="1"/>
  <c r="ACW247" i="20" s="1"/>
  <c r="ACS247" i="20" s="1"/>
  <c r="ACO247" i="20" s="1"/>
  <c r="ACZ247" i="20"/>
  <c r="ACV247" i="20" l="1"/>
  <c r="ACR247" i="20" s="1"/>
  <c r="ACN247" i="20" s="1"/>
  <c r="ACJ247" i="20" s="1"/>
  <c r="ACU247" i="20"/>
  <c r="ACQ247" i="20" l="1"/>
  <c r="ACM247" i="20" s="1"/>
  <c r="ACI247" i="20" s="1"/>
  <c r="ACE247" i="20" s="1"/>
  <c r="ACP247" i="20"/>
  <c r="ACL247" i="20" l="1"/>
  <c r="ACH247" i="20" s="1"/>
  <c r="ACD247" i="20" s="1"/>
  <c r="ABZ247" i="20" s="1"/>
  <c r="ACK247" i="20"/>
  <c r="ACG247" i="20" l="1"/>
  <c r="ACC247" i="20" s="1"/>
  <c r="ABY247" i="20" s="1"/>
  <c r="ABU247" i="20" s="1"/>
  <c r="ACF247" i="20"/>
  <c r="ACB247" i="20" l="1"/>
  <c r="ABX247" i="20" s="1"/>
  <c r="ABT247" i="20" s="1"/>
  <c r="ABP247" i="20" s="1"/>
  <c r="ACA247" i="20"/>
  <c r="ABW247" i="20" l="1"/>
  <c r="ABS247" i="20" s="1"/>
  <c r="ABO247" i="20" s="1"/>
  <c r="ABK247" i="20" s="1"/>
  <c r="ABV247" i="20"/>
  <c r="ABR247" i="20" l="1"/>
  <c r="ABN247" i="20" s="1"/>
  <c r="ABJ247" i="20" s="1"/>
  <c r="ABF247" i="20" s="1"/>
  <c r="ABQ247" i="20"/>
  <c r="ABM247" i="20" l="1"/>
  <c r="ABI247" i="20" s="1"/>
  <c r="ABE247" i="20" s="1"/>
  <c r="ABA247" i="20" s="1"/>
  <c r="ABL247" i="20"/>
  <c r="ABH247" i="20" l="1"/>
  <c r="ABD247" i="20" s="1"/>
  <c r="AAZ247" i="20" s="1"/>
  <c r="AAV247" i="20" s="1"/>
  <c r="ABG247" i="20"/>
  <c r="ABC247" i="20" l="1"/>
  <c r="AAY247" i="20" s="1"/>
  <c r="AAU247" i="20" s="1"/>
  <c r="AAQ247" i="20" s="1"/>
  <c r="ABB247" i="20"/>
  <c r="AAX247" i="20" l="1"/>
  <c r="AAT247" i="20" s="1"/>
  <c r="AAP247" i="20" s="1"/>
  <c r="AAL247" i="20" s="1"/>
  <c r="AAW247" i="20"/>
  <c r="AAS247" i="20" l="1"/>
  <c r="AAO247" i="20" s="1"/>
  <c r="AAK247" i="20" s="1"/>
  <c r="AAG247" i="20" s="1"/>
  <c r="AAR247" i="20"/>
  <c r="AAN247" i="20" l="1"/>
  <c r="AAJ247" i="20" s="1"/>
  <c r="AAF247" i="20" s="1"/>
  <c r="AAB247" i="20" s="1"/>
  <c r="AAM247" i="20"/>
  <c r="AAI247" i="20" l="1"/>
  <c r="AAE247" i="20" s="1"/>
  <c r="AAA247" i="20" s="1"/>
  <c r="ZW247" i="20" s="1"/>
  <c r="AAH247" i="20"/>
  <c r="AAD247" i="20" l="1"/>
  <c r="ZZ247" i="20" s="1"/>
  <c r="ZV247" i="20" s="1"/>
  <c r="ZR247" i="20" s="1"/>
  <c r="AAC247" i="20"/>
  <c r="ZY247" i="20" l="1"/>
  <c r="ZU247" i="20" s="1"/>
  <c r="ZQ247" i="20" s="1"/>
  <c r="ZM247" i="20" s="1"/>
  <c r="ZX247" i="20"/>
  <c r="ZT247" i="20" l="1"/>
  <c r="ZP247" i="20" s="1"/>
  <c r="ZL247" i="20" s="1"/>
  <c r="ZH247" i="20" s="1"/>
  <c r="ZS247" i="20"/>
  <c r="ZO247" i="20" l="1"/>
  <c r="ZK247" i="20" s="1"/>
  <c r="ZG247" i="20" s="1"/>
  <c r="ZC247" i="20" s="1"/>
  <c r="ZN247" i="20"/>
  <c r="ZJ247" i="20" l="1"/>
  <c r="ZF247" i="20" s="1"/>
  <c r="ZB247" i="20" s="1"/>
  <c r="YX247" i="20" s="1"/>
  <c r="ZI247" i="20"/>
  <c r="ZE247" i="20" l="1"/>
  <c r="ZA247" i="20" s="1"/>
  <c r="YW247" i="20" s="1"/>
  <c r="YS247" i="20" s="1"/>
  <c r="ZD247" i="20"/>
  <c r="YZ247" i="20" l="1"/>
  <c r="YV247" i="20" s="1"/>
  <c r="YR247" i="20" s="1"/>
  <c r="YN247" i="20" s="1"/>
  <c r="YY247" i="20"/>
  <c r="YU247" i="20" l="1"/>
  <c r="YQ247" i="20" s="1"/>
  <c r="YM247" i="20" s="1"/>
  <c r="YI247" i="20" s="1"/>
  <c r="YT247" i="20"/>
  <c r="YP247" i="20" l="1"/>
  <c r="YL247" i="20" s="1"/>
  <c r="YH247" i="20" s="1"/>
  <c r="YD247" i="20" s="1"/>
  <c r="YO247" i="20"/>
  <c r="YK247" i="20" l="1"/>
  <c r="YG247" i="20" s="1"/>
  <c r="YC247" i="20" s="1"/>
  <c r="XY247" i="20" s="1"/>
  <c r="YJ247" i="20"/>
  <c r="YF247" i="20" l="1"/>
  <c r="YB247" i="20" s="1"/>
  <c r="XX247" i="20" s="1"/>
  <c r="XT247" i="20" s="1"/>
  <c r="YE247" i="20"/>
  <c r="YA247" i="20" l="1"/>
  <c r="XW247" i="20" s="1"/>
  <c r="XS247" i="20" s="1"/>
  <c r="XO247" i="20" s="1"/>
  <c r="XZ247" i="20"/>
  <c r="XV247" i="20" l="1"/>
  <c r="XR247" i="20" s="1"/>
  <c r="XN247" i="20" s="1"/>
  <c r="XJ247" i="20" s="1"/>
  <c r="XU247" i="20"/>
  <c r="XQ247" i="20" l="1"/>
  <c r="XM247" i="20" s="1"/>
  <c r="XI247" i="20" s="1"/>
  <c r="XE247" i="20" s="1"/>
  <c r="XP247" i="20"/>
  <c r="XL247" i="20" l="1"/>
  <c r="XH247" i="20" s="1"/>
  <c r="XD247" i="20" s="1"/>
  <c r="WZ247" i="20" s="1"/>
  <c r="XK247" i="20"/>
  <c r="XG247" i="20" l="1"/>
  <c r="XC247" i="20" s="1"/>
  <c r="WY247" i="20" s="1"/>
  <c r="WU247" i="20" s="1"/>
  <c r="XF247" i="20"/>
  <c r="XB247" i="20" l="1"/>
  <c r="WX247" i="20" s="1"/>
  <c r="WT247" i="20" s="1"/>
  <c r="WP247" i="20" s="1"/>
  <c r="XA247" i="20"/>
  <c r="WW247" i="20" l="1"/>
  <c r="WS247" i="20" s="1"/>
  <c r="WO247" i="20" s="1"/>
  <c r="WK247" i="20" s="1"/>
  <c r="WV247" i="20"/>
  <c r="WR247" i="20" l="1"/>
  <c r="WN247" i="20" s="1"/>
  <c r="WJ247" i="20" s="1"/>
  <c r="WF247" i="20" s="1"/>
  <c r="WQ247" i="20"/>
  <c r="WM247" i="20" l="1"/>
  <c r="WI247" i="20" s="1"/>
  <c r="WE247" i="20" s="1"/>
  <c r="WA247" i="20" s="1"/>
  <c r="WL247" i="20"/>
  <c r="WH247" i="20" l="1"/>
  <c r="WD247" i="20" s="1"/>
  <c r="VZ247" i="20" s="1"/>
  <c r="VV247" i="20" s="1"/>
  <c r="WG247" i="20"/>
  <c r="WC247" i="20" l="1"/>
  <c r="VY247" i="20" s="1"/>
  <c r="VU247" i="20" s="1"/>
  <c r="VQ247" i="20" s="1"/>
  <c r="WB247" i="20"/>
  <c r="VX247" i="20" l="1"/>
  <c r="VT247" i="20" s="1"/>
  <c r="VP247" i="20" s="1"/>
  <c r="VL247" i="20" s="1"/>
  <c r="VW247" i="20"/>
  <c r="VS247" i="20" l="1"/>
  <c r="VO247" i="20" s="1"/>
  <c r="VK247" i="20" s="1"/>
  <c r="VG247" i="20" s="1"/>
  <c r="VR247" i="20"/>
  <c r="VN247" i="20" l="1"/>
  <c r="VJ247" i="20" s="1"/>
  <c r="VF247" i="20" s="1"/>
  <c r="VB247" i="20" s="1"/>
  <c r="VM247" i="20"/>
  <c r="VI247" i="20" l="1"/>
  <c r="VE247" i="20" s="1"/>
  <c r="VA247" i="20" s="1"/>
  <c r="UW247" i="20" s="1"/>
  <c r="VH247" i="20"/>
  <c r="VD247" i="20" l="1"/>
  <c r="UZ247" i="20" s="1"/>
  <c r="UV247" i="20" s="1"/>
  <c r="UR247" i="20" s="1"/>
  <c r="VC247" i="20"/>
  <c r="UY247" i="20" l="1"/>
  <c r="UU247" i="20" s="1"/>
  <c r="UQ247" i="20" s="1"/>
  <c r="UM247" i="20" s="1"/>
  <c r="UX247" i="20"/>
  <c r="UT247" i="20" l="1"/>
  <c r="UP247" i="20" s="1"/>
  <c r="UL247" i="20" s="1"/>
  <c r="UH247" i="20" s="1"/>
  <c r="US247" i="20"/>
  <c r="UO247" i="20" l="1"/>
  <c r="UK247" i="20" s="1"/>
  <c r="UG247" i="20" s="1"/>
  <c r="UC247" i="20" s="1"/>
  <c r="UN247" i="20"/>
  <c r="UJ247" i="20" l="1"/>
  <c r="UF247" i="20" s="1"/>
  <c r="UB247" i="20" s="1"/>
  <c r="TX247" i="20" s="1"/>
  <c r="UI247" i="20"/>
  <c r="UE247" i="20" l="1"/>
  <c r="UA247" i="20" s="1"/>
  <c r="TW247" i="20" s="1"/>
  <c r="TS247" i="20" s="1"/>
  <c r="UD247" i="20"/>
  <c r="TZ247" i="20" l="1"/>
  <c r="TV247" i="20" s="1"/>
  <c r="TR247" i="20" s="1"/>
  <c r="TN247" i="20" s="1"/>
  <c r="TY247" i="20"/>
  <c r="TU247" i="20" l="1"/>
  <c r="TQ247" i="20" s="1"/>
  <c r="TM247" i="20" s="1"/>
  <c r="TI247" i="20" s="1"/>
  <c r="TT247" i="20"/>
  <c r="TP247" i="20" l="1"/>
  <c r="TL247" i="20" s="1"/>
  <c r="TH247" i="20" s="1"/>
  <c r="TD247" i="20" s="1"/>
  <c r="TO247" i="20"/>
  <c r="TK247" i="20" l="1"/>
  <c r="TG247" i="20" s="1"/>
  <c r="TC247" i="20" s="1"/>
  <c r="SY247" i="20" s="1"/>
  <c r="TJ247" i="20"/>
  <c r="TF247" i="20" l="1"/>
  <c r="TB247" i="20" s="1"/>
  <c r="SX247" i="20" s="1"/>
  <c r="ST247" i="20" s="1"/>
  <c r="TE247" i="20"/>
  <c r="TA247" i="20" l="1"/>
  <c r="SW247" i="20" s="1"/>
  <c r="SS247" i="20" s="1"/>
  <c r="SO247" i="20" s="1"/>
  <c r="SZ247" i="20"/>
  <c r="SV247" i="20" l="1"/>
  <c r="SR247" i="20" s="1"/>
  <c r="SN247" i="20" s="1"/>
  <c r="SJ247" i="20" s="1"/>
  <c r="SU247" i="20"/>
  <c r="SQ247" i="20" l="1"/>
  <c r="SM247" i="20" s="1"/>
  <c r="SI247" i="20" s="1"/>
  <c r="SE247" i="20" s="1"/>
  <c r="SP247" i="20"/>
  <c r="SL247" i="20" l="1"/>
  <c r="SH247" i="20" s="1"/>
  <c r="SD247" i="20" s="1"/>
  <c r="RZ247" i="20" s="1"/>
  <c r="SK247" i="20"/>
  <c r="SG247" i="20" l="1"/>
  <c r="SC247" i="20" s="1"/>
  <c r="RY247" i="20" s="1"/>
  <c r="RU247" i="20" s="1"/>
  <c r="SF247" i="20"/>
  <c r="SB247" i="20" l="1"/>
  <c r="RX247" i="20" s="1"/>
  <c r="RT247" i="20" s="1"/>
  <c r="RP247" i="20" s="1"/>
  <c r="SA247" i="20"/>
  <c r="RW247" i="20" l="1"/>
  <c r="RS247" i="20" s="1"/>
  <c r="RO247" i="20" s="1"/>
  <c r="RK247" i="20" s="1"/>
  <c r="RV247" i="20"/>
  <c r="RR247" i="20" l="1"/>
  <c r="RN247" i="20" s="1"/>
  <c r="RJ247" i="20" s="1"/>
  <c r="RF247" i="20" s="1"/>
  <c r="RQ247" i="20"/>
  <c r="RM247" i="20" l="1"/>
  <c r="RI247" i="20" s="1"/>
  <c r="RE247" i="20" s="1"/>
  <c r="RA247" i="20" s="1"/>
  <c r="RL247" i="20"/>
  <c r="RH247" i="20" l="1"/>
  <c r="RD247" i="20" s="1"/>
  <c r="QZ247" i="20" s="1"/>
  <c r="QV247" i="20" s="1"/>
  <c r="RG247" i="20"/>
  <c r="RC247" i="20" l="1"/>
  <c r="QY247" i="20" s="1"/>
  <c r="QU247" i="20" s="1"/>
  <c r="QQ247" i="20" s="1"/>
  <c r="RB247" i="20"/>
  <c r="QX247" i="20" l="1"/>
  <c r="QT247" i="20" s="1"/>
  <c r="QP247" i="20" s="1"/>
  <c r="QL247" i="20" s="1"/>
  <c r="QW247" i="20"/>
  <c r="QS247" i="20" l="1"/>
  <c r="QO247" i="20" s="1"/>
  <c r="QK247" i="20" s="1"/>
  <c r="QG247" i="20" s="1"/>
  <c r="QR247" i="20"/>
  <c r="QN247" i="20" l="1"/>
  <c r="QJ247" i="20" s="1"/>
  <c r="QF247" i="20" s="1"/>
  <c r="QB247" i="20" s="1"/>
  <c r="QM247" i="20"/>
  <c r="QI247" i="20" l="1"/>
  <c r="QE247" i="20" s="1"/>
  <c r="QA247" i="20" s="1"/>
  <c r="PW247" i="20" s="1"/>
  <c r="QH247" i="20"/>
  <c r="QD247" i="20" l="1"/>
  <c r="PZ247" i="20" s="1"/>
  <c r="PV247" i="20" s="1"/>
  <c r="PR247" i="20" s="1"/>
  <c r="QC247" i="20"/>
  <c r="PY247" i="20" l="1"/>
  <c r="PU247" i="20" s="1"/>
  <c r="PQ247" i="20" s="1"/>
  <c r="PM247" i="20" s="1"/>
  <c r="PX247" i="20"/>
  <c r="PT247" i="20" l="1"/>
  <c r="PP247" i="20" s="1"/>
  <c r="PL247" i="20" s="1"/>
  <c r="PH247" i="20" s="1"/>
  <c r="PS247" i="20"/>
  <c r="PO247" i="20" l="1"/>
  <c r="PK247" i="20" s="1"/>
  <c r="PG247" i="20" s="1"/>
  <c r="PC247" i="20" s="1"/>
  <c r="PN247" i="20"/>
  <c r="PJ247" i="20" l="1"/>
  <c r="PF247" i="20" s="1"/>
  <c r="PB247" i="20" s="1"/>
  <c r="OX247" i="20" s="1"/>
  <c r="PI247" i="20"/>
  <c r="PE247" i="20" l="1"/>
  <c r="PA247" i="20" s="1"/>
  <c r="OW247" i="20" s="1"/>
  <c r="OS247" i="20" s="1"/>
  <c r="PD247" i="20"/>
  <c r="OZ247" i="20" l="1"/>
  <c r="OV247" i="20" s="1"/>
  <c r="OR247" i="20" s="1"/>
  <c r="ON247" i="20" s="1"/>
  <c r="OY247" i="20"/>
  <c r="OU247" i="20" l="1"/>
  <c r="OQ247" i="20" s="1"/>
  <c r="OM247" i="20" s="1"/>
  <c r="OI247" i="20" s="1"/>
  <c r="OT247" i="20"/>
  <c r="OP247" i="20" l="1"/>
  <c r="OL247" i="20" s="1"/>
  <c r="OH247" i="20" s="1"/>
  <c r="OD247" i="20" s="1"/>
  <c r="OO247" i="20"/>
  <c r="OK247" i="20" l="1"/>
  <c r="OG247" i="20" s="1"/>
  <c r="OC247" i="20" s="1"/>
  <c r="NY247" i="20" s="1"/>
  <c r="OJ247" i="20"/>
  <c r="OF247" i="20" l="1"/>
  <c r="OB247" i="20" s="1"/>
  <c r="NX247" i="20" s="1"/>
  <c r="NT247" i="20" s="1"/>
  <c r="OE247" i="20"/>
  <c r="OA247" i="20" l="1"/>
  <c r="NW247" i="20" s="1"/>
  <c r="NS247" i="20" s="1"/>
  <c r="NO247" i="20" s="1"/>
  <c r="NZ247" i="20"/>
  <c r="NV247" i="20" l="1"/>
  <c r="NR247" i="20" s="1"/>
  <c r="NN247" i="20" s="1"/>
  <c r="NJ247" i="20" s="1"/>
  <c r="NU247" i="20"/>
  <c r="NQ247" i="20" l="1"/>
  <c r="NM247" i="20" s="1"/>
  <c r="NI247" i="20" s="1"/>
  <c r="NE247" i="20" s="1"/>
  <c r="NP247" i="20"/>
  <c r="NL247" i="20" l="1"/>
  <c r="NH247" i="20" s="1"/>
  <c r="ND247" i="20" s="1"/>
  <c r="MZ247" i="20" s="1"/>
  <c r="NK247" i="20"/>
  <c r="NG247" i="20" l="1"/>
  <c r="NC247" i="20" s="1"/>
  <c r="MY247" i="20" s="1"/>
  <c r="MU247" i="20" s="1"/>
  <c r="NF247" i="20"/>
  <c r="NB247" i="20" l="1"/>
  <c r="MX247" i="20" s="1"/>
  <c r="MT247" i="20" s="1"/>
  <c r="MP247" i="20" s="1"/>
  <c r="NA247" i="20"/>
  <c r="MW247" i="20" l="1"/>
  <c r="MS247" i="20" s="1"/>
  <c r="MO247" i="20" s="1"/>
  <c r="MK247" i="20" s="1"/>
  <c r="MV247" i="20"/>
  <c r="MR247" i="20" l="1"/>
  <c r="MN247" i="20" s="1"/>
  <c r="MJ247" i="20" s="1"/>
  <c r="MF247" i="20" s="1"/>
  <c r="MQ247" i="20"/>
  <c r="MM247" i="20" l="1"/>
  <c r="MI247" i="20" s="1"/>
  <c r="ME247" i="20" s="1"/>
  <c r="MA247" i="20" s="1"/>
  <c r="ML247" i="20"/>
  <c r="MH247" i="20" l="1"/>
  <c r="MD247" i="20" s="1"/>
  <c r="LZ247" i="20" s="1"/>
  <c r="LV247" i="20" s="1"/>
  <c r="MG247" i="20"/>
  <c r="MC247" i="20" l="1"/>
  <c r="LY247" i="20" s="1"/>
  <c r="LU247" i="20" s="1"/>
  <c r="LQ247" i="20" s="1"/>
  <c r="MB247" i="20"/>
  <c r="LX247" i="20" l="1"/>
  <c r="LT247" i="20" s="1"/>
  <c r="LP247" i="20" s="1"/>
  <c r="LL247" i="20" s="1"/>
  <c r="LW247" i="20"/>
  <c r="LS247" i="20" l="1"/>
  <c r="LO247" i="20" s="1"/>
  <c r="LK247" i="20" s="1"/>
  <c r="LG247" i="20" s="1"/>
  <c r="LR247" i="20"/>
  <c r="LN247" i="20" l="1"/>
  <c r="LJ247" i="20" s="1"/>
  <c r="LF247" i="20" s="1"/>
  <c r="LB247" i="20" s="1"/>
  <c r="LM247" i="20"/>
  <c r="LI247" i="20" l="1"/>
  <c r="LE247" i="20" s="1"/>
  <c r="LA247" i="20" s="1"/>
  <c r="KW247" i="20" s="1"/>
  <c r="LH247" i="20"/>
  <c r="LD247" i="20" l="1"/>
  <c r="KZ247" i="20" s="1"/>
  <c r="KV247" i="20" s="1"/>
  <c r="KR247" i="20" s="1"/>
  <c r="LC247" i="20"/>
  <c r="KY247" i="20" l="1"/>
  <c r="KU247" i="20" s="1"/>
  <c r="KQ247" i="20" s="1"/>
  <c r="KM247" i="20" s="1"/>
  <c r="KX247" i="20"/>
  <c r="KT247" i="20" l="1"/>
  <c r="KP247" i="20" s="1"/>
  <c r="KL247" i="20" s="1"/>
  <c r="KH247" i="20" s="1"/>
  <c r="KS247" i="20"/>
  <c r="KO247" i="20" l="1"/>
  <c r="KK247" i="20" s="1"/>
  <c r="KG247" i="20" s="1"/>
  <c r="KC247" i="20" s="1"/>
  <c r="KN247" i="20"/>
  <c r="KJ247" i="20" l="1"/>
  <c r="KF247" i="20" s="1"/>
  <c r="KB247" i="20" s="1"/>
  <c r="JX247" i="20" s="1"/>
  <c r="KI247" i="20"/>
  <c r="KE247" i="20" l="1"/>
  <c r="KA247" i="20" s="1"/>
  <c r="JW247" i="20" s="1"/>
  <c r="JS247" i="20" s="1"/>
  <c r="KD247" i="20"/>
  <c r="JZ247" i="20" l="1"/>
  <c r="JV247" i="20" s="1"/>
  <c r="JR247" i="20" s="1"/>
  <c r="JN247" i="20" s="1"/>
  <c r="JY247" i="20"/>
  <c r="JU247" i="20" l="1"/>
  <c r="JQ247" i="20" s="1"/>
  <c r="JM247" i="20" s="1"/>
  <c r="JI247" i="20" s="1"/>
  <c r="JT247" i="20"/>
  <c r="JP247" i="20" l="1"/>
  <c r="JL247" i="20" s="1"/>
  <c r="JH247" i="20" s="1"/>
  <c r="JD247" i="20" s="1"/>
  <c r="JO247" i="20"/>
  <c r="JK247" i="20" l="1"/>
  <c r="JG247" i="20" s="1"/>
  <c r="JC247" i="20" s="1"/>
  <c r="IY247" i="20" s="1"/>
  <c r="JJ247" i="20"/>
  <c r="JF247" i="20" l="1"/>
  <c r="JB247" i="20" s="1"/>
  <c r="IX247" i="20" s="1"/>
  <c r="IT247" i="20" s="1"/>
  <c r="JE247" i="20"/>
  <c r="JA247" i="20" l="1"/>
  <c r="IW247" i="20" s="1"/>
  <c r="IS247" i="20" s="1"/>
  <c r="IO247" i="20" s="1"/>
  <c r="IZ247" i="20"/>
  <c r="IV247" i="20" l="1"/>
  <c r="IR247" i="20" s="1"/>
  <c r="IN247" i="20" s="1"/>
  <c r="IJ247" i="20" s="1"/>
  <c r="IU247" i="20"/>
  <c r="IQ247" i="20" l="1"/>
  <c r="IM247" i="20" s="1"/>
  <c r="II247" i="20" s="1"/>
  <c r="IE247" i="20" s="1"/>
  <c r="IP247" i="20"/>
  <c r="IL247" i="20" l="1"/>
  <c r="IH247" i="20" s="1"/>
  <c r="ID247" i="20" s="1"/>
  <c r="HZ247" i="20" s="1"/>
  <c r="IK247" i="20"/>
  <c r="IG247" i="20" l="1"/>
  <c r="IC247" i="20" s="1"/>
  <c r="HY247" i="20" s="1"/>
  <c r="HU247" i="20" s="1"/>
  <c r="IF247" i="20"/>
  <c r="IB247" i="20" l="1"/>
  <c r="HX247" i="20" s="1"/>
  <c r="HT247" i="20" s="1"/>
  <c r="HP247" i="20" s="1"/>
  <c r="IA247" i="20"/>
  <c r="HW247" i="20" l="1"/>
  <c r="HS247" i="20" s="1"/>
  <c r="HO247" i="20" s="1"/>
  <c r="HK247" i="20" s="1"/>
  <c r="HV247" i="20"/>
  <c r="HR247" i="20" l="1"/>
  <c r="HN247" i="20" s="1"/>
  <c r="HJ247" i="20" s="1"/>
  <c r="HF247" i="20" s="1"/>
  <c r="HQ247" i="20"/>
  <c r="HM247" i="20" l="1"/>
  <c r="HI247" i="20" s="1"/>
  <c r="HE247" i="20" s="1"/>
  <c r="HA247" i="20" s="1"/>
  <c r="HL247" i="20"/>
  <c r="HH247" i="20" l="1"/>
  <c r="HD247" i="20" s="1"/>
  <c r="GZ247" i="20" s="1"/>
  <c r="GV247" i="20" s="1"/>
  <c r="HG247" i="20"/>
  <c r="HC247" i="20" l="1"/>
  <c r="GY247" i="20" s="1"/>
  <c r="GU247" i="20" s="1"/>
  <c r="GQ247" i="20" s="1"/>
  <c r="HB247" i="20"/>
  <c r="GX247" i="20" l="1"/>
  <c r="GT247" i="20" s="1"/>
  <c r="GP247" i="20" s="1"/>
  <c r="GL247" i="20" s="1"/>
  <c r="GW247" i="20"/>
  <c r="GS247" i="20" l="1"/>
  <c r="GO247" i="20" s="1"/>
  <c r="GK247" i="20" s="1"/>
  <c r="GG247" i="20" s="1"/>
  <c r="GR247" i="20"/>
  <c r="GN247" i="20" l="1"/>
  <c r="GJ247" i="20" s="1"/>
  <c r="GF247" i="20" s="1"/>
  <c r="GB247" i="20" s="1"/>
  <c r="GM247" i="20"/>
  <c r="GI247" i="20" l="1"/>
  <c r="GE247" i="20" s="1"/>
  <c r="GA247" i="20" s="1"/>
  <c r="FW247" i="20" s="1"/>
  <c r="GH247" i="20"/>
  <c r="GD247" i="20" l="1"/>
  <c r="FZ247" i="20" s="1"/>
  <c r="FV247" i="20" s="1"/>
  <c r="FR247" i="20" s="1"/>
  <c r="GC247" i="20"/>
  <c r="FY247" i="20" l="1"/>
  <c r="FU247" i="20" s="1"/>
  <c r="FQ247" i="20" s="1"/>
  <c r="FM247" i="20" s="1"/>
  <c r="FX247" i="20"/>
  <c r="FT247" i="20" l="1"/>
  <c r="FP247" i="20" s="1"/>
  <c r="FL247" i="20" s="1"/>
  <c r="FH247" i="20" s="1"/>
  <c r="FS247" i="20"/>
  <c r="FO247" i="20" l="1"/>
  <c r="FK247" i="20" s="1"/>
  <c r="FG247" i="20" s="1"/>
  <c r="FC247" i="20" s="1"/>
  <c r="FN247" i="20"/>
  <c r="FJ247" i="20" l="1"/>
  <c r="FF247" i="20" s="1"/>
  <c r="FB247" i="20" s="1"/>
  <c r="EX247" i="20" s="1"/>
  <c r="FI247" i="20"/>
  <c r="FE247" i="20" l="1"/>
  <c r="FA247" i="20" s="1"/>
  <c r="EW247" i="20" s="1"/>
  <c r="ES247" i="20" s="1"/>
  <c r="FD247" i="20"/>
  <c r="EZ247" i="20" l="1"/>
  <c r="EV247" i="20" s="1"/>
  <c r="ER247" i="20" s="1"/>
  <c r="EY247" i="20"/>
  <c r="ES10" i="20"/>
  <c r="ES6" i="20" s="1"/>
  <c r="EU247" i="20" l="1"/>
  <c r="EQ247" i="20" s="1"/>
  <c r="ET247" i="20"/>
  <c r="EN247" i="20"/>
  <c r="ER10" i="20"/>
  <c r="ER6" i="20" s="1"/>
  <c r="EN10" i="20" l="1"/>
  <c r="EN6" i="20" s="1"/>
  <c r="EP247" i="20"/>
  <c r="EO247" i="20"/>
  <c r="EM247" i="20"/>
  <c r="EQ10" i="20"/>
  <c r="EQ6" i="20" s="1"/>
  <c r="EK247" i="20" l="1"/>
  <c r="EO10" i="20"/>
  <c r="EO6" i="20" s="1"/>
  <c r="EI247" i="20"/>
  <c r="EM10" i="20"/>
  <c r="EM6" i="20" s="1"/>
  <c r="EL247" i="20"/>
  <c r="EP10" i="20"/>
  <c r="EP6" i="20" s="1"/>
  <c r="EJ247" i="20"/>
  <c r="EH247" i="20" l="1"/>
  <c r="EL10" i="20"/>
  <c r="EL6" i="20" s="1"/>
  <c r="EF247" i="20"/>
  <c r="EJ10" i="20"/>
  <c r="EJ6" i="20" s="1"/>
  <c r="EE247" i="20"/>
  <c r="EI10" i="20"/>
  <c r="EI6" i="20" s="1"/>
  <c r="EG247" i="20"/>
  <c r="EK10" i="20"/>
  <c r="EK6" i="20" s="1"/>
  <c r="EC247" i="20" l="1"/>
  <c r="EG10" i="20"/>
  <c r="EG6" i="20" s="1"/>
  <c r="EA247" i="20"/>
  <c r="EE10" i="20"/>
  <c r="EE6" i="20" s="1"/>
  <c r="EB247" i="20"/>
  <c r="EF10" i="20"/>
  <c r="EF6" i="20" s="1"/>
  <c r="ED247" i="20"/>
  <c r="EH10" i="20"/>
  <c r="EH6" i="20" s="1"/>
  <c r="DZ247" i="20" l="1"/>
  <c r="ED10" i="20"/>
  <c r="ED6" i="20" s="1"/>
  <c r="DX247" i="20"/>
  <c r="EB10" i="20"/>
  <c r="EB6" i="20" s="1"/>
  <c r="DW247" i="20"/>
  <c r="EA10" i="20"/>
  <c r="EA6" i="20" s="1"/>
  <c r="DY247" i="20"/>
  <c r="EC10" i="20"/>
  <c r="EC6" i="20" s="1"/>
  <c r="DS247" i="20" l="1"/>
  <c r="DW10" i="20"/>
  <c r="DW6" i="20" s="1"/>
  <c r="DU247" i="20"/>
  <c r="DY10" i="20"/>
  <c r="DY6" i="20" s="1"/>
  <c r="DT247" i="20"/>
  <c r="DX10" i="20"/>
  <c r="DX6" i="20" s="1"/>
  <c r="DV247" i="20"/>
  <c r="DZ10" i="20"/>
  <c r="DZ6" i="20" s="1"/>
  <c r="DR247" i="20" l="1"/>
  <c r="DV10" i="20"/>
  <c r="DV6" i="20" s="1"/>
  <c r="DP247" i="20"/>
  <c r="DT10" i="20"/>
  <c r="DT6" i="20" s="1"/>
  <c r="DQ247" i="20"/>
  <c r="DU10" i="20"/>
  <c r="DU6" i="20" s="1"/>
  <c r="DO247" i="20"/>
  <c r="DS10" i="20"/>
  <c r="DS6" i="20" s="1"/>
  <c r="DK247" i="20" l="1"/>
  <c r="DO10" i="20"/>
  <c r="DO6" i="20" s="1"/>
  <c r="DL247" i="20"/>
  <c r="DP10" i="20"/>
  <c r="DP6" i="20" s="1"/>
  <c r="DM247" i="20"/>
  <c r="DQ10" i="20"/>
  <c r="DQ6" i="20" s="1"/>
  <c r="DN247" i="20"/>
  <c r="DR10" i="20"/>
  <c r="DR6" i="20" s="1"/>
  <c r="DH247" i="20" l="1"/>
  <c r="DL10" i="20"/>
  <c r="DL6" i="20" s="1"/>
  <c r="DJ247" i="20"/>
  <c r="DN10" i="20"/>
  <c r="DN6" i="20" s="1"/>
  <c r="DI247" i="20"/>
  <c r="DM10" i="20"/>
  <c r="DM6" i="20" s="1"/>
  <c r="DG247" i="20"/>
  <c r="DK10" i="20"/>
  <c r="DK6" i="20" s="1"/>
  <c r="DC247" i="20" l="1"/>
  <c r="DG10" i="20"/>
  <c r="DG6" i="20" s="1"/>
  <c r="DF247" i="20"/>
  <c r="DJ10" i="20"/>
  <c r="DJ6" i="20" s="1"/>
  <c r="DE247" i="20"/>
  <c r="DI10" i="20"/>
  <c r="DI6" i="20" s="1"/>
  <c r="DD247" i="20"/>
  <c r="DH10" i="20"/>
  <c r="DH6" i="20" s="1"/>
  <c r="CZ247" i="20" l="1"/>
  <c r="DD10" i="20"/>
  <c r="DD6" i="20" s="1"/>
  <c r="DA247" i="20"/>
  <c r="DE10" i="20"/>
  <c r="DE6" i="20" s="1"/>
  <c r="DB247" i="20"/>
  <c r="DF10" i="20"/>
  <c r="DF6" i="20" s="1"/>
  <c r="CY247" i="20"/>
  <c r="DC10" i="20"/>
  <c r="DC6" i="20" s="1"/>
  <c r="CU247" i="20" l="1"/>
  <c r="CY10" i="20"/>
  <c r="CY6" i="20" s="1"/>
  <c r="CX247" i="20"/>
  <c r="DB10" i="20"/>
  <c r="DB6" i="20" s="1"/>
  <c r="CW247" i="20"/>
  <c r="DA10" i="20"/>
  <c r="DA6" i="20" s="1"/>
  <c r="CV247" i="20"/>
  <c r="CZ10" i="20"/>
  <c r="CZ6" i="20" s="1"/>
  <c r="CR247" i="20" l="1"/>
  <c r="CV10" i="20"/>
  <c r="CV6" i="20" s="1"/>
  <c r="CS247" i="20"/>
  <c r="CW10" i="20"/>
  <c r="CW6" i="20" s="1"/>
  <c r="CT247" i="20"/>
  <c r="CX10" i="20"/>
  <c r="CX6" i="20" s="1"/>
  <c r="CQ247" i="20"/>
  <c r="CU10" i="20"/>
  <c r="CU6" i="20" s="1"/>
  <c r="CM247" i="20" l="1"/>
  <c r="CQ10" i="20"/>
  <c r="CQ6" i="20" s="1"/>
  <c r="CP247" i="20"/>
  <c r="CT10" i="20"/>
  <c r="CT6" i="20" s="1"/>
  <c r="CO247" i="20"/>
  <c r="CS10" i="20"/>
  <c r="CS6" i="20" s="1"/>
  <c r="CN247" i="20"/>
  <c r="CR10" i="20"/>
  <c r="CR6" i="20" s="1"/>
  <c r="CJ247" i="20" l="1"/>
  <c r="CN10" i="20"/>
  <c r="CN6" i="20" s="1"/>
  <c r="CK247" i="20"/>
  <c r="CO10" i="20"/>
  <c r="CO6" i="20" s="1"/>
  <c r="CL247" i="20"/>
  <c r="CP10" i="20"/>
  <c r="CP6" i="20" s="1"/>
  <c r="CI247" i="20"/>
  <c r="CM10" i="20"/>
  <c r="CM6" i="20" s="1"/>
  <c r="CE247" i="20" l="1"/>
  <c r="CI10" i="20"/>
  <c r="CI6" i="20" s="1"/>
  <c r="CH247" i="20"/>
  <c r="CL10" i="20"/>
  <c r="CL6" i="20" s="1"/>
  <c r="CG247" i="20"/>
  <c r="CK10" i="20"/>
  <c r="CK6" i="20" s="1"/>
  <c r="CF247" i="20"/>
  <c r="CJ10" i="20"/>
  <c r="CJ6" i="20" s="1"/>
  <c r="CB247" i="20" l="1"/>
  <c r="CF10" i="20"/>
  <c r="CF6" i="20" s="1"/>
  <c r="CC247" i="20"/>
  <c r="CG10" i="20"/>
  <c r="CG6" i="20" s="1"/>
  <c r="CD247" i="20"/>
  <c r="CH10" i="20"/>
  <c r="CH6" i="20" s="1"/>
  <c r="CA247" i="20"/>
  <c r="CE10" i="20"/>
  <c r="CE6" i="20" s="1"/>
  <c r="BW247" i="20" l="1"/>
  <c r="CA10" i="20"/>
  <c r="CA6" i="20" s="1"/>
  <c r="BZ247" i="20"/>
  <c r="CD10" i="20"/>
  <c r="CD6" i="20" s="1"/>
  <c r="BY247" i="20"/>
  <c r="CC10" i="20"/>
  <c r="CC6" i="20" s="1"/>
  <c r="BX247" i="20"/>
  <c r="CB10" i="20"/>
  <c r="CB6" i="20" s="1"/>
  <c r="BT247" i="20" l="1"/>
  <c r="BX10" i="20"/>
  <c r="BX6" i="20" s="1"/>
  <c r="BU247" i="20"/>
  <c r="BY10" i="20"/>
  <c r="BY6" i="20" s="1"/>
  <c r="BV247" i="20"/>
  <c r="BZ10" i="20"/>
  <c r="BZ6" i="20" s="1"/>
  <c r="BS247" i="20"/>
  <c r="BW10" i="20"/>
  <c r="BW6" i="20" s="1"/>
  <c r="BO247" i="20" l="1"/>
  <c r="BS10" i="20"/>
  <c r="BS6" i="20" s="1"/>
  <c r="BR247" i="20"/>
  <c r="BV10" i="20"/>
  <c r="BV6" i="20" s="1"/>
  <c r="BQ247" i="20"/>
  <c r="BU10" i="20"/>
  <c r="BU6" i="20" s="1"/>
  <c r="BP247" i="20"/>
  <c r="BT10" i="20"/>
  <c r="BT6" i="20" s="1"/>
  <c r="BM247" i="20" l="1"/>
  <c r="BQ10" i="20"/>
  <c r="BQ6" i="20" s="1"/>
  <c r="BN247" i="20"/>
  <c r="BR10" i="20"/>
  <c r="BR6" i="20" s="1"/>
  <c r="BL247" i="20"/>
  <c r="BP10" i="20"/>
  <c r="BP6" i="20" s="1"/>
  <c r="BK247" i="20"/>
  <c r="BO10" i="20"/>
  <c r="BO6" i="20" s="1"/>
  <c r="BG247" i="20" l="1"/>
  <c r="BK10" i="20"/>
  <c r="BK6" i="20" s="1"/>
  <c r="BH247" i="20"/>
  <c r="BL10" i="20"/>
  <c r="BL6" i="20" s="1"/>
  <c r="BJ247" i="20"/>
  <c r="BN10" i="20"/>
  <c r="BN6" i="20" s="1"/>
  <c r="BI247" i="20"/>
  <c r="BM10" i="20"/>
  <c r="BM6" i="20" s="1"/>
  <c r="BE247" i="20" l="1"/>
  <c r="BI10" i="20"/>
  <c r="BI6" i="20" s="1"/>
  <c r="BF247" i="20"/>
  <c r="BJ10" i="20"/>
  <c r="BJ6" i="20" s="1"/>
  <c r="BD247" i="20"/>
  <c r="BH10" i="20"/>
  <c r="BH6" i="20" s="1"/>
  <c r="BC247" i="20"/>
  <c r="BG10" i="20"/>
  <c r="BG6" i="20" s="1"/>
  <c r="AZ247" i="20" l="1"/>
  <c r="BD10" i="20"/>
  <c r="BD6" i="20" s="1"/>
  <c r="AY247" i="20"/>
  <c r="BC10" i="20"/>
  <c r="BC6" i="20" s="1"/>
  <c r="BB247" i="20"/>
  <c r="BF10" i="20"/>
  <c r="BF6" i="20" s="1"/>
  <c r="BA247" i="20"/>
  <c r="BE10" i="20"/>
  <c r="BE6" i="20" s="1"/>
  <c r="AX247" i="20" l="1"/>
  <c r="BB10" i="20"/>
  <c r="BB6" i="20" s="1"/>
  <c r="AU247" i="20"/>
  <c r="AY10" i="20"/>
  <c r="AY6" i="20" s="1"/>
  <c r="AW247" i="20"/>
  <c r="BA10" i="20"/>
  <c r="BA6" i="20" s="1"/>
  <c r="AV247" i="20"/>
  <c r="AZ10" i="20"/>
  <c r="AZ6" i="20" s="1"/>
  <c r="AS247" i="20" l="1"/>
  <c r="AW10" i="20"/>
  <c r="AW6" i="20" s="1"/>
  <c r="AQ247" i="20"/>
  <c r="AU10" i="20"/>
  <c r="AU6" i="20" s="1"/>
  <c r="AR247" i="20"/>
  <c r="AV10" i="20"/>
  <c r="AV6" i="20" s="1"/>
  <c r="AT247" i="20"/>
  <c r="AX10" i="20"/>
  <c r="AX6" i="20" s="1"/>
  <c r="AP247" i="20" l="1"/>
  <c r="AT10" i="20"/>
  <c r="AT6" i="20" s="1"/>
  <c r="AM247" i="20"/>
  <c r="AQ10" i="20"/>
  <c r="AQ6" i="20" s="1"/>
  <c r="AN247" i="20"/>
  <c r="AR10" i="20"/>
  <c r="AR6" i="20" s="1"/>
  <c r="AO247" i="20"/>
  <c r="AS10" i="20"/>
  <c r="AS6" i="20" s="1"/>
  <c r="AK247" i="20" l="1"/>
  <c r="AO10" i="20"/>
  <c r="AO6" i="20" s="1"/>
  <c r="AI247" i="20"/>
  <c r="AM10" i="20"/>
  <c r="AM6" i="20" s="1"/>
  <c r="AJ247" i="20"/>
  <c r="AN10" i="20"/>
  <c r="AN6" i="20" s="1"/>
  <c r="AL247" i="20"/>
  <c r="AP10" i="20"/>
  <c r="AP6" i="20" s="1"/>
  <c r="AH247" i="20" l="1"/>
  <c r="AL10" i="20"/>
  <c r="AL6" i="20" s="1"/>
  <c r="AF247" i="20"/>
  <c r="AJ10" i="20"/>
  <c r="AJ6" i="20" s="1"/>
  <c r="AE247" i="20"/>
  <c r="AI10" i="20"/>
  <c r="AI6" i="20" s="1"/>
  <c r="AG247" i="20"/>
  <c r="AK10" i="20"/>
  <c r="AK6" i="20" s="1"/>
  <c r="AC247" i="20" l="1"/>
  <c r="AG10" i="20"/>
  <c r="AG6" i="20" s="1"/>
  <c r="AB247" i="20"/>
  <c r="AF10" i="20"/>
  <c r="AF6" i="20" s="1"/>
  <c r="AA247" i="20"/>
  <c r="AE10" i="20"/>
  <c r="AE6" i="20" s="1"/>
  <c r="AD247" i="20"/>
  <c r="AH10" i="20"/>
  <c r="AH6" i="20" s="1"/>
  <c r="W247" i="20" l="1"/>
  <c r="AA10" i="20"/>
  <c r="AA6" i="20" s="1"/>
  <c r="X247" i="20"/>
  <c r="AB10" i="20"/>
  <c r="AB6" i="20" s="1"/>
  <c r="Z247" i="20"/>
  <c r="AD10" i="20"/>
  <c r="AD6" i="20" s="1"/>
  <c r="Y247" i="20"/>
  <c r="AC10" i="20"/>
  <c r="AC6" i="20" s="1"/>
  <c r="U247" i="20" l="1"/>
  <c r="Y10" i="20"/>
  <c r="Y6" i="20" s="1"/>
  <c r="T247" i="20"/>
  <c r="X10" i="20"/>
  <c r="X6" i="20" s="1"/>
  <c r="V247" i="20"/>
  <c r="Z10" i="20"/>
  <c r="Z6" i="20" s="1"/>
  <c r="S247" i="20"/>
  <c r="W10" i="20"/>
  <c r="W6" i="20" s="1"/>
  <c r="T10" i="20" l="1"/>
  <c r="T6" i="20" s="1"/>
  <c r="S10" i="20"/>
  <c r="S6" i="20" s="1"/>
  <c r="R247" i="20"/>
  <c r="V10" i="20"/>
  <c r="V6" i="20" s="1"/>
  <c r="Q247" i="20"/>
  <c r="U10" i="20"/>
  <c r="U6" i="20" s="1"/>
  <c r="R10" i="20" l="1"/>
  <c r="R6" i="20" s="1"/>
  <c r="G159" i="17" l="1"/>
  <c r="G515" i="17"/>
  <c r="G602" i="17"/>
  <c r="G237" i="17"/>
  <c r="G205" i="17"/>
  <c r="G683" i="17"/>
  <c r="G716" i="17"/>
  <c r="H105" i="21" s="1"/>
  <c r="O105" i="21" s="1"/>
  <c r="G589" i="17"/>
  <c r="H119" i="21" s="1"/>
  <c r="O119" i="21" s="1"/>
  <c r="Q119" i="21" s="1"/>
  <c r="G529" i="17"/>
  <c r="G621" i="17"/>
  <c r="H68" i="21" s="1"/>
  <c r="O68" i="21" s="1"/>
  <c r="Q68" i="21" s="1"/>
  <c r="G120" i="17"/>
  <c r="H197" i="21" s="1"/>
  <c r="O197" i="21" s="1"/>
  <c r="Q197" i="21" s="1"/>
  <c r="G582" i="17"/>
  <c r="H112" i="21" s="1"/>
  <c r="O112" i="21" s="1"/>
  <c r="Q112" i="21" s="1"/>
  <c r="G648" i="17"/>
  <c r="H202" i="21" s="1"/>
  <c r="O202" i="21" s="1"/>
  <c r="Q202" i="21" s="1"/>
  <c r="G692" i="17"/>
  <c r="G117" i="17"/>
  <c r="H194" i="21" s="1"/>
  <c r="O194" i="21" s="1"/>
  <c r="G470" i="17"/>
  <c r="G521" i="17"/>
  <c r="G565" i="17"/>
  <c r="G556" i="17"/>
  <c r="G435" i="17"/>
  <c r="G25" i="17"/>
  <c r="G427" i="17"/>
  <c r="G49" i="17"/>
  <c r="G576" i="17"/>
  <c r="G525" i="17"/>
  <c r="G513" i="17"/>
  <c r="G677" i="17"/>
  <c r="G615" i="17"/>
  <c r="H62" i="21" s="1"/>
  <c r="O62" i="21" s="1"/>
  <c r="G693" i="17"/>
  <c r="G457" i="17"/>
  <c r="G436" i="17"/>
  <c r="G232" i="17"/>
  <c r="G160" i="17"/>
  <c r="G165" i="17"/>
  <c r="G503" i="17"/>
  <c r="G469" i="17"/>
  <c r="G242" i="17"/>
  <c r="G13" i="17"/>
  <c r="G721" i="17"/>
  <c r="G473" i="17"/>
  <c r="G130" i="17"/>
  <c r="G673" i="17"/>
  <c r="G594" i="17"/>
  <c r="H147" i="21" s="1"/>
  <c r="O147" i="21" s="1"/>
  <c r="Q147" i="21" s="1"/>
  <c r="G527" i="17"/>
  <c r="G119" i="17"/>
  <c r="H196" i="21" s="1"/>
  <c r="O196" i="21" s="1"/>
  <c r="Q196" i="21" s="1"/>
  <c r="G535" i="17"/>
  <c r="G534" i="17"/>
  <c r="G642" i="17"/>
  <c r="H135" i="21" s="1"/>
  <c r="O135" i="21" s="1"/>
  <c r="Q135" i="21" s="1"/>
  <c r="G243" i="17"/>
  <c r="G171" i="17"/>
  <c r="H84" i="21" s="1"/>
  <c r="O84" i="21" s="1"/>
  <c r="G518" i="17"/>
  <c r="G35" i="17"/>
  <c r="G652" i="17"/>
  <c r="H162" i="21" s="1"/>
  <c r="O162" i="21" s="1"/>
  <c r="G234" i="17"/>
  <c r="G647" i="17"/>
  <c r="H201" i="21" s="1"/>
  <c r="O201" i="21" s="1"/>
  <c r="Q201" i="21" s="1"/>
  <c r="G135" i="17"/>
  <c r="G455" i="17"/>
  <c r="G639" i="17"/>
  <c r="H129" i="21" s="1"/>
  <c r="O129" i="21" s="1"/>
  <c r="G497" i="17"/>
  <c r="G640" i="17"/>
  <c r="H133" i="21" s="1"/>
  <c r="O133" i="21" s="1"/>
  <c r="G627" i="17"/>
  <c r="H73" i="21" s="1"/>
  <c r="O73" i="21" s="1"/>
  <c r="Q73" i="21" s="1"/>
  <c r="G595" i="17"/>
  <c r="H143" i="21" s="1"/>
  <c r="O143" i="21" s="1"/>
  <c r="Q143" i="21" s="1"/>
  <c r="G675" i="17"/>
  <c r="G506" i="17"/>
  <c r="G195" i="17"/>
  <c r="G151" i="17"/>
  <c r="G153" i="17"/>
  <c r="G659" i="17"/>
  <c r="H54" i="21" s="1"/>
  <c r="O54" i="21" s="1"/>
  <c r="Q54" i="21" s="1"/>
  <c r="G653" i="17"/>
  <c r="H163" i="21" s="1"/>
  <c r="O163" i="21" s="1"/>
  <c r="Q163" i="21" s="1"/>
  <c r="G548" i="17"/>
  <c r="G185" i="17"/>
  <c r="G694" i="17"/>
  <c r="G107" i="17"/>
  <c r="H154" i="21" s="1"/>
  <c r="O154" i="21" s="1"/>
  <c r="Q154" i="21" s="1"/>
  <c r="G686" i="17"/>
  <c r="G543" i="17"/>
  <c r="G671" i="17"/>
  <c r="G629" i="17"/>
  <c r="H89" i="21" s="1"/>
  <c r="O89" i="21" s="1"/>
  <c r="G516" i="17"/>
  <c r="G169" i="17"/>
  <c r="H93" i="21" s="1"/>
  <c r="O93" i="21" s="1"/>
  <c r="G451" i="17"/>
  <c r="G471" i="17"/>
  <c r="G131" i="17"/>
  <c r="G670" i="17"/>
  <c r="G500" i="17"/>
  <c r="G98" i="17"/>
  <c r="G510" i="17"/>
  <c r="G198" i="17"/>
  <c r="G541" i="17"/>
  <c r="G628" i="17"/>
  <c r="H74" i="21" s="1"/>
  <c r="O74" i="21" s="1"/>
  <c r="Q74" i="21" s="1"/>
  <c r="G616" i="17"/>
  <c r="H63" i="21" s="1"/>
  <c r="O63" i="21" s="1"/>
  <c r="Q63" i="21" s="1"/>
  <c r="G618" i="17"/>
  <c r="H65" i="21" s="1"/>
  <c r="O65" i="21" s="1"/>
  <c r="Q65" i="21" s="1"/>
  <c r="G424" i="17"/>
  <c r="G448" i="17"/>
  <c r="G572" i="17"/>
  <c r="G649" i="17"/>
  <c r="H203" i="21" s="1"/>
  <c r="O203" i="21" s="1"/>
  <c r="Q203" i="21" s="1"/>
  <c r="G440" i="17"/>
  <c r="G631" i="17"/>
  <c r="H150" i="21" s="1"/>
  <c r="O150" i="21" s="1"/>
  <c r="Q150" i="21" s="1"/>
  <c r="G193" i="17"/>
  <c r="G148" i="17"/>
  <c r="G568" i="17"/>
  <c r="H22" i="21" s="1"/>
  <c r="O22" i="21" s="1"/>
  <c r="Q22" i="21" s="1"/>
  <c r="G247" i="17"/>
  <c r="G718" i="17"/>
  <c r="G108" i="17"/>
  <c r="H155" i="21" s="1"/>
  <c r="O155" i="21" s="1"/>
  <c r="Q155" i="21" s="1"/>
  <c r="G522" i="17"/>
  <c r="G656" i="17"/>
  <c r="H51" i="21" s="1"/>
  <c r="O51" i="21" s="1"/>
  <c r="G617" i="17"/>
  <c r="H64" i="21" s="1"/>
  <c r="O64" i="21" s="1"/>
  <c r="Q64" i="21" s="1"/>
  <c r="G182" i="17"/>
  <c r="H138" i="21" s="1"/>
  <c r="O138" i="21" s="1"/>
  <c r="Q138" i="21" s="1"/>
  <c r="G181" i="17"/>
  <c r="H137" i="21" s="1"/>
  <c r="O137" i="21" s="1"/>
  <c r="G454" i="17"/>
  <c r="G702" i="17"/>
  <c r="G463" i="17"/>
  <c r="G665" i="17"/>
  <c r="H60" i="21" s="1"/>
  <c r="O60" i="21" s="1"/>
  <c r="Q60" i="21" s="1"/>
  <c r="G132" i="17"/>
  <c r="G557" i="17"/>
  <c r="G175" i="17"/>
  <c r="H164" i="21" s="1"/>
  <c r="O164" i="21" s="1"/>
  <c r="Q164" i="21" s="1"/>
  <c r="G30" i="17"/>
  <c r="G492" i="17"/>
  <c r="G214" i="17"/>
  <c r="G608" i="17"/>
  <c r="H126" i="21" s="1"/>
  <c r="O126" i="21" s="1"/>
  <c r="Q126" i="21" s="1"/>
  <c r="G604" i="17"/>
  <c r="H124" i="21" s="1"/>
  <c r="O124" i="21" s="1"/>
  <c r="G564" i="17"/>
  <c r="G507" i="17"/>
  <c r="G560" i="17"/>
  <c r="G432" i="17"/>
  <c r="G720" i="17"/>
  <c r="G605" i="17"/>
  <c r="H125" i="21" s="1"/>
  <c r="O125" i="21" s="1"/>
  <c r="Q125" i="21" s="1"/>
  <c r="G574" i="17"/>
  <c r="H26" i="21" s="1"/>
  <c r="O26" i="21" s="1"/>
  <c r="Q26" i="21" s="1"/>
  <c r="G438" i="17"/>
  <c r="G186" i="17"/>
  <c r="G141" i="17"/>
  <c r="G458" i="17"/>
  <c r="G679" i="17"/>
  <c r="G138" i="17"/>
  <c r="G681" i="17"/>
  <c r="G625" i="17"/>
  <c r="H71" i="21" s="1"/>
  <c r="O71" i="21" s="1"/>
  <c r="Q71" i="21" s="1"/>
  <c r="G597" i="17"/>
  <c r="G626" i="17"/>
  <c r="H72" i="21" s="1"/>
  <c r="O72" i="21" s="1"/>
  <c r="Q72" i="21" s="1"/>
  <c r="G591" i="17"/>
  <c r="H145" i="21" s="1"/>
  <c r="O145" i="21" s="1"/>
  <c r="Q145" i="21" s="1"/>
  <c r="G581" i="17"/>
  <c r="H111" i="21" s="1"/>
  <c r="O111" i="21" s="1"/>
  <c r="Q111" i="21" s="1"/>
  <c r="G669" i="17"/>
  <c r="G526" i="17"/>
  <c r="G447" i="17"/>
  <c r="G462" i="17"/>
  <c r="G668" i="17"/>
  <c r="G583" i="17"/>
  <c r="H113" i="21" s="1"/>
  <c r="O113" i="21" s="1"/>
  <c r="Q113" i="21" s="1"/>
  <c r="G590" i="17"/>
  <c r="H120" i="21" s="1"/>
  <c r="O120" i="21" s="1"/>
  <c r="Q120" i="21" s="1"/>
  <c r="G575" i="17"/>
  <c r="H27" i="21" s="1"/>
  <c r="O27" i="21" s="1"/>
  <c r="Q27" i="21" s="1"/>
  <c r="G231" i="17"/>
  <c r="G695" i="17"/>
  <c r="G12" i="17"/>
  <c r="G520" i="17"/>
  <c r="G567" i="17"/>
  <c r="H21" i="21" s="1"/>
  <c r="O21" i="21" s="1"/>
  <c r="Q21" i="21" s="1"/>
  <c r="G467" i="17"/>
  <c r="G249" i="17"/>
  <c r="G553" i="17"/>
  <c r="G558" i="17"/>
  <c r="G633" i="17"/>
  <c r="H75" i="21" s="1"/>
  <c r="O75" i="21" s="1"/>
  <c r="Q75" i="21" s="1"/>
  <c r="G593" i="17"/>
  <c r="H142" i="21" s="1"/>
  <c r="O142" i="21" s="1"/>
  <c r="G566" i="17"/>
  <c r="H20" i="21" s="1"/>
  <c r="O20" i="21" s="1"/>
  <c r="G611" i="17"/>
  <c r="G215" i="17"/>
  <c r="G166" i="17"/>
  <c r="G209" i="17"/>
  <c r="G728" i="17"/>
  <c r="H170" i="21" s="1"/>
  <c r="O170" i="21" s="1"/>
  <c r="Q170" i="21" s="1"/>
  <c r="G459" i="17"/>
  <c r="G474" i="17"/>
  <c r="G113" i="17"/>
  <c r="H158" i="21" s="1"/>
  <c r="O158" i="21" s="1"/>
  <c r="Q158" i="21" s="1"/>
  <c r="G674" i="17"/>
  <c r="G584" i="17"/>
  <c r="H114" i="21" s="1"/>
  <c r="O114" i="21" s="1"/>
  <c r="Q114" i="21" s="1"/>
  <c r="G179" i="17"/>
  <c r="G519" i="17"/>
  <c r="G116" i="17"/>
  <c r="H140" i="21" s="1"/>
  <c r="O140" i="21" s="1"/>
  <c r="G559" i="17"/>
  <c r="G508" i="17"/>
  <c r="G667" i="17"/>
  <c r="G443" i="17"/>
  <c r="G555" i="17"/>
  <c r="G105" i="17"/>
  <c r="H224" i="21" s="1"/>
  <c r="O224" i="21" s="1"/>
  <c r="Q224" i="21" s="1"/>
  <c r="G21" i="17"/>
  <c r="G561" i="17"/>
  <c r="G210" i="17"/>
  <c r="G110" i="17"/>
  <c r="H157" i="21" s="1"/>
  <c r="O157" i="21" s="1"/>
  <c r="Q157" i="21" s="1"/>
  <c r="G415" i="17"/>
  <c r="G613" i="17"/>
  <c r="G238" i="17"/>
  <c r="G586" i="17"/>
  <c r="H116" i="21" s="1"/>
  <c r="O116" i="21" s="1"/>
  <c r="Q116" i="21" s="1"/>
  <c r="G684" i="17"/>
  <c r="G29" i="17"/>
  <c r="G22" i="17"/>
  <c r="G468" i="17"/>
  <c r="G731" i="17"/>
  <c r="H173" i="21" s="1"/>
  <c r="O173" i="21" s="1"/>
  <c r="Q173" i="21" s="1"/>
  <c r="G580" i="17"/>
  <c r="H110" i="21" s="1"/>
  <c r="O110" i="21" s="1"/>
  <c r="Q110" i="21" s="1"/>
  <c r="G672" i="17"/>
  <c r="G140" i="17"/>
  <c r="G710" i="17"/>
  <c r="G118" i="17"/>
  <c r="H195" i="21" s="1"/>
  <c r="O195" i="21" s="1"/>
  <c r="Q195" i="21" s="1"/>
  <c r="G552" i="17"/>
  <c r="G511" i="17"/>
  <c r="G180" i="17"/>
  <c r="H131" i="21" s="1"/>
  <c r="O131" i="21" s="1"/>
  <c r="Q131" i="21" s="1"/>
  <c r="G172" i="17"/>
  <c r="H190" i="21" s="1"/>
  <c r="O190" i="21" s="1"/>
  <c r="G682" i="17"/>
  <c r="G244" i="17"/>
  <c r="G727" i="17"/>
  <c r="G666" i="17"/>
  <c r="G573" i="17"/>
  <c r="H25" i="21" s="1"/>
  <c r="O25" i="21" s="1"/>
  <c r="Q25" i="21" s="1"/>
  <c r="G732" i="17"/>
  <c r="G223" i="17"/>
  <c r="H228" i="21" s="1"/>
  <c r="O228" i="21" s="1"/>
  <c r="Q228" i="21" s="1"/>
  <c r="G97" i="17"/>
  <c r="G657" i="17"/>
  <c r="H52" i="21" s="1"/>
  <c r="O52" i="21" s="1"/>
  <c r="Q52" i="21" s="1"/>
  <c r="G741" i="17"/>
  <c r="G726" i="17"/>
  <c r="G734" i="17"/>
  <c r="G722" i="17"/>
  <c r="G40" i="17"/>
  <c r="G654" i="17"/>
  <c r="H18" i="21" s="1"/>
  <c r="O18" i="21" s="1"/>
  <c r="G170" i="17"/>
  <c r="H101" i="21" s="1"/>
  <c r="O101" i="21" s="1"/>
  <c r="Q101" i="21" s="1"/>
  <c r="G531" i="17"/>
  <c r="G662" i="17"/>
  <c r="H57" i="21" s="1"/>
  <c r="O57" i="21" s="1"/>
  <c r="Q57" i="21" s="1"/>
  <c r="G570" i="17"/>
  <c r="H23" i="21" s="1"/>
  <c r="O23" i="21" s="1"/>
  <c r="Q23" i="21" s="1"/>
  <c r="G614" i="17"/>
  <c r="G34" i="17"/>
  <c r="G31" i="17"/>
  <c r="G542" i="17"/>
  <c r="G20" i="17"/>
  <c r="G472" i="17"/>
  <c r="G644" i="17"/>
  <c r="H85" i="21" s="1"/>
  <c r="O85" i="21" s="1"/>
  <c r="Q85" i="21" s="1"/>
  <c r="G146" i="17"/>
  <c r="G155" i="17"/>
  <c r="G208" i="17"/>
  <c r="G101" i="17"/>
  <c r="G715" i="17"/>
  <c r="H175" i="21" s="1"/>
  <c r="O175" i="21" s="1"/>
  <c r="G422" i="17"/>
  <c r="G449" i="17"/>
  <c r="G661" i="17"/>
  <c r="H56" i="21" s="1"/>
  <c r="O56" i="21" s="1"/>
  <c r="Q56" i="21" s="1"/>
  <c r="G33" i="17"/>
  <c r="G433" i="17"/>
  <c r="G28" i="17"/>
  <c r="G705" i="17"/>
  <c r="G736" i="17"/>
  <c r="G676" i="17"/>
  <c r="G26" i="17"/>
  <c r="G619" i="17"/>
  <c r="H66" i="21" s="1"/>
  <c r="O66" i="21" s="1"/>
  <c r="Q66" i="21" s="1"/>
  <c r="G740" i="17"/>
  <c r="G250" i="17"/>
  <c r="G225" i="17"/>
  <c r="G638" i="17"/>
  <c r="H95" i="21" s="1"/>
  <c r="O95" i="21" s="1"/>
  <c r="G416" i="17"/>
  <c r="G592" i="17"/>
  <c r="H146" i="21" s="1"/>
  <c r="O146" i="21" s="1"/>
  <c r="Q146" i="21" s="1"/>
  <c r="G645" i="17"/>
  <c r="H199" i="21" s="1"/>
  <c r="O199" i="21" s="1"/>
  <c r="G622" i="17"/>
  <c r="H69" i="21" s="1"/>
  <c r="O69" i="21" s="1"/>
  <c r="Q69" i="21" s="1"/>
  <c r="G711" i="17"/>
  <c r="G489" i="17"/>
  <c r="G680" i="17"/>
  <c r="G224" i="17"/>
  <c r="G8" i="17"/>
  <c r="G452" i="17"/>
  <c r="G100" i="17"/>
  <c r="G481" i="17"/>
  <c r="G699" i="17"/>
  <c r="G162" i="17"/>
  <c r="G709" i="17"/>
  <c r="G233" i="17"/>
  <c r="G599" i="17"/>
  <c r="G128" i="17"/>
  <c r="G578" i="17"/>
  <c r="H108" i="21" s="1"/>
  <c r="O108" i="21" s="1"/>
  <c r="Q108" i="21" s="1"/>
  <c r="G713" i="17"/>
  <c r="H99" i="21" s="1"/>
  <c r="O99" i="21" s="1"/>
  <c r="G32" i="17"/>
  <c r="G537" i="17"/>
  <c r="G19" i="17"/>
  <c r="G221" i="17"/>
  <c r="H226" i="21" s="1"/>
  <c r="O226" i="21" s="1"/>
  <c r="G16" i="17"/>
  <c r="G173" i="17"/>
  <c r="H191" i="21" s="1"/>
  <c r="O191" i="21" s="1"/>
  <c r="Q191" i="21" s="1"/>
  <c r="G189" i="17"/>
  <c r="G239" i="17"/>
  <c r="G23" i="17"/>
  <c r="G610" i="17"/>
  <c r="H49" i="21" s="1"/>
  <c r="O49" i="21" s="1"/>
  <c r="Q49" i="21" s="1"/>
  <c r="G39" i="17"/>
  <c r="G176" i="17"/>
  <c r="H166" i="21" s="1"/>
  <c r="O166" i="21" s="1"/>
  <c r="G426" i="17"/>
  <c r="G596" i="17"/>
  <c r="G635" i="17"/>
  <c r="H122" i="21" s="1"/>
  <c r="O122" i="21" s="1"/>
  <c r="G245" i="17"/>
  <c r="G499" i="17"/>
  <c r="G733" i="17"/>
  <c r="G480" i="17"/>
  <c r="G194" i="17"/>
  <c r="G200" i="17"/>
  <c r="G509" i="17"/>
  <c r="G230" i="17"/>
  <c r="G517" i="17"/>
  <c r="G643" i="17"/>
  <c r="H87" i="21" s="1"/>
  <c r="O87" i="21" s="1"/>
  <c r="G139" i="17"/>
  <c r="G197" i="17"/>
  <c r="G704" i="17"/>
  <c r="G183" i="17"/>
  <c r="H160" i="21" s="1"/>
  <c r="O160" i="21" s="1"/>
  <c r="G545" i="17"/>
  <c r="G428" i="17"/>
  <c r="G37" i="17"/>
  <c r="G420" i="17"/>
  <c r="G36" i="17"/>
  <c r="G724" i="17"/>
  <c r="G207" i="17"/>
  <c r="G701" i="17"/>
  <c r="G191" i="17"/>
  <c r="G663" i="17"/>
  <c r="H58" i="21" s="1"/>
  <c r="O58" i="21" s="1"/>
  <c r="Q58" i="21" s="1"/>
  <c r="G18" i="17"/>
  <c r="G168" i="17"/>
  <c r="G220" i="17"/>
  <c r="G442" i="17"/>
  <c r="G577" i="17"/>
  <c r="H107" i="21" s="1"/>
  <c r="O107" i="21" s="1"/>
  <c r="G126" i="17"/>
  <c r="G717" i="17"/>
  <c r="H168" i="21" s="1"/>
  <c r="O168" i="21" s="1"/>
  <c r="G102" i="17"/>
  <c r="H221" i="21" s="1"/>
  <c r="O221" i="21" s="1"/>
  <c r="G174" i="17"/>
  <c r="H192" i="21" s="1"/>
  <c r="O192" i="21" s="1"/>
  <c r="Q192" i="21" s="1"/>
  <c r="G738" i="17"/>
  <c r="G536" i="17"/>
  <c r="G235" i="17"/>
  <c r="G201" i="17"/>
  <c r="G587" i="17"/>
  <c r="H117" i="21" s="1"/>
  <c r="O117" i="21" s="1"/>
  <c r="Q117" i="21" s="1"/>
  <c r="G10" i="17"/>
  <c r="G524" i="17"/>
  <c r="G502" i="17"/>
  <c r="G150" i="17"/>
  <c r="G164" i="17"/>
  <c r="G199" i="17"/>
  <c r="G142" i="17"/>
  <c r="G730" i="17"/>
  <c r="H171" i="21" s="1"/>
  <c r="O171" i="21" s="1"/>
  <c r="Q171" i="21" s="1"/>
  <c r="G562" i="17"/>
  <c r="G498" i="17"/>
  <c r="G227" i="17"/>
  <c r="G490" i="17"/>
  <c r="G228" i="17"/>
  <c r="G425" i="17"/>
  <c r="G11" i="17"/>
  <c r="G697" i="17"/>
  <c r="G211" i="17"/>
  <c r="H81" i="21"/>
  <c r="O81" i="21" s="1"/>
  <c r="G192" i="17"/>
  <c r="G133" i="17"/>
  <c r="G532" i="17"/>
  <c r="G429" i="17"/>
  <c r="G530" i="17"/>
  <c r="G664" i="17"/>
  <c r="H59" i="21" s="1"/>
  <c r="O59" i="21" s="1"/>
  <c r="Q59" i="21" s="1"/>
  <c r="G431" i="17"/>
  <c r="G167" i="17"/>
  <c r="G707" i="17"/>
  <c r="G17" i="17"/>
  <c r="G482" i="17"/>
  <c r="G218" i="17"/>
  <c r="G217" i="17"/>
  <c r="G501" i="17"/>
  <c r="G204" i="17"/>
  <c r="G624" i="17"/>
  <c r="H70" i="21" s="1"/>
  <c r="O70" i="21" s="1"/>
  <c r="Q70" i="21" s="1"/>
  <c r="G533" i="17"/>
  <c r="G149" i="17"/>
  <c r="G156" i="17"/>
  <c r="G42" i="17"/>
  <c r="G700" i="17"/>
  <c r="G737" i="17"/>
  <c r="G603" i="17"/>
  <c r="H47" i="21" s="1"/>
  <c r="O47" i="21" s="1"/>
  <c r="G485" i="17"/>
  <c r="G41" i="17"/>
  <c r="G505" i="17"/>
  <c r="G206" i="17"/>
  <c r="G106" i="17"/>
  <c r="H153" i="21" s="1"/>
  <c r="O153" i="21" s="1"/>
  <c r="G46" i="17"/>
  <c r="G528" i="17"/>
  <c r="G212" i="17"/>
  <c r="G464" i="17"/>
  <c r="G15" i="17"/>
  <c r="G104" i="17"/>
  <c r="H223" i="21" s="1"/>
  <c r="O223" i="21" s="1"/>
  <c r="Q223" i="21" s="1"/>
  <c r="G504" i="17"/>
  <c r="G145" i="17"/>
  <c r="G241" i="17"/>
  <c r="G236" i="17"/>
  <c r="G609" i="17"/>
  <c r="H127" i="21" s="1"/>
  <c r="O127" i="21" s="1"/>
  <c r="Q127" i="21" s="1"/>
  <c r="G739" i="17"/>
  <c r="G491" i="17"/>
  <c r="G202" i="17"/>
  <c r="G723" i="17"/>
  <c r="G48" i="17"/>
  <c r="G47" i="17"/>
  <c r="G579" i="17"/>
  <c r="H109" i="21" s="1"/>
  <c r="O109" i="21" s="1"/>
  <c r="Q109" i="21" s="1"/>
  <c r="G188" i="17"/>
  <c r="G222" i="17"/>
  <c r="H227" i="21" s="1"/>
  <c r="O227" i="21" s="1"/>
  <c r="Q227" i="21" s="1"/>
  <c r="G600" i="17"/>
  <c r="G154" i="17"/>
  <c r="G184" i="17"/>
  <c r="G493" i="17"/>
  <c r="G27" i="17"/>
  <c r="G437" i="17"/>
  <c r="G103" i="17"/>
  <c r="H222" i="21" s="1"/>
  <c r="O222" i="21" s="1"/>
  <c r="Q222" i="21" s="1"/>
  <c r="G196" i="17"/>
  <c r="G419" i="17"/>
  <c r="G44" i="17"/>
  <c r="G651" i="17"/>
  <c r="H78" i="21" s="1"/>
  <c r="O78" i="21" s="1"/>
  <c r="G550" i="17"/>
  <c r="G612" i="17"/>
  <c r="G708" i="17"/>
  <c r="G563" i="17"/>
  <c r="G712" i="17"/>
  <c r="H103" i="21" s="1"/>
  <c r="O103" i="21" s="1"/>
  <c r="G494" i="17"/>
  <c r="G719" i="17"/>
  <c r="G634" i="17"/>
  <c r="H76" i="21" s="1"/>
  <c r="O76" i="21" s="1"/>
  <c r="Q76" i="21" s="1"/>
  <c r="G585" i="17"/>
  <c r="H115" i="21" s="1"/>
  <c r="O115" i="21" s="1"/>
  <c r="Q115" i="21" s="1"/>
  <c r="G646" i="17"/>
  <c r="H200" i="21" s="1"/>
  <c r="O200" i="21" s="1"/>
  <c r="Q200" i="21" s="1"/>
  <c r="G423" i="17"/>
  <c r="G24" i="17"/>
  <c r="G544" i="17"/>
  <c r="G9" i="17"/>
  <c r="G547" i="17"/>
  <c r="G158" i="17"/>
  <c r="G512" i="17"/>
  <c r="G115" i="17"/>
  <c r="H82" i="21" s="1"/>
  <c r="O82" i="21" s="1"/>
  <c r="Q82" i="21" s="1"/>
  <c r="G45" i="17"/>
  <c r="G444" i="17"/>
  <c r="G551" i="17"/>
  <c r="G152" i="17"/>
  <c r="G129" i="17"/>
  <c r="G571" i="17"/>
  <c r="H24" i="21" s="1"/>
  <c r="O24" i="21" s="1"/>
  <c r="Q24" i="21" s="1"/>
  <c r="G99" i="17"/>
  <c r="G538" i="17"/>
  <c r="G484" i="17"/>
  <c r="G43" i="17"/>
  <c r="G641" i="17"/>
  <c r="H134" i="21" s="1"/>
  <c r="O134" i="21" s="1"/>
  <c r="Q134" i="21" s="1"/>
  <c r="G187" i="17"/>
  <c r="G637" i="17"/>
  <c r="H91" i="21" s="1"/>
  <c r="O91" i="21" s="1"/>
  <c r="Q91" i="21" s="1"/>
  <c r="G655" i="17"/>
  <c r="H79" i="21" s="1"/>
  <c r="O79" i="21" s="1"/>
  <c r="Q79" i="21" s="1"/>
  <c r="G109" i="17"/>
  <c r="H156" i="21" s="1"/>
  <c r="O156" i="21" s="1"/>
  <c r="Q156" i="21" s="1"/>
  <c r="G439" i="17"/>
  <c r="G540" i="17"/>
  <c r="G127" i="17"/>
  <c r="G476" i="17"/>
  <c r="G486" i="17"/>
  <c r="G456" i="17"/>
  <c r="G496" i="17"/>
  <c r="G461" i="17"/>
  <c r="G588" i="17"/>
  <c r="H118" i="21" s="1"/>
  <c r="O118" i="21" s="1"/>
  <c r="Q118" i="21" s="1"/>
  <c r="G226" i="17"/>
  <c r="G598" i="17"/>
  <c r="G14" i="17"/>
  <c r="G658" i="17"/>
  <c r="H53" i="21" s="1"/>
  <c r="O53" i="21" s="1"/>
  <c r="Q53" i="21" s="1"/>
  <c r="G696" i="17"/>
  <c r="G478" i="17"/>
  <c r="G703" i="17"/>
  <c r="G514" i="17"/>
  <c r="G523" i="17"/>
  <c r="G147" i="17"/>
  <c r="G161" i="17"/>
  <c r="G441" i="17"/>
  <c r="G620" i="17"/>
  <c r="H67" i="21" s="1"/>
  <c r="O67" i="21" s="1"/>
  <c r="Q67" i="21" s="1"/>
  <c r="G229" i="17"/>
  <c r="G623" i="17"/>
  <c r="H90" i="21" s="1"/>
  <c r="O90" i="21" s="1"/>
  <c r="Q90" i="21" s="1"/>
  <c r="G691" i="17"/>
  <c r="G219" i="17"/>
  <c r="G698" i="17"/>
  <c r="G690" i="17"/>
  <c r="G465" i="17"/>
  <c r="G678" i="17"/>
  <c r="G601" i="17"/>
  <c r="G632" i="17"/>
  <c r="H151" i="21" s="1"/>
  <c r="O151" i="21" s="1"/>
  <c r="Q151" i="21" s="1"/>
  <c r="G714" i="17"/>
  <c r="H100" i="21" s="1"/>
  <c r="O100" i="21" s="1"/>
  <c r="Q100" i="21" s="1"/>
  <c r="G137" i="17"/>
  <c r="G687" i="17"/>
  <c r="G607" i="17"/>
  <c r="G660" i="17"/>
  <c r="H55" i="21" s="1"/>
  <c r="O55" i="21" s="1"/>
  <c r="Q55" i="21" s="1"/>
  <c r="G488" i="17"/>
  <c r="G554" i="17"/>
  <c r="G606" i="17"/>
  <c r="H48" i="21" s="1"/>
  <c r="O48" i="21" s="1"/>
  <c r="Q48" i="21" s="1"/>
  <c r="G203" i="17"/>
  <c r="G477" i="17"/>
  <c r="G213" i="17"/>
  <c r="G495" i="17"/>
  <c r="G434" i="17"/>
  <c r="G418" i="17"/>
  <c r="G483" i="17"/>
  <c r="G636" i="17"/>
  <c r="H97" i="21" s="1"/>
  <c r="O97" i="21" s="1"/>
  <c r="G729" i="17"/>
  <c r="H172" i="21" s="1"/>
  <c r="O172" i="21" s="1"/>
  <c r="Q172" i="21" s="1"/>
  <c r="G157" i="17"/>
  <c r="G143" i="17"/>
  <c r="G246" i="17"/>
  <c r="G549" i="17"/>
  <c r="G190" i="17"/>
  <c r="G487" i="17"/>
  <c r="G725" i="17"/>
  <c r="G421" i="17"/>
  <c r="G689" i="17"/>
  <c r="G688" i="17"/>
  <c r="G479" i="17"/>
  <c r="G460" i="17"/>
  <c r="G134" i="17"/>
  <c r="G706" i="17"/>
  <c r="G539" i="17"/>
  <c r="G466" i="17"/>
  <c r="G475" i="17"/>
  <c r="G569" i="17"/>
  <c r="G650" i="17"/>
  <c r="H204" i="21" s="1"/>
  <c r="O204" i="21" s="1"/>
  <c r="Q204" i="21" s="1"/>
  <c r="G453" i="17"/>
  <c r="G38" i="17"/>
  <c r="G445" i="17"/>
  <c r="G216" i="17"/>
  <c r="G546" i="17"/>
  <c r="G417" i="17"/>
  <c r="G136" i="17"/>
  <c r="G430" i="17"/>
  <c r="G630" i="17"/>
  <c r="H149" i="21" s="1"/>
  <c r="O149" i="21" s="1"/>
  <c r="Q149" i="21" s="1"/>
  <c r="G450" i="17"/>
  <c r="G685" i="17"/>
  <c r="G446" i="17"/>
  <c r="G735" i="17"/>
  <c r="G144" i="17"/>
  <c r="G163" i="17"/>
  <c r="U63" i="15" l="1"/>
  <c r="V63" i="15" s="1"/>
  <c r="O19" i="21"/>
  <c r="Q19" i="21" s="1"/>
  <c r="Q20" i="21"/>
  <c r="O92" i="21"/>
  <c r="Q92" i="21" s="1"/>
  <c r="Q93" i="21"/>
  <c r="O193" i="21"/>
  <c r="Q193" i="21" s="1"/>
  <c r="Q194" i="21"/>
  <c r="O225" i="21"/>
  <c r="Q225" i="21" s="1"/>
  <c r="Q226" i="21"/>
  <c r="O141" i="21"/>
  <c r="Q141" i="21" s="1"/>
  <c r="Q142" i="21"/>
  <c r="O96" i="21"/>
  <c r="Q96" i="21" s="1"/>
  <c r="Q97" i="21"/>
  <c r="O152" i="21"/>
  <c r="Q153" i="21"/>
  <c r="O77" i="21"/>
  <c r="Q77" i="21" s="1"/>
  <c r="Q78" i="21"/>
  <c r="O139" i="21"/>
  <c r="Q139" i="21" s="1"/>
  <c r="Q140" i="21"/>
  <c r="O88" i="21"/>
  <c r="Q88" i="21" s="1"/>
  <c r="Q89" i="21"/>
  <c r="O136" i="21"/>
  <c r="Q136" i="21" s="1"/>
  <c r="Q137" i="21"/>
  <c r="O132" i="21"/>
  <c r="Q133" i="21"/>
  <c r="O61" i="21"/>
  <c r="Q61" i="21" s="1"/>
  <c r="Q62" i="21"/>
  <c r="O102" i="21"/>
  <c r="Q102" i="21" s="1"/>
  <c r="Q103" i="21"/>
  <c r="O98" i="21"/>
  <c r="Q98" i="21" s="1"/>
  <c r="Q99" i="21"/>
  <c r="O220" i="21"/>
  <c r="Q220" i="21" s="1"/>
  <c r="Q221" i="21"/>
  <c r="O121" i="21"/>
  <c r="Q121" i="21" s="1"/>
  <c r="Q122" i="21"/>
  <c r="O198" i="21"/>
  <c r="Q198" i="21" s="1"/>
  <c r="Q199" i="21"/>
  <c r="O128" i="21"/>
  <c r="Q128" i="21" s="1"/>
  <c r="Q129" i="21"/>
  <c r="O123" i="21"/>
  <c r="Q123" i="21" s="1"/>
  <c r="Q124" i="21"/>
  <c r="O50" i="21"/>
  <c r="Q50" i="21" s="1"/>
  <c r="Q51" i="21"/>
  <c r="O167" i="21"/>
  <c r="Q167" i="21" s="1"/>
  <c r="Q168" i="21"/>
  <c r="O189" i="21"/>
  <c r="Q189" i="21" s="1"/>
  <c r="Q190" i="21"/>
  <c r="U165" i="15"/>
  <c r="U60" i="15"/>
  <c r="V60" i="15" s="1"/>
  <c r="U107" i="15"/>
  <c r="V107" i="15" s="1"/>
  <c r="U73" i="15"/>
  <c r="V73" i="15" s="1"/>
  <c r="U120" i="15"/>
  <c r="V120" i="15" s="1"/>
  <c r="U56" i="15"/>
  <c r="V56" i="15" s="1"/>
  <c r="U61" i="15"/>
  <c r="V61" i="15" s="1"/>
  <c r="U104" i="15"/>
  <c r="V104" i="15" s="1"/>
  <c r="U115" i="15"/>
  <c r="V115" i="15" s="1"/>
  <c r="U169" i="15"/>
  <c r="V169" i="15" s="1"/>
  <c r="U108" i="15"/>
  <c r="V108" i="15" s="1"/>
  <c r="U76" i="15"/>
  <c r="V76" i="15" s="1"/>
  <c r="U53" i="15"/>
  <c r="U75" i="15"/>
  <c r="V75" i="15" s="1"/>
  <c r="U116" i="15"/>
  <c r="V116" i="15" s="1"/>
  <c r="U67" i="15"/>
  <c r="V67" i="15" s="1"/>
  <c r="U97" i="15"/>
  <c r="U166" i="15"/>
  <c r="U157" i="15"/>
  <c r="V157" i="15" s="1"/>
  <c r="U117" i="15"/>
  <c r="V117" i="15" s="1"/>
  <c r="U54" i="15"/>
  <c r="U154" i="15"/>
  <c r="U102" i="15"/>
  <c r="V102" i="15" s="1"/>
  <c r="U68" i="15"/>
  <c r="V68" i="15" s="1"/>
  <c r="U65" i="15"/>
  <c r="V65" i="15" s="1"/>
  <c r="U161" i="15"/>
  <c r="V161" i="15" s="1"/>
  <c r="U72" i="15"/>
  <c r="V72" i="15" s="1"/>
  <c r="U59" i="15"/>
  <c r="V59" i="15" s="1"/>
  <c r="U110" i="15"/>
  <c r="V110" i="15" s="1"/>
  <c r="U98" i="15"/>
  <c r="U185" i="15"/>
  <c r="V185" i="15" s="1"/>
  <c r="U181" i="15"/>
  <c r="V181" i="15" s="1"/>
  <c r="U114" i="15"/>
  <c r="V114" i="15" s="1"/>
  <c r="U111" i="15"/>
  <c r="V111" i="15" s="1"/>
  <c r="U77" i="15"/>
  <c r="V77" i="15" s="1"/>
  <c r="U118" i="15"/>
  <c r="V118" i="15" s="1"/>
  <c r="U153" i="15"/>
  <c r="U158" i="15"/>
  <c r="V158" i="15" s="1"/>
  <c r="U66" i="15"/>
  <c r="V66" i="15" s="1"/>
  <c r="U64" i="15"/>
  <c r="V64" i="15" s="1"/>
  <c r="U119" i="15"/>
  <c r="V119" i="15" s="1"/>
  <c r="U174" i="15"/>
  <c r="V174" i="15" s="1"/>
  <c r="U58" i="15"/>
  <c r="V58" i="15" s="1"/>
  <c r="U123" i="15"/>
  <c r="V123" i="15" s="1"/>
  <c r="U74" i="15"/>
  <c r="V74" i="15" s="1"/>
  <c r="U70" i="15"/>
  <c r="V70" i="15" s="1"/>
  <c r="U52" i="15"/>
  <c r="U162" i="15"/>
  <c r="V162" i="15" s="1"/>
  <c r="U178" i="15"/>
  <c r="V178" i="15" s="1"/>
  <c r="U122" i="15"/>
  <c r="V122" i="15" s="1"/>
  <c r="U100" i="15"/>
  <c r="V100" i="15" s="1"/>
  <c r="U57" i="15"/>
  <c r="V57" i="15" s="1"/>
  <c r="U182" i="15"/>
  <c r="V182" i="15" s="1"/>
  <c r="U71" i="15"/>
  <c r="V71" i="15" s="1"/>
  <c r="U69" i="15"/>
  <c r="V69" i="15" s="1"/>
  <c r="U109" i="15"/>
  <c r="V109" i="15" s="1"/>
  <c r="U62" i="15"/>
  <c r="V62" i="15" s="1"/>
  <c r="U99" i="15"/>
  <c r="U173" i="15"/>
  <c r="V173" i="15" s="1"/>
  <c r="U186" i="15"/>
  <c r="V186" i="15" s="1"/>
  <c r="U121" i="15"/>
  <c r="V121" i="15" s="1"/>
  <c r="U112" i="15"/>
  <c r="V112" i="15" s="1"/>
  <c r="U103" i="15"/>
  <c r="V103" i="15" s="1"/>
  <c r="U105" i="15"/>
  <c r="V105" i="15" s="1"/>
  <c r="U106" i="15"/>
  <c r="V106" i="15" s="1"/>
  <c r="U170" i="15"/>
  <c r="V170" i="15" s="1"/>
  <c r="U177" i="15"/>
  <c r="V177" i="15" s="1"/>
  <c r="U101" i="15"/>
  <c r="V101" i="15" s="1"/>
  <c r="U78" i="15"/>
  <c r="V78" i="15" s="1"/>
  <c r="U113" i="15"/>
  <c r="V113" i="15" s="1"/>
  <c r="U55" i="15"/>
  <c r="V55" i="15" s="1"/>
  <c r="O159" i="21"/>
  <c r="Q159" i="21" s="1"/>
  <c r="Q160" i="21"/>
  <c r="O174" i="21"/>
  <c r="Q174" i="21" s="1"/>
  <c r="Q175" i="21"/>
  <c r="O17" i="21"/>
  <c r="Q17" i="21" s="1"/>
  <c r="Q18" i="21"/>
  <c r="O165" i="21"/>
  <c r="Q165" i="21" s="1"/>
  <c r="Q166" i="21"/>
  <c r="O94" i="21"/>
  <c r="Q94" i="21" s="1"/>
  <c r="Q95" i="21"/>
  <c r="O104" i="21"/>
  <c r="Q104" i="21" s="1"/>
  <c r="Q105" i="21"/>
  <c r="O106" i="21"/>
  <c r="Q106" i="21" s="1"/>
  <c r="Q107" i="21"/>
  <c r="U183" i="15"/>
  <c r="V183" i="15" s="1"/>
  <c r="U176" i="15"/>
  <c r="V176" i="15" s="1"/>
  <c r="U156" i="15"/>
  <c r="U172" i="15"/>
  <c r="V172" i="15" s="1"/>
  <c r="U188" i="15"/>
  <c r="V188" i="15" s="1"/>
  <c r="U184" i="15"/>
  <c r="V184" i="15" s="1"/>
  <c r="U160" i="15"/>
  <c r="V160" i="15" s="1"/>
  <c r="U180" i="15"/>
  <c r="V180" i="15" s="1"/>
  <c r="U179" i="15"/>
  <c r="V179" i="15" s="1"/>
  <c r="U175" i="15"/>
  <c r="V175" i="15" s="1"/>
  <c r="U168" i="15"/>
  <c r="V168" i="15" s="1"/>
  <c r="U159" i="15"/>
  <c r="V159" i="15" s="1"/>
  <c r="U167" i="15"/>
  <c r="V167" i="15" s="1"/>
  <c r="U171" i="15"/>
  <c r="V171" i="15" s="1"/>
  <c r="U164" i="15"/>
  <c r="V164" i="15" s="1"/>
  <c r="U155" i="15"/>
  <c r="U187" i="15"/>
  <c r="V187" i="15" s="1"/>
  <c r="U163" i="15"/>
  <c r="V163" i="15" s="1"/>
  <c r="O161" i="21"/>
  <c r="Q161" i="21" s="1"/>
  <c r="Q162" i="21"/>
  <c r="O86" i="21"/>
  <c r="Q86" i="21" s="1"/>
  <c r="Q87" i="21"/>
  <c r="O46" i="21"/>
  <c r="Q46" i="21" s="1"/>
  <c r="Q47" i="21"/>
  <c r="O80" i="21"/>
  <c r="Q80" i="21" s="1"/>
  <c r="Q81" i="21"/>
  <c r="O83" i="21"/>
  <c r="Q83" i="21" s="1"/>
  <c r="Q84" i="21"/>
  <c r="T13" i="15" l="1"/>
  <c r="N21" i="15"/>
  <c r="T12" i="15"/>
  <c r="N20" i="15"/>
  <c r="R29" i="15"/>
  <c r="M18" i="15"/>
  <c r="N18" i="15" s="1"/>
  <c r="T16" i="15"/>
  <c r="N17" i="15"/>
  <c r="M15" i="15"/>
  <c r="N15" i="15" s="1"/>
  <c r="R32" i="15"/>
  <c r="M14" i="15"/>
  <c r="N14" i="15" s="1"/>
  <c r="T14" i="15"/>
  <c r="R36" i="15"/>
  <c r="T166" i="15"/>
  <c r="T190" i="15" s="1"/>
  <c r="R30" i="15"/>
  <c r="R35" i="15"/>
  <c r="T15" i="15"/>
  <c r="R33" i="15"/>
  <c r="T165" i="15"/>
  <c r="T189" i="15" s="1"/>
  <c r="R34" i="15"/>
  <c r="R31" i="15"/>
  <c r="N19" i="15"/>
  <c r="M16" i="15"/>
  <c r="N16" i="15" s="1"/>
  <c r="M13" i="15"/>
  <c r="V97" i="15"/>
  <c r="U124" i="15"/>
  <c r="V52" i="15"/>
  <c r="U79" i="15"/>
  <c r="O148" i="21"/>
  <c r="Q152" i="21"/>
  <c r="V155" i="15"/>
  <c r="U191" i="15"/>
  <c r="U125" i="15"/>
  <c r="V125" i="15" s="1"/>
  <c r="V98" i="15"/>
  <c r="V53" i="15"/>
  <c r="U80" i="15"/>
  <c r="V80" i="15" s="1"/>
  <c r="U126" i="15"/>
  <c r="V126" i="15" s="1"/>
  <c r="V99" i="15"/>
  <c r="O130" i="21"/>
  <c r="Q130" i="21" s="1"/>
  <c r="Q132" i="21"/>
  <c r="V156" i="15"/>
  <c r="U192" i="15"/>
  <c r="V192" i="15" s="1"/>
  <c r="V154" i="15"/>
  <c r="U190" i="15"/>
  <c r="U189" i="15"/>
  <c r="V153" i="15"/>
  <c r="V54" i="15"/>
  <c r="U81" i="15"/>
  <c r="V81" i="15" s="1"/>
  <c r="V189" i="15" l="1"/>
  <c r="M22" i="15"/>
  <c r="N13" i="15"/>
  <c r="N22" i="15" s="1"/>
  <c r="R28" i="15"/>
  <c r="R37" i="15" s="1"/>
  <c r="T17" i="15"/>
  <c r="V165" i="15"/>
  <c r="V166" i="15"/>
  <c r="E162" i="15"/>
  <c r="V191" i="15"/>
  <c r="O144" i="21"/>
  <c r="Q144" i="21" s="1"/>
  <c r="Q148" i="21"/>
  <c r="V190" i="15"/>
  <c r="E182" i="15"/>
  <c r="V79" i="15"/>
  <c r="D61" i="15"/>
  <c r="V124" i="15"/>
  <c r="D109" i="15"/>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s v="{[Table4].[Âmbito].[All]}"/>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<sst xmlns="http://schemas.openxmlformats.org/spreadsheetml/2006/main" count="35477" uniqueCount="2458">
  <si>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</si>
  <si>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</si>
  <si>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</si>
  <si>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</si>
  <si>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</si>
  <si>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</si>
  <si>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</si>
  <si>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</si>
  <si>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</si>
  <si>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</si>
  <si>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</si>
  <si>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</si>
  <si>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</si>
  <si>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</si>
  <si>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</si>
  <si>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</si>
  <si>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</si>
  <si>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</si>
  <si>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</si>
  <si>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</si>
  <si>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</si>
  <si>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</si>
  <si>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</si>
  <si>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</si>
  <si>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</si>
  <si>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</si>
  <si>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</si>
  <si>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</si>
  <si>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</si>
  <si>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</si>
  <si>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</si>
  <si>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</si>
  <si>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</si>
  <si>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</si>
  <si>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</si>
  <si>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</si>
  <si>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</si>
  <si>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</si>
  <si>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</si>
  <si>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</si>
  <si>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</si>
  <si>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</si>
  <si>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</si>
  <si>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</si>
  <si>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</si>
  <si>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</si>
  <si>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</si>
  <si>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</si>
  <si>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</si>
  <si>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</si>
  <si>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</si>
  <si>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</si>
  <si>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</si>
  <si>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</si>
  <si>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</si>
  <si>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</si>
  <si>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</si>
  <si>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</si>
  <si>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</si>
  <si>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</si>
  <si>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</si>
  <si>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</si>
  <si>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</si>
  <si>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</si>
  <si>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</si>
  <si>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</si>
  <si>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</si>
  <si>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</si>
  <si>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</si>
  <si>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</si>
  <si>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</si>
  <si>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</si>
  <si>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</si>
  <si>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</si>
  <si>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</si>
  <si>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</si>
  <si>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</si>
  <si>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</si>
  <si>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</si>
  <si>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</si>
  <si>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</si>
  <si>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</si>
  <si>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</si>
  <si>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</si>
  <si>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</si>
  <si>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</si>
  <si>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</si>
  <si>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</si>
  <si>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</si>
  <si>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</si>
  <si>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</si>
  <si>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</si>
  <si>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</si>
  <si>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</si>
  <si>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</si>
  <si>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</si>
  <si>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</si>
  <si>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</si>
  <si>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</si>
  <si>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</si>
  <si>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</si>
  <si>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</si>
  <si>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</si>
  <si>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</si>
  <si>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</si>
  <si>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</si>
  <si>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</si>
  <si>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</si>
  <si>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</si>
  <si>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</si>
  <si>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</si>
  <si>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</si>
  <si>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</si>
  <si>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</si>
  <si>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</si>
  <si>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</si>
  <si>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</si>
  <si>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</si>
  <si>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</si>
  <si>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</si>
  <si>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</si>
  <si>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</si>
  <si>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</si>
  <si>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</si>
  <si>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</si>
  <si>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</si>
  <si>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</si>
  <si>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</si>
  <si>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</si>
  <si>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</si>
  <si>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</si>
  <si>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</si>
  <si>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</si>
  <si>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</si>
  <si>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</si>
  <si>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</si>
  <si>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</si>
  <si>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</si>
  <si>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</si>
  <si>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</si>
  <si>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</si>
  <si>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</si>
  <si>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</si>
  <si>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</si>
  <si>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</si>
  <si>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</si>
  <si>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</si>
  <si>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</si>
  <si>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</si>
  <si>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</si>
  <si>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</si>
  <si>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</si>
  <si>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</si>
  <si>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</si>
  <si>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</si>
  <si>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</si>
  <si>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</si>
  <si>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</si>
  <si>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</si>
  <si>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</si>
  <si>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</si>
  <si>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</si>
  <si>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</si>
  <si>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</si>
  <si>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</si>
  <si>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</si>
  <si>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</si>
  <si>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</si>
  <si>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</si>
  <si>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</si>
  <si>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</si>
  <si>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</si>
  <si>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</si>
  <si>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</si>
  <si>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</si>
  <si>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</si>
  <si>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</si>
  <si>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</si>
  <si>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</si>
  <si>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</si>
  <si>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</si>
  <si>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</si>
  <si>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</si>
  <si>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</si>
  <si>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</si>
  <si>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</si>
  <si>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</si>
  <si>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</si>
  <si>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</si>
  <si>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</si>
  <si>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</si>
  <si>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</si>
  <si>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</si>
  <si>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</si>
  <si>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</si>
  <si>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</si>
  <si>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</si>
  <si>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</si>
  <si>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</si>
  <si>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</si>
  <si>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</si>
  <si>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</si>
  <si>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</si>
  <si>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</si>
  <si>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</si>
  <si>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</si>
  <si>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</si>
  <si>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</si>
  <si>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</si>
  <si>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</si>
  <si>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</si>
  <si>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</si>
  <si>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</si>
  <si>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</si>
  <si>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</si>
  <si>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</si>
  <si>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</si>
  <si>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</si>
  <si>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</si>
  <si>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</si>
  <si>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</si>
  <si>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</si>
  <si>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</si>
  <si>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</si>
  <si>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</si>
  <si>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</si>
  <si>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</si>
  <si>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</si>
  <si>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</si>
  <si>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</si>
  <si>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</si>
  <si>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</si>
  <si>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</si>
  <si>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</si>
  <si>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</si>
  <si>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</si>
  <si>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</si>
  <si>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</si>
  <si>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</si>
  <si>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</si>
  <si>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</si>
  <si>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</si>
  <si>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</si>
  <si>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</si>
  <si>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</si>
  <si>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</si>
  <si>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</si>
  <si>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</si>
  <si>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</si>
  <si>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</si>
  <si>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</si>
  <si>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</si>
  <si>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</si>
  <si>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</si>
  <si>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</si>
  <si>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</si>
  <si>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</si>
  <si>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</si>
  <si>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</si>
  <si>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</si>
  <si>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</si>
  <si>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</si>
  <si>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</si>
  <si>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</si>
  <si>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</si>
  <si>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</si>
  <si>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</si>
  <si>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</si>
  <si>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</si>
  <si>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</si>
  <si>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</si>
  <si>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</si>
  <si>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</si>
  <si>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</si>
  <si>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</si>
  <si>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</si>
  <si>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</si>
  <si>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</si>
  <si>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</si>
  <si>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</si>
  <si>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</si>
  <si>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</si>
  <si>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</si>
  <si>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</si>
  <si>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</si>
  <si>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</si>
  <si>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</si>
  <si>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</si>
  <si>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</si>
  <si>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</si>
  <si>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</si>
  <si>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</si>
  <si>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</si>
  <si>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</si>
  <si>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</si>
  <si>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</si>
  <si>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</si>
  <si>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</si>
  <si>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</si>
  <si>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</si>
  <si>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</si>
  <si>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</si>
  <si>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</si>
  <si>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</si>
  <si>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</si>
  <si>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</si>
  <si>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</si>
  <si>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</si>
  <si>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</si>
  <si>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</si>
  <si>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</si>
  <si>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</si>
  <si>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</si>
  <si>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</si>
  <si>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</si>
  <si>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</si>
  <si>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</si>
  <si>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</si>
  <si>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</si>
  <si>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</si>
  <si>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</si>
  <si>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</si>
  <si>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</si>
  <si>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</si>
  <si>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</si>
  <si>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</si>
  <si>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</si>
  <si>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</si>
  <si>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</si>
  <si>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</si>
  <si>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</si>
  <si>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</si>
  <si>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</si>
  <si>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</si>
  <si>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</si>
  <si>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</si>
  <si>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</si>
  <si>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</si>
  <si>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</si>
  <si>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</si>
  <si>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</si>
  <si>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</si>
  <si>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</si>
  <si>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</si>
  <si>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</si>
  <si>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</si>
  <si>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</si>
  <si>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</si>
  <si>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</si>
  <si>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</si>
  <si>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</si>
  <si>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</si>
  <si>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</si>
  <si>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</si>
  <si>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</si>
  <si>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</si>
  <si>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</si>
  <si>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</si>
  <si>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</si>
  <si>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</si>
  <si>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</si>
  <si>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</si>
  <si>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</si>
  <si>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</si>
  <si>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</si>
  <si>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</si>
  <si>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</si>
  <si>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</si>
  <si>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</si>
  <si>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</si>
  <si>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</si>
  <si>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</si>
  <si>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</si>
  <si>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</si>
  <si>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</si>
  <si>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</si>
  <si>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</si>
  <si>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</si>
  <si>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</si>
  <si>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</si>
  <si>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</si>
  <si>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</si>
  <si>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</si>
  <si>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</si>
  <si>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</si>
  <si>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</si>
  <si>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</si>
  <si>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</si>
  <si>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</si>
  <si>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</si>
  <si>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</si>
  <si>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</si>
  <si>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</si>
  <si>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</si>
  <si>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</si>
  <si>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</si>
  <si>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</si>
  <si>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</si>
  <si>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</si>
  <si>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</si>
  <si>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</si>
  <si>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</si>
  <si>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</si>
  <si>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</si>
  <si>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</si>
  <si>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</si>
  <si>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</si>
  <si>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</si>
  <si>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</si>
  <si>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</si>
  <si>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</si>
  <si>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</si>
  <si>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</si>
  <si>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</si>
  <si>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</si>
  <si>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</si>
  <si>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</si>
  <si>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</si>
  <si>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</si>
  <si>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</si>
  <si>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</si>
  <si>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</si>
  <si>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</si>
  <si>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</si>
  <si>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</si>
  <si>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</si>
  <si>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</si>
  <si>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</si>
  <si>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</si>
  <si>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</si>
  <si>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</si>
  <si>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</si>
  <si>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</si>
  <si>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</si>
  <si>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</si>
  <si>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</si>
  <si>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</si>
  <si>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</si>
  <si>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</si>
  <si>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</si>
  <si>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</si>
  <si>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</si>
  <si>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</si>
  <si>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</si>
  <si>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</si>
  <si>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</si>
  <si>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</si>
  <si>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</si>
  <si>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</si>
  <si>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</si>
  <si>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</si>
  <si>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</si>
  <si>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</si>
  <si>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</si>
  <si>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</si>
  <si>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</si>
  <si>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</si>
  <si>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</si>
  <si>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</si>
  <si>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</si>
  <si>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</si>
  <si>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</si>
  <si>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</si>
  <si>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</si>
  <si>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</si>
  <si>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</si>
  <si>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</si>
  <si>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</si>
  <si>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</si>
  <si>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</si>
  <si>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</si>
  <si>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</si>
  <si>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</si>
  <si>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</si>
  <si>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</si>
  <si>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</si>
  <si>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</si>
  <si>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</si>
  <si>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</si>
  <si>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</si>
  <si>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</si>
  <si>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</si>
  <si>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</si>
  <si>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</si>
  <si>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</si>
  <si>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</si>
  <si>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</si>
  <si>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</si>
  <si>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</si>
  <si>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</si>
  <si>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</si>
  <si>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</si>
  <si>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</si>
  <si>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</si>
  <si>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</si>
  <si>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</si>
  <si>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</si>
  <si>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</si>
  <si>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</si>
  <si>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</si>
  <si>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</si>
  <si>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</si>
  <si>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</si>
  <si>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</si>
  <si>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</si>
  <si>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</si>
  <si>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</si>
  <si>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</si>
  <si>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</si>
  <si>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</si>
  <si>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</si>
  <si>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</si>
  <si>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</si>
  <si>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</si>
  <si>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</si>
  <si>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</si>
  <si>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</si>
  <si>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</si>
  <si>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</si>
  <si>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</si>
  <si>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</si>
  <si>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</si>
  <si>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</si>
  <si>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</si>
  <si>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</si>
  <si>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</si>
  <si>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</si>
  <si>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</si>
  <si>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</si>
  <si>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</si>
  <si>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</si>
  <si>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</si>
  <si>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</si>
  <si>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</si>
  <si>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</si>
  <si>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</si>
  <si>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</si>
  <si>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</si>
  <si>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</si>
  <si>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</si>
  <si>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</si>
  <si>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</si>
  <si>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</si>
  <si>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</si>
  <si>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</si>
  <si>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</si>
  <si>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</si>
  <si>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</si>
  <si>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</si>
  <si>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</si>
  <si>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</si>
  <si>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</si>
  <si>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</si>
  <si>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</si>
  <si>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</si>
  <si>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</si>
  <si>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</si>
  <si>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</si>
  <si>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</si>
  <si>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</si>
  <si>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</si>
  <si>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</si>
  <si>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</si>
  <si>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</si>
  <si>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</si>
  <si>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</si>
  <si>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</si>
  <si>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</si>
  <si>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</si>
  <si>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</si>
  <si>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</si>
  <si>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</si>
  <si>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</si>
  <si>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</si>
  <si>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</si>
  <si>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</si>
  <si>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</si>
  <si>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</si>
  <si>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</si>
  <si>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</si>
  <si>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</si>
  <si>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</si>
  <si>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</si>
  <si>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</si>
  <si>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</si>
  <si>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</si>
  <si>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</si>
  <si>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</si>
  <si>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</si>
  <si>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</si>
  <si>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</si>
  <si>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</si>
  <si>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</si>
  <si>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</si>
  <si>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</si>
  <si>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</si>
  <si>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</si>
  <si>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</si>
  <si>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</si>
  <si>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</si>
  <si>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</si>
  <si>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</si>
  <si>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</si>
  <si>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</si>
  <si>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</si>
  <si>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</si>
  <si>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</si>
  <si>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</si>
  <si>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</si>
  <si>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</si>
  <si>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</si>
  <si>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</si>
  <si>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</si>
  <si>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</si>
  <si>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</si>
  <si>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</si>
  <si>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</si>
  <si>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</si>
  <si>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</si>
  <si>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</si>
  <si>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</si>
  <si>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</si>
  <si>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</si>
  <si>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</si>
  <si>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</si>
  <si>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</si>
  <si>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</si>
  <si>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</si>
  <si>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</si>
  <si>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</si>
  <si>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</si>
  <si>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</si>
  <si>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</si>
  <si>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</si>
  <si>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</si>
  <si>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</si>
  <si>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</si>
  <si>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</si>
  <si>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</si>
  <si>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</si>
  <si>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</si>
  <si>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Novo Campo</t>
  </si>
  <si>
    <t xml:space="preserve">Re-especificação </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</si>
  <si>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</si>
  <si>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</si>
  <si>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</si>
  <si>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</si>
  <si>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</si>
  <si>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</si>
  <si>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</si>
  <si>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</si>
  <si>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</si>
  <si>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</si>
  <si>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</si>
  <si>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</si>
  <si>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</si>
  <si>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</si>
  <si>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</si>
  <si>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</si>
  <si>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</si>
  <si>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</si>
  <si>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</si>
  <si>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</si>
  <si>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</si>
  <si>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</si>
  <si>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</si>
  <si>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</si>
  <si>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</si>
  <si>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</si>
  <si>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</si>
  <si>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</si>
  <si>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</si>
  <si>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</si>
  <si>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</si>
  <si>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</si>
  <si>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</si>
  <si>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</si>
  <si>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</si>
  <si>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</si>
  <si>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</si>
  <si>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</si>
  <si>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</si>
  <si>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</si>
  <si>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</si>
  <si>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</si>
  <si>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</si>
  <si>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</si>
  <si>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</si>
  <si>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</si>
  <si>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</si>
  <si>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</si>
  <si>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</si>
  <si>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</si>
  <si>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</si>
  <si>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</si>
  <si>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</si>
  <si>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</si>
  <si>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</si>
  <si>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</si>
  <si>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</si>
  <si>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</si>
  <si>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</si>
  <si>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</si>
  <si>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</si>
  <si>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</si>
  <si>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</si>
  <si>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</si>
  <si>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</si>
  <si>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</si>
  <si>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</si>
  <si>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</si>
  <si>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</si>
  <si>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</si>
  <si>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</si>
  <si>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</si>
  <si>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</si>
  <si>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</si>
  <si>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</si>
  <si>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</si>
  <si>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</si>
  <si>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</si>
  <si>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</si>
  <si>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</si>
  <si>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</si>
  <si>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</si>
  <si>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</si>
  <si>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</si>
  <si>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</si>
  <si>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</si>
  <si>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</si>
  <si>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</si>
  <si>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</si>
  <si>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</si>
  <si>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</si>
  <si>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</si>
  <si>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</si>
  <si>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</si>
  <si>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</si>
  <si>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</si>
  <si>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</si>
  <si>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</si>
  <si>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</si>
  <si>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</si>
  <si>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</si>
  <si>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</si>
  <si>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</si>
  <si>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</si>
  <si>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</si>
  <si>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</si>
  <si>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</si>
  <si>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</si>
  <si>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</si>
  <si>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</si>
  <si>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</si>
  <si>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</si>
  <si>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</si>
  <si>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</si>
  <si>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</si>
  <si>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</si>
  <si>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</si>
  <si>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</si>
  <si>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</si>
  <si>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</si>
  <si>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</si>
  <si>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</si>
  <si>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</si>
  <si>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</si>
  <si>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</si>
  <si>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</si>
  <si>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</si>
  <si>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</si>
  <si>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</si>
  <si>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</si>
  <si>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</si>
  <si>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</si>
  <si>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</si>
  <si>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</si>
  <si>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</si>
  <si>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</si>
  <si>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</si>
  <si>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</si>
  <si>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</si>
  <si>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</si>
  <si>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</si>
  <si>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</si>
  <si>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</si>
  <si>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</si>
  <si>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</si>
  <si>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</si>
  <si>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</si>
  <si>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</si>
  <si>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</si>
  <si>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</si>
  <si>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</si>
  <si>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</si>
  <si>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</si>
  <si>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</si>
  <si>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</si>
  <si>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</si>
  <si>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</si>
  <si>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</si>
  <si>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</si>
  <si>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</si>
  <si>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</si>
  <si>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</si>
  <si>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</si>
  <si>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</si>
  <si>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</si>
  <si>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</si>
  <si>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</si>
  <si>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</si>
  <si>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</si>
  <si>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</si>
  <si>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</si>
  <si>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</si>
  <si>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</si>
  <si>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</si>
  <si>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</si>
  <si>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</si>
  <si>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</si>
  <si>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</si>
  <si>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</si>
  <si>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</si>
  <si>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</si>
  <si>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</si>
  <si>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</si>
  <si>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</si>
  <si>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</si>
  <si>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</si>
  <si>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</si>
  <si>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</si>
  <si>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</si>
  <si>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</si>
  <si>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</si>
  <si>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</si>
  <si>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</si>
  <si>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</si>
  <si>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</si>
  <si>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</si>
  <si>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</si>
  <si>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</si>
  <si>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</si>
  <si>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</si>
  <si>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</si>
  <si>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</si>
  <si>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</si>
  <si>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</si>
  <si>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</si>
  <si>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</si>
  <si>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</si>
  <si>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</si>
  <si>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</si>
  <si>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</si>
  <si>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</si>
  <si>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</si>
  <si>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</si>
  <si>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</si>
  <si>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</si>
  <si>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</si>
  <si>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</si>
  <si>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</si>
  <si>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</si>
  <si>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</si>
  <si>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</si>
  <si>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</si>
  <si>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</si>
  <si>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</si>
  <si>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</si>
  <si>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</si>
  <si>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</si>
  <si>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</si>
  <si>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</si>
  <si>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</si>
  <si>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</si>
  <si>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</si>
  <si>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</si>
  <si>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</si>
  <si>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</si>
  <si>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</si>
  <si>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</si>
  <si>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</si>
  <si>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</si>
  <si>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</si>
  <si>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</si>
  <si>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</si>
  <si>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</si>
  <si>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</si>
  <si>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</si>
  <si>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</si>
  <si>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</si>
  <si>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</si>
  <si>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</si>
  <si>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</si>
  <si>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</si>
  <si>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</si>
  <si>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</si>
  <si>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</si>
  <si>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</si>
  <si>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</si>
  <si>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</si>
  <si>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</si>
  <si>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</si>
  <si>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</si>
  <si>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</si>
  <si>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</si>
  <si>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</si>
  <si>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</si>
  <si>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</si>
  <si>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</si>
  <si>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</si>
  <si>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</si>
  <si>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</si>
  <si>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</si>
  <si>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</si>
  <si>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</si>
  <si>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</si>
  <si>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</si>
  <si>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</si>
  <si>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</si>
  <si>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</si>
  <si>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</si>
  <si>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</si>
  <si>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</si>
  <si>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</si>
  <si>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</si>
  <si>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</si>
  <si>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</si>
  <si>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</si>
  <si>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</si>
  <si>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</si>
  <si>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</si>
  <si>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</si>
  <si>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</si>
  <si>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</si>
  <si>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</si>
  <si>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</si>
  <si>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</si>
  <si>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</si>
  <si>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</si>
  <si>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</si>
  <si>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</si>
  <si>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</si>
  <si>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</si>
  <si>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</si>
  <si>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</si>
  <si>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</si>
  <si>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</si>
  <si>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</si>
  <si>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</si>
  <si>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</si>
  <si>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</si>
  <si>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</si>
  <si>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</si>
  <si>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</si>
  <si>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</si>
  <si>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</si>
  <si>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</si>
  <si>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</si>
  <si>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</si>
  <si>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</si>
  <si>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</si>
  <si>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</si>
  <si>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</si>
  <si>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</si>
  <si>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</si>
  <si>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</si>
  <si>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</si>
  <si>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</si>
  <si>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</si>
  <si>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</si>
  <si>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</si>
  <si>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</si>
  <si>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</si>
  <si>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</si>
  <si>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</si>
  <si>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</si>
  <si>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</si>
  <si>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</si>
  <si>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</si>
  <si>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</si>
  <si>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</si>
  <si>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</si>
  <si>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</si>
  <si>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</si>
  <si>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</si>
  <si>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</si>
  <si>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</si>
  <si>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</si>
  <si>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</si>
  <si>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</si>
  <si>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</si>
  <si>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</si>
  <si>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</si>
  <si>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</si>
  <si>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</si>
  <si>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</si>
  <si>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</si>
  <si>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</si>
  <si>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</si>
  <si>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</si>
  <si>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</si>
  <si>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</si>
  <si>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</si>
  <si>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</si>
  <si>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</si>
  <si>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</si>
  <si>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</si>
  <si>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</si>
  <si>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</si>
  <si>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</si>
  <si>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</si>
  <si>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</si>
  <si>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</si>
  <si>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</si>
  <si>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</si>
  <si>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</si>
  <si>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</si>
  <si>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</si>
  <si>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</si>
  <si>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</si>
  <si>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</si>
  <si>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</si>
  <si>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</si>
  <si>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</si>
  <si>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</si>
  <si>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</si>
  <si>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</si>
  <si>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</si>
  <si>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</si>
  <si>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</si>
  <si>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</si>
  <si>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</si>
  <si>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</si>
  <si>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</si>
  <si>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</si>
  <si>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</si>
  <si>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</si>
  <si>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</si>
  <si>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</si>
  <si>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</si>
  <si>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</si>
  <si>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</si>
  <si>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</si>
  <si>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</si>
  <si>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</si>
  <si>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</si>
  <si>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</si>
  <si>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</si>
  <si>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</si>
  <si>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</si>
  <si>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</si>
  <si>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</si>
  <si>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</si>
  <si>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</si>
  <si>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</si>
  <si>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</si>
  <si>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</si>
  <si>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</si>
  <si>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</si>
  <si>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</si>
  <si>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</si>
  <si>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</si>
  <si>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</si>
  <si>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</si>
  <si>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</si>
  <si>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</si>
  <si>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</si>
  <si>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</si>
  <si>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</si>
  <si>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</si>
  <si>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</si>
  <si>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</si>
  <si>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</si>
  <si>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</si>
  <si>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</si>
  <si>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</si>
  <si>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</si>
  <si>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</si>
  <si>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</si>
  <si>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</si>
  <si>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</si>
  <si>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</si>
  <si>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</si>
  <si>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</si>
  <si>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</si>
  <si>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</si>
  <si>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</si>
  <si>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</si>
  <si>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</si>
  <si>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</si>
  <si>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</si>
  <si>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</si>
  <si>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</si>
  <si>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</si>
  <si>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</si>
  <si>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</si>
  <si>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</si>
  <si>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</si>
  <si>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</si>
  <si>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</si>
  <si>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</si>
  <si>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</si>
  <si>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</si>
  <si>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</si>
  <si>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</si>
  <si>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</si>
  <si>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</si>
  <si>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</si>
  <si>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</si>
  <si>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</si>
  <si>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</si>
  <si>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</si>
  <si>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</si>
  <si>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</si>
  <si>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</si>
  <si>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</si>
  <si>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</si>
  <si>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</si>
  <si>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</si>
  <si>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</si>
  <si>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</si>
  <si>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</si>
  <si>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</si>
  <si>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</si>
  <si>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</si>
  <si>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</si>
  <si>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</si>
  <si>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</si>
  <si>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</si>
  <si>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</si>
  <si>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</si>
  <si>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</si>
  <si>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</si>
  <si>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</si>
  <si>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</si>
  <si>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</si>
  <si>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</si>
  <si>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</si>
  <si>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</si>
  <si>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</si>
  <si>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</si>
  <si>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</si>
  <si>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</si>
  <si>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</si>
  <si>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</si>
  <si>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</si>
  <si>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</si>
  <si>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</si>
  <si>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</si>
  <si>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</si>
  <si>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</si>
  <si>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</si>
  <si>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</si>
  <si>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</si>
  <si>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</si>
  <si>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</si>
  <si>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</si>
  <si>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</si>
  <si>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</si>
  <si>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</si>
  <si>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</si>
  <si>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</si>
  <si>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</si>
  <si>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</si>
  <si>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</si>
  <si>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</si>
  <si>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</si>
  <si>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</si>
  <si>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</si>
  <si>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</si>
  <si>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</si>
  <si>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</si>
  <si>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</si>
  <si>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</si>
  <si>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</si>
  <si>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</si>
  <si>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</si>
  <si>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</si>
  <si>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</si>
  <si>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</si>
  <si>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</si>
  <si>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</si>
  <si>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</si>
  <si>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</si>
  <si>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</si>
  <si>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</si>
  <si>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</si>
  <si>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</si>
  <si>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</si>
  <si>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</si>
  <si>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</si>
  <si>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</si>
  <si>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</si>
  <si>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</si>
  <si>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</si>
  <si>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</si>
  <si>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</si>
  <si>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</si>
  <si>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</si>
  <si>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</si>
  <si>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</si>
  <si>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</si>
  <si>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</si>
  <si>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</si>
  <si>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</si>
  <si>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</si>
  <si>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</si>
  <si>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</si>
  <si>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</si>
  <si>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</si>
  <si>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</si>
  <si>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</si>
  <si>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</si>
  <si>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</si>
  <si>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</si>
  <si>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</si>
  <si>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</si>
  <si>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</si>
  <si>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</si>
  <si>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</si>
  <si>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</si>
  <si>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</si>
  <si>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</si>
  <si>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</si>
  <si>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</si>
  <si>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</si>
  <si>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</si>
  <si>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</si>
  <si>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</si>
  <si>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</si>
  <si>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</si>
  <si>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</si>
  <si>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</si>
  <si>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</si>
  <si>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</si>
  <si>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</si>
  <si>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</si>
  <si>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</si>
  <si>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</si>
  <si>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</si>
  <si>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</si>
  <si>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</si>
  <si>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</si>
  <si>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</si>
  <si>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</si>
  <si>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</si>
  <si>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</si>
  <si>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</si>
  <si>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</si>
  <si>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</si>
  <si>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</si>
  <si>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</si>
  <si>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</si>
  <si>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</si>
  <si>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</si>
  <si>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</si>
  <si>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</si>
  <si>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</si>
  <si>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</si>
  <si>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</si>
  <si>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</si>
  <si>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</si>
  <si>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</si>
  <si>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</si>
  <si>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</si>
  <si>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</si>
  <si>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</si>
  <si>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</si>
  <si>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</si>
  <si>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</si>
  <si>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</si>
  <si>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</si>
  <si>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</si>
  <si>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</si>
  <si>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</si>
  <si>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</si>
  <si>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</si>
  <si>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</si>
  <si>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</si>
  <si>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</si>
  <si>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</si>
  <si>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</si>
  <si>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</si>
  <si>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</si>
  <si>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</si>
  <si>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</si>
  <si>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</si>
  <si>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</si>
  <si>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</si>
  <si>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</si>
  <si>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</si>
  <si>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</si>
  <si>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</si>
  <si>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</si>
  <si>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</si>
  <si>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</si>
  <si>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</si>
  <si>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</si>
  <si>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</si>
  <si>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</si>
  <si>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</si>
  <si>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</si>
  <si>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</si>
  <si>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</si>
  <si>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</si>
  <si>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</si>
  <si>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</si>
  <si>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</si>
  <si>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</si>
  <si>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</si>
  <si>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</si>
  <si>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</si>
  <si>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</si>
  <si>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</si>
  <si>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</si>
  <si>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</si>
  <si>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</si>
  <si>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</si>
  <si>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</si>
  <si>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</si>
  <si>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</si>
  <si>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</si>
  <si>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</si>
  <si>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</si>
  <si>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</si>
  <si>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</si>
  <si>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</si>
  <si>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</si>
  <si>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</si>
  <si>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</si>
  <si>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</si>
  <si>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</si>
  <si>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</si>
  <si>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</si>
  <si>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</si>
  <si>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</si>
  <si>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</si>
  <si>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</si>
  <si>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</si>
  <si>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</si>
  <si>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</si>
  <si>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</si>
  <si>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</si>
  <si>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</si>
  <si>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</si>
  <si>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</si>
  <si>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</si>
  <si>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</si>
  <si>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</si>
  <si>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</si>
  <si>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</si>
  <si>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</si>
  <si>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</si>
  <si>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</si>
  <si>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</si>
  <si>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</si>
  <si>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</si>
  <si>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</si>
  <si>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</si>
  <si>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</si>
  <si>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</si>
  <si>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</si>
  <si>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</si>
  <si>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</si>
  <si>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</si>
  <si>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</si>
  <si>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</si>
  <si>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</si>
  <si>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</si>
  <si>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</si>
  <si>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</si>
  <si>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</si>
  <si>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</si>
  <si>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</si>
  <si>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</si>
  <si>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</si>
  <si>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</si>
  <si>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</si>
  <si>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</si>
  <si>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</si>
  <si>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</si>
  <si>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</si>
  <si>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</si>
  <si>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</si>
  <si>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</si>
  <si>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</si>
  <si>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</si>
  <si>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</si>
  <si>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</si>
  <si>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</si>
  <si>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</si>
  <si>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</si>
  <si>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</si>
  <si>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</si>
  <si>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</si>
  <si>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</si>
  <si>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</si>
  <si>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</si>
  <si>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</si>
  <si>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</si>
  <si>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</si>
  <si>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</si>
  <si>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</si>
  <si>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</si>
  <si>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</si>
  <si>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</si>
  <si>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</si>
  <si>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</si>
  <si>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</si>
  <si>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</si>
  <si>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</si>
  <si>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</si>
  <si>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</si>
  <si>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</si>
  <si>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</si>
  <si>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</si>
  <si>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</si>
  <si>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</si>
  <si>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</si>
  <si>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</si>
  <si>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</si>
  <si>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</si>
  <si>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</si>
  <si>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</si>
  <si>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</si>
  <si>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</si>
  <si>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</si>
  <si>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</si>
  <si>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</si>
  <si>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</si>
  <si>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</si>
  <si>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</si>
  <si>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</si>
  <si>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</si>
  <si>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</si>
  <si>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</si>
  <si>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</si>
  <si>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</si>
  <si>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</si>
  <si>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</si>
  <si>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</si>
  <si>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</si>
  <si>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</si>
  <si>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</si>
  <si>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</si>
  <si>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</si>
  <si>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</si>
  <si>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</si>
  <si>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</si>
  <si>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</si>
  <si>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</si>
  <si>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</si>
  <si>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</si>
  <si>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</si>
  <si>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</si>
  <si>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</si>
  <si>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</si>
  <si>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</si>
  <si>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</si>
  <si>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</si>
  <si>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</si>
  <si>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</si>
  <si>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</si>
  <si>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</si>
  <si>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</si>
  <si>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</si>
  <si>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</si>
  <si>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</si>
  <si>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</si>
  <si>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</si>
  <si>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</si>
  <si>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</si>
  <si>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</si>
  <si>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</si>
  <si>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</si>
  <si>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</si>
  <si>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</si>
  <si>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</si>
  <si>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</si>
  <si>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</si>
  <si>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</si>
  <si>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</si>
  <si>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</si>
  <si>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</si>
  <si>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</si>
  <si>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</si>
  <si>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</si>
  <si>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</si>
  <si>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</si>
  <si>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</si>
  <si>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</si>
  <si>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</si>
  <si>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</si>
  <si>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</si>
  <si>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</si>
  <si>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</si>
  <si>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</si>
  <si>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</si>
  <si>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</si>
  <si>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</si>
  <si>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</si>
  <si>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</si>
  <si>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</si>
  <si>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</si>
  <si>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</si>
  <si>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</si>
  <si>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</si>
  <si>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</si>
  <si>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</si>
  <si>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</si>
  <si>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</si>
  <si>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</si>
  <si>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</si>
  <si>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</si>
  <si>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</si>
  <si>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</si>
  <si>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</si>
  <si>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</si>
  <si>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</si>
  <si>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</si>
  <si>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</si>
  <si>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</si>
  <si>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</si>
  <si>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</si>
  <si>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</si>
  <si>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</si>
  <si>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</si>
  <si>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</si>
  <si>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</si>
  <si>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</si>
  <si>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</si>
  <si>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</si>
  <si>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</si>
  <si>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</si>
  <si>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</si>
  <si>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</si>
  <si>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</si>
  <si>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</si>
  <si>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</si>
  <si>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</si>
  <si>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</si>
  <si>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</si>
  <si>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</si>
  <si>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</si>
  <si>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</si>
  <si>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</si>
  <si>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</si>
  <si>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</si>
  <si>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</si>
  <si>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</si>
  <si>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</si>
  <si>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</si>
  <si>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</si>
  <si>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</si>
  <si>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</si>
  <si>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</si>
  <si>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</si>
  <si>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</si>
  <si>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</si>
  <si>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</si>
  <si>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</si>
  <si>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</si>
  <si>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</si>
  <si>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</si>
  <si>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</si>
  <si>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</si>
  <si>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</si>
  <si>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</si>
  <si>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</si>
  <si>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</si>
  <si>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</si>
  <si>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</si>
  <si>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</si>
  <si>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</si>
  <si>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</si>
  <si>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</si>
  <si>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</si>
  <si>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</si>
  <si>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</si>
  <si>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</si>
  <si>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</si>
  <si>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</si>
  <si>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</si>
  <si>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</si>
  <si>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</si>
  <si>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</si>
  <si>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</si>
  <si>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</si>
  <si>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</si>
  <si>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</si>
  <si>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</si>
  <si>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</si>
  <si>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</si>
  <si>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</si>
  <si>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</si>
  <si>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</si>
  <si>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</si>
  <si>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</si>
  <si>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</si>
  <si>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</si>
  <si>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</si>
  <si>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</si>
  <si>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</si>
  <si>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</si>
  <si>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</si>
  <si>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</si>
  <si>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</si>
  <si>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</si>
  <si>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</si>
  <si>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</si>
  <si>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</si>
  <si>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</si>
  <si>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</si>
  <si>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</si>
  <si>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</si>
  <si>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</si>
  <si>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</si>
  <si>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</si>
  <si>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</si>
  <si>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</si>
  <si>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</si>
  <si>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</si>
  <si>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</si>
  <si>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</si>
  <si>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</si>
  <si>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</si>
  <si>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</si>
  <si>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</si>
  <si>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</si>
  <si>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</si>
  <si>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</si>
  <si>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</si>
  <si>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</si>
  <si>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</si>
  <si>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</si>
  <si>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</si>
  <si>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</si>
  <si>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</si>
  <si>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</si>
  <si>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</si>
  <si>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</si>
  <si>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</si>
  <si>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</si>
  <si>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</si>
  <si>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</si>
  <si>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</si>
  <si>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</si>
  <si>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</si>
  <si>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</si>
  <si>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</si>
  <si>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</si>
  <si>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</si>
  <si>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</si>
  <si>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</si>
  <si>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</si>
  <si>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</si>
  <si>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</si>
  <si>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</si>
  <si>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</si>
  <si>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</si>
  <si>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</si>
  <si>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</si>
  <si>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</si>
  <si>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</si>
  <si>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</si>
  <si>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</si>
  <si>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</si>
  <si>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</si>
  <si>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</si>
  <si>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</si>
  <si>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</si>
  <si>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</si>
  <si>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</si>
  <si>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</si>
  <si>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</si>
  <si>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</si>
  <si>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</si>
  <si>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</si>
  <si>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</si>
  <si>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</si>
  <si>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</si>
  <si>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</si>
  <si>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</si>
  <si>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</si>
  <si>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</si>
  <si>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</si>
  <si>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</si>
  <si>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</si>
  <si>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</si>
  <si>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</si>
  <si>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</si>
  <si>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</si>
  <si>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</si>
  <si>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</si>
  <si>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</si>
  <si>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</si>
  <si>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</si>
  <si>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</si>
  <si>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</si>
  <si>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</si>
  <si>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</si>
  <si>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</si>
  <si>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</si>
  <si>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</si>
  <si>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</si>
  <si>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</si>
  <si>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</si>
  <si>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</si>
  <si>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</si>
  <si>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</si>
  <si>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</si>
  <si>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</si>
  <si>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</si>
  <si>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</si>
  <si>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</si>
  <si>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</si>
  <si>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</si>
  <si>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</si>
  <si>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</si>
  <si>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</si>
  <si>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</si>
  <si>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</si>
  <si>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</si>
  <si>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</si>
  <si>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</si>
  <si>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</si>
  <si>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</si>
  <si>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</si>
  <si>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</si>
  <si>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</si>
  <si>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</si>
  <si>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</si>
  <si>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</si>
  <si>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</si>
  <si>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</si>
  <si>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</si>
  <si>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</si>
  <si>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</si>
  <si>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</si>
  <si>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</si>
  <si>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</si>
  <si>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</si>
  <si>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</si>
  <si>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</si>
  <si>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</si>
  <si>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</si>
  <si>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</si>
  <si>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</si>
  <si>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</si>
  <si>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</si>
  <si>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</si>
  <si>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</si>
  <si>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</si>
  <si>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</si>
  <si>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</si>
  <si>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</si>
  <si>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</si>
  <si>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</si>
  <si>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</si>
  <si>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</si>
  <si>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</si>
  <si>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</si>
  <si>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</si>
  <si>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</si>
  <si>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</si>
  <si>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</si>
  <si>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</si>
  <si>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</si>
  <si>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</si>
  <si>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</si>
  <si>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</si>
  <si>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</si>
  <si>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</si>
  <si>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</si>
  <si>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</si>
  <si>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</si>
  <si>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</si>
  <si>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</si>
  <si>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</si>
  <si>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</si>
  <si>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</si>
  <si>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</si>
  <si>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</si>
  <si>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</si>
  <si>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</si>
  <si>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</si>
  <si>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</si>
  <si>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</si>
  <si>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</si>
  <si>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</si>
  <si>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</si>
  <si>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</si>
  <si>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</si>
  <si>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</si>
  <si>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</si>
  <si>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</si>
  <si>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</si>
  <si>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</si>
  <si>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</si>
  <si>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</si>
  <si>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</si>
  <si>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</si>
  <si>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</si>
  <si>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</si>
  <si>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</si>
  <si>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</si>
  <si>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</si>
  <si>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</si>
  <si>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</si>
  <si>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</si>
  <si>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</si>
  <si>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</si>
  <si>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</si>
  <si>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</si>
  <si>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</si>
  <si>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</si>
  <si>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</si>
  <si>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</si>
  <si>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</si>
  <si>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</si>
  <si>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</si>
  <si>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</si>
  <si>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</si>
  <si>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</si>
  <si>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</si>
  <si>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</si>
  <si>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</si>
  <si>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</si>
  <si>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</si>
  <si>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</si>
  <si>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</si>
  <si>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</si>
  <si>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</si>
  <si>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</si>
  <si>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</si>
  <si>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</si>
  <si>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</si>
  <si>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</si>
  <si>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</si>
  <si>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</si>
  <si>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</si>
  <si>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</si>
  <si>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</si>
  <si>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</si>
  <si>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</si>
  <si>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</si>
  <si>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Em Curso</t>
  </si>
  <si>
    <t>- Pendente de desenvolvimentos de IT</t>
  </si>
  <si>
    <t>Data Prevista de Re-especificação</t>
  </si>
  <si>
    <t>Data Prevista de Teste</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</si>
  <si>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</si>
  <si>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 Já foram testados os campos da LT Estrutural e uma tabela de parametrização.</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</si>
  <si>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</si>
  <si>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</si>
  <si>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</si>
  <si>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</si>
  <si>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</si>
  <si>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</si>
  <si>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</si>
  <si>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</si>
  <si>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</si>
  <si>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</si>
  <si>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</si>
  <si>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</si>
  <si>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</si>
  <si>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</si>
  <si>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</si>
  <si>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</si>
  <si>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</si>
  <si>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</si>
  <si>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</si>
  <si>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</si>
  <si>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</si>
  <si>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</si>
  <si>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</si>
  <si>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</si>
  <si>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</si>
  <si>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</si>
  <si>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</si>
  <si>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</si>
  <si>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</si>
  <si>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</si>
  <si>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</si>
  <si>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</si>
  <si>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</si>
  <si>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</si>
  <si>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</si>
  <si>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</si>
  <si>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</si>
  <si>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</si>
  <si>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</si>
  <si>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</si>
  <si>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</si>
  <si>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</si>
  <si>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</si>
  <si>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</si>
  <si>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</si>
  <si>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</si>
  <si>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</si>
  <si>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</si>
  <si>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</si>
  <si>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</si>
  <si>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</si>
  <si>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</si>
  <si>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</si>
  <si>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</si>
  <si>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</si>
  <si>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</si>
  <si>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</si>
  <si>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</si>
  <si>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</si>
  <si>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</si>
  <si>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</si>
  <si>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</si>
  <si>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</si>
  <si>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</si>
  <si>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</si>
  <si>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</si>
  <si>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</si>
  <si>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</si>
  <si>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</si>
  <si>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</si>
  <si>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</si>
  <si>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</si>
  <si>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</si>
  <si>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</si>
  <si>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</si>
  <si>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</si>
  <si>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</si>
  <si>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</si>
  <si>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</si>
  <si>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</si>
  <si>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</si>
  <si>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</si>
  <si>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</si>
  <si>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</si>
  <si>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</si>
  <si>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</si>
  <si>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</si>
  <si>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</si>
  <si>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Plano</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</si>
  <si>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</si>
  <si>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</si>
  <si>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</si>
  <si>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</si>
  <si>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</si>
  <si>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</si>
  <si>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</si>
  <si>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</si>
  <si>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</si>
  <si>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</si>
  <si>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</si>
  <si>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</si>
  <si>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</si>
  <si>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</si>
  <si>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</si>
  <si>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</si>
  <si>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</si>
  <si>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</si>
  <si>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</si>
  <si>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</si>
  <si>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</si>
  <si>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</si>
  <si>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</si>
  <si>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</si>
  <si>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</si>
  <si>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</si>
  <si>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</si>
  <si>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</si>
  <si>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</si>
  <si>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</si>
  <si>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</si>
  <si>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</si>
  <si>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</si>
  <si>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</si>
  <si>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</si>
  <si>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</si>
  <si>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</si>
  <si>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</si>
  <si>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</si>
  <si>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</si>
  <si>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</si>
  <si>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</si>
  <si>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</si>
  <si>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</si>
  <si>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</si>
  <si>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</si>
  <si>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</si>
  <si>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</si>
  <si>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</si>
  <si>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</si>
  <si>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</si>
  <si>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</si>
  <si>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</si>
  <si>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</si>
  <si>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</si>
  <si>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</si>
  <si>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</si>
  <si>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</si>
  <si>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</si>
  <si>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</si>
  <si>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</si>
  <si>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</si>
  <si>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</si>
  <si>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</si>
  <si>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</si>
  <si>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</si>
  <si>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</si>
  <si>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</si>
  <si>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</si>
  <si>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</si>
  <si>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</si>
  <si>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</si>
  <si>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</si>
  <si>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</si>
  <si>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</si>
  <si>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</si>
  <si>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</si>
  <si>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</si>
  <si>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</si>
  <si>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</si>
  <si>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</si>
  <si>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</si>
  <si>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</si>
  <si>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</si>
  <si>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</si>
  <si>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</si>
  <si>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</si>
  <si>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</si>
  <si>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</si>
  <si>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</si>
  <si>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</si>
  <si>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</si>
  <si>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</si>
  <si>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</si>
  <si>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</si>
  <si>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</si>
  <si>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</si>
  <si>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</si>
  <si>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</si>
  <si>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</si>
  <si>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</si>
  <si>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</si>
  <si>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</si>
  <si>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</si>
  <si>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</si>
  <si>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</si>
  <si>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</si>
  <si>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</si>
  <si>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</si>
  <si>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</si>
  <si>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</si>
  <si>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</si>
  <si>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</si>
  <si>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</si>
  <si>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</si>
  <si>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</si>
  <si>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</si>
  <si>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</si>
  <si>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</si>
  <si>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</si>
  <si>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</si>
  <si>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</si>
  <si>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</si>
  <si>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</si>
  <si>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</si>
  <si>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</si>
  <si>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</si>
  <si>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</si>
  <si>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</si>
  <si>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</si>
  <si>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</si>
  <si>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</si>
  <si>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</si>
  <si>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</si>
  <si>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</si>
  <si>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</si>
  <si>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</si>
  <si>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</si>
  <si>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</si>
  <si>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</si>
  <si>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</si>
  <si>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</si>
  <si>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</si>
  <si>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</si>
  <si>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</si>
  <si>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</si>
  <si>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</si>
  <si>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</si>
  <si>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</si>
  <si>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</si>
  <si>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</si>
  <si>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</si>
  <si>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</si>
  <si>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</si>
  <si>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</si>
  <si>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</si>
  <si>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</si>
  <si>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</si>
  <si>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</si>
  <si>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</si>
  <si>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</si>
  <si>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</si>
  <si>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</si>
  <si>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</si>
  <si>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</si>
  <si>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</si>
  <si>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</si>
  <si>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</si>
  <si>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</si>
  <si>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</si>
  <si>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</si>
  <si>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</si>
  <si>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</si>
  <si>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</si>
  <si>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</si>
  <si>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</si>
  <si>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</si>
  <si>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</si>
  <si>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</si>
  <si>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</si>
  <si>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</si>
  <si>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</si>
  <si>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</si>
  <si>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</si>
  <si>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</si>
  <si>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</si>
  <si>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</si>
  <si>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</si>
  <si>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</si>
  <si>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</si>
  <si>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</si>
  <si>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</si>
  <si>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modesg_param_sfics_taxon_europeiaprdt_sprdt</t>
  </si>
  <si>
    <t>modesg_param_sfics_taxon_europeiaproperty_purpose_code</t>
  </si>
  <si>
    <t>modesg_param_sfics_taxon_europeiaquality_score</t>
  </si>
  <si>
    <t>modesg_param_sfics_taxon_europeiaref_date</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</si>
  <si>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</si>
  <si>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</si>
  <si>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</si>
  <si>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</si>
  <si>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</si>
  <si>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</si>
  <si>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</si>
  <si>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</si>
  <si>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</si>
  <si>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</si>
  <si>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</si>
  <si>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</si>
  <si>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</si>
  <si>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</si>
  <si>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</si>
  <si>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</si>
  <si>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</si>
  <si>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</si>
  <si>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</si>
  <si>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</si>
  <si>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</si>
  <si>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</si>
  <si>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</si>
  <si>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</si>
  <si>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</si>
  <si>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</si>
  <si>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</si>
  <si>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</si>
  <si>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</si>
  <si>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</si>
  <si>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</si>
  <si>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</si>
  <si>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</si>
  <si>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</si>
  <si>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</si>
  <si>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</si>
  <si>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</si>
  <si>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</si>
  <si>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</si>
  <si>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</si>
  <si>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</si>
  <si>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</si>
  <si>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</si>
  <si>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</si>
  <si>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</si>
  <si>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</si>
  <si>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</si>
  <si>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</si>
  <si>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</si>
  <si>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</si>
  <si>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</si>
  <si>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</si>
  <si>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</si>
  <si>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</si>
  <si>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</si>
  <si>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</si>
  <si>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</si>
  <si>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</si>
  <si>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</si>
  <si>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</si>
  <si>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</si>
  <si>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</si>
  <si>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</si>
  <si>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</si>
  <si>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</si>
  <si>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</si>
  <si>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</si>
  <si>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</si>
  <si>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</si>
  <si>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</si>
  <si>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</si>
  <si>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</si>
  <si>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</si>
  <si>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</si>
  <si>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</si>
  <si>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</si>
  <si>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</si>
  <si>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</si>
  <si>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</si>
  <si>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</si>
  <si>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</si>
  <si>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</si>
  <si>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</si>
  <si>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</si>
  <si>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</si>
  <si>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</si>
  <si>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</si>
  <si>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</si>
  <si>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</si>
  <si>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</si>
  <si>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</si>
  <si>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</si>
  <si>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</si>
  <si>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</si>
  <si>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</si>
  <si>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</si>
  <si>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</si>
  <si>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</si>
  <si>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</si>
  <si>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</si>
  <si>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</si>
  <si>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</si>
  <si>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</si>
  <si>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</si>
  <si>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</si>
  <si>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</si>
  <si>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</si>
  <si>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</si>
  <si>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</si>
  <si>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</si>
  <si>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</si>
  <si>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</si>
  <si>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</si>
  <si>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</si>
  <si>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</si>
  <si>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</si>
  <si>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</si>
  <si>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</si>
  <si>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</si>
  <si>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</si>
  <si>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</si>
  <si>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</si>
  <si>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</si>
  <si>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</si>
  <si>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</si>
  <si>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</si>
  <si>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</si>
  <si>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</si>
  <si>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</si>
  <si>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</si>
  <si>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</si>
  <si>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</si>
  <si>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</si>
  <si>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</si>
  <si>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</si>
  <si>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</si>
  <si>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</si>
  <si>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</si>
  <si>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</si>
  <si>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</si>
  <si>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</si>
  <si>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</si>
  <si>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</si>
  <si>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</si>
  <si>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</si>
  <si>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</si>
  <si>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</si>
  <si>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</si>
  <si>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</si>
  <si>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</si>
  <si>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</si>
  <si>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</si>
  <si>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</si>
  <si>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</si>
  <si>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</si>
  <si>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</si>
  <si>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</si>
  <si>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</si>
  <si>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</si>
  <si>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</si>
  <si>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</si>
  <si>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</si>
  <si>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</si>
  <si>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</si>
  <si>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</si>
  <si>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</si>
  <si>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</si>
  <si>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</si>
  <si>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</si>
  <si>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</si>
  <si>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</si>
  <si>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</si>
  <si>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</si>
  <si>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</si>
  <si>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</si>
  <si>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</si>
  <si>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</si>
  <si>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RC</t>
  </si>
  <si>
    <r>
      <t>P</t>
    </r>
    <r>
      <rPr>
        <i/>
        <sz val="10"/>
        <color theme="1"/>
        <rFont val="Santander Text"/>
        <family val="2"/>
      </rPr>
      <t>ackage 2</t>
    </r>
  </si>
  <si>
    <t>JB/RC</t>
  </si>
  <si>
    <t>JB - Falar com SB</t>
  </si>
  <si>
    <t>Voltar a ver</t>
  </si>
  <si>
    <t>Novo Projeto - Em especificação</t>
  </si>
  <si>
    <t>Novo projeto - Para testar</t>
  </si>
  <si>
    <t>Projeto Anterior - Especificação</t>
  </si>
  <si>
    <t>Input Project Finance</t>
  </si>
  <si>
    <t>Input Corporação Zip Code</t>
  </si>
  <si>
    <t>2.2 Em especificação</t>
  </si>
  <si>
    <t xml:space="preserve">6. Em implementação </t>
  </si>
  <si>
    <t>Plano anterior</t>
  </si>
  <si>
    <t>Novo Plano</t>
  </si>
  <si>
    <t>Plano anterior (sem visibilidade no PdS enviado 17/01)</t>
  </si>
  <si>
    <t>6. Em implementação</t>
  </si>
  <si>
    <t>LT Âmbito</t>
  </si>
  <si>
    <t>Total</t>
  </si>
  <si>
    <t xml:space="preserve">1. Modelo de Bens Imóveis </t>
  </si>
  <si>
    <t>2. Modelo Verde</t>
  </si>
  <si>
    <t>3. Loan Tape | Pilar III</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</si>
  <si>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</si>
  <si>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</si>
  <si>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</si>
  <si>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</si>
  <si>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</si>
  <si>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</si>
  <si>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</si>
  <si>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</si>
  <si>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</si>
  <si>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</si>
  <si>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</si>
  <si>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</si>
  <si>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</si>
  <si>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</si>
  <si>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</si>
  <si>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</si>
  <si>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</si>
  <si>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</si>
  <si>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</si>
  <si>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Re- Especif.</t>
  </si>
  <si>
    <t>27/jan</t>
  </si>
  <si>
    <t>4/fev</t>
  </si>
  <si>
    <t>5/fev</t>
  </si>
  <si>
    <t>11/fev</t>
  </si>
  <si>
    <t>17/fev</t>
  </si>
  <si>
    <t>Package X</t>
  </si>
  <si>
    <t>Novos Requisitos FY25</t>
  </si>
  <si>
    <t>RequisItos FY24</t>
  </si>
  <si>
    <t>Entregas Semana Anterior</t>
  </si>
  <si>
    <t>Entregas Semana Atual</t>
  </si>
  <si>
    <t>Entregas Semana Seguinte</t>
  </si>
  <si>
    <t>Novos Requisitos FY25 - Âmbito ESTR e (ou) LF</t>
  </si>
  <si>
    <t>Novos Requisitos FY25 - Outros</t>
  </si>
  <si>
    <t>Plano anterior (mas na proposta)</t>
  </si>
  <si>
    <t>Observações - Testes sem visibilidade</t>
  </si>
  <si>
    <t>APAGAR</t>
  </si>
  <si>
    <t>Requisitos FY24</t>
  </si>
  <si>
    <t>Req. FY25</t>
  </si>
  <si>
    <t>Req. FY25 (atualiz.)</t>
  </si>
  <si>
    <t>Dt. Prev.</t>
  </si>
  <si>
    <t xml:space="preserve">Total </t>
  </si>
  <si>
    <t>All</t>
  </si>
  <si>
    <t>Count of Status Atual</t>
  </si>
  <si>
    <t>Novos Requisitos FY25:</t>
  </si>
  <si>
    <t>Requisitos FY24:</t>
  </si>
  <si>
    <t>LT Âmbito- Aux</t>
  </si>
  <si>
    <t>modesg_param_sfics_taxon_europeiadominio</t>
  </si>
  <si>
    <t>modesg_param_sfics_taxon_europeianome_purpose_esg</t>
  </si>
  <si>
    <t>modesg_param_sfics_taxon_europeiaordem</t>
  </si>
  <si>
    <t>Plano anterior (alteração nome)</t>
  </si>
  <si>
    <t>ENERGY_CERTIFICATE_EST_INPUTACTUAL_VALUE_IND</t>
  </si>
  <si>
    <t>ENERGY_CERTIFICATE_EST_INPUTDATA_PROVIDER</t>
  </si>
  <si>
    <t>Projeto (Aux JB)</t>
  </si>
  <si>
    <t>GD, P3 e GF</t>
  </si>
  <si>
    <t>P3</t>
  </si>
  <si>
    <t>ESTR, P3 e LF</t>
  </si>
  <si>
    <t>ESTR, ESG e LF</t>
  </si>
  <si>
    <t>ESTR, P3, GF e LF</t>
  </si>
  <si>
    <t>ESTR, GD, ESG e LF</t>
  </si>
  <si>
    <t>ESTR, GD, GF, ESG e LF</t>
  </si>
  <si>
    <t>ESTR, GD, P3, GF e LF</t>
  </si>
  <si>
    <t>ESTR e P3</t>
  </si>
  <si>
    <t>ESTR e ESG</t>
  </si>
  <si>
    <t>ESTR, GD, P3 e LF</t>
  </si>
  <si>
    <t>P3 e ESG</t>
  </si>
  <si>
    <t>P3, GF e ESG</t>
  </si>
  <si>
    <t>GD e P3</t>
  </si>
  <si>
    <t>ESG</t>
  </si>
  <si>
    <t>ESTR, P3 e ESG</t>
  </si>
  <si>
    <t>GD, P3 e ESG</t>
  </si>
  <si>
    <t>Package x</t>
  </si>
  <si>
    <t>Package 4 --&gt; Não está especificado no LT - não conseguimos testar</t>
  </si>
  <si>
    <t>net_floor_area</t>
  </si>
  <si>
    <t>modesg_param_sfics_taxon_europeianet_floor_area</t>
  </si>
  <si>
    <t>cempcta</t>
  </si>
  <si>
    <t>modesg_param_sfics_taxon_europeiaambito</t>
  </si>
  <si>
    <t>modesg_param_sfics_taxon_europeiacempcta</t>
  </si>
  <si>
    <t>modesg_param_sfics_taxon_europeiackbalcao</t>
  </si>
  <si>
    <t>modesg_param_sfics_taxon_europeiacknumcta</t>
  </si>
  <si>
    <t>nivel</t>
  </si>
  <si>
    <t>modesg_param_sfics_taxon_europeianivel</t>
  </si>
  <si>
    <t>cgarante_bem</t>
  </si>
  <si>
    <t>modesg_param_sfics_taxon_europeiacgarante_bem</t>
  </si>
  <si>
    <t>primary_energy_req_value</t>
  </si>
  <si>
    <t>modesg_param_sfics_taxon_europeiaprimary_energy_req_value</t>
  </si>
  <si>
    <t>Fase</t>
  </si>
  <si>
    <t>Fase I</t>
  </si>
  <si>
    <t>grupo_regra</t>
  </si>
  <si>
    <t>sst_indctr_aux</t>
  </si>
  <si>
    <t>modesg_param_sfics_taxon_europeiagrupo_regra</t>
  </si>
  <si>
    <t>modesg_param_sfics_taxon_europeiasst_indctr_aux</t>
  </si>
  <si>
    <t>modesg_out_sfics_taxon_europeiasstnbl_indctr</t>
  </si>
  <si>
    <t>ESTR &amp; P3</t>
  </si>
  <si>
    <t>modesg_out_sfics_taxon_europeianivel</t>
  </si>
  <si>
    <t>OK (11 campos)</t>
  </si>
  <si>
    <t>OK (6 campos)</t>
  </si>
  <si>
    <t>Package 6</t>
  </si>
  <si>
    <t>PROPERTY_ENERGY_CERTIFICATEPRMRY_ENRGY_DMND_RFRNC_VL</t>
  </si>
  <si>
    <t>Plano anterior (campo adicionado 21/02)</t>
  </si>
  <si>
    <t>Em teste</t>
  </si>
  <si>
    <t>Em Teste</t>
  </si>
  <si>
    <t xml:space="preserve">Em Implementação </t>
  </si>
  <si>
    <t>Em Implementação</t>
  </si>
  <si>
    <r>
      <rPr>
        <b/>
        <sz val="11"/>
        <rFont val="Santander Text"/>
        <family val="2"/>
      </rPr>
      <t xml:space="preserve">1. Gloval:
</t>
    </r>
    <r>
      <rPr>
        <sz val="11"/>
        <rFont val="Santander Text"/>
        <family val="2"/>
      </rPr>
      <t xml:space="preserve">- Início dos testes dos 44 campos da tabela de </t>
    </r>
    <r>
      <rPr>
        <i/>
        <sz val="11"/>
        <rFont val="Santander Text"/>
        <family val="2"/>
      </rPr>
      <t>input</t>
    </r>
    <r>
      <rPr>
        <sz val="11"/>
        <rFont val="Santander Text"/>
        <family val="2"/>
      </rPr>
      <t xml:space="preserve"> da Gloval. Denote-se que os acessos foram disponibilizadas no passada quarta feira (dia 19/02) e neste sentido iremos concluir os testes na próxima segunda feira (24/02). 
- Adicionalmente, após a conclusão do processo de importação das tabelas de adjudicados no âmbito do projeto dos satélites será necessário adaptar o </t>
    </r>
    <r>
      <rPr>
        <i/>
        <sz val="11"/>
        <rFont val="Santander Text"/>
        <family val="2"/>
      </rPr>
      <t>input</t>
    </r>
    <r>
      <rPr>
        <sz val="11"/>
        <rFont val="Santander Text"/>
        <family val="2"/>
      </rPr>
      <t xml:space="preserve"> carregado no </t>
    </r>
    <r>
      <rPr>
        <i/>
        <sz val="11"/>
        <rFont val="Santander Text"/>
        <family val="2"/>
      </rPr>
      <t>front end</t>
    </r>
    <r>
      <rPr>
        <sz val="11"/>
        <rFont val="Santander Text"/>
        <family val="2"/>
      </rPr>
      <t xml:space="preserve"> de modo a garantir a coerência das chaves internas do banco de imóveis adjudicados.
</t>
    </r>
    <r>
      <rPr>
        <b/>
        <sz val="11"/>
        <rFont val="Santander Text"/>
        <family val="2"/>
      </rPr>
      <t>2. Tabela de certificados:</t>
    </r>
    <r>
      <rPr>
        <sz val="11"/>
        <rFont val="Santander Text"/>
        <family val="2"/>
      </rPr>
      <t xml:space="preserve">
- Em virtude da disponibilização dos acessos, serão concluídos os testes de dois campos na próxima segunda feira (24/02).
- Existem 2 campos em Validação de EF devido ao tema dos certificados. Aguardamos resposta da Corporação.
- Foi adicionado 1 novo campo à tabela relativo ao denominador do rácio do NtC. Denote-se que a sua especificação não se encontra totalmente finalizada uma vez que a equipa de Gestão de Empreendimentos ainda não tem informação do filtro necessário para obtenção do campo. No entanto, este campo já se encontra implementado por IT com a parte da especificação já fechada.
 </t>
    </r>
  </si>
  <si>
    <r>
      <rPr>
        <b/>
        <sz val="11"/>
        <color theme="1"/>
        <rFont val="Santander Text"/>
        <family val="2"/>
      </rPr>
      <t xml:space="preserve">1. Tabela de </t>
    </r>
    <r>
      <rPr>
        <b/>
        <i/>
        <sz val="11"/>
        <color theme="1"/>
        <rFont val="Santander Text"/>
        <family val="2"/>
      </rPr>
      <t xml:space="preserve">Input </t>
    </r>
    <r>
      <rPr>
        <b/>
        <sz val="11"/>
        <color theme="1"/>
        <rFont val="Santander Text"/>
        <family val="2"/>
      </rPr>
      <t>Marcação Verde:</t>
    </r>
    <r>
      <rPr>
        <sz val="11"/>
        <color theme="1"/>
        <rFont val="Santander Text"/>
        <family val="2"/>
      </rPr>
      <t xml:space="preserve">
- Foram adicionados 2 campos à tabela input. 
</t>
    </r>
    <r>
      <rPr>
        <b/>
        <sz val="11"/>
        <color theme="1"/>
        <rFont val="Santander Text"/>
        <family val="2"/>
      </rPr>
      <t xml:space="preserve">
2. Tabela de Output Marcação Verde:
</t>
    </r>
    <r>
      <rPr>
        <sz val="11"/>
        <color theme="1"/>
        <rFont val="Santander Text"/>
        <family val="2"/>
      </rPr>
      <t xml:space="preserve">- Foi concluída e partilhada a especificação de todos campos da tabela de Output de marcação verde. Os mesmos encontram-se agora em implementação pela equipa de Tecnologia.
- Foram adicionados 2 campos à tabela de output. 
</t>
    </r>
    <r>
      <rPr>
        <b/>
        <sz val="11"/>
        <color theme="1"/>
        <rFont val="Santander Text"/>
        <family val="2"/>
      </rPr>
      <t xml:space="preserve">
Adicionalmente, foram disponibilizados pela equipa de IT para testes:</t>
    </r>
    <r>
      <rPr>
        <sz val="11"/>
        <color theme="1"/>
        <rFont val="Santander Text"/>
        <family val="2"/>
      </rPr>
      <t xml:space="preserve">
- 5 campos relativos ao </t>
    </r>
    <r>
      <rPr>
        <i/>
        <sz val="11"/>
        <color theme="1"/>
        <rFont val="Santander Text"/>
        <family val="2"/>
      </rPr>
      <t>Input</t>
    </r>
    <r>
      <rPr>
        <sz val="11"/>
        <color theme="1"/>
        <rFont val="Santander Text"/>
        <family val="2"/>
      </rPr>
      <t xml:space="preserve"> Corporativo de Risco Físico por Zip Code
- 4 campos relativos ao risco físico agudo/crónico dos bens imóveis 
</t>
    </r>
  </si>
  <si>
    <t>PROCESSSOURCE_CODE</t>
  </si>
  <si>
    <t>GPS_LATITUDE</t>
  </si>
  <si>
    <t>GPS_LONGITUDE</t>
  </si>
  <si>
    <t>PROPERTY_ENERGY_CERTIFICATEGPS_LATITUDE</t>
  </si>
  <si>
    <t>PROPERTY_ENERGY_CERTIFICATEGPS_LONGITUDE</t>
  </si>
  <si>
    <t>PROPERTY_ENERGY_CERTIFICATEQUALITY_SCORE</t>
  </si>
  <si>
    <t>modesg_out_empr_info_nfincapital_proprio</t>
  </si>
  <si>
    <t>modesg_out_empr_info_nfindivida_total</t>
  </si>
  <si>
    <t>Sem teste</t>
  </si>
  <si>
    <t>Package 9</t>
  </si>
  <si>
    <t>Package 11 (23 abril)</t>
  </si>
  <si>
    <t>Package 12 (30 maio)</t>
  </si>
  <si>
    <t>Package 23 abril</t>
  </si>
  <si>
    <t>package x (31 de março)</t>
  </si>
  <si>
    <t>package 3</t>
  </si>
  <si>
    <r>
      <rPr>
        <b/>
        <sz val="11"/>
        <color theme="1"/>
        <rFont val="Santander Text"/>
        <family val="2"/>
      </rPr>
      <t>Resumo semana atual:</t>
    </r>
    <r>
      <rPr>
        <sz val="11"/>
        <color theme="1"/>
        <rFont val="Santander Text"/>
        <family val="2"/>
      </rPr>
      <t xml:space="preserve">
</t>
    </r>
    <r>
      <rPr>
        <b/>
        <sz val="11"/>
        <color theme="1"/>
        <rFont val="Santander Text"/>
        <family val="2"/>
      </rPr>
      <t xml:space="preserve">  
1. Modelo de Bens Imóveis:</t>
    </r>
    <r>
      <rPr>
        <sz val="11"/>
        <color theme="1"/>
        <rFont val="Santander Text"/>
        <family val="2"/>
      </rPr>
      <t xml:space="preserve"> Foram disponibilizados os acessos ao </t>
    </r>
    <r>
      <rPr>
        <i/>
        <sz val="11"/>
        <color theme="1"/>
        <rFont val="Santander Text"/>
        <family val="2"/>
      </rPr>
      <t>front end</t>
    </r>
    <r>
      <rPr>
        <sz val="11"/>
        <color theme="1"/>
        <rFont val="Santander Text"/>
        <family val="2"/>
      </rPr>
      <t xml:space="preserve"> na passada quarta feira (12/02) . Em virtude disto, serão concluídos os testes à tabela de</t>
    </r>
    <r>
      <rPr>
        <i/>
        <sz val="11"/>
        <color theme="1"/>
        <rFont val="Santander Text"/>
        <family val="2"/>
      </rPr>
      <t xml:space="preserve"> input</t>
    </r>
    <r>
      <rPr>
        <sz val="11"/>
        <color theme="1"/>
        <rFont val="Santander Text"/>
        <family val="2"/>
      </rPr>
      <t xml:space="preserve"> da Gloval e de 2 campos da tabela de output de certificados na próxima segunda feira (24/02). Adicionalmente, foi adicionado 1 novo campo à tabela de certificados (denominador do rácio Ntc) e 2 campos encontram-se em Validação EF (tema certificados).
</t>
    </r>
    <r>
      <rPr>
        <b/>
        <sz val="11"/>
        <color theme="1"/>
        <rFont val="Santander Text"/>
        <family val="2"/>
      </rPr>
      <t>2. Modelo Verde:</t>
    </r>
    <r>
      <rPr>
        <sz val="11"/>
        <color theme="1"/>
        <rFont val="Santander Text"/>
        <family val="2"/>
      </rPr>
      <t xml:space="preserve"> Conforme planeado, foi concluída e partilhada a especificação dos campos da tabela de Output de marcação verde, à exceção de 1 campo.
</t>
    </r>
    <r>
      <rPr>
        <b/>
        <sz val="11"/>
        <color theme="1"/>
        <rFont val="Santander Text"/>
        <family val="2"/>
      </rPr>
      <t>3. Loan Tape:</t>
    </r>
    <r>
      <rPr>
        <sz val="11"/>
        <color theme="1"/>
        <rFont val="Santander Text"/>
        <family val="2"/>
      </rPr>
      <t xml:space="preserve"> 
</t>
    </r>
    <r>
      <rPr>
        <b/>
        <sz val="11"/>
        <color theme="1"/>
        <rFont val="Santander Text"/>
        <family val="2"/>
      </rPr>
      <t>FY24</t>
    </r>
    <r>
      <rPr>
        <sz val="11"/>
        <color theme="1"/>
        <rFont val="Santander Text"/>
        <family val="2"/>
      </rPr>
      <t xml:space="preserve">: Foi partilhada a especificação de 1 dos dois campos planeados;
</t>
    </r>
    <r>
      <rPr>
        <b/>
        <sz val="11"/>
        <color theme="1"/>
        <rFont val="Santander Text"/>
        <family val="2"/>
      </rPr>
      <t>FY25</t>
    </r>
    <r>
      <rPr>
        <sz val="11"/>
        <color theme="1"/>
        <rFont val="Santander Text"/>
        <family val="2"/>
      </rPr>
      <t xml:space="preserve">: Foram concluídas e partilhadas com a equipa de Tecnologia as especificações de 6 dos 7 campos referentes ao packages 5. Dos campos do package 4 da semana anterior, foi concluído 1 campo.
Deste modo, ficam a faltar fechas as especificações dos seguintes campos:
- 3 campos do Package 4 [tema certificados]
- 1 campo do Package 5 [pendente Corporação]
- 1 campo de FY24 [sstnbl_indctr]
</t>
    </r>
    <r>
      <rPr>
        <b/>
        <sz val="11"/>
        <color theme="1"/>
        <rFont val="Santander Text"/>
        <family val="2"/>
      </rPr>
      <t>Semana Seguinte:</t>
    </r>
    <r>
      <rPr>
        <sz val="11"/>
        <color theme="1"/>
        <rFont val="Santander Text"/>
        <family val="2"/>
      </rPr>
      <t xml:space="preserve">
</t>
    </r>
    <r>
      <rPr>
        <b/>
        <sz val="11"/>
        <color theme="1"/>
        <rFont val="Santander Text"/>
        <family val="2"/>
      </rPr>
      <t>1. Modelo Bens Imóveis</t>
    </r>
    <r>
      <rPr>
        <sz val="11"/>
        <color theme="1"/>
        <rFont val="Santander Text"/>
        <family val="2"/>
      </rPr>
      <t xml:space="preserve">
</t>
    </r>
    <r>
      <rPr>
        <b/>
        <sz val="11"/>
        <color theme="1"/>
        <rFont val="Santander Text"/>
        <family val="2"/>
      </rPr>
      <t>- FY24:</t>
    </r>
    <r>
      <rPr>
        <sz val="11"/>
        <color theme="1"/>
        <rFont val="Santander Text"/>
        <family val="2"/>
      </rPr>
      <t xml:space="preserve"> Testar todos os campos da tabela de input da Gloval e tabela de certificados (2 campos).
-</t>
    </r>
    <r>
      <rPr>
        <b/>
        <sz val="11"/>
        <color theme="1"/>
        <rFont val="Santander Text"/>
        <family val="2"/>
      </rPr>
      <t xml:space="preserve"> FY24: </t>
    </r>
    <r>
      <rPr>
        <sz val="11"/>
        <color theme="1"/>
        <rFont val="Santander Text"/>
        <family val="2"/>
      </rPr>
      <t xml:space="preserve">Concluir as especificações de 2 campos de certificados, concluindo assim as especificações do Modelo de Bens Imóveis.
</t>
    </r>
    <r>
      <rPr>
        <b/>
        <sz val="11"/>
        <color theme="1"/>
        <rFont val="Santander Text"/>
        <family val="2"/>
      </rPr>
      <t>2. Modelo Verde</t>
    </r>
    <r>
      <rPr>
        <sz val="11"/>
        <color theme="1"/>
        <rFont val="Santander Text"/>
        <family val="2"/>
      </rPr>
      <t xml:space="preserve">
- </t>
    </r>
    <r>
      <rPr>
        <b/>
        <sz val="11"/>
        <color theme="1"/>
        <rFont val="Santander Text"/>
        <family val="2"/>
      </rPr>
      <t>FY24</t>
    </r>
    <r>
      <rPr>
        <sz val="11"/>
        <color theme="1"/>
        <rFont val="Santander Text"/>
        <family val="2"/>
      </rPr>
      <t xml:space="preserve">: Concluir a specificação do campo sstnbl_indctr.
</t>
    </r>
    <r>
      <rPr>
        <b/>
        <sz val="11"/>
        <color theme="1"/>
        <rFont val="Santander Text"/>
        <family val="2"/>
      </rPr>
      <t>- FY24:</t>
    </r>
    <r>
      <rPr>
        <sz val="11"/>
        <color theme="1"/>
        <rFont val="Santander Text"/>
        <family val="2"/>
      </rPr>
      <t xml:space="preserve"> Na próxima semana está previsto testar 17 campos [</t>
    </r>
    <r>
      <rPr>
        <i/>
        <sz val="11"/>
        <color theme="1"/>
        <rFont val="Santander Text"/>
        <family val="2"/>
      </rPr>
      <t>Input</t>
    </r>
    <r>
      <rPr>
        <sz val="11"/>
        <color theme="1"/>
        <rFont val="Santander Text"/>
        <family val="2"/>
      </rPr>
      <t xml:space="preserve"> Risco Físico Zip Code, Emissões Clientes e Risco Físico Bens Imóveis].
</t>
    </r>
    <r>
      <rPr>
        <b/>
        <sz val="11"/>
        <color theme="1"/>
        <rFont val="Santander Text"/>
        <family val="2"/>
      </rPr>
      <t>3. Loan Tape</t>
    </r>
    <r>
      <rPr>
        <sz val="11"/>
        <color theme="1"/>
        <rFont val="Santander Text"/>
        <family val="2"/>
      </rPr>
      <t xml:space="preserve">
- </t>
    </r>
    <r>
      <rPr>
        <b/>
        <sz val="11"/>
        <color theme="1"/>
        <rFont val="Santander Text"/>
        <family val="2"/>
      </rPr>
      <t>FY24 e FY25</t>
    </r>
    <r>
      <rPr>
        <sz val="11"/>
        <color theme="1"/>
        <rFont val="Santander Text"/>
        <family val="2"/>
      </rPr>
      <t xml:space="preserve">: Na próxima semana, está previsto fechar a especificação de 4 campos do FY25 e 6 campos do FY24 [campos de juros e comissões,sstnbl_indctr e 2 campos de certificados] .
- </t>
    </r>
    <r>
      <rPr>
        <b/>
        <sz val="11"/>
        <color theme="1"/>
        <rFont val="Santander Text"/>
        <family val="2"/>
      </rPr>
      <t xml:space="preserve">FY24: </t>
    </r>
    <r>
      <rPr>
        <sz val="11"/>
        <color theme="1"/>
        <rFont val="Santander Text"/>
        <family val="2"/>
      </rPr>
      <t>Na próxima semana está previsto testar 2 campos da tabela de Garantias.</t>
    </r>
  </si>
  <si>
    <r>
      <t xml:space="preserve">1. Foram concluídas e partilhadas as especificações de 6 dos 7 campos planeados do Package 5 (FY25):
</t>
    </r>
    <r>
      <rPr>
        <sz val="11"/>
        <color theme="1"/>
        <rFont val="Santander Text"/>
        <family val="2"/>
      </rPr>
      <t xml:space="preserve">- 1 campos da tabela de contratos
- 1 campo da tabela de clientes
- 1 campo da tabela de Garantias
- 1 campo da tabela de relação Contrato-Garantia
- 2 campos da tabela de relação Contrato-Atividade
O campo que não foi concluído está pendente de resposta da corporação.
</t>
    </r>
    <r>
      <rPr>
        <b/>
        <sz val="11"/>
        <color theme="1"/>
        <rFont val="Santander Text"/>
        <family val="2"/>
      </rPr>
      <t xml:space="preserve">2. </t>
    </r>
    <r>
      <rPr>
        <sz val="11"/>
        <color theme="1"/>
        <rFont val="Santander Text"/>
        <family val="2"/>
      </rPr>
      <t xml:space="preserve">Adicionalmente, foi concluída e partilhada a especificação de 1 dos 2 campos de FY24. O outro campo será fechado durante a próxima semana.
</t>
    </r>
    <r>
      <rPr>
        <b/>
        <sz val="11"/>
        <color theme="4"/>
        <rFont val="Santander Text"/>
        <family val="2"/>
      </rPr>
      <t xml:space="preserve">
</t>
    </r>
    <r>
      <rPr>
        <b/>
        <sz val="11"/>
        <color theme="1"/>
        <rFont val="Santander Text"/>
        <family val="2"/>
      </rPr>
      <t xml:space="preserve">3. </t>
    </r>
    <r>
      <rPr>
        <sz val="11"/>
        <color theme="1"/>
        <rFont val="Santander Text"/>
        <family val="2"/>
      </rPr>
      <t>Adicionalmente, existem ainda 3 campos do Package 4 pendentes, relativos ao tema dos certificados.</t>
    </r>
  </si>
  <si>
    <r>
      <rPr>
        <b/>
        <sz val="14"/>
        <color theme="4"/>
        <rFont val="Santander Text"/>
        <family val="2"/>
      </rPr>
      <t xml:space="preserve">1. </t>
    </r>
    <r>
      <rPr>
        <b/>
        <u/>
        <sz val="14"/>
        <color theme="4"/>
        <rFont val="Santander Text"/>
        <family val="2"/>
      </rPr>
      <t>Sumário Executivo</t>
    </r>
    <r>
      <rPr>
        <b/>
        <sz val="14"/>
        <color theme="4"/>
        <rFont val="Santander Text"/>
        <family val="2"/>
      </rPr>
      <t xml:space="preserve"> |21 de fevereiro a 28 de fevereiro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</si>
</sst>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85">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0"/>
      <color theme="4"/>
      <name val="Santander Text"/>
      <family val="2"/>
    </font>
    <font>
      <b/>
      <sz val="10"/>
      <color rgb="FFFF0000"/>
      <name val="Santander Text"/>
      <family val="2"/>
    </font>
    <font>
      <sz val="10"/>
      <color theme="1"/>
      <name val="Santander Text"/>
      <family val="2"/>
    </font>
    <font>
      <sz val="10"/>
      <color theme="1"/>
      <name val="Santander Text"/>
      <family val="2"/>
    </font>
    <font>
      <sz val="11"/>
      <color theme="1"/>
      <name val="Santander Text"/>
      <family val="2"/>
    </font>
    <font>
      <sz val="11"/>
      <color theme="2"/>
      <name val="Santander Text"/>
      <family val="2"/>
    </font>
    <font>
      <sz val="11"/>
      <name val="Santander Text"/>
      <family val="2"/>
    </font>
    <font>
      <i/>
      <sz val="10"/>
      <color theme="1"/>
      <name val="Santander Text"/>
      <family val="2"/>
    </font>
    <font>
      <b/>
      <sz val="11"/>
      <color theme="0"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u/>
      <sz val="13"/>
      <color theme="1"/>
      <name val="Santander Text"/>
      <family val="2"/>
    </font>
    <font>
      <b/>
      <sz val="28"/>
      <color theme="1"/>
      <name val="Santander Text"/>
      <family val="2"/>
    </font>
    <font>
      <b/>
      <sz val="11"/>
      <color theme="0" tint="-0.499984740745262"/>
      <name val="Santander Text"/>
      <family val="2"/>
    </font>
    <font>
      <b/>
      <sz val="11"/>
      <color theme="4"/>
      <name val="Santander Text"/>
      <family val="2"/>
    </font>
    <font>
      <b/>
      <i/>
      <sz val="11.5"/>
      <color theme="1"/>
      <name val="Santander Text"/>
      <family val="2"/>
    </font>
    <font>
      <b/>
      <sz val="11.5"/>
      <color theme="0"/>
      <name val="Arial"/>
      <family val="2"/>
      <scheme val="minor"/>
    </font>
    <font>
      <i/>
      <sz val="11"/>
      <name val="Santander Text"/>
      <family val="2"/>
    </font>
    <font>
      <sz val="11"/>
      <color rgb="FFFFC000"/>
      <name val="Santander Text"/>
      <family val="2"/>
    </font>
    <font>
      <b/>
      <sz val="11"/>
      <color rgb="FFFFC000"/>
      <name val="Santander Text"/>
      <family val="2"/>
    </font>
    <font>
      <b/>
      <sz val="11"/>
      <color rgb="FFFF0000"/>
      <name val="Santander Text"/>
      <family val="2"/>
    </font>
    <font>
      <b/>
      <sz val="11"/>
      <color theme="9"/>
      <name val="Santander Text"/>
      <family val="2"/>
    </font>
  </fonts>
  <fills count="3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00B050"/>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552">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5" fillId="0" borderId="0" xfId="0" applyFont="1"/>
    <xf numFmtId="0" fontId="43" fillId="0" borderId="0" xfId="0" applyFont="1"/>
    <xf numFmtId="0" fontId="46"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4" fillId="0" borderId="0" xfId="0" applyFont="1"/>
    <xf numFmtId="0" fontId="0" fillId="0" borderId="30" xfId="0" applyBorder="1"/>
    <xf numFmtId="0" fontId="15" fillId="0" borderId="31" xfId="0" applyFont="1" applyBorder="1" applyAlignment="1">
      <alignment vertical="center"/>
    </xf>
    <xf numFmtId="0" fontId="2" fillId="0" borderId="30" xfId="0" applyFont="1" applyBorder="1"/>
    <xf numFmtId="0" fontId="2" fillId="3" borderId="30" xfId="0" applyFont="1" applyFill="1" applyBorder="1" applyAlignment="1">
      <alignment horizontal="left" vertical="center" wrapText="1"/>
    </xf>
    <xf numFmtId="0" fontId="50" fillId="0" borderId="0" xfId="0" applyFont="1"/>
    <xf numFmtId="0" fontId="0" fillId="0" borderId="0" xfId="0" applyAlignment="1">
      <alignment horizontal="left" indent="2"/>
    </xf>
    <xf numFmtId="0" fontId="51"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3" fillId="0" borderId="0" xfId="0" applyFont="1"/>
    <xf numFmtId="0" fontId="28" fillId="0" borderId="12" xfId="0" quotePrefix="1" applyFont="1" applyBorder="1" applyAlignment="1">
      <alignment vertical="center" wrapText="1"/>
    </xf>
    <xf numFmtId="14" fontId="54" fillId="0" borderId="25" xfId="0" applyNumberFormat="1" applyFont="1" applyBorder="1"/>
    <xf numFmtId="14" fontId="54" fillId="0" borderId="32" xfId="0" applyNumberFormat="1" applyFont="1" applyBorder="1"/>
    <xf numFmtId="14" fontId="54"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3" xfId="0" applyFont="1" applyFill="1" applyBorder="1" applyAlignment="1">
      <alignment horizontal="left" vertical="center"/>
    </xf>
    <xf numFmtId="0" fontId="38" fillId="0" borderId="25" xfId="0" applyFont="1" applyBorder="1"/>
    <xf numFmtId="16" fontId="2" fillId="0" borderId="1" xfId="0" quotePrefix="1" applyNumberFormat="1" applyFont="1" applyBorder="1" applyAlignment="1">
      <alignment vertical="center"/>
    </xf>
    <xf numFmtId="0" fontId="56"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7" fillId="16" borderId="25" xfId="0" applyFont="1" applyFill="1" applyBorder="1" applyAlignment="1">
      <alignment vertical="center"/>
    </xf>
    <xf numFmtId="0" fontId="57"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58" fillId="0" borderId="25" xfId="0" applyFont="1" applyBorder="1" applyAlignment="1">
      <alignment horizontal="left" vertical="center" readingOrder="1"/>
    </xf>
    <xf numFmtId="0" fontId="58"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59" fillId="0" borderId="0" xfId="0" applyFont="1"/>
    <xf numFmtId="0" fontId="2" fillId="3" borderId="4" xfId="0" applyFont="1" applyFill="1" applyBorder="1" applyAlignment="1">
      <alignment vertical="center"/>
    </xf>
    <xf numFmtId="0" fontId="58"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6"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0"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6" fillId="7" borderId="0" xfId="0" applyFont="1" applyFill="1" applyAlignment="1">
      <alignment vertical="center"/>
    </xf>
    <xf numFmtId="0" fontId="56"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6"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6" fillId="3" borderId="0" xfId="0" applyFont="1" applyFill="1" applyAlignment="1">
      <alignment vertical="center"/>
    </xf>
    <xf numFmtId="14" fontId="58"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1" fillId="0" borderId="25" xfId="0" applyNumberFormat="1" applyFont="1" applyBorder="1" applyAlignment="1">
      <alignment vertical="center"/>
    </xf>
    <xf numFmtId="9" fontId="29" fillId="0" borderId="32" xfId="1" applyFont="1" applyFill="1" applyBorder="1" applyAlignment="1">
      <alignment horizontal="center"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58"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10" fillId="0" borderId="14" xfId="0" applyFont="1" applyBorder="1" applyAlignment="1">
      <alignment vertical="center"/>
    </xf>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0" xfId="0" applyFont="1" applyAlignment="1">
      <alignment vertical="center" wrapText="1"/>
    </xf>
    <xf numFmtId="14" fontId="62" fillId="0" borderId="25" xfId="0" applyNumberFormat="1" applyFont="1" applyBorder="1"/>
    <xf numFmtId="14" fontId="62" fillId="0" borderId="32" xfId="0" applyNumberFormat="1" applyFont="1" applyBorder="1"/>
    <xf numFmtId="0" fontId="2" fillId="3" borderId="18" xfId="0" applyFont="1" applyFill="1" applyBorder="1"/>
    <xf numFmtId="0" fontId="2" fillId="3" borderId="20" xfId="0" applyFont="1" applyFill="1" applyBorder="1"/>
    <xf numFmtId="0" fontId="2" fillId="3" borderId="23" xfId="0" applyFont="1" applyFill="1" applyBorder="1"/>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14" fontId="60" fillId="0" borderId="32" xfId="0" applyNumberFormat="1" applyFont="1" applyBorder="1" applyAlignment="1">
      <alignmen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3" borderId="0" xfId="0" applyFont="1" applyFill="1"/>
    <xf numFmtId="0" fontId="2" fillId="3" borderId="21" xfId="0" applyFont="1" applyFill="1" applyBorder="1"/>
    <xf numFmtId="9" fontId="29" fillId="7" borderId="32" xfId="1" applyFont="1" applyFill="1" applyBorder="1" applyAlignment="1">
      <alignment horizontal="center" vertical="center"/>
    </xf>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Alignment="1">
      <alignment vertical="center"/>
    </xf>
    <xf numFmtId="0" fontId="29" fillId="26" borderId="25" xfId="0" applyFont="1" applyFill="1" applyBorder="1" applyAlignment="1">
      <alignment vertical="center"/>
    </xf>
    <xf numFmtId="0" fontId="29" fillId="27" borderId="25" xfId="0" applyFont="1" applyFill="1" applyBorder="1" applyAlignment="1">
      <alignment vertical="center"/>
    </xf>
    <xf numFmtId="9" fontId="28" fillId="27" borderId="32" xfId="1" applyFont="1" applyFill="1" applyBorder="1" applyAlignment="1">
      <alignment horizontal="center" vertical="center"/>
    </xf>
    <xf numFmtId="14" fontId="29" fillId="0" borderId="25" xfId="0" applyNumberFormat="1" applyFont="1" applyBorder="1" applyAlignment="1">
      <alignment horizontal="center" vertical="center"/>
    </xf>
    <xf numFmtId="0" fontId="64" fillId="0" borderId="2" xfId="0" applyFont="1" applyBorder="1" applyAlignment="1">
      <alignment vertical="center"/>
    </xf>
    <xf numFmtId="0" fontId="64" fillId="0" borderId="1" xfId="0" applyFont="1" applyBorder="1" applyAlignment="1">
      <alignment vertical="center"/>
    </xf>
    <xf numFmtId="0" fontId="65" fillId="0" borderId="6" xfId="0" applyFont="1" applyBorder="1" applyAlignment="1">
      <alignment vertical="center"/>
    </xf>
    <xf numFmtId="0" fontId="66" fillId="0" borderId="5" xfId="0" applyFont="1" applyBorder="1" applyAlignment="1">
      <alignment vertical="center"/>
    </xf>
    <xf numFmtId="0" fontId="64" fillId="0" borderId="4" xfId="0" applyFont="1" applyBorder="1" applyAlignment="1">
      <alignment vertical="center"/>
    </xf>
    <xf numFmtId="0" fontId="64" fillId="0" borderId="0" xfId="0" applyFont="1" applyAlignment="1">
      <alignment vertical="center"/>
    </xf>
    <xf numFmtId="16" fontId="66" fillId="0" borderId="1" xfId="0" applyNumberFormat="1" applyFont="1" applyBorder="1" applyAlignment="1">
      <alignment vertical="center"/>
    </xf>
    <xf numFmtId="16" fontId="64" fillId="0" borderId="1" xfId="0" applyNumberFormat="1" applyFont="1" applyBorder="1" applyAlignment="1">
      <alignment vertical="center"/>
    </xf>
    <xf numFmtId="16" fontId="4" fillId="0" borderId="1" xfId="0" applyNumberFormat="1" applyFont="1" applyBorder="1" applyAlignment="1">
      <alignment vertical="center"/>
    </xf>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67" fillId="0" borderId="10" xfId="0" applyFont="1" applyBorder="1"/>
    <xf numFmtId="0" fontId="4" fillId="6" borderId="7" xfId="0" applyFont="1" applyFill="1" applyBorder="1" applyAlignment="1">
      <alignment vertical="center"/>
    </xf>
    <xf numFmtId="0" fontId="29" fillId="0" borderId="10" xfId="0" applyFont="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5" fillId="19" borderId="33" xfId="0" applyFont="1" applyFill="1" applyBorder="1" applyAlignment="1">
      <alignment horizontal="center" vertical="center"/>
    </xf>
    <xf numFmtId="0" fontId="19" fillId="19" borderId="33" xfId="0" applyFont="1" applyFill="1" applyBorder="1" applyAlignment="1">
      <alignment horizontal="center" vertical="center"/>
    </xf>
    <xf numFmtId="0" fontId="20" fillId="15" borderId="33" xfId="0" applyFont="1" applyFill="1" applyBorder="1" applyAlignment="1">
      <alignment horizontal="center" vertical="center"/>
    </xf>
    <xf numFmtId="14" fontId="67" fillId="0" borderId="10" xfId="0" applyNumberFormat="1" applyFont="1" applyBorder="1"/>
    <xf numFmtId="0" fontId="19" fillId="15" borderId="33" xfId="0" applyFont="1" applyFill="1" applyBorder="1" applyAlignment="1">
      <alignment horizontal="center" vertical="center"/>
    </xf>
    <xf numFmtId="0" fontId="68" fillId="0" borderId="0" xfId="0" applyFont="1"/>
    <xf numFmtId="0" fontId="39" fillId="0" borderId="0" xfId="0" applyFont="1" applyAlignment="1">
      <alignment horizontal="center" vertical="center"/>
    </xf>
    <xf numFmtId="14" fontId="29" fillId="0" borderId="32" xfId="0" applyNumberFormat="1" applyFont="1" applyBorder="1"/>
    <xf numFmtId="0" fontId="2" fillId="0" borderId="40" xfId="0" applyFont="1" applyBorder="1"/>
    <xf numFmtId="0" fontId="2" fillId="0" borderId="9" xfId="0" applyFont="1" applyBorder="1"/>
    <xf numFmtId="0" fontId="67" fillId="0" borderId="0" xfId="0" applyFont="1" applyAlignment="1">
      <alignment horizontal="left" indent="2"/>
    </xf>
    <xf numFmtId="0" fontId="67" fillId="0" borderId="0" xfId="0" applyFont="1"/>
    <xf numFmtId="0" fontId="67" fillId="0" borderId="41" xfId="0" applyFont="1" applyBorder="1" applyAlignment="1">
      <alignment horizontal="left" indent="2"/>
    </xf>
    <xf numFmtId="0" fontId="67" fillId="0" borderId="41" xfId="0" applyFont="1" applyBorder="1"/>
    <xf numFmtId="0" fontId="67" fillId="0" borderId="8" xfId="0" applyFont="1" applyBorder="1" applyAlignment="1">
      <alignment horizontal="left" indent="2"/>
    </xf>
    <xf numFmtId="0" fontId="67" fillId="0" borderId="8" xfId="0" applyFont="1" applyBorder="1"/>
    <xf numFmtId="0" fontId="52" fillId="0" borderId="0" xfId="0" applyFont="1"/>
    <xf numFmtId="0" fontId="52" fillId="0" borderId="8" xfId="0" applyFont="1" applyBorder="1"/>
    <xf numFmtId="0" fontId="18" fillId="3" borderId="17" xfId="0" applyFont="1" applyFill="1" applyBorder="1"/>
    <xf numFmtId="0" fontId="18" fillId="3" borderId="22" xfId="0" applyFont="1" applyFill="1" applyBorder="1"/>
    <xf numFmtId="0" fontId="18" fillId="3" borderId="24" xfId="0" applyFont="1" applyFill="1" applyBorder="1"/>
    <xf numFmtId="0" fontId="69" fillId="0" borderId="19" xfId="0" applyFont="1" applyBorder="1" applyAlignment="1">
      <alignment vertical="center" wrapText="1"/>
    </xf>
    <xf numFmtId="0" fontId="2" fillId="3" borderId="44" xfId="0" applyFont="1" applyFill="1" applyBorder="1" applyAlignment="1">
      <alignment horizontal="center"/>
    </xf>
    <xf numFmtId="0" fontId="18" fillId="3" borderId="0" xfId="0" applyFont="1" applyFill="1"/>
    <xf numFmtId="0" fontId="51" fillId="5" borderId="52" xfId="0" applyFont="1" applyFill="1" applyBorder="1" applyAlignment="1">
      <alignment horizontal="left" indent="2"/>
    </xf>
    <xf numFmtId="17" fontId="21" fillId="4" borderId="59" xfId="0" applyNumberFormat="1" applyFont="1" applyFill="1" applyBorder="1" applyAlignment="1">
      <alignment horizontal="center"/>
    </xf>
    <xf numFmtId="17" fontId="21" fillId="29" borderId="59" xfId="0" applyNumberFormat="1" applyFont="1" applyFill="1" applyBorder="1" applyAlignment="1">
      <alignment horizontal="center"/>
    </xf>
    <xf numFmtId="17" fontId="21" fillId="29" borderId="60" xfId="0" applyNumberFormat="1" applyFont="1" applyFill="1" applyBorder="1" applyAlignment="1">
      <alignment horizontal="center"/>
    </xf>
    <xf numFmtId="0" fontId="51" fillId="5" borderId="53" xfId="0" applyFont="1" applyFill="1" applyBorder="1" applyAlignment="1">
      <alignment horizontal="left" indent="2"/>
    </xf>
    <xf numFmtId="0" fontId="72" fillId="5" borderId="46" xfId="0" applyFont="1" applyFill="1" applyBorder="1" applyAlignment="1">
      <alignment horizontal="left"/>
    </xf>
    <xf numFmtId="0" fontId="72" fillId="5" borderId="65" xfId="0" applyFont="1" applyFill="1" applyBorder="1" applyAlignment="1">
      <alignment horizontal="left"/>
    </xf>
    <xf numFmtId="0" fontId="72" fillId="5" borderId="43" xfId="0" applyFont="1" applyFill="1" applyBorder="1" applyAlignment="1">
      <alignment horizontal="left"/>
    </xf>
    <xf numFmtId="17" fontId="21" fillId="4" borderId="61" xfId="0" applyNumberFormat="1" applyFont="1" applyFill="1" applyBorder="1" applyAlignment="1">
      <alignment horizontal="center"/>
    </xf>
    <xf numFmtId="0" fontId="70" fillId="30" borderId="60" xfId="0" applyFont="1" applyFill="1" applyBorder="1" applyAlignment="1">
      <alignment horizontal="center"/>
    </xf>
    <xf numFmtId="17" fontId="21" fillId="4" borderId="42" xfId="0" applyNumberFormat="1" applyFont="1" applyFill="1" applyBorder="1" applyAlignment="1">
      <alignment horizontal="center"/>
    </xf>
    <xf numFmtId="17" fontId="21" fillId="34" borderId="59" xfId="0" applyNumberFormat="1" applyFont="1" applyFill="1" applyBorder="1" applyAlignment="1">
      <alignment horizontal="center"/>
    </xf>
    <xf numFmtId="0" fontId="74" fillId="0" borderId="0" xfId="0" applyFont="1"/>
    <xf numFmtId="17" fontId="21" fillId="35" borderId="42"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73" fillId="3" borderId="47" xfId="0" applyFont="1" applyFill="1" applyBorder="1" applyAlignment="1">
      <alignment horizontal="center"/>
    </xf>
    <xf numFmtId="0" fontId="73" fillId="31" borderId="48" xfId="0" applyFont="1" applyFill="1" applyBorder="1" applyAlignment="1">
      <alignment horizontal="center"/>
    </xf>
    <xf numFmtId="0" fontId="73" fillId="14" borderId="56" xfId="0" applyFont="1" applyFill="1" applyBorder="1" applyAlignment="1">
      <alignment horizontal="center"/>
    </xf>
    <xf numFmtId="0" fontId="73" fillId="3" borderId="48" xfId="0" applyFont="1" applyFill="1" applyBorder="1" applyAlignment="1">
      <alignment horizontal="center"/>
    </xf>
    <xf numFmtId="0" fontId="73" fillId="3" borderId="56" xfId="0" applyFont="1" applyFill="1" applyBorder="1" applyAlignment="1">
      <alignment horizontal="center"/>
    </xf>
    <xf numFmtId="0" fontId="22" fillId="3" borderId="47" xfId="0" applyFont="1" applyFill="1" applyBorder="1" applyAlignment="1">
      <alignment horizontal="center"/>
    </xf>
    <xf numFmtId="0" fontId="22" fillId="3" borderId="48" xfId="0" applyFont="1" applyFill="1" applyBorder="1" applyAlignment="1">
      <alignment horizontal="center"/>
    </xf>
    <xf numFmtId="0" fontId="22" fillId="3" borderId="56" xfId="0" applyFont="1" applyFill="1" applyBorder="1" applyAlignment="1">
      <alignment horizontal="center"/>
    </xf>
    <xf numFmtId="0" fontId="2" fillId="3" borderId="50" xfId="0" applyFont="1" applyFill="1" applyBorder="1" applyAlignment="1">
      <alignment horizontal="center"/>
    </xf>
    <xf numFmtId="0" fontId="2" fillId="3" borderId="45" xfId="0" applyFont="1" applyFill="1" applyBorder="1" applyAlignment="1">
      <alignment horizontal="center"/>
    </xf>
    <xf numFmtId="0" fontId="2" fillId="3" borderId="66" xfId="0" applyFont="1" applyFill="1" applyBorder="1" applyAlignment="1">
      <alignment horizontal="center"/>
    </xf>
    <xf numFmtId="0" fontId="2" fillId="3" borderId="54" xfId="0" applyFont="1" applyFill="1" applyBorder="1" applyAlignment="1">
      <alignment horizontal="center"/>
    </xf>
    <xf numFmtId="0" fontId="2" fillId="3" borderId="68" xfId="0" applyFont="1" applyFill="1" applyBorder="1" applyAlignment="1">
      <alignment horizontal="center"/>
    </xf>
    <xf numFmtId="0" fontId="2" fillId="3" borderId="61" xfId="0" applyFont="1" applyFill="1" applyBorder="1" applyAlignment="1">
      <alignment horizontal="center"/>
    </xf>
    <xf numFmtId="0" fontId="2" fillId="3" borderId="59" xfId="0" applyFont="1" applyFill="1" applyBorder="1" applyAlignment="1">
      <alignment horizontal="center"/>
    </xf>
    <xf numFmtId="0" fontId="22" fillId="3" borderId="0" xfId="0" applyFont="1" applyFill="1"/>
    <xf numFmtId="0" fontId="2" fillId="3" borderId="41" xfId="0" applyFont="1" applyFill="1" applyBorder="1"/>
    <xf numFmtId="0" fontId="51" fillId="3" borderId="41" xfId="0" applyFont="1" applyFill="1" applyBorder="1" applyAlignment="1">
      <alignment horizontal="center" vertical="center"/>
    </xf>
    <xf numFmtId="0" fontId="2" fillId="3" borderId="41" xfId="0" applyFont="1" applyFill="1" applyBorder="1" applyAlignment="1">
      <alignment horizontal="center" vertical="center"/>
    </xf>
    <xf numFmtId="0" fontId="27" fillId="0" borderId="0" xfId="0" applyFont="1"/>
    <xf numFmtId="0" fontId="2" fillId="3" borderId="41" xfId="0" quotePrefix="1" applyFont="1" applyFill="1" applyBorder="1" applyAlignment="1">
      <alignment horizontal="center"/>
    </xf>
    <xf numFmtId="0" fontId="22" fillId="3" borderId="0" xfId="0" quotePrefix="1" applyFont="1" applyFill="1"/>
    <xf numFmtId="0" fontId="39" fillId="0" borderId="0" xfId="0" applyFont="1" applyAlignment="1">
      <alignment vertical="center"/>
    </xf>
    <xf numFmtId="0" fontId="76" fillId="0" borderId="0" xfId="0" applyFont="1" applyAlignment="1">
      <alignment horizontal="left" indent="2"/>
    </xf>
    <xf numFmtId="0" fontId="76" fillId="0" borderId="0" xfId="0" applyFont="1" applyAlignment="1">
      <alignment horizontal="left"/>
    </xf>
    <xf numFmtId="0" fontId="76" fillId="0" borderId="0" xfId="0" applyFont="1" applyAlignment="1">
      <alignment horizontal="left" indent="3"/>
    </xf>
    <xf numFmtId="0" fontId="73" fillId="7" borderId="48" xfId="0" applyFont="1" applyFill="1" applyBorder="1" applyAlignment="1">
      <alignment horizontal="center"/>
    </xf>
    <xf numFmtId="0" fontId="73" fillId="3" borderId="49" xfId="0" applyFont="1" applyFill="1" applyBorder="1" applyAlignment="1">
      <alignment horizontal="center"/>
    </xf>
    <xf numFmtId="0" fontId="22" fillId="7" borderId="48" xfId="0" applyFont="1" applyFill="1" applyBorder="1" applyAlignment="1">
      <alignment horizontal="center"/>
    </xf>
    <xf numFmtId="0" fontId="22" fillId="3" borderId="49" xfId="0" applyFont="1" applyFill="1" applyBorder="1" applyAlignment="1">
      <alignment horizontal="center"/>
    </xf>
    <xf numFmtId="0" fontId="2" fillId="7" borderId="44" xfId="0" applyFont="1" applyFill="1" applyBorder="1" applyAlignment="1">
      <alignment horizontal="center"/>
    </xf>
    <xf numFmtId="0" fontId="2" fillId="3" borderId="51" xfId="0" applyFont="1" applyFill="1" applyBorder="1" applyAlignment="1">
      <alignment horizontal="center"/>
    </xf>
    <xf numFmtId="0" fontId="2" fillId="7" borderId="54" xfId="0" applyFont="1" applyFill="1" applyBorder="1" applyAlignment="1">
      <alignment horizontal="center"/>
    </xf>
    <xf numFmtId="0" fontId="2" fillId="3" borderId="55" xfId="0" applyFont="1" applyFill="1" applyBorder="1" applyAlignment="1">
      <alignment horizontal="center"/>
    </xf>
    <xf numFmtId="0" fontId="2" fillId="7" borderId="59" xfId="0" applyFont="1" applyFill="1" applyBorder="1" applyAlignment="1">
      <alignment horizontal="center"/>
    </xf>
    <xf numFmtId="0" fontId="2" fillId="3" borderId="60" xfId="0" applyFont="1" applyFill="1" applyBorder="1" applyAlignment="1">
      <alignment horizontal="center"/>
    </xf>
    <xf numFmtId="0" fontId="2" fillId="3" borderId="53" xfId="0" applyFont="1" applyFill="1" applyBorder="1" applyAlignment="1">
      <alignment horizontal="center"/>
    </xf>
    <xf numFmtId="0" fontId="73" fillId="0" borderId="47" xfId="0" applyFont="1" applyBorder="1" applyAlignment="1">
      <alignment horizontal="center"/>
    </xf>
    <xf numFmtId="0" fontId="73" fillId="0" borderId="48" xfId="0" applyFont="1" applyBorder="1" applyAlignment="1">
      <alignment horizontal="center"/>
    </xf>
    <xf numFmtId="0" fontId="73" fillId="0" borderId="56" xfId="0" applyFont="1" applyBorder="1" applyAlignment="1">
      <alignment horizontal="center"/>
    </xf>
    <xf numFmtId="0" fontId="73" fillId="0" borderId="49" xfId="0" applyFont="1" applyBorder="1" applyAlignment="1">
      <alignment horizontal="center"/>
    </xf>
    <xf numFmtId="0" fontId="29" fillId="0" borderId="0" xfId="0" applyFont="1"/>
    <xf numFmtId="0" fontId="29" fillId="0" borderId="41" xfId="0" applyFont="1" applyBorder="1"/>
    <xf numFmtId="0" fontId="29" fillId="0" borderId="8" xfId="0" applyFont="1" applyBorder="1"/>
    <xf numFmtId="0" fontId="28" fillId="0" borderId="0" xfId="0" applyFont="1"/>
    <xf numFmtId="0" fontId="28" fillId="0" borderId="8" xfId="0" applyFont="1" applyBorder="1"/>
    <xf numFmtId="0" fontId="2" fillId="0" borderId="50" xfId="0" applyFont="1" applyBorder="1" applyAlignment="1">
      <alignment horizontal="center"/>
    </xf>
    <xf numFmtId="0" fontId="2" fillId="0" borderId="44" xfId="0" applyFont="1" applyBorder="1" applyAlignment="1">
      <alignment horizontal="center"/>
    </xf>
    <xf numFmtId="0" fontId="2" fillId="0" borderId="45" xfId="0" applyFont="1" applyBorder="1" applyAlignment="1">
      <alignment horizontal="center"/>
    </xf>
    <xf numFmtId="0" fontId="2" fillId="0" borderId="51" xfId="0" applyFont="1" applyBorder="1" applyAlignment="1">
      <alignment horizontal="center"/>
    </xf>
    <xf numFmtId="0" fontId="2" fillId="31" borderId="44" xfId="0" applyFont="1" applyFill="1" applyBorder="1" applyAlignment="1">
      <alignment horizontal="center"/>
    </xf>
    <xf numFmtId="0" fontId="2" fillId="14" borderId="45" xfId="0" applyFont="1" applyFill="1" applyBorder="1" applyAlignment="1">
      <alignment horizontal="center"/>
    </xf>
    <xf numFmtId="0" fontId="2" fillId="0" borderId="66" xfId="0" applyFont="1" applyBorder="1" applyAlignment="1">
      <alignment horizontal="center"/>
    </xf>
    <xf numFmtId="0" fontId="2" fillId="0" borderId="54" xfId="0" applyFont="1" applyBorder="1" applyAlignment="1">
      <alignment horizontal="center"/>
    </xf>
    <xf numFmtId="0" fontId="2" fillId="0" borderId="68" xfId="0" applyFont="1" applyBorder="1" applyAlignment="1">
      <alignment horizontal="center"/>
    </xf>
    <xf numFmtId="0" fontId="2" fillId="0" borderId="55" xfId="0" applyFont="1" applyBorder="1" applyAlignment="1">
      <alignment horizontal="center"/>
    </xf>
    <xf numFmtId="0" fontId="2" fillId="31" borderId="54" xfId="0" applyFont="1" applyFill="1" applyBorder="1" applyAlignment="1">
      <alignment horizontal="center"/>
    </xf>
    <xf numFmtId="0" fontId="2" fillId="14" borderId="68" xfId="0" applyFont="1" applyFill="1" applyBorder="1" applyAlignment="1">
      <alignment horizontal="center"/>
    </xf>
    <xf numFmtId="0" fontId="73" fillId="33" borderId="67" xfId="0" applyFont="1" applyFill="1" applyBorder="1" applyAlignment="1">
      <alignment horizontal="center"/>
    </xf>
    <xf numFmtId="0" fontId="73" fillId="33" borderId="63" xfId="0" applyFont="1" applyFill="1" applyBorder="1" applyAlignment="1">
      <alignment horizontal="center"/>
    </xf>
    <xf numFmtId="0" fontId="73" fillId="33" borderId="69" xfId="0" applyFont="1" applyFill="1" applyBorder="1" applyAlignment="1">
      <alignment horizontal="center"/>
    </xf>
    <xf numFmtId="0" fontId="78" fillId="33" borderId="64" xfId="0" applyFont="1" applyFill="1" applyBorder="1" applyAlignment="1">
      <alignment horizontal="center"/>
    </xf>
    <xf numFmtId="0" fontId="79" fillId="29" borderId="54" xfId="0" applyFont="1" applyFill="1" applyBorder="1" applyAlignment="1">
      <alignment horizontal="center"/>
    </xf>
    <xf numFmtId="0" fontId="71" fillId="36" borderId="63" xfId="0" applyFont="1" applyFill="1" applyBorder="1" applyAlignment="1">
      <alignment horizontal="center"/>
    </xf>
    <xf numFmtId="0" fontId="79" fillId="35" borderId="68" xfId="0" applyFont="1" applyFill="1" applyBorder="1" applyAlignment="1">
      <alignment horizontal="center"/>
    </xf>
    <xf numFmtId="0" fontId="73" fillId="33" borderId="64" xfId="0" applyFont="1" applyFill="1" applyBorder="1" applyAlignment="1">
      <alignment horizontal="center"/>
    </xf>
    <xf numFmtId="0" fontId="2" fillId="0" borderId="0" xfId="0" applyFont="1" applyAlignment="1">
      <alignment horizontal="center" vertical="center"/>
    </xf>
    <xf numFmtId="0" fontId="2" fillId="15" borderId="0" xfId="0" applyFont="1" applyFill="1" applyAlignment="1">
      <alignment horizontal="center" vertical="center"/>
    </xf>
    <xf numFmtId="0" fontId="29" fillId="0" borderId="10" xfId="0" applyFont="1" applyBorder="1" applyAlignment="1">
      <alignment horizontal="center" vertical="center"/>
    </xf>
    <xf numFmtId="0" fontId="29" fillId="0" borderId="17" xfId="0" applyFont="1" applyBorder="1" applyAlignment="1">
      <alignment horizontal="center" vertical="center"/>
    </xf>
    <xf numFmtId="0" fontId="43" fillId="0" borderId="41" xfId="0" applyFont="1" applyBorder="1"/>
    <xf numFmtId="0" fontId="29" fillId="0" borderId="25" xfId="0" applyFont="1" applyFill="1" applyBorder="1" applyAlignment="1">
      <alignment vertical="center"/>
    </xf>
    <xf numFmtId="0" fontId="29" fillId="0" borderId="25" xfId="0" applyFont="1" applyFill="1" applyBorder="1" applyAlignment="1">
      <alignment horizontal="left" vertical="center"/>
    </xf>
    <xf numFmtId="0" fontId="63" fillId="0" borderId="25" xfId="0" applyFont="1" applyFill="1" applyBorder="1" applyAlignment="1">
      <alignment vertical="center"/>
    </xf>
    <xf numFmtId="0" fontId="38" fillId="0" borderId="25" xfId="0" applyFont="1" applyFill="1" applyBorder="1" applyAlignment="1">
      <alignment vertical="center"/>
    </xf>
    <xf numFmtId="0" fontId="38" fillId="0" borderId="25" xfId="0" applyFont="1" applyFill="1" applyBorder="1" applyAlignment="1">
      <alignment horizontal="left" vertical="center" readingOrder="1"/>
    </xf>
    <xf numFmtId="0" fontId="29" fillId="0" borderId="26" xfId="0" applyFont="1" applyFill="1" applyBorder="1" applyAlignment="1">
      <alignment vertical="center"/>
    </xf>
    <xf numFmtId="0" fontId="0" fillId="0" borderId="0" xfId="0" applyNumberFormat="1"/>
    <xf numFmtId="0" fontId="36" fillId="0" borderId="0" xfId="0" applyFont="1" applyFill="1"/>
    <xf numFmtId="0" fontId="81" fillId="5" borderId="0" xfId="0" applyFont="1" applyFill="1"/>
    <xf numFmtId="0" fontId="82" fillId="0" borderId="0" xfId="0" applyFont="1"/>
    <xf numFmtId="0" fontId="83" fillId="0" borderId="0" xfId="0" applyFont="1"/>
    <xf numFmtId="0" fontId="84" fillId="0" borderId="0" xfId="0" applyFont="1"/>
    <xf numFmtId="0" fontId="77" fillId="0" borderId="0" xfId="0" applyFont="1"/>
    <xf numFmtId="0" fontId="29" fillId="0" borderId="25" xfId="0" applyFont="1" applyFill="1" applyBorder="1"/>
    <xf numFmtId="0" fontId="29" fillId="0" borderId="10" xfId="0" applyFont="1" applyFill="1" applyBorder="1"/>
    <xf numFmtId="14" fontId="29" fillId="0" borderId="10" xfId="0" applyNumberFormat="1" applyFont="1" applyFill="1" applyBorder="1"/>
    <xf numFmtId="14" fontId="63" fillId="0" borderId="10" xfId="0" applyNumberFormat="1" applyFont="1" applyBorder="1"/>
    <xf numFmtId="16" fontId="67" fillId="0" borderId="10" xfId="0" applyNumberFormat="1" applyFont="1" applyBorder="1" applyAlignment="1">
      <alignment horizontal="left"/>
    </xf>
    <xf numFmtId="0" fontId="2" fillId="14" borderId="17" xfId="0" applyFont="1" applyFill="1" applyBorder="1" applyAlignment="1">
      <alignment horizontal="left" vertical="top" wrapText="1"/>
    </xf>
    <xf numFmtId="0" fontId="2" fillId="14" borderId="18" xfId="0" applyFont="1" applyFill="1" applyBorder="1" applyAlignment="1">
      <alignment horizontal="left" vertical="top"/>
    </xf>
    <xf numFmtId="0" fontId="2" fillId="14" borderId="19" xfId="0" applyFont="1" applyFill="1" applyBorder="1" applyAlignment="1">
      <alignment horizontal="left" vertical="top"/>
    </xf>
    <xf numFmtId="0" fontId="2" fillId="14" borderId="20" xfId="0" applyFont="1" applyFill="1" applyBorder="1" applyAlignment="1">
      <alignment horizontal="left" vertical="top"/>
    </xf>
    <xf numFmtId="0" fontId="2" fillId="14" borderId="0" xfId="0" applyFont="1" applyFill="1" applyAlignment="1">
      <alignment horizontal="left" vertical="top"/>
    </xf>
    <xf numFmtId="0" fontId="2" fillId="14" borderId="21" xfId="0" applyFont="1" applyFill="1" applyBorder="1" applyAlignment="1">
      <alignment horizontal="left" vertical="top"/>
    </xf>
    <xf numFmtId="0" fontId="2" fillId="14" borderId="22" xfId="0" applyFont="1" applyFill="1" applyBorder="1" applyAlignment="1">
      <alignment horizontal="left" vertical="top"/>
    </xf>
    <xf numFmtId="0" fontId="2" fillId="14" borderId="23" xfId="0" applyFont="1" applyFill="1" applyBorder="1" applyAlignment="1">
      <alignment horizontal="left" vertical="top"/>
    </xf>
    <xf numFmtId="0" fontId="2" fillId="14" borderId="24" xfId="0" applyFont="1" applyFill="1" applyBorder="1" applyAlignment="1">
      <alignment horizontal="left" vertical="top"/>
    </xf>
    <xf numFmtId="0" fontId="75" fillId="0" borderId="0" xfId="0" applyFont="1" applyAlignment="1">
      <alignment horizontal="center"/>
    </xf>
    <xf numFmtId="0" fontId="75" fillId="0" borderId="0" xfId="0" applyFont="1" applyAlignment="1">
      <alignment horizontal="right"/>
    </xf>
    <xf numFmtId="0" fontId="71" fillId="32" borderId="62" xfId="0" applyFont="1" applyFill="1" applyBorder="1" applyAlignment="1">
      <alignment horizontal="center"/>
    </xf>
    <xf numFmtId="0" fontId="71" fillId="32" borderId="57" xfId="0" applyFont="1" applyFill="1" applyBorder="1" applyAlignment="1">
      <alignment horizontal="center"/>
    </xf>
    <xf numFmtId="0" fontId="71" fillId="32" borderId="58" xfId="0" applyFont="1" applyFill="1" applyBorder="1" applyAlignment="1">
      <alignment horizontal="center"/>
    </xf>
    <xf numFmtId="0" fontId="71" fillId="28" borderId="62" xfId="0" applyFont="1" applyFill="1" applyBorder="1" applyAlignment="1">
      <alignment horizontal="center"/>
    </xf>
    <xf numFmtId="0" fontId="71" fillId="28" borderId="57" xfId="0" applyFont="1" applyFill="1" applyBorder="1" applyAlignment="1">
      <alignment horizontal="center"/>
    </xf>
    <xf numFmtId="0" fontId="71" fillId="28" borderId="58" xfId="0" applyFont="1" applyFill="1" applyBorder="1" applyAlignment="1">
      <alignment horizontal="center"/>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75" fillId="0" borderId="0" xfId="0" applyFont="1" applyAlignment="1">
      <alignment horizontal="center" vertical="center"/>
    </xf>
    <xf numFmtId="0" fontId="22" fillId="14" borderId="25" xfId="0" applyFont="1" applyFill="1" applyBorder="1" applyAlignment="1">
      <alignment horizontal="left" vertical="top" wrapText="1"/>
    </xf>
    <xf numFmtId="0" fontId="46" fillId="14" borderId="25" xfId="0" applyFont="1" applyFill="1" applyBorder="1" applyAlignment="1">
      <alignment horizontal="left" vertical="top" wrapText="1"/>
    </xf>
    <xf numFmtId="0" fontId="2" fillId="14" borderId="34"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37" xfId="0" applyFont="1" applyFill="1" applyBorder="1" applyAlignment="1">
      <alignment horizontal="left" vertical="top" wrapText="1"/>
    </xf>
    <xf numFmtId="0" fontId="2" fillId="14" borderId="35"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38" xfId="0" applyFont="1" applyFill="1" applyBorder="1" applyAlignment="1">
      <alignment horizontal="left" vertical="top" wrapText="1"/>
    </xf>
    <xf numFmtId="0" fontId="2" fillId="14" borderId="36" xfId="0" applyFont="1" applyFill="1" applyBorder="1" applyAlignment="1">
      <alignment horizontal="left" vertical="top" wrapText="1"/>
    </xf>
    <xf numFmtId="0" fontId="2" fillId="14" borderId="23" xfId="0" applyFont="1" applyFill="1" applyBorder="1" applyAlignment="1">
      <alignment horizontal="left" vertical="top" wrapText="1"/>
    </xf>
    <xf numFmtId="0" fontId="2" fillId="14" borderId="39" xfId="0" applyFont="1" applyFill="1" applyBorder="1" applyAlignment="1">
      <alignment horizontal="left" vertical="top" wrapText="1"/>
    </xf>
    <xf numFmtId="0" fontId="2" fillId="3" borderId="41" xfId="0" applyFont="1" applyFill="1" applyBorder="1" applyAlignment="1">
      <alignment horizontal="center" vertical="center"/>
    </xf>
    <xf numFmtId="0" fontId="2" fillId="3" borderId="0" xfId="0" quotePrefix="1" applyFont="1" applyFill="1" applyAlignment="1">
      <alignment horizontal="center"/>
    </xf>
    <xf numFmtId="0" fontId="73" fillId="5" borderId="62" xfId="0" applyFont="1" applyFill="1" applyBorder="1" applyAlignment="1">
      <alignment horizontal="left"/>
    </xf>
    <xf numFmtId="0" fontId="73" fillId="5" borderId="57" xfId="0" applyFont="1" applyFill="1" applyBorder="1" applyAlignment="1">
      <alignment horizontal="left"/>
    </xf>
    <xf numFmtId="0" fontId="73" fillId="33" borderId="22" xfId="0" applyFont="1" applyFill="1" applyBorder="1" applyAlignment="1">
      <alignment horizontal="left"/>
    </xf>
    <xf numFmtId="0" fontId="73" fillId="33" borderId="23" xfId="0" applyFont="1" applyFill="1" applyBorder="1" applyAlignment="1">
      <alignment horizontal="left"/>
    </xf>
    <xf numFmtId="0" fontId="71" fillId="4" borderId="47" xfId="0" applyFont="1" applyFill="1" applyBorder="1" applyAlignment="1">
      <alignment horizontal="center" vertical="center"/>
    </xf>
    <xf numFmtId="0" fontId="71" fillId="4" borderId="56" xfId="0" applyFont="1" applyFill="1" applyBorder="1" applyAlignment="1">
      <alignment horizontal="center" vertical="center"/>
    </xf>
    <xf numFmtId="0" fontId="71" fillId="4" borderId="61" xfId="0" applyFont="1" applyFill="1" applyBorder="1" applyAlignment="1">
      <alignment horizontal="center" vertical="center"/>
    </xf>
    <xf numFmtId="0" fontId="71" fillId="4" borderId="42" xfId="0" applyFont="1" applyFill="1" applyBorder="1" applyAlignment="1">
      <alignment horizontal="center" vertical="center"/>
    </xf>
    <xf numFmtId="0" fontId="71" fillId="28" borderId="47" xfId="0" applyFont="1" applyFill="1" applyBorder="1" applyAlignment="1">
      <alignment horizontal="center"/>
    </xf>
    <xf numFmtId="0" fontId="71" fillId="28" borderId="48" xfId="0" applyFont="1" applyFill="1" applyBorder="1" applyAlignment="1">
      <alignment horizontal="center"/>
    </xf>
    <xf numFmtId="0" fontId="71" fillId="28" borderId="49" xfId="0" applyFont="1" applyFill="1" applyBorder="1" applyAlignment="1">
      <alignment horizontal="center"/>
    </xf>
    <xf numFmtId="0" fontId="2" fillId="3" borderId="41" xfId="0" quotePrefix="1" applyFont="1" applyFill="1" applyBorder="1" applyAlignment="1">
      <alignment horizontal="center"/>
    </xf>
    <xf numFmtId="0" fontId="22" fillId="3" borderId="0" xfId="0" quotePrefix="1" applyFont="1" applyFill="1" applyAlignment="1">
      <alignment horizontal="center"/>
    </xf>
    <xf numFmtId="0" fontId="22" fillId="3" borderId="40" xfId="0" applyFont="1" applyFill="1" applyBorder="1" applyAlignment="1">
      <alignment horizontal="center"/>
    </xf>
    <xf numFmtId="0" fontId="4" fillId="0" borderId="40" xfId="0" applyFont="1" applyBorder="1" applyAlignment="1">
      <alignment horizontal="center"/>
    </xf>
    <xf numFmtId="0" fontId="4" fillId="0" borderId="0" xfId="0" applyFont="1" applyAlignment="1">
      <alignment horizontal="center"/>
    </xf>
    <xf numFmtId="0" fontId="4" fillId="0" borderId="41" xfId="0" applyFont="1" applyBorder="1" applyAlignment="1">
      <alignment horizontal="center"/>
    </xf>
    <xf numFmtId="0" fontId="4" fillId="3" borderId="7" xfId="0" applyFont="1" applyFill="1" applyBorder="1" applyAlignment="1">
      <alignment vertical="center"/>
    </xf>
  </cellXfs>
  <cellStyles count="4">
    <cellStyle name="Normal" xfId="0" builtinId="0"/>
    <cellStyle name="Normal 2" xfId="3"/>
    <cellStyle name="Normal 3" xfId="2"/>
    <cellStyle name="Percent" xfId="1" builtinId="5"/>
  </cellStyles>
  <dxfs count="280">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Santander Text"/>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center" vertical="center" textRotation="0" wrapText="0"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7.5.xlsx]Aux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
        <c:idx val="57"/>
        <c:spPr>
          <a:solidFill>
            <a:schemeClr val="accent4"/>
          </a:solidFill>
          <a:ln>
            <a:solidFill>
              <a:schemeClr val="bg1"/>
            </a:solidFill>
          </a:ln>
          <a:effectLst/>
        </c:spPr>
      </c:pivotFmt>
      <c:pivotFmt>
        <c:idx val="58"/>
        <c:spPr>
          <a:solidFill>
            <a:schemeClr val="tx1">
              <a:lumMod val="65000"/>
              <a:lumOff val="35000"/>
            </a:schemeClr>
          </a:solidFill>
          <a:ln>
            <a:solidFill>
              <a:schemeClr val="bg1"/>
            </a:solidFill>
          </a:ln>
          <a:effectLst/>
        </c:spPr>
      </c:pivotFmt>
      <c:pivotFmt>
        <c:idx val="59"/>
        <c:spPr>
          <a:solidFill>
            <a:srgbClr val="FF0000"/>
          </a:solidFill>
          <a:ln>
            <a:solidFill>
              <a:schemeClr val="bg1"/>
            </a:solidFill>
          </a:ln>
          <a:effectLst/>
        </c:spPr>
      </c:pivotFmt>
      <c:pivotFmt>
        <c:idx val="60"/>
        <c:spPr>
          <a:solidFill>
            <a:srgbClr val="C00000"/>
          </a:solidFill>
          <a:ln>
            <a:solidFill>
              <a:schemeClr val="bg1"/>
            </a:solidFill>
          </a:ln>
          <a:effectLst/>
        </c:spPr>
      </c:pivotFmt>
      <c:pivotFmt>
        <c:idx val="6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2"/>
        <c:spPr>
          <a:solidFill>
            <a:schemeClr val="accent1"/>
          </a:solidFill>
          <a:ln>
            <a:solidFill>
              <a:schemeClr val="bg1"/>
            </a:solidFill>
          </a:ln>
          <a:effectLst/>
        </c:spPr>
      </c:pivotFmt>
      <c:pivotFmt>
        <c:idx val="63"/>
        <c:spPr>
          <a:solidFill>
            <a:srgbClr val="FF0000"/>
          </a:solidFill>
          <a:ln>
            <a:solidFill>
              <a:schemeClr val="bg1"/>
            </a:solidFill>
          </a:ln>
          <a:effectLst/>
        </c:spPr>
      </c:pivotFmt>
      <c:pivotFmt>
        <c:idx val="64"/>
        <c:spPr>
          <a:solidFill>
            <a:srgbClr val="FFC000"/>
          </a:solidFill>
          <a:ln>
            <a:solidFill>
              <a:schemeClr val="bg1"/>
            </a:solidFill>
          </a:ln>
          <a:effectLst/>
        </c:spPr>
      </c:pivotFmt>
      <c:pivotFmt>
        <c:idx val="65"/>
        <c:spPr>
          <a:solidFill>
            <a:schemeClr val="accent1"/>
          </a:solidFill>
          <a:ln>
            <a:solidFill>
              <a:schemeClr val="bg1"/>
            </a:solidFill>
          </a:ln>
          <a:effectLst/>
        </c:spPr>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strRef>
              <c:f>'Aux - Pivots2'!$C$66</c:f>
              <c:strCache>
                <c:ptCount val="1"/>
                <c:pt idx="0">
                  <c:v>Total</c:v>
                </c:pt>
              </c:strCache>
            </c:strRef>
          </c:tx>
          <c:spPr>
            <a:solidFill>
              <a:schemeClr val="accent1"/>
            </a:solidFill>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rgbClr val="FFC000"/>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1"/>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1"/>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Pivots2'!$B$67:$B$71</c:f>
              <c:strCache>
                <c:ptCount val="4"/>
                <c:pt idx="0">
                  <c:v>0. Cancelado</c:v>
                </c:pt>
                <c:pt idx="1">
                  <c:v>1. Concluído</c:v>
                </c:pt>
                <c:pt idx="2">
                  <c:v>2.1 Em Teste</c:v>
                </c:pt>
                <c:pt idx="3">
                  <c:v>4. Validação EF</c:v>
                </c:pt>
              </c:strCache>
            </c:strRef>
          </c:cat>
          <c:val>
            <c:numRef>
              <c:f>'Aux - Pivots2'!$C$67:$C$71</c:f>
              <c:numCache>
                <c:formatCode>General</c:formatCode>
                <c:ptCount val="4"/>
                <c:pt idx="0">
                  <c:v>12</c:v>
                </c:pt>
                <c:pt idx="1">
                  <c:v>148</c:v>
                </c:pt>
                <c:pt idx="2">
                  <c:v>46</c:v>
                </c:pt>
                <c:pt idx="3">
                  <c:v>2</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7.5.xlsx]Aux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FFCB3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EB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rgbClr val="FFCB32">
              <a:lumMod val="50000"/>
            </a:srgbClr>
          </a:solidFill>
          <a:ln>
            <a:noFill/>
          </a:ln>
          <a:effectLst/>
        </c:spPr>
        <c:dLbl>
          <c:idx val="0"/>
          <c:layout>
            <c:manualLayout>
              <c:x val="-2.8934074394973658E-3"/>
              <c:y val="-1.6505196055091001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Pivots2'!$C$87:$C$88</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0">
                  <c:v>3</c:v>
                </c:pt>
                <c:pt idx="1">
                  <c:v>2</c:v>
                </c:pt>
                <c:pt idx="9">
                  <c:v>3</c:v>
                </c:pt>
                <c:pt idx="12">
                  <c:v>7</c:v>
                </c:pt>
                <c:pt idx="13">
                  <c:v>1</c:v>
                </c:pt>
              </c:numCache>
            </c:numRef>
          </c:val>
          <c:extLst>
            <c:ext xmlns:c16="http://schemas.microsoft.com/office/drawing/2014/chart" uri="{C3380CC4-5D6E-409C-BE32-E72D297353CC}">
              <c16:uniqueId val="{00000000-B666-4CCE-9846-E24A498DDF73}"/>
            </c:ext>
          </c:extLst>
        </c:ser>
        <c:ser>
          <c:idx val="1"/>
          <c:order val="1"/>
          <c:tx>
            <c:strRef>
              <c:f>'Aux - Pivots2'!$D$87:$D$88</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2">
                  <c:v>15</c:v>
                </c:pt>
                <c:pt idx="3">
                  <c:v>41</c:v>
                </c:pt>
                <c:pt idx="4">
                  <c:v>14</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B666-4CCE-9846-E24A498DDF73}"/>
            </c:ext>
          </c:extLst>
        </c:ser>
        <c:ser>
          <c:idx val="2"/>
          <c:order val="2"/>
          <c:tx>
            <c:strRef>
              <c:f>'Aux - Pivots2'!$E$87:$E$88</c:f>
              <c:strCache>
                <c:ptCount val="1"/>
                <c:pt idx="0">
                  <c:v>2.1 Em Teste</c:v>
                </c:pt>
              </c:strCache>
            </c:strRef>
          </c:tx>
          <c:spPr>
            <a:solidFill>
              <a:srgbClr val="FFCB32"/>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3">
                  <c:v>8</c:v>
                </c:pt>
                <c:pt idx="4">
                  <c:v>4</c:v>
                </c:pt>
                <c:pt idx="5">
                  <c:v>5</c:v>
                </c:pt>
              </c:numCache>
            </c:numRef>
          </c:val>
          <c:extLst>
            <c:ext xmlns:c16="http://schemas.microsoft.com/office/drawing/2014/chart" uri="{C3380CC4-5D6E-409C-BE32-E72D297353CC}">
              <c16:uniqueId val="{00000002-B666-4CCE-9846-E24A498DDF73}"/>
            </c:ext>
          </c:extLst>
        </c:ser>
        <c:ser>
          <c:idx val="3"/>
          <c:order val="3"/>
          <c:tx>
            <c:strRef>
              <c:f>'Aux - Pivots2'!$F$87:$F$88</c:f>
              <c:strCache>
                <c:ptCount val="1"/>
                <c:pt idx="0">
                  <c:v>2.2 Em especificação</c:v>
                </c:pt>
              </c:strCache>
            </c:strRef>
          </c:tx>
          <c:spPr>
            <a:solidFill>
              <a:srgbClr val="FFCB32">
                <a:lumMod val="50000"/>
              </a:srgbClr>
            </a:solidFill>
            <a:ln>
              <a:noFill/>
            </a:ln>
            <a:effectLst/>
          </c:spPr>
          <c:invertIfNegative val="0"/>
          <c:dPt>
            <c:idx val="1"/>
            <c:invertIfNegative val="0"/>
            <c:bubble3D val="0"/>
            <c:extLst>
              <c:ext xmlns:c16="http://schemas.microsoft.com/office/drawing/2014/chart" uri="{C3380CC4-5D6E-409C-BE32-E72D297353CC}">
                <c16:uniqueId val="{00000004-C1BD-41A5-B6F6-A5F63EB6F306}"/>
              </c:ext>
            </c:extLst>
          </c:dPt>
          <c:dLbls>
            <c:dLbl>
              <c:idx val="1"/>
              <c:layout>
                <c:manualLayout>
                  <c:x val="-2.8934074394973658E-3"/>
                  <c:y val="-1.6505196055091001E-5"/>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C1BD-41A5-B6F6-A5F63EB6F3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Pivots2'!$F$89:$F$104</c:f>
              <c:numCache>
                <c:formatCode>General</c:formatCode>
                <c:ptCount val="15"/>
                <c:pt idx="1">
                  <c:v>1</c:v>
                </c:pt>
              </c:numCache>
            </c:numRef>
          </c:val>
          <c:extLst>
            <c:ext xmlns:c16="http://schemas.microsoft.com/office/drawing/2014/chart" uri="{C3380CC4-5D6E-409C-BE32-E72D297353CC}">
              <c16:uniqueId val="{00000004-E733-463A-8DBA-D2A43AB2796E}"/>
            </c:ext>
          </c:extLst>
        </c:ser>
        <c:ser>
          <c:idx val="4"/>
          <c:order val="4"/>
          <c:tx>
            <c:strRef>
              <c:f>'Aux - Pivots2'!$G$87:$G$88</c:f>
              <c:strCache>
                <c:ptCount val="1"/>
                <c:pt idx="0">
                  <c:v>6. Em implementação</c:v>
                </c:pt>
              </c:strCache>
            </c:strRef>
          </c:tx>
          <c:spPr>
            <a:solidFill>
              <a:srgbClr val="EB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Pivots2'!$G$89:$G$104</c:f>
              <c:numCache>
                <c:formatCode>General</c:formatCode>
                <c:ptCount val="15"/>
                <c:pt idx="0">
                  <c:v>45</c:v>
                </c:pt>
                <c:pt idx="1">
                  <c:v>14</c:v>
                </c:pt>
                <c:pt idx="3">
                  <c:v>5</c:v>
                </c:pt>
              </c:numCache>
            </c:numRef>
          </c:val>
          <c:extLst>
            <c:ext xmlns:c16="http://schemas.microsoft.com/office/drawing/2014/chart" uri="{C3380CC4-5D6E-409C-BE32-E72D297353CC}">
              <c16:uniqueId val="{00000004-670B-48F6-A1F2-B1B2F1A7DC19}"/>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7.5.xlsx]Aux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5"/>
        <c:spPr>
          <a:solidFill>
            <a:schemeClr val="accent4"/>
          </a:solidFill>
          <a:ln>
            <a:noFill/>
          </a:ln>
          <a:effectLst/>
        </c:spPr>
      </c:pivotFmt>
      <c:pivotFmt>
        <c:idx val="66"/>
        <c:spPr>
          <a:solidFill>
            <a:schemeClr val="tx2"/>
          </a:solidFill>
          <a:ln>
            <a:noFill/>
          </a:ln>
          <a:effectLst/>
        </c:spPr>
      </c:pivotFmt>
      <c:pivotFmt>
        <c:idx val="67"/>
        <c:spPr>
          <a:solidFill>
            <a:schemeClr val="bg1">
              <a:lumMod val="85000"/>
            </a:schemeClr>
          </a:solidFill>
          <a:ln>
            <a:noFill/>
          </a:ln>
          <a:effectLst/>
        </c:spPr>
      </c:pivotFmt>
      <c:pivotFmt>
        <c:idx val="68"/>
        <c:spPr>
          <a:solidFill>
            <a:schemeClr val="accent5">
              <a:lumMod val="75000"/>
            </a:schemeClr>
          </a:solidFill>
          <a:ln>
            <a:noFill/>
          </a:ln>
          <a:effectLst/>
        </c:spPr>
      </c:pivotFmt>
      <c:pivotFmt>
        <c:idx val="69"/>
        <c:spPr>
          <a:solidFill>
            <a:schemeClr val="accent6">
              <a:lumMod val="50000"/>
            </a:schemeClr>
          </a:solidFill>
          <a:ln>
            <a:noFill/>
          </a:ln>
          <a:effectLst/>
        </c:spPr>
      </c:pivotFmt>
      <c:pivotFmt>
        <c:idx val="70"/>
        <c:spPr>
          <a:solidFill>
            <a:schemeClr val="accent1"/>
          </a:solidFill>
          <a:ln>
            <a:noFill/>
          </a:ln>
          <a:effectLst/>
        </c:spPr>
      </c:pivotFmt>
      <c:pivotFmt>
        <c:idx val="71"/>
        <c:spPr>
          <a:solidFill>
            <a:srgbClr val="FF0000"/>
          </a:solidFill>
          <a:ln>
            <a:noFill/>
          </a:ln>
          <a:effectLst/>
        </c:spPr>
      </c:pivotFmt>
      <c:pivotFmt>
        <c:idx val="72"/>
        <c:spPr>
          <a:solidFill>
            <a:schemeClr val="accent6"/>
          </a:solidFill>
          <a:ln>
            <a:noFill/>
          </a:ln>
          <a:effectLst/>
        </c:spPr>
        <c:dLbl>
          <c:idx val="0"/>
          <c:layout>
            <c:manualLayout>
              <c:x val="-1.8022526739327565E-2"/>
              <c:y val="4.022743730513692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0.18700076385164979"/>
          <c:y val="0.24231772017073355"/>
          <c:w val="0.83574557945961592"/>
          <c:h val="0.75704814591589698"/>
        </c:manualLayout>
      </c:layout>
      <c:doughnutChart>
        <c:varyColors val="1"/>
        <c:ser>
          <c:idx val="0"/>
          <c:order val="0"/>
          <c:tx>
            <c:strRef>
              <c:f>'Aux - Pivots2'!$C$111</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noFill/>
              </a:ln>
              <a:effectLst/>
            </c:spPr>
            <c:extLst>
              <c:ext xmlns:c16="http://schemas.microsoft.com/office/drawing/2014/chart" uri="{C3380CC4-5D6E-409C-BE32-E72D297353CC}">
                <c16:uniqueId val="{00000010-75D4-4EB6-B42F-AB8E0C055C1D}"/>
              </c:ext>
            </c:extLst>
          </c:dPt>
          <c:dPt>
            <c:idx val="3"/>
            <c:bubble3D val="0"/>
            <c:spPr>
              <a:solidFill>
                <a:schemeClr val="accent6">
                  <a:lumMod val="50000"/>
                </a:schemeClr>
              </a:solidFill>
              <a:ln>
                <a:no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noFill/>
              </a:ln>
              <a:effectLst/>
            </c:spPr>
            <c:extLst>
              <c:ext xmlns:c16="http://schemas.microsoft.com/office/drawing/2014/chart" uri="{C3380CC4-5D6E-409C-BE32-E72D297353CC}">
                <c16:uniqueId val="{00000009-6DD8-496C-AAD9-6B132DEF52B5}"/>
              </c:ext>
            </c:extLst>
          </c:dPt>
          <c:dPt>
            <c:idx val="5"/>
            <c:bubble3D val="0"/>
            <c:spPr>
              <a:solidFill>
                <a:srgbClr val="FF0000"/>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dLbl>
              <c:idx val="2"/>
              <c:layout>
                <c:manualLayout>
                  <c:x val="-1.8022526739327565E-2"/>
                  <c:y val="4.0227437305136927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0-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Pivots2'!$B$112:$B$118</c:f>
              <c:strCache>
                <c:ptCount val="6"/>
                <c:pt idx="0">
                  <c:v>0. Cancelado</c:v>
                </c:pt>
                <c:pt idx="1">
                  <c:v>1. Concluído</c:v>
                </c:pt>
                <c:pt idx="2">
                  <c:v>2.1 Em Teste</c:v>
                </c:pt>
                <c:pt idx="3">
                  <c:v>2.2 Em especificação</c:v>
                </c:pt>
                <c:pt idx="4">
                  <c:v>4. Validação EF</c:v>
                </c:pt>
                <c:pt idx="5">
                  <c:v>6. Em implementação</c:v>
                </c:pt>
              </c:strCache>
            </c:strRef>
          </c:cat>
          <c:val>
            <c:numRef>
              <c:f>'Aux - Pivots2'!$C$112:$C$118</c:f>
              <c:numCache>
                <c:formatCode>General</c:formatCode>
                <c:ptCount val="6"/>
                <c:pt idx="0">
                  <c:v>4</c:v>
                </c:pt>
                <c:pt idx="1">
                  <c:v>113</c:v>
                </c:pt>
                <c:pt idx="2">
                  <c:v>2</c:v>
                </c:pt>
                <c:pt idx="3">
                  <c:v>6</c:v>
                </c:pt>
                <c:pt idx="4">
                  <c:v>7</c:v>
                </c:pt>
                <c:pt idx="5">
                  <c:v>74</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7.5.xlsx]Aux - Pivots2!PivotTable9</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rgbClr val="FFCB32">
              <a:lumMod val="50000"/>
            </a:srgb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9"/>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1AB2BB"/>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1"/>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rgbClr val="FFCB3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6805967847736611"/>
          <c:y val="0"/>
          <c:w val="0.7055353637263142"/>
          <c:h val="0.96094787365784518"/>
        </c:manualLayout>
      </c:layout>
      <c:barChart>
        <c:barDir val="bar"/>
        <c:grouping val="stacked"/>
        <c:varyColors val="0"/>
        <c:ser>
          <c:idx val="0"/>
          <c:order val="0"/>
          <c:tx>
            <c:strRef>
              <c:f>'Aux - Pivots2'!$C$133:$C$134</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B666-4CCE-9846-E24A498DDF73}"/>
            </c:ext>
          </c:extLst>
        </c:ser>
        <c:ser>
          <c:idx val="1"/>
          <c:order val="1"/>
          <c:tx>
            <c:strRef>
              <c:f>'Aux - Pivots2'!$D$133:$D$134</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23</c:v>
                </c:pt>
                <c:pt idx="1">
                  <c:v>39</c:v>
                </c:pt>
                <c:pt idx="2">
                  <c:v>16</c:v>
                </c:pt>
                <c:pt idx="3">
                  <c:v>5</c:v>
                </c:pt>
                <c:pt idx="4">
                  <c:v>4</c:v>
                </c:pt>
                <c:pt idx="5">
                  <c:v>2</c:v>
                </c:pt>
                <c:pt idx="6">
                  <c:v>9</c:v>
                </c:pt>
                <c:pt idx="7">
                  <c:v>15</c:v>
                </c:pt>
              </c:numCache>
            </c:numRef>
          </c:val>
          <c:extLst>
            <c:ext xmlns:c16="http://schemas.microsoft.com/office/drawing/2014/chart" uri="{C3380CC4-5D6E-409C-BE32-E72D297353CC}">
              <c16:uniqueId val="{00000001-B666-4CCE-9846-E24A498DDF73}"/>
            </c:ext>
          </c:extLst>
        </c:ser>
        <c:ser>
          <c:idx val="2"/>
          <c:order val="2"/>
          <c:tx>
            <c:strRef>
              <c:f>'Aux - Pivots2'!$E$133:$E$134</c:f>
              <c:strCache>
                <c:ptCount val="1"/>
                <c:pt idx="0">
                  <c:v>2.1 Em Teste</c:v>
                </c:pt>
              </c:strCache>
            </c:strRef>
          </c:tx>
          <c:spPr>
            <a:solidFill>
              <a:srgbClr val="FFCB32"/>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2">
                  <c:v>2</c:v>
                </c:pt>
              </c:numCache>
            </c:numRef>
          </c:val>
          <c:extLst>
            <c:ext xmlns:c16="http://schemas.microsoft.com/office/drawing/2014/chart" uri="{C3380CC4-5D6E-409C-BE32-E72D297353CC}">
              <c16:uniqueId val="{00000002-B666-4CCE-9846-E24A498DDF73}"/>
            </c:ext>
          </c:extLst>
        </c:ser>
        <c:ser>
          <c:idx val="3"/>
          <c:order val="3"/>
          <c:tx>
            <c:strRef>
              <c:f>'Aux - Pivots2'!$F$133:$F$134</c:f>
              <c:strCache>
                <c:ptCount val="1"/>
                <c:pt idx="0">
                  <c:v>2.2 Em especificação</c:v>
                </c:pt>
              </c:strCache>
            </c:strRef>
          </c:tx>
          <c:spPr>
            <a:solidFill>
              <a:srgbClr val="FFCB32">
                <a:lumMod val="5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6</c:v>
                </c:pt>
              </c:numCache>
            </c:numRef>
          </c:val>
          <c:extLst>
            <c:ext xmlns:c16="http://schemas.microsoft.com/office/drawing/2014/chart" uri="{C3380CC4-5D6E-409C-BE32-E72D297353CC}">
              <c16:uniqueId val="{00000004-E733-463A-8DBA-D2A43AB2796E}"/>
            </c:ext>
          </c:extLst>
        </c:ser>
        <c:ser>
          <c:idx val="4"/>
          <c:order val="4"/>
          <c:tx>
            <c:strRef>
              <c:f>'Aux - Pivots2'!$G$133:$G$134</c:f>
              <c:strCache>
                <c:ptCount val="1"/>
                <c:pt idx="0">
                  <c:v>4. Validação EF</c:v>
                </c:pt>
              </c:strCache>
            </c:strRef>
          </c:tx>
          <c:spPr>
            <a:solidFill>
              <a:srgbClr val="1AB2B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0">
                  <c:v>1</c:v>
                </c:pt>
                <c:pt idx="2">
                  <c:v>5</c:v>
                </c:pt>
                <c:pt idx="5">
                  <c:v>1</c:v>
                </c:pt>
              </c:numCache>
            </c:numRef>
          </c:val>
          <c:extLst>
            <c:ext xmlns:c16="http://schemas.microsoft.com/office/drawing/2014/chart" uri="{C3380CC4-5D6E-409C-BE32-E72D297353CC}">
              <c16:uniqueId val="{00000004-670B-48F6-A1F2-B1B2F1A7DC19}"/>
            </c:ext>
          </c:extLst>
        </c:ser>
        <c:ser>
          <c:idx val="5"/>
          <c:order val="5"/>
          <c:tx>
            <c:strRef>
              <c:f>'Aux - Pivots2'!$H$133:$H$134</c:f>
              <c:strCache>
                <c:ptCount val="1"/>
                <c:pt idx="0">
                  <c:v>6. Em implementação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Pivots2'!$H$135:$H$143</c:f>
              <c:numCache>
                <c:formatCode>General</c:formatCode>
                <c:ptCount val="8"/>
                <c:pt idx="0">
                  <c:v>16</c:v>
                </c:pt>
                <c:pt idx="1">
                  <c:v>28</c:v>
                </c:pt>
                <c:pt idx="2">
                  <c:v>20</c:v>
                </c:pt>
                <c:pt idx="4">
                  <c:v>2</c:v>
                </c:pt>
                <c:pt idx="5">
                  <c:v>8</c:v>
                </c:pt>
              </c:numCache>
            </c:numRef>
          </c:val>
          <c:extLst>
            <c:ext xmlns:c16="http://schemas.microsoft.com/office/drawing/2014/chart" uri="{C3380CC4-5D6E-409C-BE32-E72D297353CC}">
              <c16:uniqueId val="{00000015-7F89-4DE2-845B-F5F7C1FF45FB}"/>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7.5.xlsx]Aux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Pivots2'!$C$49:$C$50</c:f>
              <c:strCache>
                <c:ptCount val="1"/>
                <c:pt idx="0">
                  <c:v>0. Cancelado</c:v>
                </c:pt>
              </c:strCache>
            </c:strRef>
          </c:tx>
          <c:spPr>
            <a:solidFill>
              <a:schemeClr val="tx2"/>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pt idx="5">
                  <c:v>2</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72</c:v>
                </c:pt>
                <c:pt idx="2">
                  <c:v>31</c:v>
                </c:pt>
                <c:pt idx="3">
                  <c:v>14</c:v>
                </c:pt>
                <c:pt idx="4">
                  <c:v>14</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2.1 Em Teste</c:v>
                </c:pt>
              </c:strCache>
            </c:strRef>
          </c:tx>
          <c:spPr>
            <a:solidFill>
              <a:schemeClr val="accent6"/>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2</c:v>
                </c:pt>
                <c:pt idx="5">
                  <c:v>44</c:v>
                </c:pt>
              </c:numCache>
            </c:numRef>
          </c:val>
          <c:extLst>
            <c:ext xmlns:c16="http://schemas.microsoft.com/office/drawing/2014/chart" uri="{C3380CC4-5D6E-409C-BE32-E72D297353CC}">
              <c16:uniqueId val="{00000002-B666-4CCE-9846-E24A498DDF73}"/>
            </c:ext>
          </c:extLst>
        </c:ser>
        <c:ser>
          <c:idx val="3"/>
          <c:order val="3"/>
          <c:tx>
            <c:strRef>
              <c:f>'Aux - Pivots2'!$F$49:$F$50</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Pivots2'!$F$51:$F$57</c:f>
              <c:numCache>
                <c:formatCode>General</c:formatCode>
                <c:ptCount val="6"/>
                <c:pt idx="1">
                  <c:v>2</c:v>
                </c:pt>
              </c:numCache>
            </c:numRef>
          </c:val>
          <c:extLst>
            <c:ext xmlns:c16="http://schemas.microsoft.com/office/drawing/2014/chart" uri="{C3380CC4-5D6E-409C-BE32-E72D297353CC}">
              <c16:uniqueId val="{00000004-E733-463A-8DBA-D2A43AB2796E}"/>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7.5.xlsx]Aux - Pivots2!PivotTable6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5"/>
        <c:spPr>
          <a:solidFill>
            <a:schemeClr val="accent4"/>
          </a:solidFill>
          <a:ln w="19050">
            <a:solidFill>
              <a:schemeClr val="lt1"/>
            </a:solidFill>
          </a:ln>
          <a:effectLst/>
        </c:spPr>
      </c:pivotFmt>
      <c:pivotFmt>
        <c:idx val="6"/>
        <c:spPr>
          <a:solidFill>
            <a:schemeClr val="bg1">
              <a:lumMod val="85000"/>
            </a:schemeClr>
          </a:solidFill>
          <a:ln w="19050">
            <a:solidFill>
              <a:schemeClr val="lt1"/>
            </a:solidFill>
          </a:ln>
          <a:effectLst/>
        </c:spPr>
      </c:pivotFmt>
      <c:pivotFmt>
        <c:idx val="7"/>
        <c:spPr>
          <a:solidFill>
            <a:srgbClr val="FF0000"/>
          </a:solidFill>
          <a:ln w="19050">
            <a:solidFill>
              <a:schemeClr val="lt1"/>
            </a:solidFill>
          </a:ln>
          <a:effectLst/>
        </c:spPr>
      </c:pivotFmt>
      <c:pivotFmt>
        <c:idx val="8"/>
        <c:spPr>
          <a:solidFill>
            <a:schemeClr val="accent5"/>
          </a:solidFill>
          <a:ln w="19050">
            <a:solidFill>
              <a:schemeClr val="lt1"/>
            </a:solidFill>
          </a:ln>
          <a:effectLst/>
        </c:spPr>
      </c:pivotFmt>
      <c:pivotFmt>
        <c:idx val="9"/>
        <c:spPr>
          <a:solidFill>
            <a:schemeClr val="accent4"/>
          </a:solidFill>
          <a:ln w="19050">
            <a:solidFill>
              <a:schemeClr val="lt1"/>
            </a:solidFill>
          </a:ln>
          <a:effectLst/>
        </c:spPr>
      </c:pivotFmt>
    </c:pivotFmts>
    <c:plotArea>
      <c:layout/>
      <c:doughnutChart>
        <c:varyColors val="1"/>
        <c:ser>
          <c:idx val="0"/>
          <c:order val="0"/>
          <c:tx>
            <c:strRef>
              <c:f>'Aux - Pivots2'!$C$172</c:f>
              <c:strCache>
                <c:ptCount val="1"/>
                <c:pt idx="0">
                  <c:v>Total</c:v>
                </c:pt>
              </c:strCache>
            </c:strRef>
          </c:tx>
          <c:spPr>
            <a:solidFill>
              <a:schemeClr val="accent4"/>
            </a:solidFill>
          </c:spPr>
          <c:dPt>
            <c:idx val="0"/>
            <c:bubble3D val="0"/>
            <c:spPr>
              <a:solidFill>
                <a:schemeClr val="accent5"/>
              </a:solidFill>
              <a:ln w="19050">
                <a:solidFill>
                  <a:schemeClr val="lt1"/>
                </a:solidFill>
              </a:ln>
              <a:effectLst/>
            </c:spPr>
            <c:extLst>
              <c:ext xmlns:c16="http://schemas.microsoft.com/office/drawing/2014/chart" uri="{C3380CC4-5D6E-409C-BE32-E72D297353CC}">
                <c16:uniqueId val="{00000001-0544-4AE3-A745-E99D5235D4A5}"/>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0544-4AE3-A745-E99D5235D4A5}"/>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410E-402E-8C20-FFB060CE0A7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Pivots2'!$B$173:$B$175</c:f>
              <c:strCache>
                <c:ptCount val="2"/>
                <c:pt idx="0">
                  <c:v>4. Validação EF</c:v>
                </c:pt>
                <c:pt idx="1">
                  <c:v>6. Em implementação </c:v>
                </c:pt>
              </c:strCache>
            </c:strRef>
          </c:cat>
          <c:val>
            <c:numRef>
              <c:f>'Aux - Pivots2'!$C$173:$C$175</c:f>
              <c:numCache>
                <c:formatCode>General</c:formatCode>
                <c:ptCount val="2"/>
                <c:pt idx="0">
                  <c:v>4</c:v>
                </c:pt>
                <c:pt idx="1">
                  <c:v>67</c:v>
                </c:pt>
              </c:numCache>
            </c:numRef>
          </c:val>
          <c:extLst>
            <c:ext xmlns:c16="http://schemas.microsoft.com/office/drawing/2014/chart" uri="{C3380CC4-5D6E-409C-BE32-E72D297353CC}">
              <c16:uniqueId val="{00000004-0544-4AE3-A745-E99D5235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7.5.xlsx]Aux - Pivots2!PivotTable12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bg1">
              <a:lumMod val="8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bg2">
              <a:lumMod val="50000"/>
            </a:schemeClr>
          </a:solidFill>
          <a:ln w="19050">
            <a:solidFill>
              <a:schemeClr val="lt1"/>
            </a:solidFill>
          </a:ln>
          <a:effectLst/>
        </c:spPr>
        <c:dLbl>
          <c:idx val="0"/>
          <c:layout>
            <c:manualLayout>
              <c:x val="1.034680536274101E-2"/>
              <c:y val="-6.17204785902027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1"/>
          </a:solidFill>
          <a:ln w="19050">
            <a:solidFill>
              <a:schemeClr val="lt1"/>
            </a:solidFill>
          </a:ln>
          <a:effectLst/>
        </c:spPr>
        <c:dLbl>
          <c:idx val="0"/>
          <c:layout>
            <c:manualLayout>
              <c:x val="1.0346805362741072E-2"/>
              <c:y val="1.37156619089339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7"/>
        <c:spPr>
          <a:solidFill>
            <a:schemeClr val="accent5">
              <a:lumMod val="75000"/>
            </a:schemeClr>
          </a:solidFill>
          <a:ln w="19050">
            <a:solidFill>
              <a:schemeClr val="lt1"/>
            </a:solidFill>
          </a:ln>
          <a:effectLst/>
        </c:spPr>
      </c:pivotFmt>
      <c:pivotFmt>
        <c:idx val="18"/>
        <c:spPr>
          <a:solidFill>
            <a:schemeClr val="bg1">
              <a:lumMod val="85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0"/>
        <c:spPr>
          <a:solidFill>
            <a:schemeClr val="accent4"/>
          </a:solidFill>
          <a:ln w="19050">
            <a:solidFill>
              <a:schemeClr val="lt1"/>
            </a:solidFill>
          </a:ln>
          <a:effectLst/>
        </c:spPr>
      </c:pivotFmt>
      <c:pivotFmt>
        <c:idx val="21"/>
        <c:spPr>
          <a:solidFill>
            <a:schemeClr val="accent6">
              <a:lumMod val="50000"/>
            </a:schemeClr>
          </a:solidFill>
          <a:ln w="19050">
            <a:solidFill>
              <a:schemeClr val="lt1"/>
            </a:solidFill>
          </a:ln>
          <a:effectLst/>
        </c:spPr>
        <c:dLbl>
          <c:idx val="0"/>
          <c:layout>
            <c:manualLayout>
              <c:x val="-1.3795740483654732E-2"/>
              <c:y val="-2.05734928634009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2"/>
        <c:spPr>
          <a:solidFill>
            <a:srgbClr val="FF0000"/>
          </a:solidFill>
          <a:ln w="19050">
            <a:solidFill>
              <a:schemeClr val="lt1"/>
            </a:solidFill>
          </a:ln>
          <a:effectLst/>
        </c:spPr>
        <c:dLbl>
          <c:idx val="0"/>
          <c:layout>
            <c:manualLayout>
              <c:x val="0"/>
              <c:y val="-5.486264763573577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3"/>
        <c:spPr>
          <a:solidFill>
            <a:schemeClr val="accent6"/>
          </a:solidFill>
          <a:ln w="19050">
            <a:solidFill>
              <a:schemeClr val="lt1"/>
            </a:solidFill>
          </a:ln>
          <a:effectLst/>
        </c:spPr>
      </c:pivotFmt>
    </c:pivotFmts>
    <c:plotArea>
      <c:layout/>
      <c:doughnutChart>
        <c:varyColors val="1"/>
        <c:ser>
          <c:idx val="0"/>
          <c:order val="0"/>
          <c:tx>
            <c:strRef>
              <c:f>'Aux - Pivots2'!$C$204</c:f>
              <c:strCache>
                <c:ptCount val="1"/>
                <c:pt idx="0">
                  <c:v>Total</c:v>
                </c:pt>
              </c:strCache>
            </c:strRef>
          </c:tx>
          <c:dPt>
            <c:idx val="0"/>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1-70D5-4610-98D7-ECBC295C6D2D}"/>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70D5-4610-98D7-ECBC295C6D2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70D5-4610-98D7-ECBC295C6D2D}"/>
              </c:ext>
            </c:extLst>
          </c:dPt>
          <c:dPt>
            <c:idx val="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7-70D5-4610-98D7-ECBC295C6D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0D5-4610-98D7-ECBC295C6D2D}"/>
              </c:ext>
            </c:extLst>
          </c:dPt>
          <c:dPt>
            <c:idx val="5"/>
            <c:bubble3D val="0"/>
            <c:spPr>
              <a:solidFill>
                <a:srgbClr val="FF0000"/>
              </a:solidFill>
              <a:ln w="19050">
                <a:solidFill>
                  <a:schemeClr val="lt1"/>
                </a:solidFill>
              </a:ln>
              <a:effectLst/>
            </c:spPr>
            <c:extLst>
              <c:ext xmlns:c16="http://schemas.microsoft.com/office/drawing/2014/chart" uri="{C3380CC4-5D6E-409C-BE32-E72D297353CC}">
                <c16:uniqueId val="{0000000B-70D5-4610-98D7-ECBC295C6D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B33-4144-BD97-FF5E4B42627E}"/>
              </c:ext>
            </c:extLst>
          </c:dPt>
          <c:dLbls>
            <c:dLbl>
              <c:idx val="0"/>
              <c:layout>
                <c:manualLayout>
                  <c:x val="1.034680536274101E-2"/>
                  <c:y val="-6.17204785902027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70D5-4610-98D7-ECBC295C6D2D}"/>
                </c:ext>
              </c:extLst>
            </c:dLbl>
            <c:dLbl>
              <c:idx val="3"/>
              <c:layout>
                <c:manualLayout>
                  <c:x val="-1.3795740483654732E-2"/>
                  <c:y val="-2.0573492863400916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70D5-4610-98D7-ECBC295C6D2D}"/>
                </c:ext>
              </c:extLst>
            </c:dLbl>
            <c:dLbl>
              <c:idx val="4"/>
              <c:layout>
                <c:manualLayout>
                  <c:x val="1.0346805362741072E-2"/>
                  <c:y val="1.3715661908933944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70D5-4610-98D7-ECBC295C6D2D}"/>
                </c:ext>
              </c:extLst>
            </c:dLbl>
            <c:dLbl>
              <c:idx val="5"/>
              <c:layout>
                <c:manualLayout>
                  <c:x val="0"/>
                  <c:y val="-5.4862647635735777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B-70D5-4610-98D7-ECBC295C6D2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Pivots2'!$B$205:$B$211</c:f>
              <c:strCache>
                <c:ptCount val="6"/>
                <c:pt idx="0">
                  <c:v>0. Cancelado</c:v>
                </c:pt>
                <c:pt idx="1">
                  <c:v>1. Concluído</c:v>
                </c:pt>
                <c:pt idx="2">
                  <c:v>2.1 Em Teste</c:v>
                </c:pt>
                <c:pt idx="3">
                  <c:v>2.2 Em especificação</c:v>
                </c:pt>
                <c:pt idx="4">
                  <c:v>4. Validação EF</c:v>
                </c:pt>
                <c:pt idx="5">
                  <c:v>6. Em implementação </c:v>
                </c:pt>
              </c:strCache>
            </c:strRef>
          </c:cat>
          <c:val>
            <c:numRef>
              <c:f>'Aux - Pivots2'!$C$205:$C$211</c:f>
              <c:numCache>
                <c:formatCode>General</c:formatCode>
                <c:ptCount val="6"/>
                <c:pt idx="0">
                  <c:v>4</c:v>
                </c:pt>
                <c:pt idx="1">
                  <c:v>113</c:v>
                </c:pt>
                <c:pt idx="2">
                  <c:v>2</c:v>
                </c:pt>
                <c:pt idx="3">
                  <c:v>6</c:v>
                </c:pt>
                <c:pt idx="4">
                  <c:v>3</c:v>
                </c:pt>
                <c:pt idx="5">
                  <c:v>7</c:v>
                </c:pt>
              </c:numCache>
            </c:numRef>
          </c:val>
          <c:extLst>
            <c:ext xmlns:c16="http://schemas.microsoft.com/office/drawing/2014/chart" uri="{C3380CC4-5D6E-409C-BE32-E72D297353CC}">
              <c16:uniqueId val="{0000000C-70D5-4610-98D7-ECBC295C6D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8.xml"/><Relationship Id="rId5" Type="http://schemas.openxmlformats.org/officeDocument/2006/relationships/chart" Target="../charts/chart4.xml"/><Relationship Id="rId10" Type="http://schemas.openxmlformats.org/officeDocument/2006/relationships/image" Target="../media/image2.svg"/><Relationship Id="rId4" Type="http://schemas.openxmlformats.org/officeDocument/2006/relationships/chart" Target="../charts/chart3.xml"/><Relationship Id="rId9"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129593</xdr:colOff>
      <xdr:row>44</xdr:row>
      <xdr:rowOff>146050</xdr:rowOff>
    </xdr:from>
    <xdr:to>
      <xdr:col>6</xdr:col>
      <xdr:colOff>251193</xdr:colOff>
      <xdr:row>78</xdr:row>
      <xdr:rowOff>29350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51</xdr:row>
      <xdr:rowOff>56603</xdr:rowOff>
    </xdr:from>
    <xdr:to>
      <xdr:col>14</xdr:col>
      <xdr:colOff>631909</xdr:colOff>
      <xdr:row>51</xdr:row>
      <xdr:rowOff>167783</xdr:rowOff>
    </xdr:to>
    <xdr:sp macro="" textlink="">
      <xdr:nvSpPr>
        <xdr:cNvPr id="4" name="Oval 3">
          <a:extLst>
            <a:ext uri="{FF2B5EF4-FFF2-40B4-BE49-F238E27FC236}">
              <a16:creationId xmlns:a16="http://schemas.microsoft.com/office/drawing/2014/main" id="{00000000-0008-0000-01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54</xdr:row>
      <xdr:rowOff>58238</xdr:rowOff>
    </xdr:from>
    <xdr:to>
      <xdr:col>14</xdr:col>
      <xdr:colOff>628099</xdr:colOff>
      <xdr:row>54</xdr:row>
      <xdr:rowOff>169418</xdr:rowOff>
    </xdr:to>
    <xdr:sp macro="" textlink="">
      <xdr:nvSpPr>
        <xdr:cNvPr id="5" name="Oval 4">
          <a:extLst>
            <a:ext uri="{FF2B5EF4-FFF2-40B4-BE49-F238E27FC236}">
              <a16:creationId xmlns:a16="http://schemas.microsoft.com/office/drawing/2014/main" id="{00000000-0008-0000-01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57</xdr:row>
      <xdr:rowOff>56063</xdr:rowOff>
    </xdr:from>
    <xdr:to>
      <xdr:col>14</xdr:col>
      <xdr:colOff>628099</xdr:colOff>
      <xdr:row>57</xdr:row>
      <xdr:rowOff>167243</xdr:rowOff>
    </xdr:to>
    <xdr:sp macro="" textlink="">
      <xdr:nvSpPr>
        <xdr:cNvPr id="7" name="Oval 6">
          <a:extLst>
            <a:ext uri="{FF2B5EF4-FFF2-40B4-BE49-F238E27FC236}">
              <a16:creationId xmlns:a16="http://schemas.microsoft.com/office/drawing/2014/main" id="{00000000-0008-0000-01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63</xdr:row>
      <xdr:rowOff>59332</xdr:rowOff>
    </xdr:from>
    <xdr:to>
      <xdr:col>14</xdr:col>
      <xdr:colOff>628099</xdr:colOff>
      <xdr:row>63</xdr:row>
      <xdr:rowOff>176227</xdr:rowOff>
    </xdr:to>
    <xdr:sp macro="" textlink="">
      <xdr:nvSpPr>
        <xdr:cNvPr id="8" name="Oval 7">
          <a:extLst>
            <a:ext uri="{FF2B5EF4-FFF2-40B4-BE49-F238E27FC236}">
              <a16:creationId xmlns:a16="http://schemas.microsoft.com/office/drawing/2014/main" id="{00000000-0008-0000-01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69</xdr:row>
      <xdr:rowOff>58791</xdr:rowOff>
    </xdr:from>
    <xdr:to>
      <xdr:col>14</xdr:col>
      <xdr:colOff>628099</xdr:colOff>
      <xdr:row>69</xdr:row>
      <xdr:rowOff>171876</xdr:rowOff>
    </xdr:to>
    <xdr:sp macro="" textlink="">
      <xdr:nvSpPr>
        <xdr:cNvPr id="12" name="Oval 11">
          <a:extLst>
            <a:ext uri="{FF2B5EF4-FFF2-40B4-BE49-F238E27FC236}">
              <a16:creationId xmlns:a16="http://schemas.microsoft.com/office/drawing/2014/main" id="{00000000-0008-0000-01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75</xdr:row>
      <xdr:rowOff>60155</xdr:rowOff>
    </xdr:from>
    <xdr:to>
      <xdr:col>14</xdr:col>
      <xdr:colOff>631909</xdr:colOff>
      <xdr:row>75</xdr:row>
      <xdr:rowOff>171335</xdr:rowOff>
    </xdr:to>
    <xdr:sp macro="" textlink="">
      <xdr:nvSpPr>
        <xdr:cNvPr id="13" name="Oval 12">
          <a:extLst>
            <a:ext uri="{FF2B5EF4-FFF2-40B4-BE49-F238E27FC236}">
              <a16:creationId xmlns:a16="http://schemas.microsoft.com/office/drawing/2014/main" id="{00000000-0008-0000-01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72</xdr:row>
      <xdr:rowOff>58521</xdr:rowOff>
    </xdr:from>
    <xdr:to>
      <xdr:col>14</xdr:col>
      <xdr:colOff>628099</xdr:colOff>
      <xdr:row>72</xdr:row>
      <xdr:rowOff>169701</xdr:rowOff>
    </xdr:to>
    <xdr:sp macro="" textlink="">
      <xdr:nvSpPr>
        <xdr:cNvPr id="14" name="Oval 13">
          <a:extLst>
            <a:ext uri="{FF2B5EF4-FFF2-40B4-BE49-F238E27FC236}">
              <a16:creationId xmlns:a16="http://schemas.microsoft.com/office/drawing/2014/main" id="{00000000-0008-0000-01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96</xdr:row>
      <xdr:rowOff>60414</xdr:rowOff>
    </xdr:from>
    <xdr:to>
      <xdr:col>14</xdr:col>
      <xdr:colOff>621111</xdr:colOff>
      <xdr:row>96</xdr:row>
      <xdr:rowOff>174129</xdr:rowOff>
    </xdr:to>
    <xdr:sp macro="" textlink="">
      <xdr:nvSpPr>
        <xdr:cNvPr id="17" name="Oval 16">
          <a:extLst>
            <a:ext uri="{FF2B5EF4-FFF2-40B4-BE49-F238E27FC236}">
              <a16:creationId xmlns:a16="http://schemas.microsoft.com/office/drawing/2014/main" id="{00000000-0008-0000-01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99</xdr:row>
      <xdr:rowOff>56941</xdr:rowOff>
    </xdr:from>
    <xdr:to>
      <xdr:col>14</xdr:col>
      <xdr:colOff>624921</xdr:colOff>
      <xdr:row>99</xdr:row>
      <xdr:rowOff>176371</xdr:rowOff>
    </xdr:to>
    <xdr:sp macro="" textlink="">
      <xdr:nvSpPr>
        <xdr:cNvPr id="18" name="Oval 17">
          <a:extLst>
            <a:ext uri="{FF2B5EF4-FFF2-40B4-BE49-F238E27FC236}">
              <a16:creationId xmlns:a16="http://schemas.microsoft.com/office/drawing/2014/main" id="{00000000-0008-0000-01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102</xdr:row>
      <xdr:rowOff>62994</xdr:rowOff>
    </xdr:from>
    <xdr:to>
      <xdr:col>14</xdr:col>
      <xdr:colOff>624921</xdr:colOff>
      <xdr:row>102</xdr:row>
      <xdr:rowOff>172899</xdr:rowOff>
    </xdr:to>
    <xdr:sp macro="" textlink="">
      <xdr:nvSpPr>
        <xdr:cNvPr id="19" name="Oval 18">
          <a:extLst>
            <a:ext uri="{FF2B5EF4-FFF2-40B4-BE49-F238E27FC236}">
              <a16:creationId xmlns:a16="http://schemas.microsoft.com/office/drawing/2014/main" id="{00000000-0008-0000-01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108</xdr:row>
      <xdr:rowOff>66849</xdr:rowOff>
    </xdr:from>
    <xdr:to>
      <xdr:col>14</xdr:col>
      <xdr:colOff>625339</xdr:colOff>
      <xdr:row>108</xdr:row>
      <xdr:rowOff>174429</xdr:rowOff>
    </xdr:to>
    <xdr:sp macro="" textlink="">
      <xdr:nvSpPr>
        <xdr:cNvPr id="20" name="Oval 19">
          <a:extLst>
            <a:ext uri="{FF2B5EF4-FFF2-40B4-BE49-F238E27FC236}">
              <a16:creationId xmlns:a16="http://schemas.microsoft.com/office/drawing/2014/main" id="{00000000-0008-0000-01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111</xdr:row>
      <xdr:rowOff>61051</xdr:rowOff>
    </xdr:from>
    <xdr:to>
      <xdr:col>14</xdr:col>
      <xdr:colOff>624921</xdr:colOff>
      <xdr:row>111</xdr:row>
      <xdr:rowOff>176671</xdr:rowOff>
    </xdr:to>
    <xdr:sp macro="" textlink="">
      <xdr:nvSpPr>
        <xdr:cNvPr id="21" name="Oval 20">
          <a:extLst>
            <a:ext uri="{FF2B5EF4-FFF2-40B4-BE49-F238E27FC236}">
              <a16:creationId xmlns:a16="http://schemas.microsoft.com/office/drawing/2014/main" id="{00000000-0008-0000-01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114</xdr:row>
      <xdr:rowOff>63293</xdr:rowOff>
    </xdr:from>
    <xdr:to>
      <xdr:col>14</xdr:col>
      <xdr:colOff>624921</xdr:colOff>
      <xdr:row>114</xdr:row>
      <xdr:rowOff>177008</xdr:rowOff>
    </xdr:to>
    <xdr:sp macro="" textlink="">
      <xdr:nvSpPr>
        <xdr:cNvPr id="22" name="Oval 21">
          <a:extLst>
            <a:ext uri="{FF2B5EF4-FFF2-40B4-BE49-F238E27FC236}">
              <a16:creationId xmlns:a16="http://schemas.microsoft.com/office/drawing/2014/main" id="{00000000-0008-0000-01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120</xdr:row>
      <xdr:rowOff>56346</xdr:rowOff>
    </xdr:from>
    <xdr:to>
      <xdr:col>14</xdr:col>
      <xdr:colOff>621111</xdr:colOff>
      <xdr:row>120</xdr:row>
      <xdr:rowOff>173871</xdr:rowOff>
    </xdr:to>
    <xdr:sp macro="" textlink="">
      <xdr:nvSpPr>
        <xdr:cNvPr id="23" name="Oval 22">
          <a:extLst>
            <a:ext uri="{FF2B5EF4-FFF2-40B4-BE49-F238E27FC236}">
              <a16:creationId xmlns:a16="http://schemas.microsoft.com/office/drawing/2014/main" id="{00000000-0008-0000-01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117</xdr:row>
      <xdr:rowOff>63629</xdr:rowOff>
    </xdr:from>
    <xdr:to>
      <xdr:col>14</xdr:col>
      <xdr:colOff>624921</xdr:colOff>
      <xdr:row>117</xdr:row>
      <xdr:rowOff>173534</xdr:rowOff>
    </xdr:to>
    <xdr:sp macro="" textlink="">
      <xdr:nvSpPr>
        <xdr:cNvPr id="24" name="Oval 23">
          <a:extLst>
            <a:ext uri="{FF2B5EF4-FFF2-40B4-BE49-F238E27FC236}">
              <a16:creationId xmlns:a16="http://schemas.microsoft.com/office/drawing/2014/main" id="{00000000-0008-0000-01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152</xdr:row>
      <xdr:rowOff>56604</xdr:rowOff>
    </xdr:from>
    <xdr:to>
      <xdr:col>14</xdr:col>
      <xdr:colOff>624919</xdr:colOff>
      <xdr:row>152</xdr:row>
      <xdr:rowOff>170319</xdr:rowOff>
    </xdr:to>
    <xdr:sp macro="" textlink="">
      <xdr:nvSpPr>
        <xdr:cNvPr id="25" name="Oval 24">
          <a:extLst>
            <a:ext uri="{FF2B5EF4-FFF2-40B4-BE49-F238E27FC236}">
              <a16:creationId xmlns:a16="http://schemas.microsoft.com/office/drawing/2014/main" id="{00000000-0008-0000-01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156</xdr:row>
      <xdr:rowOff>58608</xdr:rowOff>
    </xdr:from>
    <xdr:to>
      <xdr:col>14</xdr:col>
      <xdr:colOff>628729</xdr:colOff>
      <xdr:row>156</xdr:row>
      <xdr:rowOff>170418</xdr:rowOff>
    </xdr:to>
    <xdr:sp macro="" textlink="">
      <xdr:nvSpPr>
        <xdr:cNvPr id="26" name="Oval 25">
          <a:extLst>
            <a:ext uri="{FF2B5EF4-FFF2-40B4-BE49-F238E27FC236}">
              <a16:creationId xmlns:a16="http://schemas.microsoft.com/office/drawing/2014/main" id="{00000000-0008-0000-01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160</xdr:row>
      <xdr:rowOff>54897</xdr:rowOff>
    </xdr:from>
    <xdr:to>
      <xdr:col>14</xdr:col>
      <xdr:colOff>628729</xdr:colOff>
      <xdr:row>160</xdr:row>
      <xdr:rowOff>172422</xdr:rowOff>
    </xdr:to>
    <xdr:sp macro="" textlink="">
      <xdr:nvSpPr>
        <xdr:cNvPr id="27" name="Oval 26">
          <a:extLst>
            <a:ext uri="{FF2B5EF4-FFF2-40B4-BE49-F238E27FC236}">
              <a16:creationId xmlns:a16="http://schemas.microsoft.com/office/drawing/2014/main" id="{00000000-0008-0000-01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168</xdr:row>
      <xdr:rowOff>63989</xdr:rowOff>
    </xdr:from>
    <xdr:to>
      <xdr:col>14</xdr:col>
      <xdr:colOff>625339</xdr:colOff>
      <xdr:row>168</xdr:row>
      <xdr:rowOff>171569</xdr:rowOff>
    </xdr:to>
    <xdr:sp macro="" textlink="">
      <xdr:nvSpPr>
        <xdr:cNvPr id="28" name="Oval 27">
          <a:extLst>
            <a:ext uri="{FF2B5EF4-FFF2-40B4-BE49-F238E27FC236}">
              <a16:creationId xmlns:a16="http://schemas.microsoft.com/office/drawing/2014/main" id="{00000000-0008-0000-01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172</xdr:row>
      <xdr:rowOff>56048</xdr:rowOff>
    </xdr:from>
    <xdr:to>
      <xdr:col>14</xdr:col>
      <xdr:colOff>628729</xdr:colOff>
      <xdr:row>172</xdr:row>
      <xdr:rowOff>171668</xdr:rowOff>
    </xdr:to>
    <xdr:sp macro="" textlink="">
      <xdr:nvSpPr>
        <xdr:cNvPr id="29" name="Oval 28">
          <a:extLst>
            <a:ext uri="{FF2B5EF4-FFF2-40B4-BE49-F238E27FC236}">
              <a16:creationId xmlns:a16="http://schemas.microsoft.com/office/drawing/2014/main" id="{00000000-0008-0000-01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176</xdr:row>
      <xdr:rowOff>56146</xdr:rowOff>
    </xdr:from>
    <xdr:to>
      <xdr:col>14</xdr:col>
      <xdr:colOff>628729</xdr:colOff>
      <xdr:row>176</xdr:row>
      <xdr:rowOff>169861</xdr:rowOff>
    </xdr:to>
    <xdr:sp macro="" textlink="">
      <xdr:nvSpPr>
        <xdr:cNvPr id="30" name="Oval 29">
          <a:extLst>
            <a:ext uri="{FF2B5EF4-FFF2-40B4-BE49-F238E27FC236}">
              <a16:creationId xmlns:a16="http://schemas.microsoft.com/office/drawing/2014/main" id="{00000000-0008-0000-01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184</xdr:row>
      <xdr:rowOff>60156</xdr:rowOff>
    </xdr:from>
    <xdr:to>
      <xdr:col>14</xdr:col>
      <xdr:colOff>624919</xdr:colOff>
      <xdr:row>184</xdr:row>
      <xdr:rowOff>170061</xdr:rowOff>
    </xdr:to>
    <xdr:sp macro="" textlink="">
      <xdr:nvSpPr>
        <xdr:cNvPr id="31" name="Oval 30">
          <a:extLst>
            <a:ext uri="{FF2B5EF4-FFF2-40B4-BE49-F238E27FC236}">
              <a16:creationId xmlns:a16="http://schemas.microsoft.com/office/drawing/2014/main" id="{00000000-0008-0000-01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180</xdr:row>
      <xdr:rowOff>54340</xdr:rowOff>
    </xdr:from>
    <xdr:to>
      <xdr:col>14</xdr:col>
      <xdr:colOff>628729</xdr:colOff>
      <xdr:row>180</xdr:row>
      <xdr:rowOff>171865</xdr:rowOff>
    </xdr:to>
    <xdr:sp macro="" textlink="">
      <xdr:nvSpPr>
        <xdr:cNvPr id="32" name="Oval 31">
          <a:extLst>
            <a:ext uri="{FF2B5EF4-FFF2-40B4-BE49-F238E27FC236}">
              <a16:creationId xmlns:a16="http://schemas.microsoft.com/office/drawing/2014/main" id="{00000000-0008-0000-01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355001</xdr:colOff>
      <xdr:row>95</xdr:row>
      <xdr:rowOff>76535</xdr:rowOff>
    </xdr:from>
    <xdr:to>
      <xdr:col>14</xdr:col>
      <xdr:colOff>246753</xdr:colOff>
      <xdr:row>138</xdr:row>
      <xdr:rowOff>181428</xdr:rowOff>
    </xdr:to>
    <xdr:graphicFrame macro="">
      <xdr:nvGraphicFramePr>
        <xdr:cNvPr id="33" name="Chart 32">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98</xdr:row>
      <xdr:rowOff>76200</xdr:rowOff>
    </xdr:from>
    <xdr:to>
      <xdr:col>5</xdr:col>
      <xdr:colOff>465667</xdr:colOff>
      <xdr:row>116</xdr:row>
      <xdr:rowOff>189389</xdr:rowOff>
    </xdr:to>
    <xdr:graphicFrame macro="">
      <xdr:nvGraphicFramePr>
        <xdr:cNvPr id="34" name="Chart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151</xdr:row>
      <xdr:rowOff>37660</xdr:rowOff>
    </xdr:from>
    <xdr:to>
      <xdr:col>14</xdr:col>
      <xdr:colOff>401732</xdr:colOff>
      <xdr:row>193</xdr:row>
      <xdr:rowOff>63500</xdr:rowOff>
    </xdr:to>
    <xdr:graphicFrame macro="">
      <xdr:nvGraphicFramePr>
        <xdr:cNvPr id="35" name="Chart 34">
          <a:extLst>
            <a:ext uri="{FF2B5EF4-FFF2-40B4-BE49-F238E27FC236}">
              <a16:creationId xmlns:a16="http://schemas.microsoft.com/office/drawing/2014/main" id="{00000000-0008-0000-01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208</xdr:row>
      <xdr:rowOff>0</xdr:rowOff>
    </xdr:from>
    <xdr:to>
      <xdr:col>14</xdr:col>
      <xdr:colOff>621111</xdr:colOff>
      <xdr:row>208</xdr:row>
      <xdr:rowOff>0</xdr:rowOff>
    </xdr:to>
    <xdr:sp macro="" textlink="">
      <xdr:nvSpPr>
        <xdr:cNvPr id="37" name="Oval 36">
          <a:extLst>
            <a:ext uri="{FF2B5EF4-FFF2-40B4-BE49-F238E27FC236}">
              <a16:creationId xmlns:a16="http://schemas.microsoft.com/office/drawing/2014/main" id="{00000000-0008-0000-01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208</xdr:row>
      <xdr:rowOff>0</xdr:rowOff>
    </xdr:from>
    <xdr:to>
      <xdr:col>14</xdr:col>
      <xdr:colOff>621111</xdr:colOff>
      <xdr:row>208</xdr:row>
      <xdr:rowOff>0</xdr:rowOff>
    </xdr:to>
    <xdr:sp macro="" textlink="">
      <xdr:nvSpPr>
        <xdr:cNvPr id="38" name="Oval 37">
          <a:extLst>
            <a:ext uri="{FF2B5EF4-FFF2-40B4-BE49-F238E27FC236}">
              <a16:creationId xmlns:a16="http://schemas.microsoft.com/office/drawing/2014/main" id="{00000000-0008-0000-01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208</xdr:row>
      <xdr:rowOff>0</xdr:rowOff>
    </xdr:from>
    <xdr:to>
      <xdr:col>14</xdr:col>
      <xdr:colOff>621111</xdr:colOff>
      <xdr:row>208</xdr:row>
      <xdr:rowOff>0</xdr:rowOff>
    </xdr:to>
    <xdr:sp macro="" textlink="">
      <xdr:nvSpPr>
        <xdr:cNvPr id="39" name="Oval 38">
          <a:extLst>
            <a:ext uri="{FF2B5EF4-FFF2-40B4-BE49-F238E27FC236}">
              <a16:creationId xmlns:a16="http://schemas.microsoft.com/office/drawing/2014/main" id="{00000000-0008-0000-01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208</xdr:row>
      <xdr:rowOff>0</xdr:rowOff>
    </xdr:from>
    <xdr:to>
      <xdr:col>14</xdr:col>
      <xdr:colOff>632959</xdr:colOff>
      <xdr:row>208</xdr:row>
      <xdr:rowOff>0</xdr:rowOff>
    </xdr:to>
    <xdr:sp macro="" textlink="">
      <xdr:nvSpPr>
        <xdr:cNvPr id="40" name="Oval 39">
          <a:extLst>
            <a:ext uri="{FF2B5EF4-FFF2-40B4-BE49-F238E27FC236}">
              <a16:creationId xmlns:a16="http://schemas.microsoft.com/office/drawing/2014/main" id="{00000000-0008-0000-01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208</xdr:row>
      <xdr:rowOff>0</xdr:rowOff>
    </xdr:from>
    <xdr:to>
      <xdr:col>14</xdr:col>
      <xdr:colOff>621111</xdr:colOff>
      <xdr:row>208</xdr:row>
      <xdr:rowOff>0</xdr:rowOff>
    </xdr:to>
    <xdr:sp macro="" textlink="">
      <xdr:nvSpPr>
        <xdr:cNvPr id="41" name="Oval 40">
          <a:extLst>
            <a:ext uri="{FF2B5EF4-FFF2-40B4-BE49-F238E27FC236}">
              <a16:creationId xmlns:a16="http://schemas.microsoft.com/office/drawing/2014/main" id="{00000000-0008-0000-01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208</xdr:row>
      <xdr:rowOff>0</xdr:rowOff>
    </xdr:from>
    <xdr:to>
      <xdr:col>14</xdr:col>
      <xdr:colOff>621111</xdr:colOff>
      <xdr:row>208</xdr:row>
      <xdr:rowOff>0</xdr:rowOff>
    </xdr:to>
    <xdr:sp macro="" textlink="">
      <xdr:nvSpPr>
        <xdr:cNvPr id="42" name="Oval 41">
          <a:extLst>
            <a:ext uri="{FF2B5EF4-FFF2-40B4-BE49-F238E27FC236}">
              <a16:creationId xmlns:a16="http://schemas.microsoft.com/office/drawing/2014/main" id="{00000000-0008-0000-01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208</xdr:row>
      <xdr:rowOff>0</xdr:rowOff>
    </xdr:from>
    <xdr:to>
      <xdr:col>14</xdr:col>
      <xdr:colOff>621111</xdr:colOff>
      <xdr:row>208</xdr:row>
      <xdr:rowOff>0</xdr:rowOff>
    </xdr:to>
    <xdr:sp macro="" textlink="">
      <xdr:nvSpPr>
        <xdr:cNvPr id="43" name="Oval 42">
          <a:extLst>
            <a:ext uri="{FF2B5EF4-FFF2-40B4-BE49-F238E27FC236}">
              <a16:creationId xmlns:a16="http://schemas.microsoft.com/office/drawing/2014/main" id="{00000000-0008-0000-01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208</xdr:row>
      <xdr:rowOff>0</xdr:rowOff>
    </xdr:from>
    <xdr:to>
      <xdr:col>14</xdr:col>
      <xdr:colOff>621111</xdr:colOff>
      <xdr:row>208</xdr:row>
      <xdr:rowOff>0</xdr:rowOff>
    </xdr:to>
    <xdr:sp macro="" textlink="">
      <xdr:nvSpPr>
        <xdr:cNvPr id="44" name="Oval 43">
          <a:extLst>
            <a:ext uri="{FF2B5EF4-FFF2-40B4-BE49-F238E27FC236}">
              <a16:creationId xmlns:a16="http://schemas.microsoft.com/office/drawing/2014/main" id="{00000000-0008-0000-01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214</xdr:row>
      <xdr:rowOff>130394</xdr:rowOff>
    </xdr:from>
    <xdr:to>
      <xdr:col>14</xdr:col>
      <xdr:colOff>369793</xdr:colOff>
      <xdr:row>217</xdr:row>
      <xdr:rowOff>210932</xdr:rowOff>
    </xdr:to>
    <xdr:graphicFrame macro="">
      <xdr:nvGraphicFramePr>
        <xdr:cNvPr id="47" name="Chart 46">
          <a:extLst>
            <a:ext uri="{FF2B5EF4-FFF2-40B4-BE49-F238E27FC236}">
              <a16:creationId xmlns:a16="http://schemas.microsoft.com/office/drawing/2014/main" id="{00000000-0008-0000-01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247603</xdr:colOff>
      <xdr:row>209</xdr:row>
      <xdr:rowOff>78081</xdr:rowOff>
    </xdr:from>
    <xdr:to>
      <xdr:col>6</xdr:col>
      <xdr:colOff>327030</xdr:colOff>
      <xdr:row>221</xdr:row>
      <xdr:rowOff>75780</xdr:rowOff>
    </xdr:to>
    <xdr:graphicFrame macro="">
      <xdr:nvGraphicFramePr>
        <xdr:cNvPr id="48" name="Chart 47">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12041</xdr:colOff>
      <xdr:row>50</xdr:row>
      <xdr:rowOff>85830</xdr:rowOff>
    </xdr:from>
    <xdr:to>
      <xdr:col>14</xdr:col>
      <xdr:colOff>352159</xdr:colOff>
      <xdr:row>82</xdr:row>
      <xdr:rowOff>30047</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1151</xdr:colOff>
      <xdr:row>1</xdr:row>
      <xdr:rowOff>846</xdr:rowOff>
    </xdr:from>
    <xdr:to>
      <xdr:col>2</xdr:col>
      <xdr:colOff>592888</xdr:colOff>
      <xdr:row>1</xdr:row>
      <xdr:rowOff>151838</xdr:rowOff>
    </xdr:to>
    <xdr:pic>
      <xdr:nvPicPr>
        <xdr:cNvPr id="15" name="Gráfico 10">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0"/>
            </a:ext>
          </a:extLst>
        </a:blip>
        <a:stretch>
          <a:fillRect/>
        </a:stretch>
      </xdr:blipFill>
      <xdr:spPr>
        <a:xfrm>
          <a:off x="283482" y="215446"/>
          <a:ext cx="872560" cy="151838"/>
        </a:xfrm>
        <a:prstGeom prst="rect">
          <a:avLst/>
        </a:prstGeom>
      </xdr:spPr>
    </xdr:pic>
    <xdr:clientData/>
  </xdr:twoCellAnchor>
  <xdr:twoCellAnchor>
    <xdr:from>
      <xdr:col>14</xdr:col>
      <xdr:colOff>516919</xdr:colOff>
      <xdr:row>60</xdr:row>
      <xdr:rowOff>53887</xdr:rowOff>
    </xdr:from>
    <xdr:to>
      <xdr:col>14</xdr:col>
      <xdr:colOff>628099</xdr:colOff>
      <xdr:row>60</xdr:row>
      <xdr:rowOff>172687</xdr:rowOff>
    </xdr:to>
    <xdr:sp macro="" textlink="">
      <xdr:nvSpPr>
        <xdr:cNvPr id="2" name="Oval 1">
          <a:extLst>
            <a:ext uri="{FF2B5EF4-FFF2-40B4-BE49-F238E27FC236}">
              <a16:creationId xmlns:a16="http://schemas.microsoft.com/office/drawing/2014/main" id="{00000000-0008-0000-0100-000002000000}"/>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66</xdr:row>
      <xdr:rowOff>62872</xdr:rowOff>
    </xdr:from>
    <xdr:to>
      <xdr:col>14</xdr:col>
      <xdr:colOff>628099</xdr:colOff>
      <xdr:row>66</xdr:row>
      <xdr:rowOff>172147</xdr:rowOff>
    </xdr:to>
    <xdr:sp macro="" textlink="">
      <xdr:nvSpPr>
        <xdr:cNvPr id="9" name="Oval 8">
          <a:extLst>
            <a:ext uri="{FF2B5EF4-FFF2-40B4-BE49-F238E27FC236}">
              <a16:creationId xmlns:a16="http://schemas.microsoft.com/office/drawing/2014/main" id="{00000000-0008-0000-0100-000009000000}"/>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105</xdr:row>
      <xdr:rowOff>59522</xdr:rowOff>
    </xdr:from>
    <xdr:to>
      <xdr:col>14</xdr:col>
      <xdr:colOff>634864</xdr:colOff>
      <xdr:row>105</xdr:row>
      <xdr:rowOff>180227</xdr:rowOff>
    </xdr:to>
    <xdr:sp macro="" textlink="">
      <xdr:nvSpPr>
        <xdr:cNvPr id="45" name="Oval 44">
          <a:extLst>
            <a:ext uri="{FF2B5EF4-FFF2-40B4-BE49-F238E27FC236}">
              <a16:creationId xmlns:a16="http://schemas.microsoft.com/office/drawing/2014/main" id="{00000000-0008-0000-0100-00002D000000}"/>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164</xdr:row>
      <xdr:rowOff>56900</xdr:rowOff>
    </xdr:from>
    <xdr:to>
      <xdr:col>14</xdr:col>
      <xdr:colOff>645244</xdr:colOff>
      <xdr:row>164</xdr:row>
      <xdr:rowOff>179510</xdr:rowOff>
    </xdr:to>
    <xdr:sp macro="" textlink="">
      <xdr:nvSpPr>
        <xdr:cNvPr id="46" name="Oval 45">
          <a:extLst>
            <a:ext uri="{FF2B5EF4-FFF2-40B4-BE49-F238E27FC236}">
              <a16:creationId xmlns:a16="http://schemas.microsoft.com/office/drawing/2014/main" id="{00000000-0008-0000-0100-00002E000000}"/>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49" name="Oval 48">
          <a:extLst>
            <a:ext uri="{FF2B5EF4-FFF2-40B4-BE49-F238E27FC236}">
              <a16:creationId xmlns:a16="http://schemas.microsoft.com/office/drawing/2014/main" id="{00000000-0008-0000-0100-000031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0" name="Oval 49">
          <a:extLst>
            <a:ext uri="{FF2B5EF4-FFF2-40B4-BE49-F238E27FC236}">
              <a16:creationId xmlns:a16="http://schemas.microsoft.com/office/drawing/2014/main" id="{00000000-0008-0000-0100-000032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1" name="Oval 50">
          <a:extLst>
            <a:ext uri="{FF2B5EF4-FFF2-40B4-BE49-F238E27FC236}">
              <a16:creationId xmlns:a16="http://schemas.microsoft.com/office/drawing/2014/main" id="{00000000-0008-0000-0100-000033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2" name="Oval 51">
          <a:extLst>
            <a:ext uri="{FF2B5EF4-FFF2-40B4-BE49-F238E27FC236}">
              <a16:creationId xmlns:a16="http://schemas.microsoft.com/office/drawing/2014/main" id="{00000000-0008-0000-0100-000034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3" name="Oval 52">
          <a:extLst>
            <a:ext uri="{FF2B5EF4-FFF2-40B4-BE49-F238E27FC236}">
              <a16:creationId xmlns:a16="http://schemas.microsoft.com/office/drawing/2014/main" id="{00000000-0008-0000-0100-000035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54" name="Oval 53">
          <a:extLst>
            <a:ext uri="{FF2B5EF4-FFF2-40B4-BE49-F238E27FC236}">
              <a16:creationId xmlns:a16="http://schemas.microsoft.com/office/drawing/2014/main" id="{00000000-0008-0000-0100-000036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5" name="Oval 54">
          <a:extLst>
            <a:ext uri="{FF2B5EF4-FFF2-40B4-BE49-F238E27FC236}">
              <a16:creationId xmlns:a16="http://schemas.microsoft.com/office/drawing/2014/main" id="{00000000-0008-0000-0100-000037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6" name="Oval 55">
          <a:extLst>
            <a:ext uri="{FF2B5EF4-FFF2-40B4-BE49-F238E27FC236}">
              <a16:creationId xmlns:a16="http://schemas.microsoft.com/office/drawing/2014/main" id="{00000000-0008-0000-0100-000038000000}"/>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7" name="Oval 56">
          <a:extLst>
            <a:ext uri="{FF2B5EF4-FFF2-40B4-BE49-F238E27FC236}">
              <a16:creationId xmlns:a16="http://schemas.microsoft.com/office/drawing/2014/main" id="{00000000-0008-0000-0100-000039000000}"/>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896369</xdr:colOff>
      <xdr:row>154</xdr:row>
      <xdr:rowOff>178592</xdr:rowOff>
    </xdr:from>
    <xdr:to>
      <xdr:col>6</xdr:col>
      <xdr:colOff>357185</xdr:colOff>
      <xdr:row>171</xdr:row>
      <xdr:rowOff>23810</xdr:rowOff>
    </xdr:to>
    <xdr:graphicFrame macro="">
      <xdr:nvGraphicFramePr>
        <xdr:cNvPr id="61" name="Chart 60">
          <a:extLst>
            <a:ext uri="{FF2B5EF4-FFF2-40B4-BE49-F238E27FC236}">
              <a16:creationId xmlns:a16="http://schemas.microsoft.com/office/drawing/2014/main" id="{00000000-0008-0000-01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869155</xdr:colOff>
      <xdr:row>175</xdr:row>
      <xdr:rowOff>8503</xdr:rowOff>
    </xdr:from>
    <xdr:to>
      <xdr:col>6</xdr:col>
      <xdr:colOff>329971</xdr:colOff>
      <xdr:row>190</xdr:row>
      <xdr:rowOff>201703</xdr:rowOff>
    </xdr:to>
    <xdr:graphicFrame macro="">
      <xdr:nvGraphicFramePr>
        <xdr:cNvPr id="62" name="Chart 61">
          <a:extLst>
            <a:ext uri="{FF2B5EF4-FFF2-40B4-BE49-F238E27FC236}">
              <a16:creationId xmlns:a16="http://schemas.microsoft.com/office/drawing/2014/main" id="{00000000-0008-0000-01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63336</xdr:colOff>
      <xdr:row>15</xdr:row>
      <xdr:rowOff>10421</xdr:rowOff>
    </xdr:from>
    <xdr:to>
      <xdr:col>20</xdr:col>
      <xdr:colOff>617327</xdr:colOff>
      <xdr:row>15</xdr:row>
      <xdr:rowOff>208421</xdr:rowOff>
    </xdr:to>
    <xdr:sp macro="" textlink="">
      <xdr:nvSpPr>
        <xdr:cNvPr id="63" name="Rectangle 62">
          <a:extLst>
            <a:ext uri="{FF2B5EF4-FFF2-40B4-BE49-F238E27FC236}">
              <a16:creationId xmlns:a16="http://schemas.microsoft.com/office/drawing/2014/main" id="{00000000-0008-0000-0100-00003F000000}"/>
            </a:ext>
          </a:extLst>
        </xdr:cNvPr>
        <xdr:cNvSpPr/>
      </xdr:nvSpPr>
      <xdr:spPr>
        <a:xfrm>
          <a:off x="16910680" y="3308452"/>
          <a:ext cx="1208835" cy="198000"/>
        </a:xfrm>
        <a:prstGeom prst="rect">
          <a:avLst/>
        </a:prstGeom>
        <a:noFill/>
        <a:ln w="28575">
          <a:solidFill>
            <a:srgbClr val="00B05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8</xdr:col>
      <xdr:colOff>906283</xdr:colOff>
      <xdr:row>20</xdr:row>
      <xdr:rowOff>9524</xdr:rowOff>
    </xdr:from>
    <xdr:to>
      <xdr:col>10</xdr:col>
      <xdr:colOff>117669</xdr:colOff>
      <xdr:row>20</xdr:row>
      <xdr:rowOff>207524</xdr:rowOff>
    </xdr:to>
    <xdr:sp macro="" textlink="">
      <xdr:nvSpPr>
        <xdr:cNvPr id="66" name="Rectangle 65">
          <a:extLst>
            <a:ext uri="{FF2B5EF4-FFF2-40B4-BE49-F238E27FC236}">
              <a16:creationId xmlns:a16="http://schemas.microsoft.com/office/drawing/2014/main" id="{00000000-0008-0000-0100-000042000000}"/>
            </a:ext>
          </a:extLst>
        </xdr:cNvPr>
        <xdr:cNvSpPr/>
      </xdr:nvSpPr>
      <xdr:spPr>
        <a:xfrm>
          <a:off x="7669033" y="4486274"/>
          <a:ext cx="1211636" cy="198000"/>
        </a:xfrm>
        <a:prstGeom prst="rect">
          <a:avLst/>
        </a:prstGeom>
        <a:noFill/>
        <a:ln w="28575">
          <a:solidFill>
            <a:srgbClr val="00B05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8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712.942445023145"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36">
        <s v="ENERGY_CERTIFICATE_EST_INPUTACTUAL_VALUE_IND"/>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DATA_PROVIDER"/>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stnbl_ctgry_txnmy"/>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apital_proprio"/>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divida_total"/>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ivel"/>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sstnbl_indctr"/>
        <s v="modesg_out_sfics_taxon_europeiazdeposit"/>
        <s v="modesg_param_sfics_taxon_europeiaambito"/>
        <s v="modesg_param_sfics_taxon_europeiacempcta"/>
        <s v="modesg_param_sfics_taxon_europeiacfamilia"/>
        <s v="modesg_param_sfics_taxon_europeiacfinalidad"/>
        <s v="modesg_param_sfics_taxon_europeiacgarante_bem"/>
        <s v="modesg_param_sfics_taxon_europeiackbalcao"/>
        <s v="modesg_param_sfics_taxon_europeiackmetamis"/>
        <s v="modesg_param_sfics_taxon_europeiacknumcta"/>
        <s v="modesg_param_sfics_taxon_europeiackprodmi"/>
        <s v="modesg_param_sfics_taxon_europeiacmetanseg"/>
        <s v="modesg_param_sfics_taxon_europeiacnumecta"/>
        <s v="modesg_param_sfics_taxon_europeiaco2"/>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ominio"/>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grupo_regra"/>
        <s v="modesg_param_sfics_taxon_europeiamontante_pndrc"/>
        <s v="modesg_param_sfics_taxon_europeian.a."/>
        <s v="modesg_param_sfics_taxon_europeianet_floor_area"/>
        <s v="modesg_param_sfics_taxon_europeianivel"/>
        <s v="modesg_param_sfics_taxon_europeianome_ctgr_sfics"/>
        <s v="modesg_param_sfics_taxon_europeianome_general_specific_purpose"/>
        <s v="modesg_param_sfics_taxon_europeianome_purpose_esg"/>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ordem"/>
        <s v="modesg_param_sfics_taxon_europeiaprdt_sprdt"/>
        <s v="modesg_param_sfics_taxon_europeiaprimary_energy_req_value"/>
        <s v="modesg_param_sfics_taxon_europeiaproperty_purpose_code"/>
        <s v="modesg_param_sfics_taxon_europeiaquality_score"/>
        <s v="modesg_param_sfics_taxon_europeiaref_date"/>
        <s v="modesg_param_sfics_taxon_europeiasst_indctr_aux"/>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CESSSOURCE_CODE"/>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GPS_LATITUDE"/>
        <s v="PROPERTY_ENERGY_CERTIFICATEGPS_LONGITUDE"/>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MRY_ENRGY_DMND_RFRNC_VL"/>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QUALITY_SCOR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65" level="32767"/>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712.942459722224"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7" level="32767"/>
    <cacheField name="[Table4].[Status Atual].[Status Atual]" caption="Status Atual" numFmtId="0" hierarchy="40" level="1">
      <sharedItems count="5">
        <s v="0. Cancelado"/>
        <s v="1. Concluído"/>
        <s v="2.1 Em Teste"/>
        <s v="4. Validação EF"/>
        <s v="6. Em implementação"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712.942462037034"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6">
        <s v="0. Cancelado"/>
        <s v="1. Concluído"/>
        <s v="2.1 Em Teste"/>
        <s v="2.2 Em especificação"/>
        <s v="4. Validação EF"/>
        <s v="6. Em implementação"/>
      </sharedItems>
    </cacheField>
    <cacheField name="[Measures].[Count of Campo 4]" caption="Count of Campo 4" numFmtId="0" hierarchy="67" level="32767"/>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712.942464120373"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7" level="32767"/>
    <cacheField name="[Table4].[Status Atual].[Status Atual]" caption="Status Atual" numFmtId="0" hierarchy="40" level="1">
      <sharedItems count="6">
        <s v="0. Cancelado"/>
        <s v="1. Concluído"/>
        <s v="2.1 Em Teste"/>
        <s v="2.2 Em especificação"/>
        <s v="4. Validação EF"/>
        <s v="6. Em implementação"/>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712.942466435183"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67" level="32767"/>
    <cacheField name="[Table4].[Status Atual].[Status Atual]" caption="Status Atual" numFmtId="0" hierarchy="40" level="1">
      <sharedItems count="5">
        <s v="0. Cancelado"/>
        <s v="1. Concluído"/>
        <s v="2.1 Em Teste"/>
        <s v="2.2 Em especificação"/>
        <s v="6. Em implementação"/>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712.942468634261"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7" level="32767"/>
    <cacheField name="[Table4].[Status Atual].[Status Atual]" caption="Status Atual" numFmtId="0" hierarchy="40" level="1">
      <sharedItems count="5">
        <s v="0. Cancelado"/>
        <s v="1. Concluído"/>
        <s v="2.1 Em Teste"/>
        <s v="4. Validação EF"/>
        <s v="6. Em implementação"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712.942470601854"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7" level="32767"/>
    <cacheField name="[Table4].[Status Atual].[Status Atual]" caption="Status Atual" numFmtId="0" hierarchy="40" level="1">
      <sharedItems count="6">
        <s v="0. Cancelado"/>
        <s v="1. Concluído"/>
        <s v="2.1 Em Teste"/>
        <s v="2.2 Em especificação"/>
        <s v="4. Validação EF"/>
        <s v="6. Em implementação"/>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712.942486805558" createdVersion="6" refreshedVersion="6" minRefreshableVersion="3" recordCount="735">
  <cacheSource type="worksheet">
    <worksheetSource name="Table4"/>
  </cacheSource>
  <cacheFields count="21">
    <cacheField name="Âmbito" numFmtId="0">
      <sharedItems count="1">
        <s v="Pilar III"/>
      </sharedItems>
    </cacheField>
    <cacheField name="Sub-âmbito" numFmtId="0">
      <sharedItems count="5">
        <s v="Bens Imóveis - Output"/>
        <s v="Pilar III"/>
        <s v="Modelo Verde - Output"/>
        <s v="Bens Imóveis - Input"/>
        <s v="Modelo Verde - Input"/>
      </sharedItems>
    </cacheField>
    <cacheField name="Tipo de teste" numFmtId="0">
      <sharedItems containsBlank="1" count="3">
        <s v="2. Campo"/>
        <s v="1. Universo"/>
        <m u="1"/>
      </sharedItems>
    </cacheField>
    <cacheField name="Tabela" numFmtId="0">
      <sharedItems/>
    </cacheField>
    <cacheField name="Campo" numFmtId="0">
      <sharedItems/>
    </cacheField>
    <cacheField name="Status Atual" numFmtId="0">
      <sharedItems count="13">
        <s v="1. Concluído"/>
        <s v="6. Em implementação "/>
        <s v="4. Validação EF"/>
        <s v="2.1 Em Teste"/>
        <s v="2.2 Em especificação"/>
        <s v="0. Cancelado"/>
        <s v="2. Em Teste" u="1"/>
        <s v="7. Por iniciar" u="1"/>
        <s v="2.2 Em Re-especificação" u="1"/>
        <e v="#N/A" u="1"/>
        <s v="5. Em Correção" u="1"/>
        <s v="6. Em implementação (re-especificação)" u="1"/>
        <s v="3. Pendente de outros desenvolvimentos" u="1"/>
      </sharedItems>
    </cacheField>
    <cacheField name="Status Anterior" numFmtId="0">
      <sharedItems/>
    </cacheField>
    <cacheField name="Fase" numFmtId="0">
      <sharedItems containsBlank="1"/>
    </cacheField>
    <cacheField name="Observações - Especificações" numFmtId="0">
      <sharedItems containsBlank="1"/>
    </cacheField>
    <cacheField name="Observações - Testes" numFmtId="0">
      <sharedItems containsBlank="1"/>
    </cacheField>
    <cacheField name="Observações - Testes sem visibilidade" numFmtId="0">
      <sharedItems containsBlank="1"/>
    </cacheField>
    <cacheField name="Data de Pedido correção/esclarecimento" numFmtId="14">
      <sharedItems containsBlank="1"/>
    </cacheField>
    <cacheField name="Data de correção prevista" numFmtId="14">
      <sharedItems containsBlank="1"/>
    </cacheField>
    <cacheField name="Data de correção efetiva" numFmtId="14">
      <sharedItems containsBlank="1"/>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Aux JB)" numFmtId="14">
      <sharedItems containsBlank="1"/>
    </cacheField>
    <cacheField name="LT Âmbito" numFmtId="14">
      <sharedItems containsBlank="1"/>
    </cacheField>
    <cacheField name="LT Âmbito- Aux" numFmtId="14">
      <sharedItems containsBlank="1"/>
    </cacheField>
    <cacheField name="Plano" numFmtId="14">
      <sharedItems containsBlank="1" count="7">
        <s v="Plano anterior"/>
        <s v="Novo Plano"/>
        <s v="Plano anterior (alteração nome)"/>
        <s v="Plano anterior (sem visibilidade no PdS enviado 17/01)"/>
        <s v="Plano anterior (mas na proposta)"/>
        <s v="Plano anterior (campo adicionado 21/02)"/>
        <m u="1"/>
      </sharedItems>
    </cacheField>
    <cacheField name="Owner" numFmtId="14">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35">
  <r>
    <x v="0"/>
    <x v="0"/>
    <x v="0"/>
    <s v="PROPERTY_ENERGY_CERTIFICATE"/>
    <s v="CURRENT_ENERGY_RATING_PERCENTAGE"/>
    <x v="0"/>
    <s v="1. Concluído"/>
    <m/>
    <s v="Package 1"/>
    <s v="Package 1"/>
    <m/>
    <s v=""/>
    <s v=""/>
    <s v=""/>
    <m/>
    <m/>
    <m/>
    <m/>
    <m/>
    <x v="0"/>
    <s v="HF"/>
  </r>
  <r>
    <x v="0"/>
    <x v="1"/>
    <x v="0"/>
    <s v="lt002_instrument"/>
    <s v="OFF_BLNC_SHT_AMNT_INSTRMNT"/>
    <x v="1"/>
    <s v="6. Em implementação "/>
    <m/>
    <s v="Package 4"/>
    <s v="Package 11 (23 abril)"/>
    <m/>
    <s v=""/>
    <s v=""/>
    <s v=""/>
    <m/>
    <m/>
    <s v="Novo Projeto - Em especificação"/>
    <s v="ESTR, GD, GF, ESG e LF"/>
    <s v="Novos Requisitos FY25 - Âmbito ESTR e (ou) LF"/>
    <x v="1"/>
    <s v="HF"/>
  </r>
  <r>
    <x v="0"/>
    <x v="1"/>
    <x v="0"/>
    <s v="lt003_entity"/>
    <s v="ec_grp_id"/>
    <x v="1"/>
    <s v="6. Em implementação "/>
    <m/>
    <s v="Package 4"/>
    <s v="Package 11 (23 abril)"/>
    <m/>
    <s v=""/>
    <s v=""/>
    <s v=""/>
    <m/>
    <m/>
    <s v="Novo Projeto - Em especificação"/>
    <s v="ESTR, P3, GF e LF"/>
    <s v="Novos Requisitos FY25 - Âmbito ESTR e (ou) LF"/>
    <x v="1"/>
    <s v="JB"/>
  </r>
  <r>
    <x v="0"/>
    <x v="1"/>
    <x v="0"/>
    <s v="lt003_entity"/>
    <s v="ec_grp_nm"/>
    <x v="1"/>
    <s v="6. Em implementação "/>
    <m/>
    <s v="Package 4"/>
    <s v="Package 11 (23 abril)"/>
    <m/>
    <s v=""/>
    <s v=""/>
    <s v=""/>
    <m/>
    <m/>
    <s v="Novo Projeto - Em especificação"/>
    <s v="ESTR, P3, GF e LF"/>
    <s v="Novos Requisitos FY25 - Âmbito ESTR e (ou) LF"/>
    <x v="1"/>
    <s v="JB"/>
  </r>
  <r>
    <x v="0"/>
    <x v="1"/>
    <x v="0"/>
    <s v="lt004_protection"/>
    <s v="RL_ESTT_ADDRSS"/>
    <x v="1"/>
    <s v="6. Em implementação "/>
    <m/>
    <s v="Package 4"/>
    <s v="Package 11 (23 abril)"/>
    <m/>
    <s v=""/>
    <s v=""/>
    <s v=""/>
    <m/>
    <m/>
    <s v="Novo Projeto - Em especificação"/>
    <s v="ESTR e ESG"/>
    <s v="Novos Requisitos FY25 - Âmbito ESTR e (ou) LF"/>
    <x v="1"/>
    <s v="JB"/>
  </r>
  <r>
    <x v="0"/>
    <x v="1"/>
    <x v="0"/>
    <s v="lt004_protection"/>
    <s v="RL_ESTT_CLLTRL_LCTN_INT"/>
    <x v="1"/>
    <s v="6. Em implementação "/>
    <m/>
    <s v="Package 5"/>
    <s v="Package 11 (23 abril)"/>
    <m/>
    <s v=""/>
    <s v=""/>
    <s v=""/>
    <m/>
    <m/>
    <s v="Novo Projeto - Em especificação"/>
    <s v="ESTR e ESG"/>
    <s v="Novos Requisitos FY25 - Âmbito ESTR e (ou) LF"/>
    <x v="1"/>
    <s v="JB"/>
  </r>
  <r>
    <x v="0"/>
    <x v="1"/>
    <x v="0"/>
    <s v="lt004_protection"/>
    <s v="RL_ESTT_CTY"/>
    <x v="1"/>
    <s v="6. Em implementação "/>
    <m/>
    <s v="Package 3"/>
    <s v="Package 11 (23 abril)"/>
    <m/>
    <s v=""/>
    <s v=""/>
    <s v=""/>
    <m/>
    <m/>
    <s v="Novo Projeto - Em especificação"/>
    <s v="ESTR e ESG"/>
    <s v="Novos Requisitos FY25 - Âmbito ESTR e (ou) LF"/>
    <x v="1"/>
    <s v="JB"/>
  </r>
  <r>
    <x v="0"/>
    <x v="1"/>
    <x v="0"/>
    <s v="lt004_protection"/>
    <s v="YR_CNSTRCTN"/>
    <x v="1"/>
    <s v="6. Em implementação "/>
    <m/>
    <s v="Package 3"/>
    <s v="Package 11 (23 abril)"/>
    <m/>
    <s v=""/>
    <s v=""/>
    <s v=""/>
    <m/>
    <m/>
    <s v="Novo Projeto - Em especificação"/>
    <s v="ESTR, P3 e ESG"/>
    <s v="Novos Requisitos FY25 - Âmbito ESTR e (ou) LF"/>
    <x v="1"/>
    <s v="JB"/>
  </r>
  <r>
    <x v="0"/>
    <x v="1"/>
    <x v="0"/>
    <s v="lt004_protection"/>
    <s v="BLDNG_AR"/>
    <x v="1"/>
    <s v="6. Em implementação "/>
    <m/>
    <s v="Package 3"/>
    <s v="Package 11 (23 abril)"/>
    <m/>
    <s v=""/>
    <s v=""/>
    <s v=""/>
    <m/>
    <m/>
    <s v="Novo Projeto - Em especificação"/>
    <s v="P3 e ESG"/>
    <s v="Novos Requisitos FY25 - Outros"/>
    <x v="1"/>
    <s v="JB"/>
  </r>
  <r>
    <x v="0"/>
    <x v="1"/>
    <x v="0"/>
    <s v="lt002_instrument"/>
    <s v="NW_BSNSS"/>
    <x v="1"/>
    <s v="6. Em implementação "/>
    <m/>
    <s v="Package 5"/>
    <s v="Package 12 (30 maio)"/>
    <m/>
    <s v=""/>
    <s v=""/>
    <s v=""/>
    <m/>
    <m/>
    <s v="Novo Projeto - Em especificação"/>
    <s v="GD, P3 e GF"/>
    <s v="Novos Requisitos FY25 - Outros"/>
    <x v="1"/>
    <s v="RC"/>
  </r>
  <r>
    <x v="0"/>
    <x v="1"/>
    <x v="0"/>
    <s v="lt002_instrument"/>
    <s v="CNCLLD_INSTRMNT_STTS"/>
    <x v="2"/>
    <s v="4. Validação EF"/>
    <m/>
    <s v="Package 5"/>
    <s v="Package 12 (30 maio)"/>
    <m/>
    <s v=""/>
    <s v=""/>
    <s v=""/>
    <m/>
    <m/>
    <s v="Novo Projeto - Em especificação"/>
    <s v="GD, P3 e GF"/>
    <s v="Novos Requisitos FY25 - Outros"/>
    <x v="1"/>
    <s v="RC"/>
  </r>
  <r>
    <x v="0"/>
    <x v="1"/>
    <x v="0"/>
    <s v="lt002_instrument"/>
    <s v="TYP_OFF_BLNC_PRDCT"/>
    <x v="1"/>
    <s v="6. Em implementação "/>
    <m/>
    <s v="Package 4 --&gt; Não está especificado no LT - não conseguimos testar"/>
    <s v="Package 12 (30 maio)"/>
    <m/>
    <s v=""/>
    <s v=""/>
    <s v=""/>
    <m/>
    <m/>
    <s v="Novo Projeto - Em especificação"/>
    <s v="ESTR, GD, P3 e LF"/>
    <s v="Novos Requisitos FY25 - Âmbito ESTR e (ou) LF"/>
    <x v="1"/>
    <s v="JB"/>
  </r>
  <r>
    <x v="0"/>
    <x v="2"/>
    <x v="0"/>
    <s v="modesg_out_empr_info_nfin"/>
    <s v="ppc_trnvr_ttl_elgbl"/>
    <x v="0"/>
    <s v="1. Concluído"/>
    <m/>
    <s v="Package 1"/>
    <s v="Package 2"/>
    <m/>
    <s v=""/>
    <s v=""/>
    <s v=""/>
    <m/>
    <m/>
    <m/>
    <m/>
    <m/>
    <x v="1"/>
    <m/>
  </r>
  <r>
    <x v="0"/>
    <x v="2"/>
    <x v="0"/>
    <s v="modesg_out_empr_info_nfin"/>
    <s v="ppc_turnover_own_prfrmnce_algnd"/>
    <x v="0"/>
    <s v="1. Concluído"/>
    <m/>
    <s v="Package 1"/>
    <s v="Package 2"/>
    <m/>
    <s v=""/>
    <s v=""/>
    <s v=""/>
    <m/>
    <m/>
    <m/>
    <m/>
    <m/>
    <x v="1"/>
    <m/>
  </r>
  <r>
    <x v="0"/>
    <x v="2"/>
    <x v="0"/>
    <s v="modesg_out_empr_info_nfin"/>
    <s v="ppc_capex_ttl_elgbl"/>
    <x v="0"/>
    <s v="1. Concluído"/>
    <m/>
    <s v="Package 1"/>
    <s v="Package 2"/>
    <m/>
    <s v=""/>
    <s v=""/>
    <s v=""/>
    <m/>
    <m/>
    <m/>
    <m/>
    <m/>
    <x v="1"/>
    <m/>
  </r>
  <r>
    <x v="0"/>
    <x v="2"/>
    <x v="0"/>
    <s v="modesg_out_empr_info_nfin"/>
    <s v="ppc_capex_own_prfrmnce_algnd"/>
    <x v="0"/>
    <s v="1. Concluído"/>
    <m/>
    <s v="Package 1"/>
    <s v="Package 2"/>
    <m/>
    <s v=""/>
    <s v=""/>
    <s v=""/>
    <m/>
    <m/>
    <m/>
    <m/>
    <m/>
    <x v="1"/>
    <m/>
  </r>
  <r>
    <x v="0"/>
    <x v="2"/>
    <x v="0"/>
    <s v="modesg_out_empr_info_nfin"/>
    <s v="bio_trnvr_ttl_elgbl"/>
    <x v="0"/>
    <s v="1. Concluído"/>
    <m/>
    <s v="Package 1"/>
    <s v="Package 2"/>
    <m/>
    <s v=""/>
    <s v=""/>
    <s v=""/>
    <m/>
    <m/>
    <m/>
    <m/>
    <m/>
    <x v="1"/>
    <m/>
  </r>
  <r>
    <x v="0"/>
    <x v="2"/>
    <x v="0"/>
    <s v="modesg_out_empr_info_nfin"/>
    <s v="bio_turnover_own_prfrmnce_algnd"/>
    <x v="0"/>
    <s v="1. Concluído"/>
    <m/>
    <s v="Package 1"/>
    <s v="Package 2"/>
    <m/>
    <s v=""/>
    <s v=""/>
    <s v=""/>
    <m/>
    <m/>
    <m/>
    <m/>
    <m/>
    <x v="1"/>
    <m/>
  </r>
  <r>
    <x v="0"/>
    <x v="2"/>
    <x v="0"/>
    <s v="modesg_out_empr_info_nfin"/>
    <s v="bio_capex_ttl_elgbl"/>
    <x v="0"/>
    <s v="1. Concluído"/>
    <m/>
    <s v="Package 1"/>
    <s v="Package 2"/>
    <m/>
    <s v=""/>
    <s v=""/>
    <s v=""/>
    <m/>
    <m/>
    <m/>
    <m/>
    <m/>
    <x v="1"/>
    <m/>
  </r>
  <r>
    <x v="0"/>
    <x v="2"/>
    <x v="0"/>
    <s v="modesg_out_empr_info_nfin"/>
    <s v="bio_capex_own_prfrmnce_algnd"/>
    <x v="0"/>
    <s v="1. Concluído"/>
    <m/>
    <s v="Package 1"/>
    <s v="Package 2"/>
    <m/>
    <s v=""/>
    <s v=""/>
    <s v=""/>
    <m/>
    <m/>
    <m/>
    <m/>
    <m/>
    <x v="1"/>
    <m/>
  </r>
  <r>
    <x v="0"/>
    <x v="2"/>
    <x v="0"/>
    <s v="modesg_out_empr_info_nfin"/>
    <s v="wtr_trnvr_ttl_elgbl"/>
    <x v="0"/>
    <s v="1. Concluído"/>
    <m/>
    <s v="Package 1"/>
    <s v="Package 2"/>
    <m/>
    <s v=""/>
    <s v=""/>
    <s v=""/>
    <m/>
    <m/>
    <m/>
    <m/>
    <m/>
    <x v="1"/>
    <m/>
  </r>
  <r>
    <x v="0"/>
    <x v="2"/>
    <x v="0"/>
    <s v="modesg_out_empr_info_nfin"/>
    <s v="wtr_trnvr_enblng_alignd"/>
    <x v="0"/>
    <s v="1. Concluído"/>
    <m/>
    <s v="Package 1"/>
    <s v="Package 2"/>
    <m/>
    <s v=""/>
    <s v=""/>
    <s v=""/>
    <m/>
    <m/>
    <m/>
    <m/>
    <m/>
    <x v="1"/>
    <m/>
  </r>
  <r>
    <x v="0"/>
    <x v="2"/>
    <x v="0"/>
    <s v="modesg_out_empr_info_nfin"/>
    <s v="wtr_turnover_own_prfrmnce_algnd"/>
    <x v="0"/>
    <s v="1. Concluído"/>
    <m/>
    <s v="Package 1"/>
    <s v="Package 2"/>
    <m/>
    <s v=""/>
    <s v=""/>
    <s v=""/>
    <m/>
    <m/>
    <m/>
    <m/>
    <m/>
    <x v="1"/>
    <m/>
  </r>
  <r>
    <x v="0"/>
    <x v="2"/>
    <x v="0"/>
    <s v="modesg_out_empr_info_nfin"/>
    <s v="wtr_capex_ttl_elgbl"/>
    <x v="0"/>
    <s v="1. Concluído"/>
    <m/>
    <s v="Package 1"/>
    <s v="Package 2"/>
    <m/>
    <s v=""/>
    <s v=""/>
    <s v=""/>
    <m/>
    <m/>
    <m/>
    <m/>
    <m/>
    <x v="1"/>
    <m/>
  </r>
  <r>
    <x v="0"/>
    <x v="2"/>
    <x v="0"/>
    <s v="modesg_out_empr_info_nfin"/>
    <s v="wtr_capex_enblng_algnd"/>
    <x v="0"/>
    <s v="1. Concluído"/>
    <m/>
    <s v="Package 1"/>
    <s v="Package 2"/>
    <m/>
    <s v=""/>
    <s v=""/>
    <s v=""/>
    <m/>
    <m/>
    <m/>
    <m/>
    <m/>
    <x v="1"/>
    <m/>
  </r>
  <r>
    <x v="0"/>
    <x v="2"/>
    <x v="0"/>
    <s v="modesg_out_empr_info_nfin"/>
    <s v="wtr_capex_own_prfrmnce_algnd"/>
    <x v="0"/>
    <s v="1. Concluído"/>
    <m/>
    <s v="Package 1"/>
    <s v="Package 2"/>
    <m/>
    <s v=""/>
    <s v=""/>
    <s v=""/>
    <m/>
    <m/>
    <m/>
    <m/>
    <m/>
    <x v="1"/>
    <m/>
  </r>
  <r>
    <x v="0"/>
    <x v="2"/>
    <x v="0"/>
    <s v="modesg_out_empr_info_nfin"/>
    <s v="ce_trnvr_ttl_elgbl"/>
    <x v="0"/>
    <s v="1. Concluído"/>
    <m/>
    <s v="Package 1"/>
    <s v="Package 2"/>
    <m/>
    <s v=""/>
    <s v=""/>
    <s v=""/>
    <m/>
    <m/>
    <m/>
    <m/>
    <m/>
    <x v="1"/>
    <m/>
  </r>
  <r>
    <x v="0"/>
    <x v="2"/>
    <x v="0"/>
    <s v="modesg_out_empr_info_nfin"/>
    <s v="ce_trnvr_enblng_alignd"/>
    <x v="0"/>
    <s v="1. Concluído"/>
    <m/>
    <s v="Package 1"/>
    <s v="Package 2"/>
    <m/>
    <s v=""/>
    <s v=""/>
    <s v=""/>
    <m/>
    <m/>
    <m/>
    <m/>
    <m/>
    <x v="1"/>
    <m/>
  </r>
  <r>
    <x v="0"/>
    <x v="2"/>
    <x v="0"/>
    <s v="modesg_out_empr_info_nfin"/>
    <s v="ce_turnover_own_prfrmnce_algnd"/>
    <x v="0"/>
    <s v="1. Concluído"/>
    <m/>
    <s v="Package 1"/>
    <s v="Package 2"/>
    <m/>
    <s v=""/>
    <s v=""/>
    <s v=""/>
    <m/>
    <m/>
    <m/>
    <m/>
    <m/>
    <x v="1"/>
    <m/>
  </r>
  <r>
    <x v="0"/>
    <x v="2"/>
    <x v="0"/>
    <s v="modesg_out_empr_info_nfin"/>
    <s v="ce_capex_ttl_elgbl"/>
    <x v="0"/>
    <s v="1. Concluído"/>
    <m/>
    <s v="Package 1"/>
    <s v="Package 2"/>
    <m/>
    <s v=""/>
    <s v=""/>
    <s v=""/>
    <m/>
    <m/>
    <m/>
    <m/>
    <m/>
    <x v="1"/>
    <m/>
  </r>
  <r>
    <x v="0"/>
    <x v="2"/>
    <x v="0"/>
    <s v="modesg_out_empr_info_nfin"/>
    <s v="ce_capex_enblng_algnd"/>
    <x v="0"/>
    <s v="1. Concluído"/>
    <m/>
    <s v="Package 1"/>
    <s v="Package 2"/>
    <m/>
    <s v=""/>
    <s v=""/>
    <s v=""/>
    <m/>
    <m/>
    <m/>
    <m/>
    <m/>
    <x v="1"/>
    <m/>
  </r>
  <r>
    <x v="0"/>
    <x v="2"/>
    <x v="0"/>
    <s v="modesg_out_empr_info_nfin"/>
    <s v="ce_capex_own_prfrmnce_algnd"/>
    <x v="0"/>
    <s v="1. Concluído"/>
    <m/>
    <s v="Package 1"/>
    <s v="Package 2"/>
    <m/>
    <s v=""/>
    <s v=""/>
    <s v=""/>
    <m/>
    <m/>
    <m/>
    <m/>
    <m/>
    <x v="1"/>
    <m/>
  </r>
  <r>
    <x v="0"/>
    <x v="1"/>
    <x v="0"/>
    <s v="lt007_instr_activity"/>
    <s v="PRCNTG_ACTVTY"/>
    <x v="1"/>
    <s v="6. Em implementação "/>
    <m/>
    <s v="Package 5"/>
    <s v="Package 23 abril"/>
    <m/>
    <s v=""/>
    <s v=""/>
    <s v=""/>
    <m/>
    <m/>
    <s v="Novo Projeto - Em especificação"/>
    <s v="GD, P3 e GF"/>
    <s v="Novos Requisitos FY25 - Outros"/>
    <x v="1"/>
    <s v="RC"/>
  </r>
  <r>
    <x v="0"/>
    <x v="1"/>
    <x v="0"/>
    <s v="lt007_instr_activity"/>
    <s v="FLG_SBSTNTL_CNTRBTN"/>
    <x v="1"/>
    <s v="6. Em implementação "/>
    <m/>
    <s v="Package 5"/>
    <s v="Package 23 abril"/>
    <m/>
    <s v=""/>
    <s v=""/>
    <s v=""/>
    <m/>
    <m/>
    <s v="Novo Projeto - Em especificação"/>
    <s v="P3"/>
    <s v="Novos Requisitos FY25 - Outros"/>
    <x v="1"/>
    <s v="RC"/>
  </r>
  <r>
    <x v="0"/>
    <x v="1"/>
    <x v="0"/>
    <s v="lt003_entity"/>
    <s v="grp_ecnmc_actvty"/>
    <x v="1"/>
    <s v="6. Em implementação "/>
    <m/>
    <s v="Package 5"/>
    <s v="Package 23 abril"/>
    <m/>
    <s v=""/>
    <s v=""/>
    <s v=""/>
    <m/>
    <m/>
    <s v="Novo Projeto - Em especificação"/>
    <s v="P3, GF e ESG"/>
    <s v="Novos Requisitos FY25 - Outros"/>
    <x v="1"/>
    <s v="JB"/>
  </r>
  <r>
    <x v="0"/>
    <x v="1"/>
    <x v="0"/>
    <s v="lt006_instr_prot"/>
    <s v="TYP_RLTN"/>
    <x v="1"/>
    <s v="6. Em implementação "/>
    <m/>
    <s v="Package 5"/>
    <s v="Package 23 abril"/>
    <m/>
    <s v=""/>
    <s v=""/>
    <s v=""/>
    <m/>
    <m/>
    <s v="Novo Projeto - Em especificação"/>
    <s v="GD e P3"/>
    <s v="Novos Requisitos FY25 - Outros"/>
    <x v="1"/>
    <s v="JB"/>
  </r>
  <r>
    <x v="0"/>
    <x v="1"/>
    <x v="0"/>
    <s v="lt004_protection"/>
    <s v="EPC_EMSSNS_LBL"/>
    <x v="2"/>
    <s v="4. Validação EF"/>
    <m/>
    <s v="Package 4"/>
    <s v="Package 23 abril"/>
    <m/>
    <s v=""/>
    <s v=""/>
    <s v=""/>
    <m/>
    <m/>
    <s v="Novo Projeto - Em especificação"/>
    <s v="ESG"/>
    <s v="Novos Requisitos FY25 - Outros"/>
    <x v="1"/>
    <s v="JB"/>
  </r>
  <r>
    <x v="0"/>
    <x v="1"/>
    <x v="0"/>
    <s v="lt004_protection"/>
    <s v="TYP_EMSSNS_SCR"/>
    <x v="2"/>
    <s v="4. Validação EF"/>
    <m/>
    <s v="Package 4"/>
    <s v="Package 23 abril"/>
    <m/>
    <s v=""/>
    <s v=""/>
    <s v=""/>
    <m/>
    <m/>
    <s v="Novo Projeto - Em especificação"/>
    <s v="ESG"/>
    <s v="Novos Requisitos FY25 - Outros"/>
    <x v="1"/>
    <s v="JB"/>
  </r>
  <r>
    <x v="0"/>
    <x v="1"/>
    <x v="0"/>
    <s v="lt004_protection"/>
    <s v="EPC_EMSSNS_SCR"/>
    <x v="2"/>
    <s v="4. Validação EF"/>
    <m/>
    <s v="Package 4"/>
    <s v="Package 23 abril"/>
    <m/>
    <s v=""/>
    <s v=""/>
    <s v=""/>
    <m/>
    <m/>
    <s v="Novo Projeto - Em especificação"/>
    <s v="ESG"/>
    <s v="Novos Requisitos FY25 - Outros"/>
    <x v="1"/>
    <s v="JB"/>
  </r>
  <r>
    <x v="0"/>
    <x v="1"/>
    <x v="0"/>
    <s v="lt004_protection"/>
    <s v="TYP_VHCL"/>
    <x v="1"/>
    <s v="6. Em implementação "/>
    <m/>
    <s v="Package 4"/>
    <s v="Package 23 abril"/>
    <m/>
    <s v=""/>
    <s v=""/>
    <s v=""/>
    <m/>
    <m/>
    <s v="Novo Projeto - Em especificação"/>
    <s v="GD, P3 e ESG"/>
    <s v="Novos Requisitos FY25 - Outros"/>
    <x v="1"/>
    <s v="JB"/>
  </r>
  <r>
    <x v="0"/>
    <x v="1"/>
    <x v="0"/>
    <s v="lt004_protection"/>
    <s v="PRMRY_ENRGY_DMND_TTL"/>
    <x v="1"/>
    <s v="6. Em implementação "/>
    <m/>
    <s v="Package 4"/>
    <s v="Package 23 abril"/>
    <m/>
    <s v=""/>
    <s v=""/>
    <s v=""/>
    <m/>
    <m/>
    <s v="Novo Projeto - Em especificação"/>
    <s v="P3 e ESG"/>
    <s v="Novos Requisitos FY25 - Outros"/>
    <x v="1"/>
    <s v="HF"/>
  </r>
  <r>
    <x v="0"/>
    <x v="1"/>
    <x v="0"/>
    <s v="lt004_protection"/>
    <s v="PRMRY_ENRGY_DMND_RFRNC_VL"/>
    <x v="1"/>
    <s v="6. Em implementação "/>
    <m/>
    <s v="Package 4"/>
    <s v="Package 23 abril"/>
    <m/>
    <s v=""/>
    <s v=""/>
    <s v=""/>
    <m/>
    <m/>
    <s v="Novo Projeto - Em especificação"/>
    <s v="P3 e ESG"/>
    <s v="Novos Requisitos FY25 - Outros"/>
    <x v="1"/>
    <s v="HF"/>
  </r>
  <r>
    <x v="0"/>
    <x v="1"/>
    <x v="0"/>
    <s v="lt004_protection"/>
    <s v="RL_ESTT_CLMT_ZN"/>
    <x v="1"/>
    <s v="6. Em implementação "/>
    <m/>
    <s v="Package 4"/>
    <s v="Package 23 abril"/>
    <m/>
    <s v=""/>
    <s v=""/>
    <s v=""/>
    <m/>
    <m/>
    <s v="Novo Projeto - Em especificação"/>
    <s v="P3 e ESG"/>
    <s v="Novos Requisitos FY25 - Outros"/>
    <x v="1"/>
    <s v="JB"/>
  </r>
  <r>
    <x v="0"/>
    <x v="3"/>
    <x v="0"/>
    <s v="ENERGY_CERTIFICATE_EST_INPUT"/>
    <s v="CHAVE_GLOVAL"/>
    <x v="3"/>
    <s v="2.1 Em Teste"/>
    <s v="Fase I"/>
    <s v="Package 1"/>
    <s v="Package 3"/>
    <m/>
    <s v=""/>
    <s v=""/>
    <s v=""/>
    <m/>
    <m/>
    <m/>
    <m/>
    <m/>
    <x v="2"/>
    <m/>
  </r>
  <r>
    <x v="0"/>
    <x v="3"/>
    <x v="0"/>
    <s v="ENERGY_CERTIFICATE_EST_INPUT"/>
    <s v="PROPERTY_BANK_ID"/>
    <x v="3"/>
    <s v="2.1 Em Teste"/>
    <s v="Fase I"/>
    <s v="Package 1"/>
    <s v="Package 3"/>
    <m/>
    <s v=""/>
    <s v=""/>
    <s v=""/>
    <m/>
    <m/>
    <m/>
    <m/>
    <m/>
    <x v="0"/>
    <m/>
  </r>
  <r>
    <x v="0"/>
    <x v="3"/>
    <x v="0"/>
    <s v="ENERGY_CERTIFICATE_EST_INPUT"/>
    <s v="PROPERTY_BRANCH_CODE"/>
    <x v="3"/>
    <s v="2.1 Em Teste"/>
    <s v="Fase I"/>
    <s v="Package 1"/>
    <s v="Package 3"/>
    <m/>
    <s v=""/>
    <s v=""/>
    <s v=""/>
    <m/>
    <m/>
    <m/>
    <m/>
    <m/>
    <x v="0"/>
    <m/>
  </r>
  <r>
    <x v="0"/>
    <x v="3"/>
    <x v="0"/>
    <s v="ENERGY_CERTIFICATE_EST_INPUT"/>
    <s v="PROPERTY_CONTRACT_ID"/>
    <x v="3"/>
    <s v="2.1 Em Teste"/>
    <s v="Fase I"/>
    <s v="Package 1"/>
    <s v="Package 3"/>
    <m/>
    <s v=""/>
    <s v=""/>
    <s v=""/>
    <m/>
    <m/>
    <m/>
    <m/>
    <m/>
    <x v="0"/>
    <m/>
  </r>
  <r>
    <x v="0"/>
    <x v="3"/>
    <x v="0"/>
    <s v="ENERGY_CERTIFICATE_EST_INPUT"/>
    <s v="PROPERTY_REFERENCE_CODE"/>
    <x v="3"/>
    <s v="2.1 Em Teste"/>
    <s v="Fase I"/>
    <s v="Package 1"/>
    <s v="Package 3"/>
    <m/>
    <s v=""/>
    <s v=""/>
    <s v=""/>
    <m/>
    <m/>
    <m/>
    <m/>
    <m/>
    <x v="0"/>
    <m/>
  </r>
  <r>
    <x v="0"/>
    <x v="3"/>
    <x v="0"/>
    <s v="ENERGY_CERTIFICATE_EST_INPUT"/>
    <s v="CÓDIGO_DISTRITO"/>
    <x v="3"/>
    <s v="2.1 Em Teste"/>
    <s v="Fase I"/>
    <s v="Package 1"/>
    <s v="Package 3"/>
    <m/>
    <s v=""/>
    <s v=""/>
    <s v=""/>
    <m/>
    <m/>
    <m/>
    <m/>
    <m/>
    <x v="3"/>
    <m/>
  </r>
  <r>
    <x v="0"/>
    <x v="3"/>
    <x v="0"/>
    <s v="ENERGY_CERTIFICATE_EST_INPUT"/>
    <s v="NOMBRE_DISTRITO"/>
    <x v="3"/>
    <s v="2.1 Em Teste"/>
    <s v="Fase I"/>
    <s v="Package 1"/>
    <s v="Package 3"/>
    <m/>
    <s v=""/>
    <s v=""/>
    <s v=""/>
    <m/>
    <m/>
    <m/>
    <m/>
    <m/>
    <x v="3"/>
    <m/>
  </r>
  <r>
    <x v="0"/>
    <x v="3"/>
    <x v="0"/>
    <s v="ENERGY_CERTIFICATE_EST_INPUT"/>
    <s v="CÓDIGO_CONCEJO"/>
    <x v="3"/>
    <s v="2.1 Em Teste"/>
    <s v="Fase I"/>
    <s v="Package 1"/>
    <s v="Package 3"/>
    <m/>
    <s v=""/>
    <s v=""/>
    <s v=""/>
    <m/>
    <m/>
    <m/>
    <m/>
    <m/>
    <x v="3"/>
    <m/>
  </r>
  <r>
    <x v="0"/>
    <x v="3"/>
    <x v="0"/>
    <s v="ENERGY_CERTIFICATE_EST_INPUT"/>
    <s v="NOMBRE_CONCEJO"/>
    <x v="3"/>
    <s v="2.1 Em Teste"/>
    <s v="Fase I"/>
    <s v="Package 1"/>
    <s v="Package 3"/>
    <m/>
    <s v=""/>
    <s v=""/>
    <s v=""/>
    <m/>
    <m/>
    <m/>
    <m/>
    <m/>
    <x v="3"/>
    <m/>
  </r>
  <r>
    <x v="0"/>
    <x v="3"/>
    <x v="0"/>
    <s v="ENERGY_CERTIFICATE_EST_INPUT"/>
    <s v="CÓDIGO_FREGUESIA"/>
    <x v="3"/>
    <s v="2.1 Em Teste"/>
    <s v="Fase I"/>
    <s v="Package 1"/>
    <s v="Package 3"/>
    <m/>
    <s v=""/>
    <s v=""/>
    <s v=""/>
    <m/>
    <m/>
    <m/>
    <m/>
    <m/>
    <x v="3"/>
    <m/>
  </r>
  <r>
    <x v="0"/>
    <x v="3"/>
    <x v="0"/>
    <s v="ENERGY_CERTIFICATE_EST_INPUT"/>
    <s v="NOMBRE_FREGUESIA"/>
    <x v="3"/>
    <s v="2.1 Em Teste"/>
    <s v="Fase I"/>
    <s v="Package 1"/>
    <s v="Package 3"/>
    <m/>
    <s v=""/>
    <s v=""/>
    <s v=""/>
    <m/>
    <m/>
    <m/>
    <m/>
    <m/>
    <x v="3"/>
    <m/>
  </r>
  <r>
    <x v="0"/>
    <x v="3"/>
    <x v="0"/>
    <s v="ENERGY_CERTIFICATE_EST_INPUT"/>
    <s v="LOCALIDADE"/>
    <x v="3"/>
    <s v="2.1 Em Teste"/>
    <s v="Fase I"/>
    <s v="Package 1"/>
    <s v="Package 3"/>
    <m/>
    <s v=""/>
    <s v=""/>
    <s v=""/>
    <m/>
    <m/>
    <m/>
    <m/>
    <m/>
    <x v="3"/>
    <m/>
  </r>
  <r>
    <x v="0"/>
    <x v="3"/>
    <x v="0"/>
    <s v="ENERGY_CERTIFICATE_EST_INPUT"/>
    <s v="TIPO_VIA"/>
    <x v="3"/>
    <s v="2.1 Em Teste"/>
    <s v="Fase I"/>
    <s v="Package 1"/>
    <s v="Package 3"/>
    <m/>
    <s v=""/>
    <s v=""/>
    <s v=""/>
    <m/>
    <m/>
    <m/>
    <m/>
    <m/>
    <x v="3"/>
    <m/>
  </r>
  <r>
    <x v="0"/>
    <x v="3"/>
    <x v="0"/>
    <s v="ENERGY_CERTIFICATE_EST_INPUT"/>
    <s v="NOMBRE_TIPO_VIA"/>
    <x v="3"/>
    <s v="2.1 Em Teste"/>
    <s v="Fase I"/>
    <s v="Package 1"/>
    <s v="Package 3"/>
    <m/>
    <s v=""/>
    <s v=""/>
    <s v=""/>
    <m/>
    <m/>
    <m/>
    <m/>
    <m/>
    <x v="3"/>
    <m/>
  </r>
  <r>
    <x v="0"/>
    <x v="3"/>
    <x v="0"/>
    <s v="ENERGY_CERTIFICATE_EST_INPUT"/>
    <s v="NOMBRE_VIA"/>
    <x v="3"/>
    <s v="2.1 Em Teste"/>
    <s v="Fase I"/>
    <s v="Package 1"/>
    <s v="Package 3"/>
    <m/>
    <s v=""/>
    <s v=""/>
    <s v=""/>
    <m/>
    <m/>
    <m/>
    <m/>
    <m/>
    <x v="3"/>
    <m/>
  </r>
  <r>
    <x v="0"/>
    <x v="3"/>
    <x v="0"/>
    <s v="ENERGY_CERTIFICATE_EST_INPUT"/>
    <s v="NUMERO_VIA"/>
    <x v="3"/>
    <s v="2.1 Em Teste"/>
    <s v="Fase I"/>
    <s v="Package 1"/>
    <s v="Package 3"/>
    <m/>
    <s v=""/>
    <s v=""/>
    <s v=""/>
    <m/>
    <m/>
    <m/>
    <m/>
    <m/>
    <x v="3"/>
    <m/>
  </r>
  <r>
    <x v="0"/>
    <x v="3"/>
    <x v="0"/>
    <s v="ENERGY_CERTIFICATE_EST_INPUT"/>
    <s v="LOTE"/>
    <x v="3"/>
    <s v="2.1 Em Teste"/>
    <s v="Fase I"/>
    <s v="Package 1"/>
    <s v="Package 3"/>
    <m/>
    <s v=""/>
    <s v=""/>
    <s v=""/>
    <m/>
    <m/>
    <m/>
    <m/>
    <m/>
    <x v="3"/>
    <m/>
  </r>
  <r>
    <x v="0"/>
    <x v="3"/>
    <x v="0"/>
    <s v="ENERGY_CERTIFICATE_EST_INPUT"/>
    <s v="URBANIZACION"/>
    <x v="3"/>
    <s v="2.1 Em Teste"/>
    <s v="Fase I"/>
    <s v="Package 1"/>
    <s v="Package 3"/>
    <m/>
    <s v=""/>
    <s v=""/>
    <s v=""/>
    <m/>
    <m/>
    <m/>
    <m/>
    <m/>
    <x v="3"/>
    <m/>
  </r>
  <r>
    <x v="0"/>
    <x v="3"/>
    <x v="0"/>
    <s v="ENERGY_CERTIFICATE_EST_INPUT"/>
    <s v="CAGLURB"/>
    <x v="3"/>
    <s v="2.1 Em Teste"/>
    <s v="Fase I"/>
    <s v="Package 1"/>
    <s v="Package 3"/>
    <m/>
    <s v=""/>
    <s v=""/>
    <s v=""/>
    <m/>
    <m/>
    <m/>
    <m/>
    <m/>
    <x v="3"/>
    <m/>
  </r>
  <r>
    <x v="0"/>
    <x v="3"/>
    <x v="0"/>
    <s v="ENERGY_CERTIFICATE_EST_INPUT"/>
    <s v="RESTO_DIRECCION"/>
    <x v="3"/>
    <s v="2.1 Em Teste"/>
    <s v="Fase I"/>
    <s v="Package 1"/>
    <s v="Package 3"/>
    <m/>
    <s v=""/>
    <s v=""/>
    <s v=""/>
    <m/>
    <m/>
    <m/>
    <m/>
    <m/>
    <x v="3"/>
    <m/>
  </r>
  <r>
    <x v="0"/>
    <x v="3"/>
    <x v="0"/>
    <s v="ENERGY_CERTIFICATE_EST_INPUT"/>
    <s v="LATITUDE"/>
    <x v="3"/>
    <s v="2.1 Em Teste"/>
    <s v="Fase I"/>
    <s v="Package 1"/>
    <s v="Package 3"/>
    <m/>
    <s v=""/>
    <s v=""/>
    <s v=""/>
    <m/>
    <m/>
    <m/>
    <m/>
    <m/>
    <x v="3"/>
    <m/>
  </r>
  <r>
    <x v="0"/>
    <x v="3"/>
    <x v="0"/>
    <s v="ENERGY_CERTIFICATE_EST_INPUT"/>
    <s v="LONGITUDE"/>
    <x v="3"/>
    <s v="2.1 Em Teste"/>
    <s v="Fase I"/>
    <s v="Package 1"/>
    <s v="Package 3"/>
    <m/>
    <s v=""/>
    <s v=""/>
    <s v=""/>
    <m/>
    <m/>
    <m/>
    <m/>
    <m/>
    <x v="3"/>
    <m/>
  </r>
  <r>
    <x v="0"/>
    <x v="3"/>
    <x v="0"/>
    <s v="ENERGY_CERTIFICATE_EST_INPUT"/>
    <s v="CODIGO_POSTAL"/>
    <x v="3"/>
    <s v="2.1 Em Teste"/>
    <s v="Fase I"/>
    <s v="Package 1"/>
    <s v="Package 3"/>
    <m/>
    <s v=""/>
    <s v=""/>
    <s v=""/>
    <m/>
    <m/>
    <m/>
    <m/>
    <m/>
    <x v="3"/>
    <m/>
  </r>
  <r>
    <x v="0"/>
    <x v="3"/>
    <x v="0"/>
    <s v="ENERGY_CERTIFICATE_EST_INPUT"/>
    <s v="SUBCODIGO_POSTAL"/>
    <x v="3"/>
    <s v="2.1 Em Teste"/>
    <s v="Fase I"/>
    <s v="Package 1"/>
    <s v="Package 3"/>
    <m/>
    <s v=""/>
    <s v=""/>
    <s v=""/>
    <m/>
    <m/>
    <m/>
    <m/>
    <m/>
    <x v="3"/>
    <m/>
  </r>
  <r>
    <x v="0"/>
    <x v="3"/>
    <x v="0"/>
    <s v="ENERGY_CERTIFICATE_EST_INPUT"/>
    <s v="ASSUPERFICIE_UTIL"/>
    <x v="3"/>
    <s v="2.1 Em Teste"/>
    <s v="Fase I"/>
    <s v="Package 1"/>
    <s v="Package 3"/>
    <m/>
    <s v=""/>
    <s v=""/>
    <s v=""/>
    <m/>
    <m/>
    <m/>
    <m/>
    <m/>
    <x v="3"/>
    <m/>
  </r>
  <r>
    <x v="0"/>
    <x v="3"/>
    <x v="0"/>
    <s v="ENERGY_CERTIFICATE_EST_INPUT"/>
    <s v="ANIO_CONSTRUCCION"/>
    <x v="3"/>
    <s v="2.1 Em Teste"/>
    <s v="Fase I"/>
    <s v="Package 1"/>
    <s v="Package 3"/>
    <m/>
    <s v=""/>
    <s v=""/>
    <s v=""/>
    <m/>
    <m/>
    <m/>
    <m/>
    <m/>
    <x v="3"/>
    <m/>
  </r>
  <r>
    <x v="0"/>
    <x v="3"/>
    <x v="0"/>
    <s v="ENERGY_CERTIFICATE_EST_INPUT"/>
    <s v="TIPO_INMUEBLE_HABITACAO"/>
    <x v="3"/>
    <s v="2.1 Em Teste"/>
    <s v="Fase I"/>
    <s v="Package 1"/>
    <s v="Package 3"/>
    <m/>
    <s v=""/>
    <s v=""/>
    <s v=""/>
    <m/>
    <m/>
    <m/>
    <m/>
    <m/>
    <x v="3"/>
    <m/>
  </r>
  <r>
    <x v="0"/>
    <x v="3"/>
    <x v="0"/>
    <s v="ENERGY_CERTIFICATE_EST_INPUT"/>
    <s v="PISO_APARTAMENTO"/>
    <x v="3"/>
    <s v="2.1 Em Teste"/>
    <s v="Fase I"/>
    <s v="Package 1"/>
    <s v="Package 3"/>
    <m/>
    <s v=""/>
    <s v=""/>
    <s v=""/>
    <m/>
    <m/>
    <m/>
    <m/>
    <m/>
    <x v="3"/>
    <m/>
  </r>
  <r>
    <x v="0"/>
    <x v="3"/>
    <x v="0"/>
    <s v="ENERGY_CERTIFICATE_EST_INPUT"/>
    <s v="CASA_UNIFAMILIAR"/>
    <x v="3"/>
    <s v="2.1 Em Teste"/>
    <s v="Fase I"/>
    <s v="Package 1"/>
    <s v="Package 3"/>
    <m/>
    <s v=""/>
    <s v=""/>
    <s v=""/>
    <m/>
    <m/>
    <m/>
    <m/>
    <m/>
    <x v="3"/>
    <m/>
  </r>
  <r>
    <x v="0"/>
    <x v="3"/>
    <x v="0"/>
    <s v="ENERGY_CERTIFICATE_EST_INPUT"/>
    <s v="TIPO_INMUEBLE_COMERCIO_SERVICOS"/>
    <x v="3"/>
    <s v="2.1 Em Teste"/>
    <s v="Fase I"/>
    <s v="Package 1"/>
    <s v="Package 3"/>
    <m/>
    <s v=""/>
    <s v=""/>
    <s v=""/>
    <m/>
    <m/>
    <m/>
    <m/>
    <m/>
    <x v="3"/>
    <m/>
  </r>
  <r>
    <x v="0"/>
    <x v="3"/>
    <x v="0"/>
    <s v="ENERGY_CERTIFICATE_EST_INPUT"/>
    <s v="NOME_CONSERVATORIA"/>
    <x v="3"/>
    <s v="2.1 Em Teste"/>
    <s v="Fase I"/>
    <s v="Package 1"/>
    <s v="Package 3"/>
    <m/>
    <s v=""/>
    <s v=""/>
    <s v=""/>
    <m/>
    <m/>
    <m/>
    <m/>
    <m/>
    <x v="3"/>
    <m/>
  </r>
  <r>
    <x v="0"/>
    <x v="3"/>
    <x v="0"/>
    <s v="ENERGY_CERTIFICATE_EST_INPUT"/>
    <s v="COD_CONSERVATORIA"/>
    <x v="3"/>
    <s v="2.1 Em Teste"/>
    <s v="Fase I"/>
    <s v="Package 1"/>
    <s v="Package 3"/>
    <m/>
    <s v=""/>
    <s v=""/>
    <s v=""/>
    <m/>
    <m/>
    <m/>
    <m/>
    <m/>
    <x v="3"/>
    <m/>
  </r>
  <r>
    <x v="0"/>
    <x v="3"/>
    <x v="0"/>
    <s v="ENERGY_CERTIFICATE_EST_INPUT"/>
    <s v="REGISTRO_CONSERVATORIA"/>
    <x v="3"/>
    <s v="2.1 Em Teste"/>
    <s v="Fase I"/>
    <s v="Package 1"/>
    <s v="Package 3"/>
    <m/>
    <s v=""/>
    <s v=""/>
    <s v=""/>
    <m/>
    <m/>
    <m/>
    <m/>
    <m/>
    <x v="3"/>
    <m/>
  </r>
  <r>
    <x v="0"/>
    <x v="3"/>
    <x v="0"/>
    <s v="ENERGY_CERTIFICATE_EST_INPUT"/>
    <s v="ART_MATRICIAIS"/>
    <x v="3"/>
    <s v="2.1 Em Teste"/>
    <s v="Fase I"/>
    <s v="Package 1"/>
    <s v="Package 3"/>
    <m/>
    <s v=""/>
    <s v=""/>
    <s v=""/>
    <m/>
    <m/>
    <m/>
    <m/>
    <m/>
    <x v="3"/>
    <m/>
  </r>
  <r>
    <x v="0"/>
    <x v="3"/>
    <x v="0"/>
    <s v="ENERGY_CERTIFICATE_EST_INPUT"/>
    <s v="FRACCAO_AUTONOMA"/>
    <x v="3"/>
    <s v="2.1 Em Teste"/>
    <s v="Fase I"/>
    <s v="Package 1"/>
    <s v="Package 3"/>
    <m/>
    <s v=""/>
    <s v=""/>
    <s v=""/>
    <m/>
    <m/>
    <m/>
    <m/>
    <m/>
    <x v="3"/>
    <m/>
  </r>
  <r>
    <x v="0"/>
    <x v="3"/>
    <x v="0"/>
    <s v="ENERGY_CERTIFICATE_EST_INPUT"/>
    <s v="FINALIDADE_BEM"/>
    <x v="3"/>
    <s v="2.1 Em Teste"/>
    <s v="Fase I"/>
    <s v="Package 1"/>
    <s v="Package 3"/>
    <m/>
    <s v=""/>
    <s v=""/>
    <s v=""/>
    <m/>
    <m/>
    <m/>
    <m/>
    <m/>
    <x v="3"/>
    <m/>
  </r>
  <r>
    <x v="0"/>
    <x v="3"/>
    <x v="0"/>
    <s v="ENERGY_CERTIFICATE_EST_INPUT"/>
    <s v="CLASS_GPT31"/>
    <x v="3"/>
    <s v="2.1 Em Teste"/>
    <s v="Fase I"/>
    <s v="Package 1"/>
    <s v="Package 3"/>
    <m/>
    <s v=""/>
    <s v=""/>
    <s v=""/>
    <m/>
    <m/>
    <m/>
    <m/>
    <m/>
    <x v="3"/>
    <m/>
  </r>
  <r>
    <x v="0"/>
    <x v="3"/>
    <x v="0"/>
    <s v="ENERGY_CERTIFICATE_EST_INPUT"/>
    <s v="CLASS_STCLIM"/>
    <x v="3"/>
    <s v="2.1 Em Teste"/>
    <s v="Fase I"/>
    <s v="Package 1"/>
    <s v="Package 3"/>
    <m/>
    <s v=""/>
    <s v=""/>
    <s v=""/>
    <m/>
    <m/>
    <m/>
    <m/>
    <m/>
    <x v="3"/>
    <m/>
  </r>
  <r>
    <x v="0"/>
    <x v="3"/>
    <x v="0"/>
    <s v="ENERGY_CERTIFICATE_EST_INPUT"/>
    <s v="CONF_STCLIM"/>
    <x v="3"/>
    <s v="2.1 Em Teste"/>
    <s v="Fase I"/>
    <s v="Package 1"/>
    <s v="Package 3"/>
    <m/>
    <s v=""/>
    <s v=""/>
    <s v=""/>
    <m/>
    <m/>
    <m/>
    <m/>
    <m/>
    <x v="3"/>
    <m/>
  </r>
  <r>
    <x v="0"/>
    <x v="3"/>
    <x v="0"/>
    <s v="ENERGY_CERTIFICATE_EST_INPUT"/>
    <s v="CLASSE_ENERGETICA"/>
    <x v="3"/>
    <s v="2.1 Em Teste"/>
    <s v="Fase I"/>
    <s v="Package 1"/>
    <s v="Package 3"/>
    <m/>
    <s v=""/>
    <s v=""/>
    <s v=""/>
    <m/>
    <m/>
    <m/>
    <m/>
    <m/>
    <x v="2"/>
    <m/>
  </r>
  <r>
    <x v="0"/>
    <x v="3"/>
    <x v="0"/>
    <s v="ENERGY_CERTIFICATE_EST_INPUT"/>
    <s v="FIABILIDAD"/>
    <x v="3"/>
    <s v="2.1 Em Teste"/>
    <s v="Fase I"/>
    <s v="Package 1"/>
    <s v="Package 3"/>
    <m/>
    <s v=""/>
    <s v=""/>
    <s v=""/>
    <m/>
    <m/>
    <m/>
    <m/>
    <m/>
    <x v="2"/>
    <m/>
  </r>
  <r>
    <x v="0"/>
    <x v="3"/>
    <x v="0"/>
    <s v="ENERGY_CERTIFICATE_EST_INPUT"/>
    <s v="EMISSIONES"/>
    <x v="3"/>
    <s v="2.1 Em Teste"/>
    <s v="Fase I"/>
    <s v="Package 1"/>
    <s v="Package 3"/>
    <m/>
    <s v=""/>
    <s v=""/>
    <s v=""/>
    <m/>
    <m/>
    <m/>
    <m/>
    <m/>
    <x v="2"/>
    <m/>
  </r>
  <r>
    <x v="0"/>
    <x v="3"/>
    <x v="0"/>
    <s v="ENERGY_CERTIFICATE_EST_INPUT"/>
    <s v="CONSUMOS"/>
    <x v="3"/>
    <s v="2.1 Em Teste"/>
    <s v="Fase I"/>
    <s v="Package 1"/>
    <s v="Package 3"/>
    <m/>
    <s v=""/>
    <s v=""/>
    <s v=""/>
    <m/>
    <m/>
    <m/>
    <m/>
    <m/>
    <x v="2"/>
    <m/>
  </r>
  <r>
    <x v="0"/>
    <x v="3"/>
    <x v="0"/>
    <s v="ENERGY_CERTIFICATE_EST_INPUT"/>
    <s v="DATA_ENVIO"/>
    <x v="3"/>
    <s v="2.1 Em Teste"/>
    <s v="Fase I"/>
    <s v="Package 1"/>
    <s v="Package 3"/>
    <m/>
    <s v=""/>
    <s v=""/>
    <s v=""/>
    <m/>
    <m/>
    <m/>
    <m/>
    <m/>
    <x v="2"/>
    <m/>
  </r>
  <r>
    <x v="0"/>
    <x v="0"/>
    <x v="0"/>
    <s v="PROPERTY_ENERGY_CERTIFICATE"/>
    <s v="EPC"/>
    <x v="3"/>
    <s v="2.1 Em Teste"/>
    <m/>
    <s v="Package 1"/>
    <s v="Package 3"/>
    <m/>
    <s v=""/>
    <s v=""/>
    <s v=""/>
    <m/>
    <m/>
    <m/>
    <m/>
    <m/>
    <x v="0"/>
    <m/>
  </r>
  <r>
    <x v="0"/>
    <x v="0"/>
    <x v="0"/>
    <s v="PROPERTY_ENERGY_CERTIFICATE"/>
    <s v="PRMRY_ENRGY_DMND_RFRNC_VL"/>
    <x v="0"/>
    <s v="6. Em implementação "/>
    <m/>
    <m/>
    <s v="Package 3"/>
    <m/>
    <s v=""/>
    <s v=""/>
    <s v=""/>
    <m/>
    <m/>
    <m/>
    <m/>
    <m/>
    <x v="0"/>
    <m/>
  </r>
  <r>
    <x v="0"/>
    <x v="0"/>
    <x v="0"/>
    <s v="PROPERTY_ENERGY_CERTIFICATE"/>
    <s v="CARBON_EMISSION_VALUE_YEAR"/>
    <x v="3"/>
    <s v="2.1 Em Teste"/>
    <m/>
    <s v="Package 1"/>
    <s v="Package 3"/>
    <m/>
    <s v=""/>
    <s v=""/>
    <s v=""/>
    <m/>
    <m/>
    <m/>
    <m/>
    <m/>
    <x v="0"/>
    <m/>
  </r>
  <r>
    <x v="0"/>
    <x v="4"/>
    <x v="0"/>
    <s v="modesg_inp_risco_fisico_zipcode"/>
    <s v="cod_pais"/>
    <x v="3"/>
    <s v="2.1 Em Teste"/>
    <m/>
    <s v="Package 2"/>
    <s v="Package 3"/>
    <m/>
    <s v=""/>
    <s v=""/>
    <s v=""/>
    <m/>
    <m/>
    <s v="Novo Projeto - Em especificação"/>
    <m/>
    <m/>
    <x v="1"/>
    <s v="HF"/>
  </r>
  <r>
    <x v="0"/>
    <x v="4"/>
    <x v="0"/>
    <s v="modesg_inp_risco_fisico_zipcode"/>
    <s v="localizacao"/>
    <x v="3"/>
    <s v="2.1 Em Teste"/>
    <m/>
    <s v="Package 2"/>
    <s v="Package 3"/>
    <m/>
    <s v=""/>
    <s v=""/>
    <s v=""/>
    <m/>
    <m/>
    <s v="Novo Projeto - Em especificação"/>
    <m/>
    <m/>
    <x v="1"/>
    <s v="HF"/>
  </r>
  <r>
    <x v="0"/>
    <x v="4"/>
    <x v="0"/>
    <s v="modesg_inp_risco_fisico_zipcode"/>
    <s v="cod_nace_esg"/>
    <x v="3"/>
    <s v="2.1 Em Teste"/>
    <m/>
    <s v="Package 2"/>
    <s v="Package 3"/>
    <m/>
    <s v=""/>
    <s v=""/>
    <s v=""/>
    <m/>
    <m/>
    <s v="Novo Projeto - Em especificação"/>
    <m/>
    <m/>
    <x v="1"/>
    <s v="HF"/>
  </r>
  <r>
    <x v="0"/>
    <x v="4"/>
    <x v="0"/>
    <s v="modesg_inp_risco_fisico_zipcode"/>
    <s v="flg_rsc_fsc_agd"/>
    <x v="3"/>
    <s v="2.1 Em Teste"/>
    <m/>
    <s v="Package 2"/>
    <s v="Package 3"/>
    <m/>
    <s v=""/>
    <s v=""/>
    <s v=""/>
    <m/>
    <m/>
    <s v="Novo Projeto - Em especificação"/>
    <m/>
    <m/>
    <x v="1"/>
    <s v="HF"/>
  </r>
  <r>
    <x v="0"/>
    <x v="4"/>
    <x v="0"/>
    <s v="modesg_inp_risco_fisico_zipcode"/>
    <s v="flg_rsc_fsc_crnc"/>
    <x v="3"/>
    <s v="2.1 Em Teste"/>
    <m/>
    <s v="Package 2"/>
    <s v="Package 3"/>
    <m/>
    <s v=""/>
    <s v=""/>
    <s v=""/>
    <m/>
    <m/>
    <s v="Novo Projeto - Em especificação"/>
    <m/>
    <m/>
    <x v="1"/>
    <s v="HF"/>
  </r>
  <r>
    <x v="0"/>
    <x v="2"/>
    <x v="0"/>
    <s v="modesg_out_bens_imoveis"/>
    <s v="flg_rsc_fsc_agd"/>
    <x v="3"/>
    <s v="2.1 Em Teste"/>
    <m/>
    <s v="Package 2"/>
    <s v="Package 3"/>
    <m/>
    <s v=""/>
    <s v=""/>
    <s v=""/>
    <m/>
    <m/>
    <s v="Novo Projeto - Em especificação"/>
    <m/>
    <m/>
    <x v="0"/>
    <s v="HF"/>
  </r>
  <r>
    <x v="0"/>
    <x v="2"/>
    <x v="0"/>
    <s v="modesg_out_bens_imoveis"/>
    <s v="flg_rsc_fsc_crnc"/>
    <x v="3"/>
    <s v="2.1 Em Teste"/>
    <m/>
    <s v="Package 2"/>
    <s v="Package 3"/>
    <m/>
    <s v=""/>
    <s v=""/>
    <s v=""/>
    <m/>
    <m/>
    <s v="Novo Projeto - Em especificação"/>
    <m/>
    <m/>
    <x v="0"/>
    <s v="HF"/>
  </r>
  <r>
    <x v="0"/>
    <x v="2"/>
    <x v="0"/>
    <s v="modesg_out_bens_imoveis"/>
    <s v="origem_flg_rsc_fsc_agd"/>
    <x v="3"/>
    <s v="2.1 Em Teste"/>
    <m/>
    <s v="Package 2"/>
    <s v="Package 3"/>
    <m/>
    <s v=""/>
    <s v=""/>
    <s v=""/>
    <m/>
    <m/>
    <s v="Novo Projeto - Em especificação"/>
    <m/>
    <m/>
    <x v="0"/>
    <m/>
  </r>
  <r>
    <x v="0"/>
    <x v="2"/>
    <x v="0"/>
    <s v="modesg_out_bens_imoveis"/>
    <s v="origem_flg_rsc_fsc_crnc"/>
    <x v="3"/>
    <s v="2.1 Em Teste"/>
    <m/>
    <s v="Package 2"/>
    <s v="Package 3"/>
    <m/>
    <s v=""/>
    <s v=""/>
    <s v=""/>
    <m/>
    <m/>
    <s v="Novo Projeto - Em especificação"/>
    <m/>
    <m/>
    <x v="0"/>
    <m/>
  </r>
  <r>
    <x v="0"/>
    <x v="2"/>
    <x v="0"/>
    <s v="modesg_out_empr_info_nfin"/>
    <s v="origem_scp1_emss"/>
    <x v="3"/>
    <s v="2.1 Em Teste"/>
    <m/>
    <m/>
    <s v="Package 3"/>
    <m/>
    <s v=""/>
    <s v=""/>
    <s v=""/>
    <m/>
    <m/>
    <m/>
    <m/>
    <m/>
    <x v="0"/>
    <s v="HF"/>
  </r>
  <r>
    <x v="0"/>
    <x v="2"/>
    <x v="0"/>
    <s v="modesg_out_empr_info_nfin"/>
    <s v="origem_scp2_emss"/>
    <x v="3"/>
    <s v="2.1 Em Teste"/>
    <m/>
    <m/>
    <s v="Package 3"/>
    <m/>
    <s v=""/>
    <s v=""/>
    <s v=""/>
    <m/>
    <m/>
    <m/>
    <m/>
    <m/>
    <x v="0"/>
    <s v="HF"/>
  </r>
  <r>
    <x v="0"/>
    <x v="2"/>
    <x v="0"/>
    <s v="modesg_out_empr_info_nfin"/>
    <s v="origem_scp3_emss"/>
    <x v="3"/>
    <s v="2.1 Em Teste"/>
    <m/>
    <m/>
    <s v="Package 3"/>
    <m/>
    <s v=""/>
    <s v=""/>
    <s v=""/>
    <m/>
    <m/>
    <m/>
    <m/>
    <m/>
    <x v="0"/>
    <s v="HF"/>
  </r>
  <r>
    <x v="0"/>
    <x v="2"/>
    <x v="0"/>
    <s v="modesg_out_empr_info_nfin"/>
    <s v="scp1_emss"/>
    <x v="3"/>
    <s v="2.1 Em Teste"/>
    <m/>
    <m/>
    <s v="Package 3"/>
    <m/>
    <s v=""/>
    <s v=""/>
    <s v=""/>
    <m/>
    <m/>
    <m/>
    <m/>
    <m/>
    <x v="0"/>
    <s v="HF"/>
  </r>
  <r>
    <x v="0"/>
    <x v="2"/>
    <x v="0"/>
    <s v="modesg_out_empr_info_nfin"/>
    <s v="scp2_emss"/>
    <x v="3"/>
    <s v="2.1 Em Teste"/>
    <m/>
    <m/>
    <s v="Package 3"/>
    <m/>
    <s v=""/>
    <s v=""/>
    <s v=""/>
    <m/>
    <m/>
    <m/>
    <m/>
    <m/>
    <x v="0"/>
    <s v="HF"/>
  </r>
  <r>
    <x v="0"/>
    <x v="2"/>
    <x v="0"/>
    <s v="modesg_out_empr_info_nfin"/>
    <s v="scp3_emss"/>
    <x v="3"/>
    <s v="2.1 Em Teste"/>
    <m/>
    <m/>
    <s v="Package 3"/>
    <m/>
    <s v=""/>
    <s v=""/>
    <s v=""/>
    <m/>
    <m/>
    <m/>
    <m/>
    <m/>
    <x v="0"/>
    <s v="HF"/>
  </r>
  <r>
    <x v="0"/>
    <x v="2"/>
    <x v="0"/>
    <s v="modesg_out_empr_info_nfin"/>
    <s v="divida_total"/>
    <x v="3"/>
    <s v="2.1 Em Teste"/>
    <m/>
    <m/>
    <s v="Package 3"/>
    <m/>
    <s v=""/>
    <s v=""/>
    <s v=""/>
    <m/>
    <m/>
    <m/>
    <m/>
    <m/>
    <x v="0"/>
    <s v="HF"/>
  </r>
  <r>
    <x v="0"/>
    <x v="2"/>
    <x v="0"/>
    <s v="modesg_out_empr_info_nfin"/>
    <s v="capital_proprio"/>
    <x v="3"/>
    <s v="2.1 Em Teste"/>
    <m/>
    <m/>
    <s v="Package 3"/>
    <m/>
    <s v=""/>
    <s v=""/>
    <s v=""/>
    <m/>
    <m/>
    <m/>
    <m/>
    <m/>
    <x v="0"/>
    <s v="HF"/>
  </r>
  <r>
    <x v="0"/>
    <x v="1"/>
    <x v="0"/>
    <s v="lt004_protection"/>
    <s v="flg_act_physcl_rsk"/>
    <x v="3"/>
    <s v="2.1 Em Teste"/>
    <m/>
    <m/>
    <s v="Package 3"/>
    <m/>
    <s v=""/>
    <s v=""/>
    <s v=""/>
    <m/>
    <m/>
    <m/>
    <m/>
    <m/>
    <x v="0"/>
    <m/>
  </r>
  <r>
    <x v="0"/>
    <x v="1"/>
    <x v="0"/>
    <s v="lt004_protection"/>
    <s v="flg_chrnc_physcl_rsk"/>
    <x v="3"/>
    <s v="2.1 Em Teste"/>
    <m/>
    <m/>
    <s v="Package 3"/>
    <m/>
    <s v=""/>
    <s v=""/>
    <s v=""/>
    <m/>
    <m/>
    <m/>
    <m/>
    <m/>
    <x v="0"/>
    <m/>
  </r>
  <r>
    <x v="0"/>
    <x v="2"/>
    <x v="0"/>
    <s v="modesg_out_empr_info_nfin"/>
    <s v="cod_nace_esg"/>
    <x v="1"/>
    <s v="6. Em implementação "/>
    <m/>
    <s v="Package 1"/>
    <s v="Package 4"/>
    <m/>
    <s v=""/>
    <s v=""/>
    <s v=""/>
    <m/>
    <m/>
    <m/>
    <m/>
    <m/>
    <x v="0"/>
    <s v="JB"/>
  </r>
  <r>
    <x v="0"/>
    <x v="2"/>
    <x v="0"/>
    <s v="modesg_out_empr_info_nfin"/>
    <s v="flg_rsc_fsc_agd"/>
    <x v="1"/>
    <s v="6. Em implementação "/>
    <m/>
    <s v="Package 2"/>
    <s v="Package 4"/>
    <m/>
    <s v=""/>
    <s v=""/>
    <s v=""/>
    <m/>
    <m/>
    <s v="Novo Projeto - Em especificação"/>
    <m/>
    <m/>
    <x v="4"/>
    <s v="HF"/>
  </r>
  <r>
    <x v="0"/>
    <x v="2"/>
    <x v="0"/>
    <s v="modesg_out_empr_info_nfin"/>
    <s v="flg_rsc_fsc_crnc"/>
    <x v="1"/>
    <s v="6. Em implementação "/>
    <m/>
    <s v="Package 2"/>
    <s v="Package 4"/>
    <m/>
    <s v=""/>
    <s v=""/>
    <s v=""/>
    <m/>
    <m/>
    <s v="Novo Projeto - Em especificação"/>
    <m/>
    <m/>
    <x v="4"/>
    <s v="HF"/>
  </r>
  <r>
    <x v="0"/>
    <x v="2"/>
    <x v="0"/>
    <s v="modesg_out_empr_info_nfin"/>
    <s v="origem_flg_rsc_fsc_agd"/>
    <x v="1"/>
    <s v="6. Em implementação "/>
    <m/>
    <s v="Package 2"/>
    <s v="Package 4"/>
    <m/>
    <s v=""/>
    <s v=""/>
    <s v=""/>
    <m/>
    <m/>
    <s v="Novo Projeto - Em especificação"/>
    <m/>
    <m/>
    <x v="4"/>
    <s v="HF"/>
  </r>
  <r>
    <x v="0"/>
    <x v="2"/>
    <x v="0"/>
    <s v="modesg_out_empr_info_nfin"/>
    <s v="origem_flg_rsc_fsc_crnc"/>
    <x v="1"/>
    <s v="6. Em implementação "/>
    <m/>
    <s v="Package 2"/>
    <s v="Package 4"/>
    <m/>
    <s v=""/>
    <s v=""/>
    <s v=""/>
    <m/>
    <m/>
    <s v="Novo Projeto - Em especificação"/>
    <m/>
    <m/>
    <x v="4"/>
    <s v="HF"/>
  </r>
  <r>
    <x v="0"/>
    <x v="0"/>
    <x v="0"/>
    <s v="PROPERTY_ENERGY_CERTIFICATE"/>
    <s v="EP_SCORE"/>
    <x v="2"/>
    <s v="4. Validação EF"/>
    <m/>
    <s v="Package 6"/>
    <s v="Package 5"/>
    <m/>
    <s v=""/>
    <s v=""/>
    <s v=""/>
    <m/>
    <m/>
    <m/>
    <m/>
    <m/>
    <x v="0"/>
    <m/>
  </r>
  <r>
    <x v="0"/>
    <x v="0"/>
    <x v="0"/>
    <s v="PROPERTY_ENERGY_CERTIFICATE"/>
    <s v="ENERGY_CONSUMPTION_VALUE_YEAR"/>
    <x v="2"/>
    <s v="4. Validação EF"/>
    <m/>
    <s v="Package 6"/>
    <s v="Package 5"/>
    <m/>
    <s v=""/>
    <s v=""/>
    <s v=""/>
    <m/>
    <m/>
    <m/>
    <m/>
    <m/>
    <x v="0"/>
    <m/>
  </r>
  <r>
    <x v="0"/>
    <x v="4"/>
    <x v="0"/>
    <s v="modesg_param_sfics_taxon_europeia"/>
    <s v="cod_regra"/>
    <x v="1"/>
    <s v="6. Em implementação "/>
    <m/>
    <m/>
    <s v="Package 5"/>
    <m/>
    <s v=""/>
    <s v=""/>
    <s v=""/>
    <m/>
    <m/>
    <m/>
    <m/>
    <m/>
    <x v="0"/>
    <s v="RC"/>
  </r>
  <r>
    <x v="0"/>
    <x v="4"/>
    <x v="0"/>
    <s v="modesg_param_sfics_taxon_europeia"/>
    <s v="nivel"/>
    <x v="1"/>
    <s v="6. Em implementação "/>
    <m/>
    <m/>
    <s v="Package 5"/>
    <m/>
    <s v=""/>
    <s v=""/>
    <s v=""/>
    <m/>
    <m/>
    <m/>
    <m/>
    <m/>
    <x v="0"/>
    <s v="RC"/>
  </r>
  <r>
    <x v="0"/>
    <x v="4"/>
    <x v="0"/>
    <s v="modesg_param_sfics_taxon_europeia"/>
    <s v="grupo_regra"/>
    <x v="1"/>
    <s v="6. Em implementação "/>
    <m/>
    <m/>
    <s v="Package 5"/>
    <m/>
    <s v=""/>
    <s v=""/>
    <s v=""/>
    <m/>
    <m/>
    <m/>
    <m/>
    <m/>
    <x v="5"/>
    <m/>
  </r>
  <r>
    <x v="0"/>
    <x v="4"/>
    <x v="0"/>
    <s v="modesg_param_sfics_taxon_europeia"/>
    <s v="dscrc"/>
    <x v="1"/>
    <s v="6. Em implementação "/>
    <m/>
    <m/>
    <s v="Package 5"/>
    <m/>
    <s v=""/>
    <s v=""/>
    <s v=""/>
    <m/>
    <m/>
    <m/>
    <m/>
    <m/>
    <x v="0"/>
    <s v="RC"/>
  </r>
  <r>
    <x v="0"/>
    <x v="4"/>
    <x v="0"/>
    <s v="modesg_param_sfics_taxon_europeia"/>
    <s v="comite"/>
    <x v="1"/>
    <s v="6. Em implementação "/>
    <m/>
    <m/>
    <s v="Package 5"/>
    <m/>
    <s v=""/>
    <s v=""/>
    <s v=""/>
    <m/>
    <m/>
    <m/>
    <m/>
    <m/>
    <x v="0"/>
    <s v="RC"/>
  </r>
  <r>
    <x v="0"/>
    <x v="4"/>
    <x v="0"/>
    <s v="modesg_param_sfics_taxon_europeia"/>
    <s v="data_aprvc"/>
    <x v="1"/>
    <s v="6. Em implementação "/>
    <m/>
    <m/>
    <s v="Package 5"/>
    <m/>
    <s v=""/>
    <s v=""/>
    <s v=""/>
    <m/>
    <m/>
    <m/>
    <m/>
    <m/>
    <x v="0"/>
    <s v="RC"/>
  </r>
  <r>
    <x v="0"/>
    <x v="4"/>
    <x v="0"/>
    <s v="modesg_param_sfics_taxon_europeia"/>
    <s v="data_inicial"/>
    <x v="1"/>
    <s v="6. Em implementação "/>
    <m/>
    <m/>
    <s v="Package 5"/>
    <m/>
    <s v=""/>
    <s v=""/>
    <s v=""/>
    <m/>
    <m/>
    <m/>
    <m/>
    <m/>
    <x v="0"/>
    <s v="RC"/>
  </r>
  <r>
    <x v="0"/>
    <x v="4"/>
    <x v="0"/>
    <s v="modesg_param_sfics_taxon_europeia"/>
    <s v="data_final"/>
    <x v="1"/>
    <s v="6. Em implementação "/>
    <m/>
    <m/>
    <s v="Package 5"/>
    <m/>
    <s v=""/>
    <s v=""/>
    <s v=""/>
    <m/>
    <m/>
    <m/>
    <m/>
    <m/>
    <x v="0"/>
    <s v="RC"/>
  </r>
  <r>
    <x v="0"/>
    <x v="4"/>
    <x v="0"/>
    <s v="modesg_param_sfics_taxon_europeia"/>
    <s v="zcliente"/>
    <x v="1"/>
    <s v="6. Em implementação "/>
    <m/>
    <m/>
    <s v="Package 5"/>
    <m/>
    <s v=""/>
    <s v=""/>
    <s v=""/>
    <m/>
    <m/>
    <m/>
    <m/>
    <m/>
    <x v="0"/>
    <s v="RC"/>
  </r>
  <r>
    <x v="0"/>
    <x v="4"/>
    <x v="0"/>
    <s v="modesg_param_sfics_taxon_europeia"/>
    <s v="cempcta"/>
    <x v="1"/>
    <s v="6. Em implementação "/>
    <m/>
    <m/>
    <s v="Package 5"/>
    <m/>
    <s v=""/>
    <s v=""/>
    <s v=""/>
    <m/>
    <m/>
    <m/>
    <m/>
    <m/>
    <x v="3"/>
    <s v="RC"/>
  </r>
  <r>
    <x v="0"/>
    <x v="4"/>
    <x v="0"/>
    <s v="modesg_param_sfics_taxon_europeia"/>
    <s v="ckbalcao"/>
    <x v="1"/>
    <s v="6. Em implementação "/>
    <m/>
    <m/>
    <s v="Package 5"/>
    <m/>
    <s v=""/>
    <s v=""/>
    <s v=""/>
    <m/>
    <m/>
    <m/>
    <m/>
    <m/>
    <x v="0"/>
    <s v="RC"/>
  </r>
  <r>
    <x v="0"/>
    <x v="4"/>
    <x v="0"/>
    <s v="modesg_param_sfics_taxon_europeia"/>
    <s v="cknumcta"/>
    <x v="1"/>
    <s v="6. Em implementação "/>
    <m/>
    <m/>
    <s v="Package 5"/>
    <m/>
    <s v=""/>
    <s v=""/>
    <s v=""/>
    <m/>
    <m/>
    <m/>
    <m/>
    <m/>
    <x v="0"/>
    <s v="RC"/>
  </r>
  <r>
    <x v="0"/>
    <x v="4"/>
    <x v="0"/>
    <s v="modesg_param_sfics_taxon_europeia"/>
    <s v="zdeposit"/>
    <x v="1"/>
    <s v="6. Em implementação "/>
    <m/>
    <m/>
    <s v="Package 5"/>
    <m/>
    <s v=""/>
    <s v=""/>
    <s v=""/>
    <m/>
    <m/>
    <m/>
    <m/>
    <m/>
    <x v="0"/>
    <s v="RC"/>
  </r>
  <r>
    <x v="0"/>
    <x v="4"/>
    <x v="0"/>
    <s v="modesg_param_sfics_taxon_europeia"/>
    <s v="ckmetamis"/>
    <x v="1"/>
    <s v="6. Em implementação "/>
    <m/>
    <m/>
    <s v="Package 5"/>
    <m/>
    <s v=""/>
    <s v=""/>
    <s v=""/>
    <m/>
    <m/>
    <m/>
    <m/>
    <m/>
    <x v="0"/>
    <s v="RC"/>
  </r>
  <r>
    <x v="0"/>
    <x v="4"/>
    <x v="0"/>
    <s v="modesg_param_sfics_taxon_europeia"/>
    <s v="ckprodmi"/>
    <x v="1"/>
    <s v="6. Em implementação "/>
    <m/>
    <m/>
    <s v="Package 5"/>
    <m/>
    <s v=""/>
    <s v=""/>
    <s v=""/>
    <m/>
    <m/>
    <m/>
    <m/>
    <m/>
    <x v="0"/>
    <s v="RC"/>
  </r>
  <r>
    <x v="0"/>
    <x v="4"/>
    <x v="0"/>
    <s v="modesg_param_sfics_taxon_europeia"/>
    <s v="cmetanseg"/>
    <x v="1"/>
    <s v="6. Em implementação "/>
    <m/>
    <m/>
    <s v="Package 5"/>
    <m/>
    <s v=""/>
    <s v=""/>
    <s v=""/>
    <m/>
    <m/>
    <m/>
    <m/>
    <m/>
    <x v="0"/>
    <s v="RC"/>
  </r>
  <r>
    <x v="0"/>
    <x v="4"/>
    <x v="0"/>
    <s v="modesg_param_sfics_taxon_europeia"/>
    <s v="epc"/>
    <x v="1"/>
    <s v="6. Em implementação "/>
    <m/>
    <m/>
    <s v="Package 5"/>
    <m/>
    <s v=""/>
    <s v=""/>
    <s v=""/>
    <m/>
    <m/>
    <m/>
    <m/>
    <m/>
    <x v="3"/>
    <s v="RC"/>
  </r>
  <r>
    <x v="0"/>
    <x v="4"/>
    <x v="0"/>
    <s v="modesg_param_sfics_taxon_europeia"/>
    <s v="ambito"/>
    <x v="1"/>
    <s v="6. Em implementação "/>
    <m/>
    <m/>
    <s v="Package 5"/>
    <m/>
    <s v=""/>
    <s v=""/>
    <s v=""/>
    <m/>
    <m/>
    <m/>
    <m/>
    <m/>
    <x v="0"/>
    <s v="RC"/>
  </r>
  <r>
    <x v="0"/>
    <x v="4"/>
    <x v="0"/>
    <s v="modesg_param_sfics_taxon_europeia"/>
    <s v="nome_ctgr_sfics"/>
    <x v="1"/>
    <s v="6. Em implementação "/>
    <m/>
    <m/>
    <s v="Package 5"/>
    <m/>
    <s v=""/>
    <s v=""/>
    <s v=""/>
    <m/>
    <m/>
    <m/>
    <m/>
    <m/>
    <x v="0"/>
    <s v="RC"/>
  </r>
  <r>
    <x v="0"/>
    <x v="4"/>
    <x v="0"/>
    <s v="modesg_param_sfics_taxon_europeia"/>
    <s v="montante_pndrc"/>
    <x v="1"/>
    <s v="6. Em implementação "/>
    <m/>
    <m/>
    <s v="Package 5"/>
    <m/>
    <s v=""/>
    <s v=""/>
    <s v=""/>
    <m/>
    <m/>
    <m/>
    <m/>
    <m/>
    <x v="3"/>
    <s v="RC"/>
  </r>
  <r>
    <x v="0"/>
    <x v="4"/>
    <x v="0"/>
    <s v="modesg_param_sfics_taxon_europeia"/>
    <s v="contraparte"/>
    <x v="1"/>
    <s v="6. Em implementação "/>
    <m/>
    <m/>
    <s v="Package 5"/>
    <m/>
    <s v=""/>
    <s v=""/>
    <s v=""/>
    <m/>
    <m/>
    <m/>
    <m/>
    <m/>
    <x v="3"/>
    <s v="RC"/>
  </r>
  <r>
    <x v="0"/>
    <x v="4"/>
    <x v="0"/>
    <s v="modesg_param_sfics_taxon_europeia"/>
    <s v="flag_project_finance"/>
    <x v="1"/>
    <s v="6. Em implementação "/>
    <m/>
    <m/>
    <s v="Package 5"/>
    <m/>
    <s v=""/>
    <s v=""/>
    <s v=""/>
    <m/>
    <m/>
    <m/>
    <m/>
    <m/>
    <x v="3"/>
    <s v="RC"/>
  </r>
  <r>
    <x v="0"/>
    <x v="4"/>
    <x v="0"/>
    <s v="modesg_param_sfics_taxon_europeia"/>
    <s v="cgarante_bem"/>
    <x v="1"/>
    <s v="6. Em implementação "/>
    <m/>
    <m/>
    <s v="Package 5"/>
    <m/>
    <s v=""/>
    <s v=""/>
    <s v=""/>
    <m/>
    <m/>
    <m/>
    <m/>
    <m/>
    <x v="3"/>
    <s v="RC"/>
  </r>
  <r>
    <x v="0"/>
    <x v="4"/>
    <x v="0"/>
    <s v="modesg_param_sfics_taxon_europeia"/>
    <s v="prdt_sprdt"/>
    <x v="1"/>
    <s v="6. Em implementação "/>
    <m/>
    <m/>
    <s v="Package 5"/>
    <m/>
    <s v=""/>
    <s v=""/>
    <s v=""/>
    <m/>
    <m/>
    <m/>
    <m/>
    <m/>
    <x v="3"/>
    <s v="RC"/>
  </r>
  <r>
    <x v="0"/>
    <x v="4"/>
    <x v="0"/>
    <s v="modesg_param_sfics_taxon_europeia"/>
    <s v="flg_csrd"/>
    <x v="1"/>
    <s v="6. Em implementação "/>
    <m/>
    <m/>
    <s v="Package 5"/>
    <m/>
    <s v=""/>
    <s v=""/>
    <s v=""/>
    <m/>
    <m/>
    <m/>
    <m/>
    <m/>
    <x v="3"/>
    <s v="RC"/>
  </r>
  <r>
    <x v="0"/>
    <x v="4"/>
    <x v="0"/>
    <s v="modesg_param_sfics_taxon_europeia"/>
    <s v="combustivel"/>
    <x v="1"/>
    <s v="6. Em implementação "/>
    <m/>
    <m/>
    <s v="Package 5"/>
    <m/>
    <s v=""/>
    <s v=""/>
    <s v=""/>
    <m/>
    <m/>
    <m/>
    <m/>
    <m/>
    <x v="3"/>
    <s v="RC"/>
  </r>
  <r>
    <x v="0"/>
    <x v="4"/>
    <x v="0"/>
    <s v="modesg_param_sfics_taxon_europeia"/>
    <s v="co2"/>
    <x v="1"/>
    <s v="6. Em implementação "/>
    <m/>
    <m/>
    <s v="Package 5"/>
    <m/>
    <s v=""/>
    <s v=""/>
    <s v=""/>
    <m/>
    <m/>
    <m/>
    <m/>
    <m/>
    <x v="3"/>
    <s v="RC"/>
  </r>
  <r>
    <x v="0"/>
    <x v="4"/>
    <x v="0"/>
    <s v="modesg_param_sfics_taxon_europeia"/>
    <s v="cfamilia"/>
    <x v="1"/>
    <s v="6. Em implementação "/>
    <m/>
    <m/>
    <s v="Package 5"/>
    <m/>
    <s v=""/>
    <s v=""/>
    <s v=""/>
    <m/>
    <m/>
    <m/>
    <m/>
    <m/>
    <x v="3"/>
    <s v="RC"/>
  </r>
  <r>
    <x v="0"/>
    <x v="4"/>
    <x v="0"/>
    <s v="modesg_param_sfics_taxon_europeia"/>
    <s v="flg_rsc_fsc_crnc"/>
    <x v="1"/>
    <s v="6. Em implementação "/>
    <m/>
    <m/>
    <s v="Package 5"/>
    <m/>
    <s v=""/>
    <s v=""/>
    <s v=""/>
    <m/>
    <m/>
    <m/>
    <m/>
    <m/>
    <x v="0"/>
    <s v="RC"/>
  </r>
  <r>
    <x v="0"/>
    <x v="4"/>
    <x v="0"/>
    <s v="modesg_param_sfics_taxon_europeia"/>
    <s v="flg_rsc_fsc_agd"/>
    <x v="1"/>
    <s v="6. Em implementação "/>
    <m/>
    <m/>
    <s v="Package 5"/>
    <m/>
    <s v=""/>
    <s v=""/>
    <s v=""/>
    <m/>
    <m/>
    <m/>
    <m/>
    <m/>
    <x v="0"/>
    <s v="RC"/>
  </r>
  <r>
    <x v="0"/>
    <x v="4"/>
    <x v="0"/>
    <s v="modesg_param_sfics_taxon_europeia"/>
    <s v="property_purpose_code"/>
    <x v="1"/>
    <s v="6. Em implementação "/>
    <m/>
    <m/>
    <s v="Package 5"/>
    <m/>
    <s v=""/>
    <s v=""/>
    <s v=""/>
    <m/>
    <m/>
    <m/>
    <m/>
    <m/>
    <x v="3"/>
    <s v="RC"/>
  </r>
  <r>
    <x v="0"/>
    <x v="4"/>
    <x v="0"/>
    <s v="modesg_param_sfics_taxon_europeia"/>
    <s v="dabertur"/>
    <x v="1"/>
    <s v="6. Em implementação "/>
    <m/>
    <m/>
    <s v="Package 5"/>
    <m/>
    <s v=""/>
    <s v=""/>
    <s v=""/>
    <m/>
    <m/>
    <m/>
    <m/>
    <m/>
    <x v="2"/>
    <s v="RC"/>
  </r>
  <r>
    <x v="0"/>
    <x v="4"/>
    <x v="0"/>
    <s v="modesg_param_sfics_taxon_europeia"/>
    <s v="tipo_eqp"/>
    <x v="1"/>
    <s v="6. Em implementação "/>
    <m/>
    <m/>
    <s v="Package 5"/>
    <m/>
    <s v=""/>
    <s v=""/>
    <s v=""/>
    <m/>
    <m/>
    <m/>
    <m/>
    <m/>
    <x v="2"/>
    <s v="RC"/>
  </r>
  <r>
    <x v="0"/>
    <x v="4"/>
    <x v="0"/>
    <s v="modesg_param_sfics_taxon_europeia"/>
    <s v="construction_year"/>
    <x v="1"/>
    <s v="6. Em implementação "/>
    <m/>
    <m/>
    <s v="Package 5"/>
    <m/>
    <s v=""/>
    <s v=""/>
    <s v=""/>
    <m/>
    <m/>
    <m/>
    <m/>
    <m/>
    <x v="0"/>
    <s v="RC"/>
  </r>
  <r>
    <x v="0"/>
    <x v="4"/>
    <x v="0"/>
    <s v="modesg_param_sfics_taxon_europeia"/>
    <s v="ref_date"/>
    <x v="1"/>
    <s v="6. Em implementação "/>
    <m/>
    <m/>
    <s v="Package 5"/>
    <m/>
    <s v=""/>
    <s v=""/>
    <s v=""/>
    <m/>
    <m/>
    <m/>
    <m/>
    <m/>
    <x v="3"/>
    <s v="RC"/>
  </r>
  <r>
    <x v="0"/>
    <x v="4"/>
    <x v="0"/>
    <s v="modesg_param_sfics_taxon_europeia"/>
    <s v="cfinalidad"/>
    <x v="1"/>
    <s v="6. Em implementação "/>
    <m/>
    <m/>
    <s v="Package 5"/>
    <m/>
    <m/>
    <m/>
    <m/>
    <m/>
    <m/>
    <m/>
    <m/>
    <m/>
    <x v="0"/>
    <m/>
  </r>
  <r>
    <x v="0"/>
    <x v="4"/>
    <x v="0"/>
    <s v="modesg_param_sfics_taxon_europeia"/>
    <s v="sst_indctr_aux"/>
    <x v="1"/>
    <s v="6. Em implementação "/>
    <m/>
    <m/>
    <s v="Package 5"/>
    <m/>
    <s v=""/>
    <s v=""/>
    <s v=""/>
    <m/>
    <m/>
    <m/>
    <m/>
    <m/>
    <x v="5"/>
    <m/>
  </r>
  <r>
    <x v="0"/>
    <x v="4"/>
    <x v="0"/>
    <s v="modesg_param_sfics_taxon_europeia"/>
    <s v="quality_score"/>
    <x v="1"/>
    <s v="6. Em implementação "/>
    <m/>
    <m/>
    <s v="Package 5"/>
    <m/>
    <s v=""/>
    <s v=""/>
    <s v=""/>
    <m/>
    <m/>
    <m/>
    <m/>
    <m/>
    <x v="3"/>
    <s v="RC"/>
  </r>
  <r>
    <x v="0"/>
    <x v="4"/>
    <x v="0"/>
    <s v="modesg_param_sfics_taxon_europeia"/>
    <s v="primary_energy_req_value"/>
    <x v="1"/>
    <s v="6. Em implementação "/>
    <m/>
    <m/>
    <s v="Package 5"/>
    <m/>
    <s v=""/>
    <s v=""/>
    <s v=""/>
    <m/>
    <m/>
    <m/>
    <m/>
    <m/>
    <x v="0"/>
    <s v="RC"/>
  </r>
  <r>
    <x v="0"/>
    <x v="4"/>
    <x v="0"/>
    <s v="modesg_param_sfics_taxon_europeia"/>
    <s v="net_floor_area"/>
    <x v="1"/>
    <s v="6. Em implementação "/>
    <m/>
    <m/>
    <s v="Package 5"/>
    <m/>
    <s v=""/>
    <s v=""/>
    <s v=""/>
    <m/>
    <m/>
    <m/>
    <m/>
    <m/>
    <x v="0"/>
    <s v="RC"/>
  </r>
  <r>
    <x v="0"/>
    <x v="4"/>
    <x v="0"/>
    <s v="modesg_param_sfics_taxon_europeia"/>
    <s v="nome_purpose_esg_nalinh_tax"/>
    <x v="1"/>
    <s v="6. Em implementação "/>
    <m/>
    <m/>
    <s v="Package 5"/>
    <m/>
    <s v=""/>
    <s v=""/>
    <s v=""/>
    <m/>
    <m/>
    <m/>
    <m/>
    <m/>
    <x v="2"/>
    <s v="RC"/>
  </r>
  <r>
    <x v="0"/>
    <x v="4"/>
    <x v="0"/>
    <s v="modesg_param_sfics_taxon_europeia"/>
    <s v="nome_purpose_esg_alinh_tax"/>
    <x v="1"/>
    <s v="6. Em implementação "/>
    <m/>
    <m/>
    <s v="Package 5"/>
    <m/>
    <s v=""/>
    <s v=""/>
    <s v=""/>
    <m/>
    <m/>
    <m/>
    <m/>
    <m/>
    <x v="3"/>
    <s v="RC"/>
  </r>
  <r>
    <x v="0"/>
    <x v="4"/>
    <x v="0"/>
    <s v="modesg_param_sfics_taxon_europeia"/>
    <s v="nome_general_specific_purpose"/>
    <x v="1"/>
    <s v="6. Em implementação "/>
    <m/>
    <m/>
    <s v="Package 5"/>
    <m/>
    <s v=""/>
    <s v=""/>
    <s v=""/>
    <m/>
    <m/>
    <m/>
    <m/>
    <m/>
    <x v="0"/>
    <s v="RC"/>
  </r>
  <r>
    <x v="0"/>
    <x v="4"/>
    <x v="0"/>
    <s v="modesg_param_sfics_taxon_europeia"/>
    <s v="nome_specific_eligible"/>
    <x v="1"/>
    <s v="6. Em implementação "/>
    <m/>
    <m/>
    <s v="Package 5"/>
    <m/>
    <s v=""/>
    <s v=""/>
    <s v=""/>
    <m/>
    <m/>
    <m/>
    <m/>
    <m/>
    <x v="0"/>
    <s v="RC"/>
  </r>
  <r>
    <x v="0"/>
    <x v="4"/>
    <x v="0"/>
    <s v="modesg_param_sfics_taxon_europeia"/>
    <s v="nome_specific_sustainable"/>
    <x v="1"/>
    <s v="6. Em implementação "/>
    <m/>
    <m/>
    <s v="Package 5"/>
    <m/>
    <s v=""/>
    <s v=""/>
    <s v=""/>
    <m/>
    <m/>
    <m/>
    <m/>
    <m/>
    <x v="0"/>
    <s v="RC"/>
  </r>
  <r>
    <x v="0"/>
    <x v="1"/>
    <x v="0"/>
    <s v="lt006_instr_prot"/>
    <s v="prtctn_allctd_vl"/>
    <x v="1"/>
    <s v="6. Em implementação "/>
    <m/>
    <s v="Package 2"/>
    <s v="Package 5"/>
    <m/>
    <s v=""/>
    <s v=""/>
    <s v=""/>
    <m/>
    <m/>
    <s v="Novo Projeto - Em especificação"/>
    <m/>
    <m/>
    <x v="0"/>
    <s v="JB - Falar com SB"/>
  </r>
  <r>
    <x v="0"/>
    <x v="1"/>
    <x v="0"/>
    <s v="lt003_entity"/>
    <s v="esg_sbsctr"/>
    <x v="1"/>
    <s v="6. Em implementação "/>
    <m/>
    <s v="Package 2"/>
    <s v="Package 9"/>
    <m/>
    <s v=""/>
    <s v=""/>
    <s v=""/>
    <m/>
    <m/>
    <m/>
    <s v="ESTR &amp; P3"/>
    <m/>
    <x v="0"/>
    <s v="JB/RC"/>
  </r>
  <r>
    <x v="0"/>
    <x v="1"/>
    <x v="0"/>
    <s v="lt004_protection"/>
    <s v="typ_ep_scr"/>
    <x v="2"/>
    <s v="4. Validação EF"/>
    <m/>
    <s v="Package 6"/>
    <s v="Package 9"/>
    <m/>
    <s v=""/>
    <s v=""/>
    <s v=""/>
    <m/>
    <m/>
    <m/>
    <m/>
    <m/>
    <x v="0"/>
    <m/>
  </r>
  <r>
    <x v="0"/>
    <x v="1"/>
    <x v="0"/>
    <s v="lt004_protection"/>
    <s v="ep_scr"/>
    <x v="2"/>
    <s v="4. Validação EF"/>
    <m/>
    <s v="Package 6"/>
    <s v="Package 9"/>
    <m/>
    <s v=""/>
    <s v=""/>
    <s v=""/>
    <m/>
    <m/>
    <m/>
    <m/>
    <m/>
    <x v="0"/>
    <m/>
  </r>
  <r>
    <x v="0"/>
    <x v="1"/>
    <x v="0"/>
    <s v="lt002_instrument"/>
    <s v="mthd_usd_instrmnt_scp_1"/>
    <x v="4"/>
    <s v="2.2 Em especificação"/>
    <m/>
    <s v="Package 6"/>
    <s v="Package 9"/>
    <m/>
    <s v=""/>
    <s v=""/>
    <s v=""/>
    <d v="2024-10-28T00:00:00"/>
    <m/>
    <s v="Novo projeto - Para testar"/>
    <m/>
    <m/>
    <x v="0"/>
    <s v="HF"/>
  </r>
  <r>
    <x v="0"/>
    <x v="1"/>
    <x v="0"/>
    <s v="lt002_instrument"/>
    <s v="mthd_usd_instrmnt_scp_2"/>
    <x v="4"/>
    <s v="2.2 Em especificação"/>
    <m/>
    <s v="Package 6"/>
    <s v="Package 9"/>
    <m/>
    <s v=""/>
    <s v=""/>
    <s v=""/>
    <d v="2024-10-28T00:00:00"/>
    <m/>
    <s v="Novo projeto - Para testar"/>
    <m/>
    <m/>
    <x v="0"/>
    <s v="HF"/>
  </r>
  <r>
    <x v="0"/>
    <x v="1"/>
    <x v="0"/>
    <s v="lt002_instrument"/>
    <s v="mthd_usd_instrmnt_scp_3"/>
    <x v="4"/>
    <s v="2.2 Em especificação"/>
    <m/>
    <s v="Package 6"/>
    <s v="Package 9"/>
    <m/>
    <s v=""/>
    <s v=""/>
    <s v=""/>
    <d v="2024-10-28T00:00:00"/>
    <m/>
    <s v="Novo projeto - Para testar"/>
    <m/>
    <m/>
    <x v="0"/>
    <s v="HF"/>
  </r>
  <r>
    <x v="0"/>
    <x v="1"/>
    <x v="0"/>
    <s v="lt007_instr_activity"/>
    <s v="sstnbl_indctr"/>
    <x v="2"/>
    <s v="4. Validação EF"/>
    <m/>
    <s v="Package 5"/>
    <s v="Package 9"/>
    <m/>
    <s v=""/>
    <s v=""/>
    <s v=""/>
    <d v="2024-10-28T00:00:00"/>
    <m/>
    <s v="Projeto Anterior - Especificação"/>
    <m/>
    <m/>
    <x v="0"/>
    <s v="RC"/>
  </r>
  <r>
    <x v="0"/>
    <x v="1"/>
    <x v="0"/>
    <s v="lt007_instr_activity"/>
    <s v="sstnbl_ctgry"/>
    <x v="1"/>
    <s v="6. Em implementação "/>
    <m/>
    <s v="Package 5"/>
    <s v="Package 9"/>
    <m/>
    <s v=""/>
    <s v=""/>
    <s v=""/>
    <d v="2024-10-28T00:00:00"/>
    <m/>
    <s v="Projeto Anterior - Especificação"/>
    <m/>
    <m/>
    <x v="0"/>
    <s v="RC"/>
  </r>
  <r>
    <x v="0"/>
    <x v="4"/>
    <x v="1"/>
    <s v="modesg_param_sfics_taxon_europeia"/>
    <s v="n.a."/>
    <x v="1"/>
    <s v="6. Em implementação "/>
    <m/>
    <m/>
    <s v="Package X"/>
    <m/>
    <s v=""/>
    <s v=""/>
    <s v=""/>
    <m/>
    <m/>
    <m/>
    <m/>
    <m/>
    <x v="0"/>
    <s v="RC"/>
  </r>
  <r>
    <x v="0"/>
    <x v="2"/>
    <x v="1"/>
    <s v="modesg_out_sfics_taxon_europeia"/>
    <s v="n.a."/>
    <x v="1"/>
    <s v="6. Em implementação "/>
    <m/>
    <m/>
    <s v="Package X"/>
    <m/>
    <s v=""/>
    <s v=""/>
    <s v=""/>
    <m/>
    <m/>
    <m/>
    <m/>
    <m/>
    <x v="0"/>
    <s v="RC"/>
  </r>
  <r>
    <x v="0"/>
    <x v="2"/>
    <x v="0"/>
    <s v="modesg_out_sfics_taxon_europeia"/>
    <s v="origem"/>
    <x v="5"/>
    <s v="0. Cancelado"/>
    <m/>
    <m/>
    <s v="Package X"/>
    <m/>
    <s v=""/>
    <s v=""/>
    <s v=""/>
    <m/>
    <m/>
    <m/>
    <m/>
    <m/>
    <x v="0"/>
    <m/>
  </r>
  <r>
    <x v="0"/>
    <x v="1"/>
    <x v="0"/>
    <s v="lt003_entity"/>
    <s v="nace_esg"/>
    <x v="1"/>
    <s v="6. Em implementação "/>
    <m/>
    <m/>
    <s v="Package X"/>
    <m/>
    <s v=""/>
    <s v=""/>
    <s v=""/>
    <m/>
    <m/>
    <m/>
    <m/>
    <m/>
    <x v="0"/>
    <s v="JB"/>
  </r>
  <r>
    <x v="0"/>
    <x v="1"/>
    <x v="0"/>
    <s v="lt003_entity"/>
    <s v="flg_act_physcl_rsk"/>
    <x v="1"/>
    <s v="6. Em implementação "/>
    <m/>
    <m/>
    <s v="Package X"/>
    <m/>
    <s v=""/>
    <s v=""/>
    <s v=""/>
    <m/>
    <m/>
    <m/>
    <m/>
    <m/>
    <x v="0"/>
    <s v="HF"/>
  </r>
  <r>
    <x v="0"/>
    <x v="1"/>
    <x v="0"/>
    <s v="lt003_entity"/>
    <s v="flg_chrnc_physcl_rsk"/>
    <x v="1"/>
    <s v="6. Em implementação "/>
    <m/>
    <m/>
    <s v="Package X"/>
    <m/>
    <s v=""/>
    <s v=""/>
    <s v=""/>
    <m/>
    <m/>
    <m/>
    <m/>
    <m/>
    <x v="0"/>
    <s v="HF"/>
  </r>
  <r>
    <x v="0"/>
    <x v="1"/>
    <x v="0"/>
    <s v="lt002_instrument"/>
    <s v="rsk_mtgtd_ccp"/>
    <x v="1"/>
    <s v="6. Em implementação "/>
    <m/>
    <m/>
    <s v="Package X"/>
    <m/>
    <s v=""/>
    <s v=""/>
    <s v=""/>
    <d v="2024-10-30T00:00:00"/>
    <m/>
    <s v="Novo projeto - Para testar"/>
    <m/>
    <m/>
    <x v="0"/>
    <s v="JB"/>
  </r>
  <r>
    <x v="0"/>
    <x v="1"/>
    <x v="0"/>
    <s v="lt007_instr_activity"/>
    <s v="COD_SOC"/>
    <x v="1"/>
    <s v="6. Em implementação "/>
    <m/>
    <s v="Package 4"/>
    <s v="Package X"/>
    <m/>
    <s v=""/>
    <s v=""/>
    <s v=""/>
    <m/>
    <m/>
    <s v="Novo Projeto - Em especificação"/>
    <s v="GD, P3 e GF"/>
    <s v="Novos Requisitos FY25 - Outros"/>
    <x v="1"/>
    <s v="RC"/>
  </r>
  <r>
    <x v="0"/>
    <x v="1"/>
    <x v="0"/>
    <s v="lt007_instr_activity"/>
    <s v="DT_RFRNC"/>
    <x v="1"/>
    <s v="6. Em implementação "/>
    <m/>
    <s v="Package 3"/>
    <s v="Package X"/>
    <m/>
    <s v=""/>
    <s v=""/>
    <s v=""/>
    <m/>
    <m/>
    <s v="Novo Projeto - Em especificação"/>
    <s v="GD, P3 e GF"/>
    <s v="Novos Requisitos FY25 - Outros"/>
    <x v="1"/>
    <s v="RC"/>
  </r>
  <r>
    <x v="0"/>
    <x v="1"/>
    <x v="0"/>
    <s v="lt007_instr_activity"/>
    <s v="INSTRMNT_ID"/>
    <x v="1"/>
    <s v="6. Em implementação "/>
    <m/>
    <s v="Package 4"/>
    <s v="Package X"/>
    <m/>
    <s v=""/>
    <s v=""/>
    <s v=""/>
    <m/>
    <m/>
    <s v="Novo Projeto - Em especificação"/>
    <s v="GD, P3 e GF"/>
    <s v="Novos Requisitos FY25 - Outros"/>
    <x v="1"/>
    <s v="RC"/>
  </r>
  <r>
    <x v="0"/>
    <x v="1"/>
    <x v="0"/>
    <s v="lt007_instr_activity"/>
    <s v="FLG_DNSH_CMPLNC"/>
    <x v="1"/>
    <s v="6. Em implementação "/>
    <m/>
    <s v="Package 2"/>
    <s v="Package X"/>
    <m/>
    <s v=""/>
    <s v=""/>
    <s v=""/>
    <m/>
    <m/>
    <s v="Novo Projeto - Em especificação"/>
    <s v="P3"/>
    <s v="Novos Requisitos FY25 - Outros"/>
    <x v="1"/>
    <s v="JB/RC"/>
  </r>
  <r>
    <x v="0"/>
    <x v="1"/>
    <x v="0"/>
    <s v="lt007_instr_activity"/>
    <s v="DNSH_DTL"/>
    <x v="1"/>
    <s v="6. Em implementação "/>
    <m/>
    <s v="Package 2"/>
    <s v="Package X"/>
    <m/>
    <s v=""/>
    <s v=""/>
    <s v=""/>
    <m/>
    <m/>
    <s v="Novo Projeto - Em especificação"/>
    <s v="P3"/>
    <s v="Novos Requisitos FY25 - Outros"/>
    <x v="1"/>
    <s v="JB/RC"/>
  </r>
  <r>
    <x v="0"/>
    <x v="1"/>
    <x v="0"/>
    <s v="lt002_instrument"/>
    <s v="FLG_MNMM_SFGRDS"/>
    <x v="1"/>
    <s v="6. Em implementação "/>
    <m/>
    <s v="Package 2"/>
    <s v="Package X"/>
    <m/>
    <s v=""/>
    <s v=""/>
    <s v=""/>
    <m/>
    <m/>
    <s v="Novo Projeto - Em especificação"/>
    <s v="P3 e ESG"/>
    <s v="Novos Requisitos FY25 - Outros"/>
    <x v="1"/>
    <s v="JB"/>
  </r>
  <r>
    <x v="0"/>
    <x v="1"/>
    <x v="0"/>
    <s v="lt003_entity"/>
    <s v="txnmy_elgbl_capex_w"/>
    <x v="1"/>
    <s v="6. Em implementação "/>
    <m/>
    <s v="Package 1"/>
    <s v="Package X"/>
    <m/>
    <s v=""/>
    <s v=""/>
    <s v=""/>
    <m/>
    <m/>
    <s v="Novo Projeto - Em especificação"/>
    <s v="P3"/>
    <s v="Novos Requisitos FY25 - Outros"/>
    <x v="1"/>
    <s v="JB"/>
  </r>
  <r>
    <x v="0"/>
    <x v="1"/>
    <x v="0"/>
    <s v="lt003_entity"/>
    <s v="txnmy_elgbl_trnvr_w"/>
    <x v="1"/>
    <s v="6. Em implementação "/>
    <m/>
    <s v="Package 1"/>
    <s v="Package X"/>
    <m/>
    <s v=""/>
    <s v=""/>
    <s v=""/>
    <m/>
    <m/>
    <s v="Novo Projeto - Em especificação"/>
    <s v="P3"/>
    <s v="Novos Requisitos FY25 - Outros"/>
    <x v="1"/>
    <s v="JB"/>
  </r>
  <r>
    <x v="0"/>
    <x v="1"/>
    <x v="0"/>
    <s v="lt003_entity"/>
    <s v="txnmy_elgbl_capex_p"/>
    <x v="1"/>
    <s v="6. Em implementação "/>
    <m/>
    <s v="Package 1"/>
    <s v="Package X"/>
    <m/>
    <s v=""/>
    <s v=""/>
    <s v=""/>
    <m/>
    <m/>
    <s v="Novo Projeto - Em especificação"/>
    <s v="P3"/>
    <s v="Novos Requisitos FY25 - Outros"/>
    <x v="1"/>
    <s v="JB"/>
  </r>
  <r>
    <x v="0"/>
    <x v="1"/>
    <x v="0"/>
    <s v="lt003_entity"/>
    <s v="txnmy_elgbl_trnvr_p"/>
    <x v="1"/>
    <s v="6. Em implementação "/>
    <m/>
    <s v="Package 1"/>
    <s v="Package X"/>
    <m/>
    <s v=""/>
    <s v=""/>
    <s v=""/>
    <m/>
    <m/>
    <s v="Novo Projeto - Em especificação"/>
    <s v="P3"/>
    <s v="Novos Requisitos FY25 - Outros"/>
    <x v="1"/>
    <s v="JB"/>
  </r>
  <r>
    <x v="0"/>
    <x v="1"/>
    <x v="0"/>
    <s v="lt003_entity"/>
    <s v="txnmy_elgbl_capex_b"/>
    <x v="1"/>
    <s v="6. Em implementação "/>
    <m/>
    <s v="Package 1"/>
    <s v="Package X"/>
    <m/>
    <s v=""/>
    <s v=""/>
    <s v=""/>
    <m/>
    <m/>
    <s v="Novo Projeto - Em especificação"/>
    <s v="P3"/>
    <s v="Novos Requisitos FY25 - Outros"/>
    <x v="1"/>
    <s v="JB"/>
  </r>
  <r>
    <x v="0"/>
    <x v="1"/>
    <x v="0"/>
    <s v="lt003_entity"/>
    <s v="txnmy_elgbl_trnvr_b"/>
    <x v="1"/>
    <s v="6. Em implementação "/>
    <m/>
    <s v="Package 1"/>
    <s v="Package X"/>
    <m/>
    <s v=""/>
    <s v=""/>
    <s v=""/>
    <m/>
    <m/>
    <s v="Novo Projeto - Em especificação"/>
    <s v="P3"/>
    <s v="Novos Requisitos FY25 - Outros"/>
    <x v="1"/>
    <s v="JB"/>
  </r>
  <r>
    <x v="0"/>
    <x v="1"/>
    <x v="0"/>
    <s v="lt003_entity"/>
    <s v="txnmy_elgbl_capex_ce"/>
    <x v="1"/>
    <s v="6. Em implementação "/>
    <m/>
    <s v="Package 1"/>
    <s v="Package X"/>
    <m/>
    <s v=""/>
    <s v=""/>
    <s v=""/>
    <m/>
    <m/>
    <s v="Novo Projeto - Em especificação"/>
    <s v="P3"/>
    <s v="Novos Requisitos FY25 - Outros"/>
    <x v="1"/>
    <s v="JB"/>
  </r>
  <r>
    <x v="0"/>
    <x v="1"/>
    <x v="0"/>
    <s v="lt003_entity"/>
    <s v="txnmy_elgbl_trnvr_ce"/>
    <x v="1"/>
    <s v="6. Em implementação "/>
    <m/>
    <s v="Package 1"/>
    <s v="Package X"/>
    <m/>
    <s v=""/>
    <s v=""/>
    <s v=""/>
    <m/>
    <m/>
    <s v="Novo Projeto - Em especificação"/>
    <s v="P3"/>
    <s v="Novos Requisitos FY25 - Outros"/>
    <x v="1"/>
    <s v="JB"/>
  </r>
  <r>
    <x v="0"/>
    <x v="1"/>
    <x v="0"/>
    <s v="lt003_entity"/>
    <s v="pure_capex_p"/>
    <x v="1"/>
    <s v="6. Em implementação "/>
    <m/>
    <s v="Package 1"/>
    <s v="Package X"/>
    <m/>
    <s v=""/>
    <s v=""/>
    <s v=""/>
    <m/>
    <m/>
    <s v="Novo Projeto - Em especificação"/>
    <s v="P3"/>
    <s v="Novos Requisitos FY25 - Outros"/>
    <x v="1"/>
    <s v="JB"/>
  </r>
  <r>
    <x v="0"/>
    <x v="1"/>
    <x v="0"/>
    <s v="lt003_entity"/>
    <s v="pure_trnvr_p"/>
    <x v="1"/>
    <s v="6. Em implementação "/>
    <m/>
    <s v="Package 1"/>
    <s v="Package X"/>
    <m/>
    <s v=""/>
    <s v=""/>
    <s v=""/>
    <m/>
    <m/>
    <s v="Novo Projeto - Em especificação"/>
    <s v="P3"/>
    <s v="Novos Requisitos FY25 - Outros"/>
    <x v="1"/>
    <s v="JB"/>
  </r>
  <r>
    <x v="0"/>
    <x v="1"/>
    <x v="0"/>
    <s v="lt003_entity"/>
    <s v="pure_capex_b"/>
    <x v="1"/>
    <s v="6. Em implementação "/>
    <m/>
    <s v="Package 1"/>
    <s v="Package X"/>
    <m/>
    <s v=""/>
    <s v=""/>
    <s v=""/>
    <m/>
    <m/>
    <s v="Novo Projeto - Em especificação"/>
    <s v="P3"/>
    <s v="Novos Requisitos FY25 - Outros"/>
    <x v="1"/>
    <s v="JB"/>
  </r>
  <r>
    <x v="0"/>
    <x v="1"/>
    <x v="0"/>
    <s v="lt003_entity"/>
    <s v="pure_trnvr_b"/>
    <x v="1"/>
    <s v="6. Em implementação "/>
    <m/>
    <s v="Package 1"/>
    <s v="Package X"/>
    <m/>
    <s v=""/>
    <s v=""/>
    <s v=""/>
    <m/>
    <m/>
    <s v="Novo Projeto - Em especificação"/>
    <s v="P3"/>
    <s v="Novos Requisitos FY25 - Outros"/>
    <x v="1"/>
    <s v="JB"/>
  </r>
  <r>
    <x v="0"/>
    <x v="1"/>
    <x v="0"/>
    <s v="lt003_entity"/>
    <s v="pure_capex_w"/>
    <x v="1"/>
    <s v="6. Em implementação "/>
    <m/>
    <s v="Package 1"/>
    <s v="Package X"/>
    <m/>
    <s v=""/>
    <s v=""/>
    <s v=""/>
    <m/>
    <m/>
    <s v="Novo Projeto - Em especificação"/>
    <s v="P3"/>
    <s v="Novos Requisitos FY25 - Outros"/>
    <x v="1"/>
    <s v="JB"/>
  </r>
  <r>
    <x v="0"/>
    <x v="1"/>
    <x v="0"/>
    <s v="lt003_entity"/>
    <s v="pure_trnvr_w"/>
    <x v="1"/>
    <s v="6. Em implementação "/>
    <m/>
    <s v="Package 1"/>
    <s v="Package X"/>
    <m/>
    <s v=""/>
    <s v=""/>
    <s v=""/>
    <m/>
    <m/>
    <s v="Novo Projeto - Em especificação"/>
    <s v="P3"/>
    <s v="Novos Requisitos FY25 - Outros"/>
    <x v="1"/>
    <s v="JB"/>
  </r>
  <r>
    <x v="0"/>
    <x v="1"/>
    <x v="0"/>
    <s v="lt003_entity"/>
    <s v="pure_capex_ce"/>
    <x v="1"/>
    <s v="6. Em implementação "/>
    <m/>
    <s v="Package 1"/>
    <s v="Package X"/>
    <m/>
    <s v=""/>
    <s v=""/>
    <s v=""/>
    <m/>
    <m/>
    <s v="Novo Projeto - Em especificação"/>
    <s v="P3"/>
    <s v="Novos Requisitos FY25 - Outros"/>
    <x v="1"/>
    <s v="JB"/>
  </r>
  <r>
    <x v="0"/>
    <x v="1"/>
    <x v="0"/>
    <s v="lt003_entity"/>
    <s v="pure_trnvr_ce"/>
    <x v="1"/>
    <s v="6. Em implementação "/>
    <m/>
    <s v="Package 1"/>
    <s v="Package X"/>
    <m/>
    <s v=""/>
    <s v=""/>
    <s v=""/>
    <m/>
    <m/>
    <s v="Novo Projeto - Em especificação"/>
    <s v="P3"/>
    <s v="Novos Requisitos FY25 - Outros"/>
    <x v="1"/>
    <s v="JB"/>
  </r>
  <r>
    <x v="0"/>
    <x v="1"/>
    <x v="0"/>
    <s v="lt003_entity"/>
    <s v="enblng_capex_w"/>
    <x v="1"/>
    <s v="6. Em implementação "/>
    <m/>
    <s v="Package 1"/>
    <s v="Package X"/>
    <m/>
    <s v=""/>
    <s v=""/>
    <s v=""/>
    <m/>
    <m/>
    <s v="Novo Projeto - Em especificação"/>
    <s v="P3"/>
    <s v="Novos Requisitos FY25 - Outros"/>
    <x v="1"/>
    <s v="JB"/>
  </r>
  <r>
    <x v="0"/>
    <x v="1"/>
    <x v="0"/>
    <s v="lt003_entity"/>
    <s v="enblng_trnvr_w"/>
    <x v="1"/>
    <s v="6. Em implementação "/>
    <m/>
    <s v="Package 1"/>
    <s v="Package X"/>
    <m/>
    <s v=""/>
    <s v=""/>
    <s v=""/>
    <m/>
    <m/>
    <s v="Novo Projeto - Em especificação"/>
    <s v="P3"/>
    <s v="Novos Requisitos FY25 - Outros"/>
    <x v="1"/>
    <s v="JB"/>
  </r>
  <r>
    <x v="0"/>
    <x v="1"/>
    <x v="0"/>
    <s v="lt003_entity"/>
    <s v="enblng_capex_ce"/>
    <x v="1"/>
    <s v="6. Em implementação "/>
    <m/>
    <s v="Package 1"/>
    <s v="Package X"/>
    <m/>
    <s v=""/>
    <s v=""/>
    <s v=""/>
    <m/>
    <m/>
    <s v="Novo Projeto - Em especificação"/>
    <s v="P3"/>
    <s v="Novos Requisitos FY25 - Outros"/>
    <x v="1"/>
    <s v="JB"/>
  </r>
  <r>
    <x v="0"/>
    <x v="1"/>
    <x v="0"/>
    <s v="lt003_entity"/>
    <s v="enblng_trnvr_ce"/>
    <x v="1"/>
    <s v="6. Em implementação "/>
    <m/>
    <s v="Package 1"/>
    <s v="Package X"/>
    <m/>
    <s v=""/>
    <s v=""/>
    <s v=""/>
    <m/>
    <m/>
    <s v="Novo Projeto - Em especificação"/>
    <s v="P3"/>
    <s v="Novos Requisitos FY25 - Outros"/>
    <x v="1"/>
    <s v="JB"/>
  </r>
  <r>
    <x v="0"/>
    <x v="1"/>
    <x v="0"/>
    <s v="lt004_protection"/>
    <s v="TYP_EMSSNS_LBL"/>
    <x v="1"/>
    <s v="6. Em implementação "/>
    <m/>
    <s v="Package 2"/>
    <s v="Package X"/>
    <m/>
    <s v=""/>
    <s v=""/>
    <s v=""/>
    <m/>
    <m/>
    <s v="Novo Projeto - Em especificação"/>
    <s v="ESG"/>
    <s v="Novos Requisitos FY25 - Outros"/>
    <x v="1"/>
    <s v="JB"/>
  </r>
  <r>
    <x v="0"/>
    <x v="1"/>
    <x v="0"/>
    <s v="lt004_protection"/>
    <s v="VHCL_EMSSNS_LBL"/>
    <x v="1"/>
    <s v="6. Em implementação "/>
    <m/>
    <s v="Package 2"/>
    <s v="Package X"/>
    <m/>
    <s v=""/>
    <s v=""/>
    <s v=""/>
    <m/>
    <m/>
    <s v="Novo Projeto - Em especificação"/>
    <s v="ESG"/>
    <s v="Novos Requisitos FY25 - Outros"/>
    <x v="1"/>
    <s v="JB"/>
  </r>
  <r>
    <x v="0"/>
    <x v="1"/>
    <x v="0"/>
    <s v="lt004_protection"/>
    <s v="VHCL_EMSSNS_SCR"/>
    <x v="1"/>
    <s v="6. Em implementação "/>
    <m/>
    <s v="Package 2"/>
    <s v="Package X"/>
    <m/>
    <s v=""/>
    <s v=""/>
    <s v=""/>
    <m/>
    <m/>
    <s v="Novo Projeto - Em especificação"/>
    <s v="ESG"/>
    <s v="Novos Requisitos FY25 - Outros"/>
    <x v="1"/>
    <s v="JB"/>
  </r>
  <r>
    <x v="0"/>
    <x v="1"/>
    <x v="0"/>
    <s v="lt004_protection"/>
    <s v="INSRNC_ID"/>
    <x v="1"/>
    <s v="6. Em implementação "/>
    <m/>
    <s v="Package 2"/>
    <s v="Package X"/>
    <m/>
    <s v=""/>
    <s v=""/>
    <s v=""/>
    <m/>
    <m/>
    <s v="Novo Projeto - Em especificação"/>
    <s v="ESG"/>
    <s v="Novos Requisitos FY25 - Outros"/>
    <x v="1"/>
    <s v="JB"/>
  </r>
  <r>
    <x v="0"/>
    <x v="1"/>
    <x v="0"/>
    <s v="lt004_protection"/>
    <s v="TYP_HZRDS_INSRD"/>
    <x v="1"/>
    <s v="6. Em implementação "/>
    <m/>
    <s v="Package 2"/>
    <s v="Package X"/>
    <m/>
    <s v=""/>
    <s v=""/>
    <s v=""/>
    <m/>
    <m/>
    <s v="Novo Projeto - Em especificação"/>
    <s v="ESG"/>
    <s v="Novos Requisitos FY25 - Outros"/>
    <x v="1"/>
    <s v="JB"/>
  </r>
  <r>
    <x v="0"/>
    <x v="1"/>
    <x v="0"/>
    <s v="lt004_protection"/>
    <s v="AMNT_CVRD_INSRNC"/>
    <x v="1"/>
    <s v="6. Em implementação "/>
    <m/>
    <s v="Package 2"/>
    <s v="Package X"/>
    <m/>
    <s v=""/>
    <s v=""/>
    <s v=""/>
    <m/>
    <m/>
    <s v="Novo Projeto - Em especificação"/>
    <s v="ESG"/>
    <s v="Novos Requisitos FY25 - Outros"/>
    <x v="1"/>
    <s v="JB"/>
  </r>
  <r>
    <x v="0"/>
    <x v="1"/>
    <x v="0"/>
    <s v="lt004_protection"/>
    <s v="DT_MTRTY_INSRNC"/>
    <x v="1"/>
    <s v="6. Em implementação "/>
    <m/>
    <s v="Package 2"/>
    <s v="Package X"/>
    <m/>
    <s v=""/>
    <s v=""/>
    <s v=""/>
    <m/>
    <m/>
    <s v="Novo Projeto - Em especificação"/>
    <s v="ESG"/>
    <s v="Novos Requisitos FY25 - Outros"/>
    <x v="1"/>
    <s v="JB"/>
  </r>
  <r>
    <x v="0"/>
    <x v="1"/>
    <x v="0"/>
    <s v="lt004_protection"/>
    <s v="FLG_FRST_HM"/>
    <x v="1"/>
    <s v="6. Em implementação "/>
    <m/>
    <s v="Package 2"/>
    <s v="Package X"/>
    <m/>
    <s v=""/>
    <s v=""/>
    <s v=""/>
    <m/>
    <m/>
    <s v="Novo Projeto - Em especificação"/>
    <s v="ESG"/>
    <s v="Novos Requisitos FY25 - Outros"/>
    <x v="1"/>
    <s v="JB"/>
  </r>
  <r>
    <x v="0"/>
    <x v="1"/>
    <x v="0"/>
    <s v="lt004_protection"/>
    <s v="RL_ESTT_CRTFCTN"/>
    <x v="1"/>
    <s v="6. Em implementação "/>
    <m/>
    <s v="Package 2"/>
    <s v="Package X"/>
    <m/>
    <s v=""/>
    <s v=""/>
    <s v=""/>
    <m/>
    <m/>
    <s v="Novo Projeto - Em especificação"/>
    <s v="P3 e ESG"/>
    <s v="Novos Requisitos FY25 - Outros"/>
    <x v="1"/>
    <s v="JB"/>
  </r>
  <r>
    <x v="0"/>
    <x v="1"/>
    <x v="0"/>
    <s v="lt004_protection"/>
    <s v="DT_RGSTRTN"/>
    <x v="1"/>
    <s v="6. Em implementação "/>
    <m/>
    <s v="Package 2"/>
    <s v="Package X"/>
    <m/>
    <s v=""/>
    <s v=""/>
    <s v=""/>
    <m/>
    <m/>
    <s v="Novo Projeto - Em especificação"/>
    <s v="P3 e ESG"/>
    <s v="Novos Requisitos FY25 - Outros"/>
    <x v="1"/>
    <s v="JB"/>
  </r>
  <r>
    <x v="0"/>
    <x v="1"/>
    <x v="0"/>
    <s v="lt004_protection"/>
    <s v="PRMRY_ENRGY_DMND_NN_RNWBL"/>
    <x v="1"/>
    <s v="6. Em implementação "/>
    <m/>
    <s v="Package 3"/>
    <s v="Package X"/>
    <m/>
    <s v=""/>
    <s v=""/>
    <s v=""/>
    <m/>
    <m/>
    <s v="Novo Projeto - Em especificação"/>
    <s v="P3 e ESG"/>
    <s v="Novos Requisitos FY25 - Outros"/>
    <x v="1"/>
    <s v="HF"/>
  </r>
  <r>
    <x v="0"/>
    <x v="1"/>
    <x v="0"/>
    <s v="lt002_instrument"/>
    <s v="grss_intrst_incm"/>
    <x v="4"/>
    <s v="2.2 Em especificação"/>
    <m/>
    <s v="Package 6"/>
    <s v="Sem teste"/>
    <m/>
    <s v=""/>
    <s v=""/>
    <s v=""/>
    <d v="2024-10-30T00:00:00"/>
    <m/>
    <m/>
    <m/>
    <m/>
    <x v="0"/>
    <s v="HF"/>
  </r>
  <r>
    <x v="0"/>
    <x v="1"/>
    <x v="0"/>
    <s v="lt002_instrument"/>
    <s v="grss_cmmssn_incm"/>
    <x v="4"/>
    <s v="2.2 Em especificação"/>
    <m/>
    <s v="Package 6"/>
    <s v="Sem teste"/>
    <m/>
    <s v=""/>
    <s v=""/>
    <s v=""/>
    <d v="2024-10-30T00:00:00"/>
    <m/>
    <m/>
    <m/>
    <m/>
    <x v="0"/>
    <s v="HF"/>
  </r>
  <r>
    <x v="0"/>
    <x v="1"/>
    <x v="0"/>
    <s v="lt002_instrument"/>
    <s v="grss_cmmssn_incm_off_blnc"/>
    <x v="4"/>
    <s v="2.2 Em especificação"/>
    <m/>
    <s v="Package 6"/>
    <s v="Sem teste"/>
    <m/>
    <s v=""/>
    <s v=""/>
    <s v=""/>
    <d v="2024-10-30T00:00:00"/>
    <m/>
    <m/>
    <m/>
    <m/>
    <x v="0"/>
    <s v="HF"/>
  </r>
  <r>
    <x v="0"/>
    <x v="1"/>
    <x v="0"/>
    <s v="lt002_instrument"/>
    <s v="FRBRNC_STTS_INSTRMNT"/>
    <x v="1"/>
    <s v="6. Em implementação "/>
    <m/>
    <s v="Package 2"/>
    <s v="Sem teste"/>
    <m/>
    <s v=""/>
    <s v=""/>
    <s v=""/>
    <m/>
    <m/>
    <s v="Novo Projeto - Em especificação"/>
    <s v="ESTR, P3 e LF"/>
    <s v="Novos Requisitos FY25 - Âmbito ESTR e (ou) LF"/>
    <x v="1"/>
    <s v="JB"/>
  </r>
  <r>
    <x v="0"/>
    <x v="1"/>
    <x v="0"/>
    <s v="lt002_instrument"/>
    <s v="INTRNL_SGMNT"/>
    <x v="1"/>
    <s v="6. Em implementação "/>
    <m/>
    <s v="Package 3"/>
    <s v="Sem teste"/>
    <m/>
    <s v=""/>
    <s v=""/>
    <s v=""/>
    <m/>
    <m/>
    <s v="Novo Projeto - Em especificação"/>
    <s v="ESTR, ESG e LF"/>
    <s v="Novos Requisitos FY25 - Âmbito ESTR e (ou) LF"/>
    <x v="1"/>
    <s v="HF"/>
  </r>
  <r>
    <x v="0"/>
    <x v="1"/>
    <x v="0"/>
    <s v="lt002_instrument"/>
    <s v="DT_ORGNL_MTRTY"/>
    <x v="1"/>
    <s v="6. Em implementação "/>
    <m/>
    <s v="Package 3"/>
    <s v="Sem teste"/>
    <m/>
    <s v=""/>
    <s v=""/>
    <s v=""/>
    <m/>
    <m/>
    <s v="Novo Projeto - Em especificação"/>
    <s v="ESTR, P3, GF e LF"/>
    <s v="Novos Requisitos FY25 - Âmbito ESTR e (ou) LF"/>
    <x v="1"/>
    <s v="HF"/>
  </r>
  <r>
    <x v="0"/>
    <x v="1"/>
    <x v="0"/>
    <s v="lt002_instrument"/>
    <s v="EAD"/>
    <x v="1"/>
    <s v="6. Em implementação "/>
    <m/>
    <s v="Package 3"/>
    <s v="Sem teste"/>
    <m/>
    <s v=""/>
    <s v=""/>
    <s v=""/>
    <m/>
    <m/>
    <s v="Novo Projeto - Em especificação"/>
    <s v="ESTR, GD, ESG e LF"/>
    <s v="Novos Requisitos FY25 - Âmbito ESTR e (ou) LF"/>
    <x v="1"/>
    <s v="HF"/>
  </r>
  <r>
    <x v="0"/>
    <x v="1"/>
    <x v="0"/>
    <s v="lt002_instrument"/>
    <s v="RWA"/>
    <x v="1"/>
    <s v="6. Em implementação "/>
    <m/>
    <s v="Package 3"/>
    <s v="Sem teste"/>
    <m/>
    <s v=""/>
    <s v=""/>
    <s v=""/>
    <m/>
    <m/>
    <s v="Novo Projeto - Em especificação"/>
    <s v="ESTR, GD, P3, GF e LF"/>
    <s v="Novos Requisitos FY25 - Âmbito ESTR e (ou) LF"/>
    <x v="1"/>
    <s v="HF"/>
  </r>
  <r>
    <x v="0"/>
    <x v="1"/>
    <x v="0"/>
    <s v="lt002_instrument"/>
    <s v="LTV"/>
    <x v="1"/>
    <s v="6. Em implementação "/>
    <m/>
    <s v="Package 3"/>
    <s v="Sem teste"/>
    <m/>
    <s v=""/>
    <s v=""/>
    <s v=""/>
    <m/>
    <m/>
    <s v="Novo Projeto - Em especificação"/>
    <s v="ESTR e P3"/>
    <s v="Novos Requisitos FY25 - Âmbito ESTR e (ou) LF"/>
    <x v="1"/>
    <s v="HF"/>
  </r>
  <r>
    <x v="0"/>
    <x v="1"/>
    <x v="0"/>
    <s v="lt002_instrument"/>
    <s v="LTV_INCPTN"/>
    <x v="1"/>
    <s v="6. Em implementação "/>
    <m/>
    <s v="Package 3"/>
    <s v="Sem teste"/>
    <m/>
    <s v=""/>
    <s v=""/>
    <s v=""/>
    <m/>
    <m/>
    <s v="Novo Projeto - Em especificação"/>
    <s v="ESTR e P3"/>
    <s v="Novos Requisitos FY25 - Âmbito ESTR e (ou) LF"/>
    <x v="1"/>
    <s v="JB"/>
  </r>
  <r>
    <x v="0"/>
    <x v="1"/>
    <x v="0"/>
    <s v="lt002_instrument"/>
    <s v="EIR"/>
    <x v="1"/>
    <s v="6. Em implementação "/>
    <m/>
    <s v="Package 3"/>
    <s v="Sem teste"/>
    <m/>
    <s v=""/>
    <s v=""/>
    <s v=""/>
    <m/>
    <m/>
    <s v="Novo Projeto - Em especificação"/>
    <s v="ESTR, P3 e LF"/>
    <s v="Novos Requisitos FY25 - Âmbito ESTR e (ou) LF"/>
    <x v="1"/>
    <s v="JB"/>
  </r>
  <r>
    <x v="0"/>
    <x v="1"/>
    <x v="0"/>
    <s v="lt002_instrument"/>
    <s v="EIR_INCPTN"/>
    <x v="1"/>
    <s v="6. Em implementação "/>
    <m/>
    <s v="Package 3"/>
    <s v="Sem teste"/>
    <m/>
    <s v=""/>
    <s v=""/>
    <s v=""/>
    <m/>
    <m/>
    <s v="Novo Projeto - Em especificação"/>
    <s v="ESTR e P3"/>
    <s v="Novos Requisitos FY25 - Âmbito ESTR e (ou) LF"/>
    <x v="1"/>
    <s v="JB"/>
  </r>
  <r>
    <x v="0"/>
    <x v="1"/>
    <x v="0"/>
    <s v="lt002_instrument"/>
    <s v="INTRNL_SGMNT_CAT_MSTA"/>
    <x v="1"/>
    <s v="6. Em implementação "/>
    <m/>
    <s v="Package 3"/>
    <s v="Sem teste"/>
    <m/>
    <s v=""/>
    <s v=""/>
    <s v=""/>
    <m/>
    <m/>
    <s v="Novo Projeto - Em especificação"/>
    <s v="ESTR e ESG"/>
    <s v="Novos Requisitos FY25 - Âmbito ESTR e (ou) LF"/>
    <x v="1"/>
    <s v="JB"/>
  </r>
  <r>
    <x v="0"/>
    <x v="1"/>
    <x v="0"/>
    <s v="lt002_instrument"/>
    <s v="INTRNL_SGMNT_CATGSUB"/>
    <x v="1"/>
    <s v="6. Em implementação "/>
    <m/>
    <s v="Package 3"/>
    <s v="Sem teste"/>
    <m/>
    <s v=""/>
    <s v=""/>
    <s v=""/>
    <m/>
    <m/>
    <s v="Novo Projeto - Em especificação"/>
    <s v="ESTR e ESG"/>
    <s v="Novos Requisitos FY25 - Âmbito ESTR e (ou) LF"/>
    <x v="1"/>
    <s v="JB"/>
  </r>
  <r>
    <x v="0"/>
    <x v="1"/>
    <x v="0"/>
    <s v="lt003_entity"/>
    <s v="entty_nm"/>
    <x v="1"/>
    <s v="6. Em implementação "/>
    <m/>
    <s v="Package 3"/>
    <s v="Sem teste"/>
    <m/>
    <s v=""/>
    <s v=""/>
    <s v=""/>
    <m/>
    <m/>
    <s v="Novo Projeto - Em especificação"/>
    <s v="ESTR, P3, GF e LF"/>
    <s v="Novos Requisitos FY25 - Âmbito ESTR e (ou) LF"/>
    <x v="1"/>
    <s v="JB"/>
  </r>
  <r>
    <x v="0"/>
    <x v="2"/>
    <x v="0"/>
    <s v="modesg_out_sfics_taxon_europeia"/>
    <s v="cbalcao"/>
    <x v="1"/>
    <s v="6. Em implementação "/>
    <m/>
    <s v="Package 5"/>
    <s v="package x (31 de março)"/>
    <m/>
    <s v=""/>
    <s v=""/>
    <s v=""/>
    <m/>
    <m/>
    <m/>
    <m/>
    <m/>
    <x v="0"/>
    <s v="RC"/>
  </r>
  <r>
    <x v="0"/>
    <x v="2"/>
    <x v="0"/>
    <s v="modesg_out_sfics_taxon_europeia"/>
    <s v="cempresa"/>
    <x v="1"/>
    <s v="6. Em implementação "/>
    <m/>
    <s v="Package 5"/>
    <s v="package x (31 de março)"/>
    <m/>
    <s v=""/>
    <s v=""/>
    <s v=""/>
    <m/>
    <m/>
    <m/>
    <m/>
    <m/>
    <x v="0"/>
    <s v="RC"/>
  </r>
  <r>
    <x v="0"/>
    <x v="2"/>
    <x v="0"/>
    <s v="modesg_out_sfics_taxon_europeia"/>
    <s v="cnumecta"/>
    <x v="1"/>
    <s v="6. Em implementação "/>
    <m/>
    <s v="Package 5"/>
    <s v="package x (31 de março)"/>
    <m/>
    <s v=""/>
    <s v=""/>
    <s v=""/>
    <m/>
    <m/>
    <m/>
    <m/>
    <m/>
    <x v="0"/>
    <s v="RC"/>
  </r>
  <r>
    <x v="0"/>
    <x v="2"/>
    <x v="0"/>
    <s v="modesg_out_sfics_taxon_europeia"/>
    <s v="cod_regra"/>
    <x v="1"/>
    <s v="6. Em implementação "/>
    <m/>
    <s v="Package 5"/>
    <s v="package x (31 de março)"/>
    <m/>
    <s v=""/>
    <s v=""/>
    <s v=""/>
    <m/>
    <m/>
    <m/>
    <m/>
    <m/>
    <x v="0"/>
    <s v="RC"/>
  </r>
  <r>
    <x v="0"/>
    <x v="2"/>
    <x v="0"/>
    <s v="modesg_out_sfics_taxon_europeia"/>
    <s v="nivel"/>
    <x v="1"/>
    <s v="6. Em implementação "/>
    <m/>
    <s v="Package 5"/>
    <s v="package x (31 de março)"/>
    <m/>
    <s v=""/>
    <s v=""/>
    <s v=""/>
    <m/>
    <m/>
    <m/>
    <m/>
    <m/>
    <x v="5"/>
    <m/>
  </r>
  <r>
    <x v="0"/>
    <x v="2"/>
    <x v="0"/>
    <s v="modesg_out_sfics_taxon_europeia"/>
    <s v="montante_pndrc"/>
    <x v="1"/>
    <s v="6. Em implementação "/>
    <m/>
    <s v="Package 5"/>
    <s v="package x (31 de março)"/>
    <m/>
    <s v=""/>
    <s v=""/>
    <s v=""/>
    <m/>
    <m/>
    <m/>
    <m/>
    <m/>
    <x v="0"/>
    <s v="RC"/>
  </r>
  <r>
    <x v="0"/>
    <x v="2"/>
    <x v="0"/>
    <s v="modesg_out_sfics_taxon_europeia"/>
    <s v="nome_ctgr_sfics"/>
    <x v="1"/>
    <s v="6. Em implementação "/>
    <m/>
    <s v="Package 5"/>
    <s v="package x (31 de março)"/>
    <m/>
    <s v=""/>
    <s v=""/>
    <s v=""/>
    <m/>
    <m/>
    <m/>
    <m/>
    <m/>
    <x v="0"/>
    <s v="RC"/>
  </r>
  <r>
    <x v="0"/>
    <x v="2"/>
    <x v="0"/>
    <s v="modesg_out_sfics_taxon_europeia"/>
    <s v="nome_general_specific_purpose"/>
    <x v="1"/>
    <s v="6. Em implementação "/>
    <m/>
    <s v="Package 5"/>
    <s v="package x (31 de março)"/>
    <m/>
    <s v=""/>
    <s v=""/>
    <s v=""/>
    <m/>
    <m/>
    <m/>
    <m/>
    <m/>
    <x v="0"/>
    <s v="RC"/>
  </r>
  <r>
    <x v="0"/>
    <x v="2"/>
    <x v="0"/>
    <s v="modesg_out_sfics_taxon_europeia"/>
    <s v="nome_purpose_esg_alinh_tax"/>
    <x v="1"/>
    <s v="6. Em implementação "/>
    <m/>
    <s v="Package 5"/>
    <s v="package x (31 de março)"/>
    <m/>
    <s v=""/>
    <s v=""/>
    <s v=""/>
    <m/>
    <m/>
    <m/>
    <m/>
    <m/>
    <x v="0"/>
    <s v="RC"/>
  </r>
  <r>
    <x v="0"/>
    <x v="2"/>
    <x v="0"/>
    <s v="modesg_out_sfics_taxon_europeia"/>
    <s v="nome_purpose_esg_nalinh_tax"/>
    <x v="1"/>
    <s v="6. Em implementação "/>
    <m/>
    <s v="Package 5"/>
    <s v="package x (31 de março)"/>
    <m/>
    <s v=""/>
    <s v=""/>
    <s v=""/>
    <m/>
    <m/>
    <m/>
    <m/>
    <m/>
    <x v="3"/>
    <s v="RC"/>
  </r>
  <r>
    <x v="0"/>
    <x v="2"/>
    <x v="0"/>
    <s v="modesg_out_sfics_taxon_europeia"/>
    <s v="nome_specific_eligible"/>
    <x v="1"/>
    <s v="6. Em implementação "/>
    <m/>
    <s v="Package 5"/>
    <s v="package x (31 de março)"/>
    <m/>
    <s v=""/>
    <s v=""/>
    <s v=""/>
    <m/>
    <m/>
    <m/>
    <m/>
    <m/>
    <x v="0"/>
    <s v="RC"/>
  </r>
  <r>
    <x v="0"/>
    <x v="2"/>
    <x v="0"/>
    <s v="modesg_out_sfics_taxon_europeia"/>
    <s v="nome_specific_sustainable"/>
    <x v="1"/>
    <s v="6. Em implementação "/>
    <m/>
    <s v="Package 5"/>
    <s v="package x (31 de março)"/>
    <m/>
    <s v=""/>
    <s v=""/>
    <s v=""/>
    <m/>
    <m/>
    <m/>
    <m/>
    <m/>
    <x v="0"/>
    <s v="RC"/>
  </r>
  <r>
    <x v="0"/>
    <x v="2"/>
    <x v="0"/>
    <s v="modesg_out_sfics_taxon_europeia"/>
    <s v="sstnbl_indctr"/>
    <x v="4"/>
    <s v="2.2 Em especificação"/>
    <m/>
    <s v="Package 6"/>
    <s v="package x (31 de março)"/>
    <m/>
    <s v=""/>
    <s v=""/>
    <s v=""/>
    <m/>
    <m/>
    <m/>
    <m/>
    <m/>
    <x v="5"/>
    <m/>
  </r>
  <r>
    <x v="0"/>
    <x v="2"/>
    <x v="0"/>
    <s v="modesg_out_sfics_taxon_europeia"/>
    <s v="ref_date"/>
    <x v="1"/>
    <s v="6. Em implementação "/>
    <m/>
    <s v="Package 5"/>
    <s v="package x (31 de março)"/>
    <m/>
    <s v=""/>
    <s v=""/>
    <s v=""/>
    <m/>
    <m/>
    <m/>
    <m/>
    <m/>
    <x v="0"/>
    <s v="RC"/>
  </r>
  <r>
    <x v="0"/>
    <x v="2"/>
    <x v="0"/>
    <s v="modesg_out_sfics_taxon_europeia"/>
    <s v="zdeposit"/>
    <x v="1"/>
    <s v="6. Em implementação "/>
    <m/>
    <s v="Package 5"/>
    <s v="package x (31 de março)"/>
    <m/>
    <s v=""/>
    <s v=""/>
    <s v=""/>
    <m/>
    <m/>
    <m/>
    <m/>
    <m/>
    <x v="0"/>
    <s v="RC"/>
  </r>
  <r>
    <x v="0"/>
    <x v="3"/>
    <x v="1"/>
    <s v="ENERGY_CERTIFICATE_EST_INPUT"/>
    <s v="n.a."/>
    <x v="3"/>
    <s v="2.1 Em Teste"/>
    <s v="Fase I"/>
    <m/>
    <m/>
    <m/>
    <s v=""/>
    <s v=""/>
    <s v=""/>
    <m/>
    <m/>
    <m/>
    <m/>
    <m/>
    <x v="0"/>
    <m/>
  </r>
  <r>
    <x v="0"/>
    <x v="3"/>
    <x v="0"/>
    <s v="ENERGY_CERTIFICATE_EST_INPUT"/>
    <s v="DATA_PROVIDER"/>
    <x v="5"/>
    <s v="0. Cancelado"/>
    <s v="Fase I"/>
    <m/>
    <m/>
    <m/>
    <s v=""/>
    <s v=""/>
    <s v=""/>
    <m/>
    <m/>
    <m/>
    <m/>
    <m/>
    <x v="0"/>
    <m/>
  </r>
  <r>
    <x v="0"/>
    <x v="3"/>
    <x v="0"/>
    <s v="ENERGY_CERTIFICATE_EST_INPUT"/>
    <s v="ACTUAL_VALUE_IND"/>
    <x v="5"/>
    <s v="0. Cancelado"/>
    <s v="Fase I"/>
    <m/>
    <m/>
    <m/>
    <s v=""/>
    <s v=""/>
    <s v=""/>
    <m/>
    <m/>
    <m/>
    <m/>
    <m/>
    <x v="0"/>
    <m/>
  </r>
  <r>
    <x v="0"/>
    <x v="0"/>
    <x v="1"/>
    <s v="PROCESS"/>
    <s v="n.a."/>
    <x v="0"/>
    <s v="1. Concluído"/>
    <m/>
    <m/>
    <m/>
    <m/>
    <s v=""/>
    <s v=""/>
    <s v=""/>
    <m/>
    <m/>
    <m/>
    <m/>
    <m/>
    <x v="0"/>
    <m/>
  </r>
  <r>
    <x v="0"/>
    <x v="0"/>
    <x v="0"/>
    <s v="PROCESS"/>
    <s v="PROCESS_BANK_ID"/>
    <x v="0"/>
    <s v="1. Concluído"/>
    <m/>
    <m/>
    <m/>
    <m/>
    <s v=""/>
    <s v=""/>
    <s v=""/>
    <m/>
    <m/>
    <m/>
    <m/>
    <m/>
    <x v="0"/>
    <m/>
  </r>
  <r>
    <x v="0"/>
    <x v="0"/>
    <x v="0"/>
    <s v="PROCESS"/>
    <s v="PROCESS_BRANCH_CODE"/>
    <x v="0"/>
    <s v="1. Concluído"/>
    <m/>
    <m/>
    <m/>
    <m/>
    <s v=""/>
    <s v=""/>
    <s v=""/>
    <m/>
    <m/>
    <m/>
    <m/>
    <m/>
    <x v="0"/>
    <m/>
  </r>
  <r>
    <x v="0"/>
    <x v="0"/>
    <x v="0"/>
    <s v="PROCESS"/>
    <s v="PROCESS_ACCOUNT_ID"/>
    <x v="0"/>
    <s v="1. Concluído"/>
    <m/>
    <m/>
    <m/>
    <m/>
    <s v=""/>
    <s v=""/>
    <s v=""/>
    <m/>
    <m/>
    <m/>
    <m/>
    <m/>
    <x v="0"/>
    <m/>
  </r>
  <r>
    <x v="0"/>
    <x v="0"/>
    <x v="0"/>
    <s v="PROCESS"/>
    <s v="cod_estd_prcs"/>
    <x v="5"/>
    <s v="0. Cancelado"/>
    <m/>
    <m/>
    <m/>
    <m/>
    <s v=""/>
    <s v=""/>
    <s v=""/>
    <m/>
    <m/>
    <m/>
    <m/>
    <m/>
    <x v="0"/>
    <m/>
  </r>
  <r>
    <x v="0"/>
    <x v="0"/>
    <x v="0"/>
    <s v="PROCESS"/>
    <s v="GUARANTEE_CODE"/>
    <x v="0"/>
    <s v="1. Concluído"/>
    <m/>
    <m/>
    <m/>
    <m/>
    <s v=""/>
    <s v=""/>
    <s v=""/>
    <m/>
    <m/>
    <m/>
    <m/>
    <m/>
    <x v="0"/>
    <m/>
  </r>
  <r>
    <x v="0"/>
    <x v="0"/>
    <x v="0"/>
    <s v="PROCESS"/>
    <s v="CURRENCY_CODE"/>
    <x v="0"/>
    <s v="1. Concluído"/>
    <m/>
    <m/>
    <m/>
    <m/>
    <s v=""/>
    <s v=""/>
    <s v=""/>
    <m/>
    <m/>
    <m/>
    <m/>
    <m/>
    <x v="0"/>
    <m/>
  </r>
  <r>
    <x v="0"/>
    <x v="0"/>
    <x v="0"/>
    <s v="PROCESS"/>
    <s v="PROCESS_CAMPAIGN_CODE"/>
    <x v="0"/>
    <s v="1. Concluído"/>
    <m/>
    <m/>
    <m/>
    <m/>
    <s v=""/>
    <s v=""/>
    <s v=""/>
    <m/>
    <m/>
    <m/>
    <m/>
    <m/>
    <x v="0"/>
    <m/>
  </r>
  <r>
    <x v="0"/>
    <x v="0"/>
    <x v="0"/>
    <s v="PROCESS"/>
    <s v="PROCESS_PRODUCT_ID"/>
    <x v="0"/>
    <s v="1. Concluído"/>
    <m/>
    <m/>
    <m/>
    <m/>
    <s v=""/>
    <s v=""/>
    <s v=""/>
    <m/>
    <m/>
    <m/>
    <m/>
    <m/>
    <x v="0"/>
    <m/>
  </r>
  <r>
    <x v="0"/>
    <x v="0"/>
    <x v="0"/>
    <s v="PROCESS"/>
    <s v="PROCESS_SUBPRODUCT_ID"/>
    <x v="0"/>
    <s v="1. Concluído"/>
    <m/>
    <m/>
    <m/>
    <m/>
    <s v=""/>
    <s v=""/>
    <s v=""/>
    <m/>
    <m/>
    <m/>
    <m/>
    <m/>
    <x v="0"/>
    <m/>
  </r>
  <r>
    <x v="0"/>
    <x v="0"/>
    <x v="0"/>
    <s v="PROCESS"/>
    <s v="GUARANTEE_TYPE_CODE"/>
    <x v="0"/>
    <s v="1. Concluído"/>
    <m/>
    <m/>
    <m/>
    <m/>
    <s v=""/>
    <s v=""/>
    <s v=""/>
    <m/>
    <m/>
    <m/>
    <m/>
    <m/>
    <x v="0"/>
    <m/>
  </r>
  <r>
    <x v="0"/>
    <x v="0"/>
    <x v="0"/>
    <s v="PROCESS"/>
    <s v="PROCESS_REFERENCE_CODE"/>
    <x v="0"/>
    <s v="1. Concluído"/>
    <m/>
    <m/>
    <m/>
    <m/>
    <s v=""/>
    <s v=""/>
    <s v=""/>
    <m/>
    <m/>
    <m/>
    <m/>
    <m/>
    <x v="0"/>
    <m/>
  </r>
  <r>
    <x v="0"/>
    <x v="0"/>
    <x v="0"/>
    <s v="PROCESS"/>
    <s v="PROCESS_START_DATE"/>
    <x v="0"/>
    <s v="1. Concluído"/>
    <m/>
    <m/>
    <m/>
    <m/>
    <s v=""/>
    <s v=""/>
    <s v=""/>
    <m/>
    <m/>
    <m/>
    <m/>
    <m/>
    <x v="0"/>
    <m/>
  </r>
  <r>
    <x v="0"/>
    <x v="0"/>
    <x v="0"/>
    <s v="PROCESS"/>
    <s v="PROCESS_DUE_DATE"/>
    <x v="0"/>
    <s v="1. Concluído"/>
    <m/>
    <m/>
    <m/>
    <m/>
    <s v=""/>
    <s v=""/>
    <s v=""/>
    <m/>
    <m/>
    <m/>
    <m/>
    <m/>
    <x v="0"/>
    <m/>
  </r>
  <r>
    <x v="0"/>
    <x v="0"/>
    <x v="0"/>
    <s v="PROCESS"/>
    <s v="montante_eur"/>
    <x v="5"/>
    <s v="0. Cancelado"/>
    <m/>
    <m/>
    <m/>
    <m/>
    <s v=""/>
    <s v=""/>
    <s v=""/>
    <m/>
    <m/>
    <m/>
    <m/>
    <m/>
    <x v="0"/>
    <m/>
  </r>
  <r>
    <x v="0"/>
    <x v="0"/>
    <x v="0"/>
    <s v="PROCESS"/>
    <s v="montante_org"/>
    <x v="5"/>
    <s v="0. Cancelado"/>
    <m/>
    <m/>
    <m/>
    <m/>
    <s v=""/>
    <s v=""/>
    <s v=""/>
    <m/>
    <m/>
    <m/>
    <m/>
    <m/>
    <x v="0"/>
    <m/>
  </r>
  <r>
    <x v="0"/>
    <x v="0"/>
    <x v="0"/>
    <s v="PROCESS"/>
    <s v="origem"/>
    <x v="5"/>
    <s v="0. Cancelado"/>
    <m/>
    <m/>
    <m/>
    <m/>
    <s v=""/>
    <s v=""/>
    <s v=""/>
    <m/>
    <m/>
    <m/>
    <m/>
    <m/>
    <x v="0"/>
    <m/>
  </r>
  <r>
    <x v="0"/>
    <x v="0"/>
    <x v="0"/>
    <s v="PROCESS"/>
    <s v="DATA_DATE_PART"/>
    <x v="0"/>
    <s v="1. Concluído"/>
    <m/>
    <m/>
    <m/>
    <m/>
    <s v=""/>
    <s v=""/>
    <s v=""/>
    <m/>
    <m/>
    <m/>
    <m/>
    <m/>
    <x v="0"/>
    <m/>
  </r>
  <r>
    <x v="0"/>
    <x v="0"/>
    <x v="0"/>
    <s v="PROCESS"/>
    <s v="SOURCE_CODE"/>
    <x v="0"/>
    <s v="1. Concluído"/>
    <m/>
    <m/>
    <m/>
    <m/>
    <s v=""/>
    <s v=""/>
    <s v=""/>
    <m/>
    <m/>
    <m/>
    <m/>
    <m/>
    <x v="0"/>
    <m/>
  </r>
  <r>
    <x v="0"/>
    <x v="0"/>
    <x v="1"/>
    <s v="RESPONSIBILITY_PROCESS_REL"/>
    <s v="n.a."/>
    <x v="0"/>
    <s v="1. Concluído"/>
    <m/>
    <m/>
    <m/>
    <m/>
    <s v=""/>
    <s v=""/>
    <s v=""/>
    <m/>
    <m/>
    <m/>
    <m/>
    <m/>
    <x v="0"/>
    <m/>
  </r>
  <r>
    <x v="0"/>
    <x v="0"/>
    <x v="0"/>
    <s v="RESPONSIBILITY_PROCESS_REL"/>
    <s v="PROCESS_BANK_ID"/>
    <x v="0"/>
    <s v="1. Concluído"/>
    <m/>
    <m/>
    <m/>
    <m/>
    <s v=""/>
    <s v=""/>
    <s v=""/>
    <m/>
    <m/>
    <m/>
    <m/>
    <m/>
    <x v="0"/>
    <m/>
  </r>
  <r>
    <x v="0"/>
    <x v="0"/>
    <x v="0"/>
    <s v="RESPONSIBILITY_PROCESS_REL"/>
    <s v="BANK_ID"/>
    <x v="0"/>
    <s v="1. Concluído"/>
    <m/>
    <m/>
    <m/>
    <m/>
    <s v=""/>
    <s v=""/>
    <s v=""/>
    <m/>
    <m/>
    <m/>
    <m/>
    <m/>
    <x v="0"/>
    <m/>
  </r>
  <r>
    <x v="0"/>
    <x v="0"/>
    <x v="0"/>
    <s v="RESPONSIBILITY_PROCESS_REL"/>
    <s v="PROCESS_BRANCH_CODE"/>
    <x v="0"/>
    <s v="1. Concluído"/>
    <m/>
    <m/>
    <m/>
    <m/>
    <s v=""/>
    <s v=""/>
    <s v=""/>
    <m/>
    <m/>
    <m/>
    <m/>
    <m/>
    <x v="0"/>
    <m/>
  </r>
  <r>
    <x v="0"/>
    <x v="0"/>
    <x v="0"/>
    <s v="RESPONSIBILITY_PROCESS_REL"/>
    <s v="BRANCH_CODE"/>
    <x v="0"/>
    <s v="1. Concluído"/>
    <m/>
    <m/>
    <m/>
    <m/>
    <s v=""/>
    <s v=""/>
    <s v=""/>
    <m/>
    <m/>
    <m/>
    <m/>
    <m/>
    <x v="0"/>
    <m/>
  </r>
  <r>
    <x v="0"/>
    <x v="0"/>
    <x v="0"/>
    <s v="RESPONSIBILITY_PROCESS_REL"/>
    <s v="CONTRACT_ID"/>
    <x v="0"/>
    <s v="1. Concluído"/>
    <m/>
    <m/>
    <m/>
    <m/>
    <s v=""/>
    <s v=""/>
    <s v=""/>
    <m/>
    <m/>
    <m/>
    <m/>
    <m/>
    <x v="0"/>
    <m/>
  </r>
  <r>
    <x v="0"/>
    <x v="0"/>
    <x v="0"/>
    <s v="RESPONSIBILITY_PROCESS_REL"/>
    <s v="PROCESS_ACCOUNT_ID"/>
    <x v="0"/>
    <s v="1. Concluído"/>
    <m/>
    <m/>
    <m/>
    <m/>
    <s v=""/>
    <s v=""/>
    <s v=""/>
    <m/>
    <m/>
    <m/>
    <m/>
    <m/>
    <x v="0"/>
    <m/>
  </r>
  <r>
    <x v="0"/>
    <x v="0"/>
    <x v="0"/>
    <s v="RESPONSIBILITY_PROCESS_REL"/>
    <s v="REFERENCE_CODE"/>
    <x v="0"/>
    <s v="1. Concluído"/>
    <m/>
    <m/>
    <m/>
    <m/>
    <s v=""/>
    <s v=""/>
    <s v=""/>
    <m/>
    <m/>
    <m/>
    <m/>
    <m/>
    <x v="0"/>
    <m/>
  </r>
  <r>
    <x v="0"/>
    <x v="0"/>
    <x v="0"/>
    <s v="RESPONSIBILITY_PROCESS_REL"/>
    <s v="PURPOSE_CODE"/>
    <x v="0"/>
    <s v="1. Concluído"/>
    <m/>
    <m/>
    <m/>
    <m/>
    <s v=""/>
    <s v=""/>
    <s v=""/>
    <m/>
    <m/>
    <m/>
    <m/>
    <m/>
    <x v="0"/>
    <m/>
  </r>
  <r>
    <x v="0"/>
    <x v="0"/>
    <x v="0"/>
    <s v="RESPONSIBILITY_PROCESS_REL"/>
    <s v="INDIVIDUAL_OCCUPATION_CODE"/>
    <x v="0"/>
    <s v="1. Concluído"/>
    <m/>
    <m/>
    <m/>
    <m/>
    <s v=""/>
    <s v=""/>
    <s v=""/>
    <m/>
    <m/>
    <m/>
    <m/>
    <m/>
    <x v="0"/>
    <m/>
  </r>
  <r>
    <x v="0"/>
    <x v="0"/>
    <x v="0"/>
    <s v="RESPONSIBILITY_PROCESS_REL"/>
    <s v="PRODUCT_ID"/>
    <x v="0"/>
    <s v="1. Concluído"/>
    <m/>
    <m/>
    <m/>
    <m/>
    <s v=""/>
    <s v=""/>
    <s v=""/>
    <m/>
    <m/>
    <m/>
    <m/>
    <m/>
    <x v="0"/>
    <m/>
  </r>
  <r>
    <x v="0"/>
    <x v="0"/>
    <x v="0"/>
    <s v="RESPONSIBILITY_PROCESS_REL"/>
    <s v="cod_sit"/>
    <x v="5"/>
    <s v="0. Cancelado"/>
    <m/>
    <m/>
    <m/>
    <m/>
    <s v=""/>
    <s v=""/>
    <s v=""/>
    <m/>
    <m/>
    <m/>
    <m/>
    <m/>
    <x v="0"/>
    <m/>
  </r>
  <r>
    <x v="0"/>
    <x v="0"/>
    <x v="0"/>
    <s v="RESPONSIBILITY_PROCESS_REL"/>
    <s v="SUBPRODUCT_ID"/>
    <x v="0"/>
    <s v="1. Concluído"/>
    <m/>
    <m/>
    <m/>
    <m/>
    <s v=""/>
    <s v=""/>
    <s v=""/>
    <m/>
    <m/>
    <m/>
    <m/>
    <m/>
    <x v="0"/>
    <m/>
  </r>
  <r>
    <x v="0"/>
    <x v="0"/>
    <x v="0"/>
    <s v="RESPONSIBILITY_PROCESS_REL"/>
    <s v="PROCESS_REFERENCE_CODE"/>
    <x v="0"/>
    <s v="1. Concluído"/>
    <m/>
    <m/>
    <m/>
    <m/>
    <s v=""/>
    <s v=""/>
    <s v=""/>
    <m/>
    <m/>
    <m/>
    <m/>
    <m/>
    <x v="0"/>
    <m/>
  </r>
  <r>
    <x v="0"/>
    <x v="0"/>
    <x v="0"/>
    <s v="RESPONSIBILITY_PROCESS_REL"/>
    <s v="EFFECTIVE_RELATION_END_DATE"/>
    <x v="0"/>
    <s v="1. Concluído"/>
    <m/>
    <m/>
    <m/>
    <m/>
    <s v=""/>
    <s v=""/>
    <s v=""/>
    <m/>
    <m/>
    <m/>
    <m/>
    <m/>
    <x v="0"/>
    <m/>
  </r>
  <r>
    <x v="0"/>
    <x v="0"/>
    <x v="0"/>
    <s v="RESPONSIBILITY_PROCESS_REL"/>
    <s v="PROCESS_START_DATE"/>
    <x v="0"/>
    <s v="1. Concluído"/>
    <m/>
    <m/>
    <m/>
    <m/>
    <s v=""/>
    <s v=""/>
    <s v=""/>
    <m/>
    <m/>
    <m/>
    <m/>
    <m/>
    <x v="0"/>
    <m/>
  </r>
  <r>
    <x v="0"/>
    <x v="0"/>
    <x v="0"/>
    <s v="RESPONSIBILITY_PROCESS_REL"/>
    <s v="PROCESS_DUE_DATE"/>
    <x v="0"/>
    <s v="1. Concluído"/>
    <m/>
    <m/>
    <m/>
    <m/>
    <s v=""/>
    <s v=""/>
    <s v=""/>
    <m/>
    <m/>
    <m/>
    <m/>
    <m/>
    <x v="0"/>
    <m/>
  </r>
  <r>
    <x v="0"/>
    <x v="0"/>
    <x v="0"/>
    <s v="RESPONSIBILITY_PROCESS_REL"/>
    <s v="idetgar"/>
    <x v="5"/>
    <s v="0. Cancelado"/>
    <m/>
    <m/>
    <m/>
    <m/>
    <s v=""/>
    <s v=""/>
    <s v=""/>
    <m/>
    <m/>
    <m/>
    <m/>
    <m/>
    <x v="0"/>
    <m/>
  </r>
  <r>
    <x v="0"/>
    <x v="0"/>
    <x v="0"/>
    <s v="RESPONSIBILITY_PROCESS_REL"/>
    <s v="num_prop"/>
    <x v="5"/>
    <s v="0. Cancelado"/>
    <m/>
    <m/>
    <m/>
    <m/>
    <s v=""/>
    <s v=""/>
    <s v=""/>
    <m/>
    <m/>
    <m/>
    <m/>
    <m/>
    <x v="0"/>
    <m/>
  </r>
  <r>
    <x v="0"/>
    <x v="0"/>
    <x v="0"/>
    <s v="RESPONSIBILITY_PROCESS_REL"/>
    <s v="SOURCE_CODE"/>
    <x v="0"/>
    <s v="1. Concluído"/>
    <m/>
    <m/>
    <m/>
    <m/>
    <s v=""/>
    <s v=""/>
    <s v=""/>
    <m/>
    <m/>
    <m/>
    <m/>
    <m/>
    <x v="0"/>
    <m/>
  </r>
  <r>
    <x v="0"/>
    <x v="0"/>
    <x v="0"/>
    <s v="RESPONSIBILITY_PROCESS_REL"/>
    <s v="DATA_DATE_PART"/>
    <x v="0"/>
    <s v="1. Concluído"/>
    <m/>
    <m/>
    <m/>
    <m/>
    <s v=""/>
    <s v=""/>
    <s v=""/>
    <m/>
    <m/>
    <m/>
    <m/>
    <m/>
    <x v="0"/>
    <m/>
  </r>
  <r>
    <x v="0"/>
    <x v="0"/>
    <x v="1"/>
    <s v="PROCESS_PROPERTY_REL"/>
    <s v="n.a."/>
    <x v="0"/>
    <s v="1. Concluído"/>
    <m/>
    <m/>
    <m/>
    <m/>
    <s v=""/>
    <s v=""/>
    <s v=""/>
    <m/>
    <m/>
    <m/>
    <m/>
    <m/>
    <x v="0"/>
    <m/>
  </r>
  <r>
    <x v="0"/>
    <x v="0"/>
    <x v="0"/>
    <s v="PROCESS_PROPERTY_REL"/>
    <s v="PROPERTY_BANK_ID"/>
    <x v="0"/>
    <s v="1. Concluído"/>
    <m/>
    <m/>
    <m/>
    <m/>
    <s v=""/>
    <s v=""/>
    <s v=""/>
    <m/>
    <m/>
    <m/>
    <m/>
    <m/>
    <x v="0"/>
    <m/>
  </r>
  <r>
    <x v="0"/>
    <x v="0"/>
    <x v="0"/>
    <s v="PROCESS_PROPERTY_REL"/>
    <s v="PROCESS_BANK_ID"/>
    <x v="0"/>
    <s v="1. Concluído"/>
    <m/>
    <m/>
    <m/>
    <m/>
    <s v=""/>
    <s v=""/>
    <s v=""/>
    <m/>
    <m/>
    <m/>
    <m/>
    <m/>
    <x v="0"/>
    <m/>
  </r>
  <r>
    <x v="0"/>
    <x v="0"/>
    <x v="0"/>
    <s v="PROCESS_PROPERTY_REL"/>
    <s v="PROPERTY_BRANCH_CODE"/>
    <x v="0"/>
    <s v="1. Concluído"/>
    <m/>
    <m/>
    <m/>
    <m/>
    <s v=""/>
    <s v=""/>
    <s v=""/>
    <m/>
    <m/>
    <m/>
    <m/>
    <m/>
    <x v="0"/>
    <m/>
  </r>
  <r>
    <x v="0"/>
    <x v="0"/>
    <x v="0"/>
    <s v="PROCESS_PROPERTY_REL"/>
    <s v="PROCESS_BRANCH_CODE"/>
    <x v="0"/>
    <s v="1. Concluído"/>
    <m/>
    <m/>
    <m/>
    <m/>
    <s v=""/>
    <s v=""/>
    <s v=""/>
    <m/>
    <m/>
    <m/>
    <m/>
    <m/>
    <x v="0"/>
    <m/>
  </r>
  <r>
    <x v="0"/>
    <x v="0"/>
    <x v="0"/>
    <s v="PROCESS_PROPERTY_REL"/>
    <s v="PROPERTY_CONTRACT_ID"/>
    <x v="0"/>
    <s v="1. Concluído"/>
    <m/>
    <m/>
    <m/>
    <m/>
    <s v=""/>
    <s v=""/>
    <s v=""/>
    <m/>
    <m/>
    <m/>
    <m/>
    <m/>
    <x v="0"/>
    <m/>
  </r>
  <r>
    <x v="0"/>
    <x v="0"/>
    <x v="0"/>
    <s v="PROCESS_PROPERTY_REL"/>
    <s v="PROCESS_ACCOUNT_ID"/>
    <x v="0"/>
    <s v="1. Concluído"/>
    <m/>
    <m/>
    <m/>
    <m/>
    <s v=""/>
    <s v=""/>
    <s v=""/>
    <m/>
    <m/>
    <m/>
    <m/>
    <m/>
    <x v="0"/>
    <m/>
  </r>
  <r>
    <x v="0"/>
    <x v="0"/>
    <x v="0"/>
    <s v="PROCESS_PROPERTY_REL"/>
    <s v="PROPERTY_REFERENCE_CODE"/>
    <x v="0"/>
    <s v="1. Concluído"/>
    <m/>
    <m/>
    <m/>
    <m/>
    <s v=""/>
    <s v=""/>
    <s v=""/>
    <m/>
    <m/>
    <m/>
    <m/>
    <m/>
    <x v="0"/>
    <m/>
  </r>
  <r>
    <x v="0"/>
    <x v="0"/>
    <x v="0"/>
    <s v="PROCESS_PROPERTY_REL"/>
    <s v="PROCESS_REFERENCE_CODE"/>
    <x v="0"/>
    <s v="1. Concluído"/>
    <m/>
    <m/>
    <m/>
    <m/>
    <s v=""/>
    <s v=""/>
    <s v=""/>
    <m/>
    <m/>
    <m/>
    <m/>
    <m/>
    <x v="0"/>
    <m/>
  </r>
  <r>
    <x v="0"/>
    <x v="0"/>
    <x v="0"/>
    <s v="PROCESS_PROPERTY_REL"/>
    <s v="data_assc"/>
    <x v="5"/>
    <s v="0. Cancelado"/>
    <m/>
    <m/>
    <m/>
    <m/>
    <s v=""/>
    <s v=""/>
    <s v=""/>
    <m/>
    <m/>
    <m/>
    <m/>
    <m/>
    <x v="0"/>
    <m/>
  </r>
  <r>
    <x v="0"/>
    <x v="0"/>
    <x v="0"/>
    <s v="PROCESS_PROPERTY_REL"/>
    <s v="SEIZED_PROPERTY_IND"/>
    <x v="0"/>
    <s v="1. Concluído"/>
    <m/>
    <m/>
    <m/>
    <m/>
    <s v=""/>
    <s v=""/>
    <s v=""/>
    <m/>
    <m/>
    <m/>
    <m/>
    <m/>
    <x v="0"/>
    <m/>
  </r>
  <r>
    <x v="0"/>
    <x v="0"/>
    <x v="0"/>
    <s v="PROCESS_PROPERTY_REL"/>
    <s v="COLLATERAL_PROPERTY_IND"/>
    <x v="0"/>
    <s v="1. Concluído"/>
    <m/>
    <m/>
    <m/>
    <m/>
    <s v=""/>
    <s v=""/>
    <s v=""/>
    <m/>
    <m/>
    <m/>
    <m/>
    <m/>
    <x v="0"/>
    <m/>
  </r>
  <r>
    <x v="0"/>
    <x v="0"/>
    <x v="0"/>
    <s v="PROCESS_PROPERTY_REL"/>
    <s v="FINANCED_PROPERTY_IND"/>
    <x v="0"/>
    <s v="1. Concluído"/>
    <m/>
    <m/>
    <m/>
    <m/>
    <s v=""/>
    <s v=""/>
    <s v=""/>
    <m/>
    <m/>
    <m/>
    <m/>
    <m/>
    <x v="0"/>
    <m/>
  </r>
  <r>
    <x v="0"/>
    <x v="0"/>
    <x v="0"/>
    <s v="PROCESS_PROPERTY_REL"/>
    <s v="OWNED_PROPERTY_IND"/>
    <x v="0"/>
    <s v="1. Concluído"/>
    <m/>
    <m/>
    <m/>
    <m/>
    <s v=""/>
    <s v=""/>
    <s v=""/>
    <m/>
    <m/>
    <m/>
    <m/>
    <m/>
    <x v="0"/>
    <m/>
  </r>
  <r>
    <x v="0"/>
    <x v="0"/>
    <x v="0"/>
    <s v="PROCESS_PROPERTY_REL"/>
    <s v="SOURCE_CODE"/>
    <x v="0"/>
    <s v="1. Concluído"/>
    <m/>
    <m/>
    <m/>
    <m/>
    <s v=""/>
    <s v=""/>
    <s v=""/>
    <m/>
    <m/>
    <m/>
    <m/>
    <m/>
    <x v="0"/>
    <m/>
  </r>
  <r>
    <x v="0"/>
    <x v="0"/>
    <x v="0"/>
    <s v="PROCESS_PROPERTY_REL"/>
    <s v="DATA_DATE_PART"/>
    <x v="0"/>
    <s v="1. Concluído"/>
    <m/>
    <m/>
    <m/>
    <m/>
    <s v=""/>
    <s v=""/>
    <s v=""/>
    <m/>
    <m/>
    <m/>
    <m/>
    <m/>
    <x v="0"/>
    <m/>
  </r>
  <r>
    <x v="0"/>
    <x v="0"/>
    <x v="1"/>
    <s v="PROPERTY"/>
    <s v="n.a."/>
    <x v="0"/>
    <s v="1. Concluído"/>
    <m/>
    <m/>
    <m/>
    <m/>
    <s v=""/>
    <s v=""/>
    <s v=""/>
    <m/>
    <m/>
    <m/>
    <m/>
    <m/>
    <x v="0"/>
    <m/>
  </r>
  <r>
    <x v="0"/>
    <x v="0"/>
    <x v="0"/>
    <s v="PROPERTY"/>
    <s v="CONSTRUCTION_YEAR"/>
    <x v="0"/>
    <s v="1. Concluído"/>
    <m/>
    <m/>
    <m/>
    <m/>
    <s v=""/>
    <s v=""/>
    <s v=""/>
    <m/>
    <m/>
    <m/>
    <m/>
    <m/>
    <x v="0"/>
    <m/>
  </r>
  <r>
    <x v="0"/>
    <x v="0"/>
    <x v="0"/>
    <s v="PROPERTY"/>
    <s v="NET_FLOOR_AREA"/>
    <x v="0"/>
    <s v="1. Concluído"/>
    <m/>
    <m/>
    <m/>
    <m/>
    <s v=""/>
    <s v=""/>
    <s v=""/>
    <m/>
    <m/>
    <m/>
    <m/>
    <m/>
    <x v="0"/>
    <m/>
  </r>
  <r>
    <x v="0"/>
    <x v="0"/>
    <x v="0"/>
    <s v="PROPERTY"/>
    <s v="PROPERTY_BANK_ID"/>
    <x v="0"/>
    <s v="1. Concluído"/>
    <m/>
    <m/>
    <m/>
    <m/>
    <s v=""/>
    <s v=""/>
    <s v=""/>
    <m/>
    <m/>
    <m/>
    <m/>
    <m/>
    <x v="0"/>
    <m/>
  </r>
  <r>
    <x v="0"/>
    <x v="0"/>
    <x v="0"/>
    <s v="PROPERTY"/>
    <s v="PROPERTY_BRANCH_CODE"/>
    <x v="0"/>
    <s v="1. Concluído"/>
    <m/>
    <m/>
    <m/>
    <m/>
    <s v=""/>
    <s v=""/>
    <s v=""/>
    <m/>
    <m/>
    <m/>
    <m/>
    <m/>
    <x v="0"/>
    <m/>
  </r>
  <r>
    <x v="0"/>
    <x v="0"/>
    <x v="0"/>
    <s v="PROPERTY"/>
    <s v="PROPERTY_CONTRACT_ID"/>
    <x v="0"/>
    <s v="1. Concluído"/>
    <m/>
    <m/>
    <m/>
    <m/>
    <s v=""/>
    <s v=""/>
    <s v=""/>
    <m/>
    <m/>
    <m/>
    <m/>
    <m/>
    <x v="0"/>
    <m/>
  </r>
  <r>
    <x v="0"/>
    <x v="0"/>
    <x v="0"/>
    <s v="PROPERTY"/>
    <s v="PROPERTY_REFERENCE_CODE"/>
    <x v="0"/>
    <s v="1. Concluído"/>
    <m/>
    <m/>
    <m/>
    <m/>
    <s v=""/>
    <s v=""/>
    <s v=""/>
    <m/>
    <m/>
    <m/>
    <m/>
    <m/>
    <x v="0"/>
    <m/>
  </r>
  <r>
    <x v="0"/>
    <x v="0"/>
    <x v="0"/>
    <s v="PROPERTY"/>
    <s v="CADASTRAL_REGISTER_CODE"/>
    <x v="0"/>
    <s v="1. Concluído"/>
    <m/>
    <m/>
    <m/>
    <m/>
    <s v=""/>
    <s v=""/>
    <s v=""/>
    <m/>
    <m/>
    <m/>
    <m/>
    <m/>
    <x v="0"/>
    <m/>
  </r>
  <r>
    <x v="0"/>
    <x v="0"/>
    <x v="0"/>
    <s v="PROPERTY"/>
    <s v="APPRAISAL_CODE"/>
    <x v="0"/>
    <s v="1. Concluído"/>
    <m/>
    <m/>
    <m/>
    <m/>
    <s v=""/>
    <s v=""/>
    <s v=""/>
    <m/>
    <m/>
    <m/>
    <m/>
    <m/>
    <x v="0"/>
    <m/>
  </r>
  <r>
    <x v="0"/>
    <x v="0"/>
    <x v="0"/>
    <s v="PROPERTY"/>
    <s v="cod_bem"/>
    <x v="5"/>
    <s v="0. Cancelado"/>
    <m/>
    <m/>
    <m/>
    <m/>
    <s v=""/>
    <s v=""/>
    <s v=""/>
    <m/>
    <m/>
    <m/>
    <m/>
    <m/>
    <x v="0"/>
    <m/>
  </r>
  <r>
    <x v="0"/>
    <x v="0"/>
    <x v="0"/>
    <s v="PROPERTY"/>
    <s v="DISTRICT_MUNICIP_PARISH_CODE"/>
    <x v="0"/>
    <s v="1. Concluído"/>
    <m/>
    <m/>
    <m/>
    <m/>
    <s v=""/>
    <s v=""/>
    <s v=""/>
    <m/>
    <m/>
    <m/>
    <m/>
    <m/>
    <x v="0"/>
    <m/>
  </r>
  <r>
    <x v="0"/>
    <x v="0"/>
    <x v="0"/>
    <s v="PROPERTY"/>
    <s v="PROPERTY_PURPOSE_CODE"/>
    <x v="0"/>
    <s v="1. Concluído"/>
    <m/>
    <m/>
    <m/>
    <m/>
    <s v=""/>
    <s v=""/>
    <s v=""/>
    <m/>
    <m/>
    <m/>
    <m/>
    <m/>
    <x v="0"/>
    <m/>
  </r>
  <r>
    <x v="0"/>
    <x v="0"/>
    <x v="0"/>
    <s v="PROPERTY"/>
    <s v="PROPERTY_LIFETIME_CODE"/>
    <x v="0"/>
    <s v="1. Concluído"/>
    <m/>
    <m/>
    <m/>
    <m/>
    <s v=""/>
    <s v=""/>
    <s v=""/>
    <m/>
    <m/>
    <m/>
    <m/>
    <m/>
    <x v="0"/>
    <m/>
  </r>
  <r>
    <x v="0"/>
    <x v="0"/>
    <x v="0"/>
    <s v="PROPERTY"/>
    <s v="ADDRESS_CODE"/>
    <x v="0"/>
    <s v="1. Concluído"/>
    <m/>
    <m/>
    <m/>
    <m/>
    <s v=""/>
    <s v=""/>
    <s v=""/>
    <m/>
    <m/>
    <m/>
    <m/>
    <m/>
    <x v="0"/>
    <m/>
  </r>
  <r>
    <x v="0"/>
    <x v="0"/>
    <x v="0"/>
    <s v="PROPERTY"/>
    <s v="COUNTRY_CODE"/>
    <x v="0"/>
    <s v="1. Concluído"/>
    <m/>
    <m/>
    <m/>
    <m/>
    <s v=""/>
    <s v=""/>
    <s v=""/>
    <m/>
    <m/>
    <m/>
    <m/>
    <m/>
    <x v="0"/>
    <m/>
  </r>
  <r>
    <x v="0"/>
    <x v="0"/>
    <x v="0"/>
    <s v="PROPERTY"/>
    <s v="POSTAL_CODE"/>
    <x v="0"/>
    <s v="1. Concluído"/>
    <m/>
    <m/>
    <m/>
    <m/>
    <s v=""/>
    <s v=""/>
    <s v=""/>
    <m/>
    <m/>
    <m/>
    <m/>
    <m/>
    <x v="0"/>
    <m/>
  </r>
  <r>
    <x v="0"/>
    <x v="0"/>
    <x v="0"/>
    <s v="PROPERTY"/>
    <s v="PROPERTY_TYPE_CODE"/>
    <x v="0"/>
    <s v="1. Concluído"/>
    <m/>
    <m/>
    <m/>
    <m/>
    <s v=""/>
    <s v=""/>
    <s v=""/>
    <m/>
    <m/>
    <m/>
    <m/>
    <m/>
    <x v="0"/>
    <m/>
  </r>
  <r>
    <x v="0"/>
    <x v="0"/>
    <x v="0"/>
    <s v="PROPERTY"/>
    <s v="LAST_APPRAISAL_DATE"/>
    <x v="0"/>
    <s v="1. Concluído"/>
    <m/>
    <m/>
    <m/>
    <m/>
    <s v=""/>
    <s v=""/>
    <s v=""/>
    <m/>
    <m/>
    <m/>
    <m/>
    <m/>
    <x v="0"/>
    <m/>
  </r>
  <r>
    <x v="0"/>
    <x v="0"/>
    <x v="0"/>
    <s v="PROPERTY"/>
    <s v="USAGE_PERMIT_START_DATE"/>
    <x v="0"/>
    <s v="1. Concluído"/>
    <m/>
    <m/>
    <m/>
    <m/>
    <s v=""/>
    <s v=""/>
    <s v=""/>
    <m/>
    <m/>
    <m/>
    <m/>
    <m/>
    <x v="0"/>
    <m/>
  </r>
  <r>
    <x v="0"/>
    <x v="0"/>
    <x v="0"/>
    <s v="PROPERTY"/>
    <s v="CONSERVATORY_REG_FILE_ID"/>
    <x v="0"/>
    <s v="1. Concluído"/>
    <m/>
    <m/>
    <m/>
    <m/>
    <s v=""/>
    <s v=""/>
    <s v=""/>
    <m/>
    <m/>
    <m/>
    <m/>
    <m/>
    <x v="0"/>
    <m/>
  </r>
  <r>
    <x v="0"/>
    <x v="0"/>
    <x v="0"/>
    <s v="PROPERTY"/>
    <s v="FLOOR_NUMBER"/>
    <x v="0"/>
    <s v="1. Concluído"/>
    <m/>
    <m/>
    <m/>
    <m/>
    <s v=""/>
    <s v=""/>
    <s v=""/>
    <m/>
    <m/>
    <m/>
    <m/>
    <m/>
    <x v="0"/>
    <m/>
  </r>
  <r>
    <x v="0"/>
    <x v="0"/>
    <x v="0"/>
    <s v="PROPERTY"/>
    <s v="LOCALITY"/>
    <x v="0"/>
    <s v="1. Concluído"/>
    <m/>
    <m/>
    <m/>
    <m/>
    <s v=""/>
    <s v=""/>
    <s v=""/>
    <m/>
    <m/>
    <m/>
    <m/>
    <m/>
    <x v="0"/>
    <m/>
  </r>
  <r>
    <x v="0"/>
    <x v="0"/>
    <x v="0"/>
    <s v="PROPERTY"/>
    <s v="PROPERTY_LOT"/>
    <x v="0"/>
    <s v="1. Concluído"/>
    <m/>
    <m/>
    <m/>
    <m/>
    <s v=""/>
    <s v=""/>
    <s v=""/>
    <m/>
    <m/>
    <m/>
    <m/>
    <m/>
    <x v="0"/>
    <m/>
  </r>
  <r>
    <x v="0"/>
    <x v="0"/>
    <x v="0"/>
    <s v="PROPERTY"/>
    <s v="LAST_APPRAISAL_AMOUNT"/>
    <x v="0"/>
    <s v="1. Concluído"/>
    <m/>
    <m/>
    <m/>
    <m/>
    <s v=""/>
    <s v=""/>
    <s v=""/>
    <m/>
    <m/>
    <m/>
    <m/>
    <m/>
    <x v="0"/>
    <m/>
  </r>
  <r>
    <x v="0"/>
    <x v="0"/>
    <x v="0"/>
    <s v="PROPERTY"/>
    <s v="NET_APPRAISAL_AMOUNT"/>
    <x v="0"/>
    <s v="1. Concluído"/>
    <m/>
    <m/>
    <m/>
    <m/>
    <s v=""/>
    <s v=""/>
    <s v=""/>
    <m/>
    <m/>
    <m/>
    <m/>
    <m/>
    <x v="0"/>
    <m/>
  </r>
  <r>
    <x v="0"/>
    <x v="0"/>
    <x v="0"/>
    <s v="PROPERTY"/>
    <s v="COLLATERAL_FAST_SALE_AMOUNT"/>
    <x v="0"/>
    <s v="1. Concluído"/>
    <m/>
    <m/>
    <m/>
    <m/>
    <s v=""/>
    <s v=""/>
    <s v=""/>
    <m/>
    <m/>
    <m/>
    <m/>
    <m/>
    <x v="0"/>
    <m/>
  </r>
  <r>
    <x v="0"/>
    <x v="0"/>
    <x v="0"/>
    <s v="PROPERTY"/>
    <s v="ADDRESS"/>
    <x v="0"/>
    <s v="1. Concluído"/>
    <m/>
    <m/>
    <m/>
    <m/>
    <s v=""/>
    <s v=""/>
    <s v=""/>
    <m/>
    <m/>
    <m/>
    <m/>
    <m/>
    <x v="0"/>
    <m/>
  </r>
  <r>
    <x v="0"/>
    <x v="0"/>
    <x v="0"/>
    <s v="PROPERTY"/>
    <s v="PROPERTY_NUMBER"/>
    <x v="0"/>
    <s v="1. Concluído"/>
    <m/>
    <m/>
    <m/>
    <m/>
    <s v=""/>
    <s v=""/>
    <s v=""/>
    <m/>
    <m/>
    <m/>
    <m/>
    <m/>
    <x v="0"/>
    <m/>
  </r>
  <r>
    <x v="0"/>
    <x v="0"/>
    <x v="0"/>
    <s v="PROPERTY"/>
    <s v="Origem"/>
    <x v="5"/>
    <s v="0. Cancelado"/>
    <m/>
    <m/>
    <m/>
    <m/>
    <s v=""/>
    <s v=""/>
    <s v=""/>
    <m/>
    <m/>
    <m/>
    <m/>
    <m/>
    <x v="0"/>
    <m/>
  </r>
  <r>
    <x v="0"/>
    <x v="0"/>
    <x v="0"/>
    <s v="PROPERTY"/>
    <s v="CURRENT_CONSTRUCTION_PCT"/>
    <x v="0"/>
    <s v="1. Concluído"/>
    <m/>
    <m/>
    <m/>
    <m/>
    <s v=""/>
    <s v=""/>
    <s v=""/>
    <m/>
    <m/>
    <m/>
    <m/>
    <m/>
    <x v="0"/>
    <m/>
  </r>
  <r>
    <x v="0"/>
    <x v="0"/>
    <x v="0"/>
    <s v="PROPERTY"/>
    <s v="CONSTRUCTION_COMPLETED_PCT"/>
    <x v="0"/>
    <s v="1. Concluído"/>
    <m/>
    <m/>
    <m/>
    <m/>
    <s v=""/>
    <s v=""/>
    <s v=""/>
    <m/>
    <m/>
    <m/>
    <m/>
    <m/>
    <x v="0"/>
    <m/>
  </r>
  <r>
    <x v="0"/>
    <x v="0"/>
    <x v="0"/>
    <s v="PROPERTY"/>
    <s v="DATA_DATE_PART"/>
    <x v="0"/>
    <s v="1. Concluído"/>
    <m/>
    <m/>
    <m/>
    <m/>
    <s v=""/>
    <s v=""/>
    <s v=""/>
    <m/>
    <m/>
    <m/>
    <m/>
    <m/>
    <x v="0"/>
    <m/>
  </r>
  <r>
    <x v="0"/>
    <x v="0"/>
    <x v="0"/>
    <s v="PROPERTY"/>
    <s v="PROPERTY_CODE"/>
    <x v="0"/>
    <s v="1. Concluído"/>
    <m/>
    <m/>
    <m/>
    <m/>
    <s v=""/>
    <s v=""/>
    <s v=""/>
    <m/>
    <m/>
    <m/>
    <m/>
    <m/>
    <x v="0"/>
    <m/>
  </r>
  <r>
    <x v="0"/>
    <x v="0"/>
    <x v="0"/>
    <s v="PROPERTY"/>
    <s v="URBANIZATION"/>
    <x v="0"/>
    <s v="1. Concluído"/>
    <m/>
    <m/>
    <m/>
    <m/>
    <s v=""/>
    <s v=""/>
    <s v=""/>
    <m/>
    <m/>
    <m/>
    <m/>
    <m/>
    <x v="0"/>
    <m/>
  </r>
  <r>
    <x v="0"/>
    <x v="0"/>
    <x v="1"/>
    <s v="PROPERTY_ENERGY_CERTIFICATE"/>
    <s v="n.a."/>
    <x v="0"/>
    <s v="1. Concluído"/>
    <m/>
    <m/>
    <m/>
    <m/>
    <s v=""/>
    <s v=""/>
    <s v=""/>
    <m/>
    <m/>
    <m/>
    <m/>
    <m/>
    <x v="0"/>
    <m/>
  </r>
  <r>
    <x v="0"/>
    <x v="0"/>
    <x v="0"/>
    <s v="PROPERTY_ENERGY_CERTIFICATE"/>
    <s v="PROPERTY_BANK_ID"/>
    <x v="0"/>
    <s v="1. Concluído"/>
    <m/>
    <m/>
    <m/>
    <m/>
    <s v=""/>
    <s v=""/>
    <s v=""/>
    <m/>
    <m/>
    <m/>
    <m/>
    <m/>
    <x v="0"/>
    <m/>
  </r>
  <r>
    <x v="0"/>
    <x v="0"/>
    <x v="0"/>
    <s v="PROPERTY_ENERGY_CERTIFICATE"/>
    <s v="PROPERTY_BRANCH_CODE"/>
    <x v="0"/>
    <s v="1. Concluído"/>
    <m/>
    <m/>
    <m/>
    <m/>
    <s v=""/>
    <s v=""/>
    <s v=""/>
    <m/>
    <m/>
    <m/>
    <m/>
    <m/>
    <x v="0"/>
    <m/>
  </r>
  <r>
    <x v="0"/>
    <x v="0"/>
    <x v="0"/>
    <s v="PROPERTY_ENERGY_CERTIFICATE"/>
    <s v="PROPERTY_CONTRACT_ID"/>
    <x v="0"/>
    <s v="1. Concluído"/>
    <m/>
    <m/>
    <m/>
    <m/>
    <s v=""/>
    <s v=""/>
    <s v=""/>
    <m/>
    <m/>
    <m/>
    <m/>
    <m/>
    <x v="0"/>
    <m/>
  </r>
  <r>
    <x v="0"/>
    <x v="0"/>
    <x v="0"/>
    <s v="PROPERTY_ENERGY_CERTIFICATE"/>
    <s v="PROPERTY_REFERENCE_CODE"/>
    <x v="0"/>
    <s v="1. Concluído"/>
    <m/>
    <m/>
    <m/>
    <m/>
    <s v=""/>
    <s v=""/>
    <s v=""/>
    <m/>
    <m/>
    <m/>
    <m/>
    <m/>
    <x v="0"/>
    <m/>
  </r>
  <r>
    <x v="0"/>
    <x v="0"/>
    <x v="0"/>
    <s v="PROPERTY_ENERGY_CERTIFICATE"/>
    <s v="LAND_REGISTRY_OFFICE_CODE"/>
    <x v="0"/>
    <s v="1. Concluído"/>
    <m/>
    <m/>
    <m/>
    <m/>
    <s v=""/>
    <s v=""/>
    <s v=""/>
    <m/>
    <m/>
    <m/>
    <m/>
    <m/>
    <x v="0"/>
    <m/>
  </r>
  <r>
    <x v="0"/>
    <x v="0"/>
    <x v="0"/>
    <s v="PROPERTY_ENERGY_CERTIFICATE"/>
    <s v="PROPERTY_IDENTIFICATION_CODE"/>
    <x v="0"/>
    <s v="1. Concluído"/>
    <m/>
    <m/>
    <m/>
    <m/>
    <s v=""/>
    <s v=""/>
    <s v=""/>
    <m/>
    <m/>
    <m/>
    <m/>
    <m/>
    <x v="0"/>
    <m/>
  </r>
  <r>
    <x v="0"/>
    <x v="0"/>
    <x v="0"/>
    <s v="PROPERTY_ENERGY_CERTIFICATE"/>
    <s v="ENERGY_CERTIFICATION_SYSTEM_CODE"/>
    <x v="0"/>
    <s v="1. Concluído"/>
    <m/>
    <m/>
    <m/>
    <m/>
    <s v=""/>
    <s v=""/>
    <s v=""/>
    <m/>
    <m/>
    <m/>
    <m/>
    <m/>
    <x v="0"/>
    <m/>
  </r>
  <r>
    <x v="0"/>
    <x v="0"/>
    <x v="0"/>
    <s v="PROPERTY_ENERGY_CERTIFICATE"/>
    <s v="EPC_ISSUING_DATE"/>
    <x v="0"/>
    <s v="1. Concluído"/>
    <m/>
    <m/>
    <m/>
    <m/>
    <s v=""/>
    <s v=""/>
    <s v=""/>
    <m/>
    <m/>
    <m/>
    <m/>
    <m/>
    <x v="0"/>
    <m/>
  </r>
  <r>
    <x v="0"/>
    <x v="0"/>
    <x v="0"/>
    <s v="PROPERTY_ENERGY_CERTIFICATE"/>
    <s v="EPC_EXPIRATION_DATE"/>
    <x v="0"/>
    <s v="1. Concluído"/>
    <m/>
    <m/>
    <m/>
    <m/>
    <s v=""/>
    <s v=""/>
    <s v=""/>
    <m/>
    <m/>
    <m/>
    <m/>
    <m/>
    <x v="0"/>
    <m/>
  </r>
  <r>
    <x v="0"/>
    <x v="0"/>
    <x v="0"/>
    <s v="PROPERTY_ENERGY_CERTIFICATE"/>
    <s v="ENERGY_CONSUMPTION_TYPE_S_IND"/>
    <x v="0"/>
    <s v="1. Concluído"/>
    <m/>
    <m/>
    <m/>
    <m/>
    <s v=""/>
    <s v=""/>
    <s v=""/>
    <m/>
    <m/>
    <m/>
    <m/>
    <m/>
    <x v="0"/>
    <m/>
  </r>
  <r>
    <x v="0"/>
    <x v="0"/>
    <x v="0"/>
    <s v="PROPERTY_ENERGY_CERTIFICATE"/>
    <s v="ENERGY_CONSUMPTION_TYPE_T_IND"/>
    <x v="0"/>
    <s v="1. Concluído"/>
    <m/>
    <m/>
    <m/>
    <m/>
    <s v=""/>
    <s v=""/>
    <s v=""/>
    <m/>
    <m/>
    <m/>
    <m/>
    <m/>
    <x v="0"/>
    <m/>
  </r>
  <r>
    <x v="0"/>
    <x v="0"/>
    <x v="0"/>
    <s v="PROPERTY_ENERGY_CERTIFICATE"/>
    <s v="ENERGY_EFFICIENCY_IND"/>
    <x v="0"/>
    <s v="1. Concluído"/>
    <m/>
    <m/>
    <m/>
    <m/>
    <s v=""/>
    <s v=""/>
    <s v=""/>
    <m/>
    <m/>
    <m/>
    <m/>
    <m/>
    <x v="0"/>
    <m/>
  </r>
  <r>
    <x v="0"/>
    <x v="0"/>
    <x v="0"/>
    <s v="PROPERTY_ENERGY_CERTIFICATE"/>
    <s v="REN_ENERGY_EFFICIENCY_IND"/>
    <x v="0"/>
    <s v="1. Concluído"/>
    <m/>
    <m/>
    <m/>
    <m/>
    <s v=""/>
    <s v=""/>
    <s v=""/>
    <m/>
    <m/>
    <m/>
    <m/>
    <m/>
    <x v="0"/>
    <m/>
  </r>
  <r>
    <x v="0"/>
    <x v="0"/>
    <x v="0"/>
    <s v="PROPERTY_ENERGY_CERTIFICATE"/>
    <s v="NZEB_IND"/>
    <x v="0"/>
    <s v="1. Concluído"/>
    <m/>
    <m/>
    <m/>
    <m/>
    <s v=""/>
    <s v=""/>
    <s v=""/>
    <m/>
    <m/>
    <m/>
    <m/>
    <m/>
    <x v="0"/>
    <m/>
  </r>
  <r>
    <x v="0"/>
    <x v="0"/>
    <x v="0"/>
    <s v="PROPERTY_ENERGY_CERTIFICATE"/>
    <s v="QUALITY_SCORE"/>
    <x v="0"/>
    <s v="1. Concluído"/>
    <m/>
    <m/>
    <m/>
    <m/>
    <s v=""/>
    <s v=""/>
    <s v=""/>
    <m/>
    <m/>
    <m/>
    <m/>
    <m/>
    <x v="0"/>
    <m/>
  </r>
  <r>
    <x v="0"/>
    <x v="0"/>
    <x v="0"/>
    <s v="PROPERTY_ENERGY_CERTIFICATE"/>
    <s v="SOURCE_CODE"/>
    <x v="0"/>
    <s v="1. Concluído"/>
    <m/>
    <m/>
    <m/>
    <m/>
    <s v=""/>
    <s v=""/>
    <s v=""/>
    <m/>
    <m/>
    <m/>
    <m/>
    <m/>
    <x v="0"/>
    <m/>
  </r>
  <r>
    <x v="0"/>
    <x v="0"/>
    <x v="0"/>
    <s v="PROPERTY_ENERGY_CERTIFICATE"/>
    <s v="DATA_DATE_PART"/>
    <x v="0"/>
    <s v="1. Concluído"/>
    <m/>
    <m/>
    <m/>
    <m/>
    <s v=""/>
    <s v=""/>
    <s v=""/>
    <m/>
    <m/>
    <m/>
    <m/>
    <m/>
    <x v="0"/>
    <m/>
  </r>
  <r>
    <x v="0"/>
    <x v="0"/>
    <x v="0"/>
    <s v="PROPERTY_ENERGY_CERTIFICATE"/>
    <s v="CERTIFICATE_TYPE"/>
    <x v="0"/>
    <s v="1. Concluído"/>
    <m/>
    <m/>
    <m/>
    <m/>
    <s v=""/>
    <s v=""/>
    <s v=""/>
    <m/>
    <m/>
    <m/>
    <m/>
    <m/>
    <x v="0"/>
    <m/>
  </r>
  <r>
    <x v="0"/>
    <x v="0"/>
    <x v="0"/>
    <s v="PROPERTY_ENERGY_CERTIFICATE"/>
    <s v="BUILDING_DOMEST_HOTWATER_VALUE"/>
    <x v="0"/>
    <s v="1. Concluído"/>
    <m/>
    <m/>
    <m/>
    <m/>
    <s v=""/>
    <s v=""/>
    <s v=""/>
    <m/>
    <m/>
    <m/>
    <m/>
    <m/>
    <x v="0"/>
    <m/>
  </r>
  <r>
    <x v="0"/>
    <x v="0"/>
    <x v="0"/>
    <s v="PROPERTY_ENERGY_CERTIFICATE"/>
    <s v="RENEWABLE_DOMEST_HOTWATER_VALUE"/>
    <x v="0"/>
    <s v="1. Concluído"/>
    <m/>
    <m/>
    <m/>
    <m/>
    <s v=""/>
    <s v=""/>
    <s v=""/>
    <m/>
    <m/>
    <m/>
    <m/>
    <m/>
    <x v="0"/>
    <m/>
  </r>
  <r>
    <x v="0"/>
    <x v="0"/>
    <x v="0"/>
    <s v="PROPERTY_ENERGY_CERTIFICATE"/>
    <s v="DOMEST_HOTWATER_REF_VALUE"/>
    <x v="0"/>
    <s v="1. Concluído"/>
    <m/>
    <m/>
    <m/>
    <m/>
    <s v=""/>
    <s v=""/>
    <s v=""/>
    <m/>
    <m/>
    <m/>
    <m/>
    <m/>
    <x v="0"/>
    <m/>
  </r>
  <r>
    <x v="0"/>
    <x v="0"/>
    <x v="0"/>
    <s v="PROPERTY_ENERGY_CERTIFICATE"/>
    <s v="HEIGHT"/>
    <x v="0"/>
    <s v="1. Concluído"/>
    <m/>
    <m/>
    <m/>
    <m/>
    <s v=""/>
    <s v=""/>
    <s v=""/>
    <m/>
    <m/>
    <m/>
    <m/>
    <m/>
    <x v="0"/>
    <m/>
  </r>
  <r>
    <x v="0"/>
    <x v="0"/>
    <x v="0"/>
    <s v="PROPERTY_ENERGY_CERTIFICATE"/>
    <s v="BUILDING_SPACE_HEATING_VALUE"/>
    <x v="0"/>
    <s v="1. Concluído"/>
    <m/>
    <m/>
    <m/>
    <m/>
    <s v=""/>
    <s v=""/>
    <s v=""/>
    <m/>
    <m/>
    <m/>
    <m/>
    <m/>
    <x v="0"/>
    <m/>
  </r>
  <r>
    <x v="0"/>
    <x v="0"/>
    <x v="0"/>
    <s v="PROPERTY_ENERGY_CERTIFICATE"/>
    <s v="SPACE_HEATING_REF_VALUE"/>
    <x v="0"/>
    <s v="1. Concluído"/>
    <m/>
    <m/>
    <m/>
    <m/>
    <s v=""/>
    <s v=""/>
    <s v=""/>
    <m/>
    <m/>
    <m/>
    <m/>
    <m/>
    <x v="0"/>
    <m/>
  </r>
  <r>
    <x v="0"/>
    <x v="0"/>
    <x v="0"/>
    <s v="PROPERTY_ENERGY_CERTIFICATE"/>
    <s v="RENEWABLE_SPACE_HEATING_VALUE"/>
    <x v="0"/>
    <s v="1. Concluído"/>
    <m/>
    <m/>
    <m/>
    <m/>
    <s v=""/>
    <s v=""/>
    <s v=""/>
    <m/>
    <m/>
    <m/>
    <m/>
    <m/>
    <x v="0"/>
    <m/>
  </r>
  <r>
    <x v="0"/>
    <x v="0"/>
    <x v="0"/>
    <s v="PROPERTY_ENERGY_CERTIFICATE"/>
    <s v="BUILDING_SPACE_COOLING_VALUE"/>
    <x v="0"/>
    <s v="1. Concluído"/>
    <m/>
    <m/>
    <m/>
    <m/>
    <s v=""/>
    <s v=""/>
    <s v=""/>
    <m/>
    <m/>
    <m/>
    <m/>
    <m/>
    <x v="0"/>
    <m/>
  </r>
  <r>
    <x v="0"/>
    <x v="0"/>
    <x v="0"/>
    <s v="PROPERTY_ENERGY_CERTIFICATE"/>
    <s v="RENEWABLE_SPACE_COOLING_VALUE"/>
    <x v="0"/>
    <s v="1. Concluído"/>
    <m/>
    <m/>
    <m/>
    <m/>
    <s v=""/>
    <s v=""/>
    <s v=""/>
    <m/>
    <m/>
    <m/>
    <m/>
    <m/>
    <x v="0"/>
    <m/>
  </r>
  <r>
    <x v="0"/>
    <x v="0"/>
    <x v="0"/>
    <s v="PROPERTY_ENERGY_CERTIFICATE"/>
    <s v="SPACE_COOLING_REF_VALUE"/>
    <x v="0"/>
    <s v="1. Concluído"/>
    <m/>
    <m/>
    <m/>
    <m/>
    <s v=""/>
    <s v=""/>
    <s v=""/>
    <m/>
    <m/>
    <m/>
    <m/>
    <m/>
    <x v="0"/>
    <m/>
  </r>
  <r>
    <x v="0"/>
    <x v="0"/>
    <x v="0"/>
    <s v="PROPERTY_ENERGY_CERTIFICATE"/>
    <s v="ENERGY_CLASS_AFTER_MEASUREMENT"/>
    <x v="0"/>
    <s v="1. Concluído"/>
    <m/>
    <m/>
    <m/>
    <m/>
    <s v=""/>
    <s v=""/>
    <s v=""/>
    <m/>
    <m/>
    <m/>
    <m/>
    <m/>
    <x v="0"/>
    <m/>
  </r>
  <r>
    <x v="0"/>
    <x v="0"/>
    <x v="0"/>
    <s v="PROPERTY_ENERGY_CERTIFICATE"/>
    <s v="THERMAL_BEHAVIOUR_ROOF"/>
    <x v="0"/>
    <s v="1. Concluído"/>
    <m/>
    <m/>
    <m/>
    <m/>
    <s v=""/>
    <s v=""/>
    <s v=""/>
    <m/>
    <m/>
    <m/>
    <m/>
    <m/>
    <x v="0"/>
    <m/>
  </r>
  <r>
    <x v="0"/>
    <x v="0"/>
    <x v="0"/>
    <s v="PROPERTY_ENERGY_CERTIFICATE"/>
    <s v="THERMAL_BEHAVIOUR_WINDOWS"/>
    <x v="0"/>
    <s v="1. Concluído"/>
    <m/>
    <m/>
    <m/>
    <m/>
    <s v=""/>
    <s v=""/>
    <s v=""/>
    <m/>
    <m/>
    <m/>
    <m/>
    <m/>
    <x v="0"/>
    <m/>
  </r>
  <r>
    <x v="0"/>
    <x v="0"/>
    <x v="0"/>
    <s v="PROPERTY_ENERGY_CERTIFICATE"/>
    <s v="THERMAL_BEHAVIOUR_WALL"/>
    <x v="0"/>
    <s v="1. Concluído"/>
    <m/>
    <m/>
    <m/>
    <m/>
    <s v=""/>
    <s v=""/>
    <s v=""/>
    <m/>
    <m/>
    <m/>
    <m/>
    <m/>
    <x v="0"/>
    <m/>
  </r>
  <r>
    <x v="0"/>
    <x v="0"/>
    <x v="0"/>
    <s v="PROPERTY_ENERGY_CERTIFICATE"/>
    <s v="THERMAL_BEHAVIOUR_FLOORS"/>
    <x v="0"/>
    <s v="1. Concluído"/>
    <m/>
    <m/>
    <m/>
    <m/>
    <s v=""/>
    <s v=""/>
    <s v=""/>
    <m/>
    <m/>
    <m/>
    <m/>
    <m/>
    <x v="0"/>
    <m/>
  </r>
  <r>
    <x v="0"/>
    <x v="0"/>
    <x v="0"/>
    <s v="PROPERTY_ENERGY_CERTIFICATE"/>
    <s v="THERMAL_BEHAVIOUR_TECH_SYS_VENT"/>
    <x v="0"/>
    <s v="1. Concluído"/>
    <m/>
    <m/>
    <m/>
    <m/>
    <s v=""/>
    <s v=""/>
    <s v=""/>
    <m/>
    <m/>
    <m/>
    <m/>
    <m/>
    <x v="0"/>
    <m/>
  </r>
  <r>
    <x v="0"/>
    <x v="0"/>
    <x v="0"/>
    <s v="PROPERTY_ENERGY_CERTIFICATE"/>
    <s v="TOTAL_INVSTMNT_ESTMTD_VALUE"/>
    <x v="0"/>
    <s v="1. Concluído"/>
    <m/>
    <m/>
    <m/>
    <m/>
    <s v=""/>
    <s v=""/>
    <s v=""/>
    <m/>
    <m/>
    <m/>
    <m/>
    <m/>
    <x v="0"/>
    <m/>
  </r>
  <r>
    <x v="0"/>
    <x v="0"/>
    <x v="0"/>
    <s v="PROPERTY_ENERGY_CERTIFICATE"/>
    <s v="DURATION_SUMMER"/>
    <x v="0"/>
    <s v="1. Concluído"/>
    <m/>
    <m/>
    <m/>
    <m/>
    <s v=""/>
    <s v=""/>
    <s v=""/>
    <m/>
    <m/>
    <m/>
    <m/>
    <m/>
    <x v="0"/>
    <m/>
  </r>
  <r>
    <x v="0"/>
    <x v="0"/>
    <x v="0"/>
    <s v="PROPERTY_ENERGY_CERTIFICATE"/>
    <s v="DURATION_WINTER"/>
    <x v="0"/>
    <s v="1. Concluído"/>
    <m/>
    <m/>
    <m/>
    <m/>
    <s v=""/>
    <s v=""/>
    <s v=""/>
    <m/>
    <m/>
    <m/>
    <m/>
    <m/>
    <x v="0"/>
    <m/>
  </r>
  <r>
    <x v="0"/>
    <x v="0"/>
    <x v="0"/>
    <s v="PROPERTY_ENERGY_CERTIFICATE"/>
    <s v="CARBON_EMISSION_VALUE"/>
    <x v="0"/>
    <s v="1. Concluído"/>
    <m/>
    <m/>
    <m/>
    <m/>
    <s v=""/>
    <s v=""/>
    <s v=""/>
    <m/>
    <m/>
    <m/>
    <m/>
    <m/>
    <x v="0"/>
    <m/>
  </r>
  <r>
    <x v="0"/>
    <x v="0"/>
    <x v="0"/>
    <s v="PROPERTY_ENERGY_CERTIFICATE"/>
    <s v="USEFUL_ENERGY_FANS_REQ_VALUE"/>
    <x v="0"/>
    <s v="1. Concluído"/>
    <m/>
    <m/>
    <m/>
    <m/>
    <s v=""/>
    <s v=""/>
    <s v=""/>
    <m/>
    <m/>
    <m/>
    <m/>
    <m/>
    <x v="0"/>
    <m/>
  </r>
  <r>
    <x v="0"/>
    <x v="0"/>
    <x v="0"/>
    <s v="PROPERTY_ENERGY_CERTIFICATE"/>
    <s v="REN_ENERGY_PRODUCED_OTHER_VALUE"/>
    <x v="0"/>
    <s v="1. Concluído"/>
    <m/>
    <m/>
    <m/>
    <m/>
    <s v=""/>
    <s v=""/>
    <s v=""/>
    <m/>
    <m/>
    <m/>
    <m/>
    <m/>
    <x v="0"/>
    <m/>
  </r>
  <r>
    <x v="0"/>
    <x v="0"/>
    <x v="0"/>
    <s v="PROPERTY_ENERGY_CERTIFICATE"/>
    <s v="REN_ENERGY_PRODUCED_REG_VALUE"/>
    <x v="0"/>
    <s v="1. Concluído"/>
    <m/>
    <m/>
    <m/>
    <m/>
    <s v=""/>
    <s v=""/>
    <s v=""/>
    <m/>
    <m/>
    <m/>
    <m/>
    <m/>
    <x v="0"/>
    <m/>
  </r>
  <r>
    <x v="0"/>
    <x v="0"/>
    <x v="0"/>
    <s v="PROPERTY_ENERGY_CERTIFICATE"/>
    <s v="REN_ENERGY_PRODUCED_VALUE"/>
    <x v="0"/>
    <s v="1. Concluído"/>
    <m/>
    <m/>
    <m/>
    <m/>
    <s v=""/>
    <s v=""/>
    <s v=""/>
    <m/>
    <m/>
    <m/>
    <m/>
    <m/>
    <x v="0"/>
    <m/>
  </r>
  <r>
    <x v="0"/>
    <x v="0"/>
    <x v="0"/>
    <s v="PROPERTY_ENERGY_CERTIFICATE"/>
    <s v="USEFUL_ENERGY_DOM_HOTWATER_VALUE"/>
    <x v="0"/>
    <s v="1. Concluído"/>
    <m/>
    <m/>
    <m/>
    <m/>
    <s v=""/>
    <s v=""/>
    <s v=""/>
    <m/>
    <m/>
    <m/>
    <m/>
    <m/>
    <x v="0"/>
    <m/>
  </r>
  <r>
    <x v="0"/>
    <x v="0"/>
    <x v="0"/>
    <s v="PROPERTY_ENERGY_CERTIFICATE"/>
    <s v="USEFUL_ENERGY_COOLING_VALUE"/>
    <x v="0"/>
    <s v="1. Concluído"/>
    <m/>
    <m/>
    <m/>
    <m/>
    <s v=""/>
    <s v=""/>
    <s v=""/>
    <m/>
    <m/>
    <m/>
    <m/>
    <m/>
    <x v="0"/>
    <m/>
  </r>
  <r>
    <x v="0"/>
    <x v="0"/>
    <x v="0"/>
    <s v="PROPERTY_ENERGY_CERTIFICATE"/>
    <s v="TEMPERATURE_DAY_VALUE"/>
    <x v="0"/>
    <s v="1. Concluído"/>
    <m/>
    <m/>
    <m/>
    <m/>
    <s v=""/>
    <s v=""/>
    <s v=""/>
    <m/>
    <m/>
    <m/>
    <m/>
    <m/>
    <x v="0"/>
    <m/>
  </r>
  <r>
    <x v="0"/>
    <x v="0"/>
    <x v="0"/>
    <s v="PROPERTY_ENERGY_CERTIFICATE"/>
    <s v="PRIMARY_ENERGY_REQ_VALUE"/>
    <x v="0"/>
    <s v="1. Concluído"/>
    <m/>
    <m/>
    <m/>
    <m/>
    <s v=""/>
    <s v=""/>
    <s v=""/>
    <m/>
    <m/>
    <m/>
    <m/>
    <m/>
    <x v="0"/>
    <m/>
  </r>
  <r>
    <x v="0"/>
    <x v="0"/>
    <x v="0"/>
    <s v="PROPERTY_ENERGY_CERTIFICATE"/>
    <s v="USEFUL_ENERGY_HEATING_REQ_VALUE"/>
    <x v="0"/>
    <s v="1. Concluído"/>
    <m/>
    <m/>
    <m/>
    <m/>
    <s v=""/>
    <s v=""/>
    <s v=""/>
    <m/>
    <m/>
    <m/>
    <m/>
    <m/>
    <x v="0"/>
    <m/>
  </r>
  <r>
    <x v="0"/>
    <x v="0"/>
    <x v="0"/>
    <s v="PROPERTY_ENERGY_CERTIFICATE"/>
    <s v="PNL_WINTER_WALLS_DOORS_VALUE"/>
    <x v="0"/>
    <s v="1. Concluído"/>
    <m/>
    <m/>
    <m/>
    <m/>
    <s v=""/>
    <s v=""/>
    <s v=""/>
    <m/>
    <m/>
    <m/>
    <m/>
    <m/>
    <x v="0"/>
    <m/>
  </r>
  <r>
    <x v="0"/>
    <x v="0"/>
    <x v="0"/>
    <s v="PROPERTY_ENERGY_CERTIFICATE"/>
    <s v="PNL_WINTER_FLOORS_VALUE"/>
    <x v="0"/>
    <s v="1. Concluído"/>
    <m/>
    <m/>
    <m/>
    <m/>
    <s v=""/>
    <s v=""/>
    <s v=""/>
    <m/>
    <m/>
    <m/>
    <m/>
    <m/>
    <x v="0"/>
    <m/>
  </r>
  <r>
    <x v="0"/>
    <x v="0"/>
    <x v="0"/>
    <s v="PROPERTY_ENERGY_CERTIFICATE"/>
    <s v="PNL_WINTER_ROOF_VALUE"/>
    <x v="0"/>
    <s v="1. Concluído"/>
    <m/>
    <m/>
    <m/>
    <m/>
    <s v=""/>
    <s v=""/>
    <s v=""/>
    <m/>
    <m/>
    <m/>
    <m/>
    <m/>
    <x v="0"/>
    <m/>
  </r>
  <r>
    <x v="0"/>
    <x v="0"/>
    <x v="0"/>
    <s v="PROPERTY_ENERGY_CERTIFICATE"/>
    <s v="PNL_WINTER_WINDOWS_VALUE"/>
    <x v="0"/>
    <s v="1. Concluído"/>
    <m/>
    <m/>
    <m/>
    <m/>
    <s v=""/>
    <s v=""/>
    <s v=""/>
    <m/>
    <m/>
    <m/>
    <m/>
    <m/>
    <x v="0"/>
    <m/>
  </r>
  <r>
    <x v="0"/>
    <x v="0"/>
    <x v="0"/>
    <s v="PROPERTY_ENERGY_CERTIFICATE"/>
    <s v="PNL_WINTER_REF_VALUE"/>
    <x v="0"/>
    <s v="1. Concluído"/>
    <m/>
    <m/>
    <m/>
    <m/>
    <s v=""/>
    <s v=""/>
    <s v=""/>
    <m/>
    <m/>
    <m/>
    <m/>
    <m/>
    <x v="0"/>
    <m/>
  </r>
  <r>
    <x v="0"/>
    <x v="0"/>
    <x v="0"/>
    <s v="PROPERTY_ENERGY_CERTIFICATE"/>
    <s v="PNL_WINTER_FANS_VALUE"/>
    <x v="0"/>
    <s v="1. Concluído"/>
    <m/>
    <m/>
    <m/>
    <m/>
    <s v=""/>
    <s v=""/>
    <s v=""/>
    <m/>
    <m/>
    <m/>
    <m/>
    <m/>
    <x v="0"/>
    <m/>
  </r>
  <r>
    <x v="0"/>
    <x v="0"/>
    <x v="0"/>
    <s v="PROPERTY_ENERGY_CERTIFICATE"/>
    <s v="PNL_SUMMER_ROOF_VALUE"/>
    <x v="0"/>
    <s v="1. Concluído"/>
    <m/>
    <m/>
    <m/>
    <m/>
    <s v=""/>
    <s v=""/>
    <s v=""/>
    <m/>
    <m/>
    <m/>
    <m/>
    <m/>
    <x v="0"/>
    <m/>
  </r>
  <r>
    <x v="0"/>
    <x v="0"/>
    <x v="0"/>
    <s v="PROPERTY_ENERGY_CERTIFICATE"/>
    <s v="PNL_SUMMER_WINDOWS_VALUE"/>
    <x v="0"/>
    <s v="1. Concluído"/>
    <m/>
    <m/>
    <m/>
    <m/>
    <s v=""/>
    <s v=""/>
    <s v=""/>
    <m/>
    <m/>
    <m/>
    <m/>
    <m/>
    <x v="0"/>
    <m/>
  </r>
  <r>
    <x v="0"/>
    <x v="0"/>
    <x v="0"/>
    <s v="PROPERTY_ENERGY_CERTIFICATE"/>
    <s v="PNL_SUMMER_WALLS_DOORS_VALUE"/>
    <x v="0"/>
    <s v="1. Concluído"/>
    <m/>
    <m/>
    <m/>
    <m/>
    <s v=""/>
    <s v=""/>
    <s v=""/>
    <m/>
    <m/>
    <m/>
    <m/>
    <m/>
    <x v="0"/>
    <m/>
  </r>
  <r>
    <x v="0"/>
    <x v="0"/>
    <x v="0"/>
    <s v="PROPERTY_ENERGY_CERTIFICATE"/>
    <s v="PNL_SUMMER_REF_VALUE"/>
    <x v="0"/>
    <s v="1. Concluído"/>
    <m/>
    <m/>
    <m/>
    <m/>
    <s v=""/>
    <s v=""/>
    <s v=""/>
    <m/>
    <m/>
    <m/>
    <m/>
    <m/>
    <x v="0"/>
    <m/>
  </r>
  <r>
    <x v="0"/>
    <x v="0"/>
    <x v="0"/>
    <s v="PROPERTY_ENERGY_CERTIFICATE"/>
    <s v="INVOICE_RED_ANNUAL_ESTMTD_VALUE"/>
    <x v="0"/>
    <s v="1. Concluído"/>
    <m/>
    <m/>
    <m/>
    <m/>
    <s v=""/>
    <s v=""/>
    <s v=""/>
    <m/>
    <m/>
    <m/>
    <m/>
    <m/>
    <x v="0"/>
    <m/>
  </r>
  <r>
    <x v="0"/>
    <x v="0"/>
    <x v="0"/>
    <s v="PROPERTY_ENERGY_CERTIFICATE"/>
    <s v="TEMPERATURE_OUTDOOR_AVG_VALUE"/>
    <x v="0"/>
    <s v="1. Concluído"/>
    <m/>
    <m/>
    <m/>
    <m/>
    <s v=""/>
    <s v=""/>
    <s v=""/>
    <m/>
    <m/>
    <m/>
    <m/>
    <m/>
    <x v="0"/>
    <m/>
  </r>
  <r>
    <x v="0"/>
    <x v="0"/>
    <x v="0"/>
    <s v="PROPERTY_ENERGY_CERTIFICATE"/>
    <s v="CLIMATE_ZONE_WINTER"/>
    <x v="0"/>
    <s v="1. Concluído"/>
    <m/>
    <m/>
    <m/>
    <m/>
    <s v=""/>
    <s v=""/>
    <s v=""/>
    <m/>
    <m/>
    <m/>
    <m/>
    <m/>
    <x v="0"/>
    <m/>
  </r>
  <r>
    <x v="0"/>
    <x v="0"/>
    <x v="0"/>
    <s v="PROPERTY_ENERGY_CERTIFICATE"/>
    <s v="NET_FLOOR_AREA"/>
    <x v="0"/>
    <s v="1. Concluído"/>
    <m/>
    <m/>
    <m/>
    <m/>
    <s v=""/>
    <s v=""/>
    <s v=""/>
    <m/>
    <m/>
    <m/>
    <m/>
    <m/>
    <x v="0"/>
    <m/>
  </r>
  <r>
    <x v="0"/>
    <x v="0"/>
    <x v="0"/>
    <s v="PROPERTY_ENERGY_CERTIFICATE"/>
    <s v="CADASTRAL_REGISTER_CODE"/>
    <x v="0"/>
    <s v="1. Concluído"/>
    <m/>
    <m/>
    <m/>
    <m/>
    <s v=""/>
    <s v=""/>
    <s v=""/>
    <m/>
    <m/>
    <m/>
    <m/>
    <m/>
    <x v="0"/>
    <m/>
  </r>
  <r>
    <x v="0"/>
    <x v="0"/>
    <x v="0"/>
    <s v="PROPERTY_ENERGY_CERTIFICATE"/>
    <s v="DISTRICT_MUNICIP_PARISH_CODE"/>
    <x v="0"/>
    <s v="1. Concluído"/>
    <m/>
    <m/>
    <m/>
    <m/>
    <s v=""/>
    <s v=""/>
    <s v=""/>
    <m/>
    <m/>
    <m/>
    <m/>
    <m/>
    <x v="0"/>
    <m/>
  </r>
  <r>
    <x v="0"/>
    <x v="0"/>
    <x v="0"/>
    <s v="PROPERTY_ENERGY_CERTIFICATE"/>
    <s v="PROPERTY_PURPOSE_CODE"/>
    <x v="0"/>
    <s v="1. Concluído"/>
    <m/>
    <m/>
    <m/>
    <m/>
    <s v=""/>
    <s v=""/>
    <s v=""/>
    <m/>
    <m/>
    <m/>
    <m/>
    <m/>
    <x v="0"/>
    <m/>
  </r>
  <r>
    <x v="0"/>
    <x v="0"/>
    <x v="0"/>
    <s v="PROPERTY_ENERGY_CERTIFICATE"/>
    <s v="ADDRESS_CODE"/>
    <x v="0"/>
    <s v="1. Concluído"/>
    <m/>
    <m/>
    <m/>
    <m/>
    <s v=""/>
    <s v=""/>
    <s v=""/>
    <m/>
    <m/>
    <m/>
    <m/>
    <m/>
    <x v="0"/>
    <m/>
  </r>
  <r>
    <x v="0"/>
    <x v="0"/>
    <x v="0"/>
    <s v="PROPERTY_ENERGY_CERTIFICATE"/>
    <s v="FLOOR_NUMBER"/>
    <x v="0"/>
    <s v="1. Concluído"/>
    <m/>
    <m/>
    <m/>
    <m/>
    <s v=""/>
    <s v=""/>
    <s v=""/>
    <m/>
    <m/>
    <m/>
    <m/>
    <m/>
    <x v="0"/>
    <m/>
  </r>
  <r>
    <x v="0"/>
    <x v="0"/>
    <x v="0"/>
    <s v="PROPERTY_ENERGY_CERTIFICATE"/>
    <s v="LOCALITY"/>
    <x v="0"/>
    <s v="1. Concluído"/>
    <m/>
    <m/>
    <m/>
    <m/>
    <s v=""/>
    <s v=""/>
    <s v=""/>
    <m/>
    <m/>
    <m/>
    <m/>
    <m/>
    <x v="0"/>
    <m/>
  </r>
  <r>
    <x v="0"/>
    <x v="0"/>
    <x v="0"/>
    <s v="PROPERTY_ENERGY_CERTIFICATE"/>
    <s v="CLIMATE_ZONE_SUMMER"/>
    <x v="0"/>
    <s v="1. Concluído"/>
    <m/>
    <m/>
    <m/>
    <m/>
    <s v=""/>
    <s v=""/>
    <s v=""/>
    <m/>
    <m/>
    <m/>
    <m/>
    <m/>
    <x v="0"/>
    <m/>
  </r>
  <r>
    <x v="0"/>
    <x v="0"/>
    <x v="0"/>
    <s v="PROPERTY_ENERGY_CERTIFICATE"/>
    <s v="GPS_LATITUDE"/>
    <x v="0"/>
    <s v="1. Concluído"/>
    <m/>
    <m/>
    <m/>
    <m/>
    <s v=""/>
    <s v=""/>
    <s v=""/>
    <m/>
    <m/>
    <m/>
    <m/>
    <m/>
    <x v="0"/>
    <m/>
  </r>
  <r>
    <x v="0"/>
    <x v="0"/>
    <x v="0"/>
    <s v="PROPERTY_ENERGY_CERTIFICATE"/>
    <s v="GPS_LONGITUDE"/>
    <x v="0"/>
    <s v="1. Concluído"/>
    <m/>
    <m/>
    <m/>
    <m/>
    <s v=""/>
    <s v=""/>
    <s v=""/>
    <m/>
    <m/>
    <m/>
    <m/>
    <m/>
    <x v="0"/>
    <m/>
  </r>
  <r>
    <x v="0"/>
    <x v="4"/>
    <x v="0"/>
    <s v="modesg_param_sfics_taxon_europeia"/>
    <s v="ordem"/>
    <x v="5"/>
    <s v="0. Cancelado"/>
    <m/>
    <m/>
    <m/>
    <m/>
    <m/>
    <m/>
    <m/>
    <m/>
    <m/>
    <m/>
    <m/>
    <m/>
    <x v="0"/>
    <m/>
  </r>
  <r>
    <x v="0"/>
    <x v="4"/>
    <x v="0"/>
    <s v="modesg_param_sfics_taxon_europeia"/>
    <s v="nome_purpose_esg"/>
    <x v="5"/>
    <s v="0. Cancelado"/>
    <m/>
    <m/>
    <m/>
    <m/>
    <m/>
    <m/>
    <m/>
    <m/>
    <m/>
    <m/>
    <m/>
    <m/>
    <x v="0"/>
    <m/>
  </r>
  <r>
    <x v="0"/>
    <x v="4"/>
    <x v="0"/>
    <s v="modesg_param_sfics_taxon_europeia"/>
    <s v="dominio"/>
    <x v="5"/>
    <s v="0. Cancelado"/>
    <m/>
    <m/>
    <m/>
    <m/>
    <m/>
    <m/>
    <m/>
    <m/>
    <m/>
    <m/>
    <m/>
    <m/>
    <x v="0"/>
    <m/>
  </r>
  <r>
    <x v="0"/>
    <x v="4"/>
    <x v="1"/>
    <s v="modesg_inp_emss_vcls"/>
    <s v="n.a."/>
    <x v="0"/>
    <s v="1. Concluído"/>
    <m/>
    <m/>
    <m/>
    <m/>
    <s v=""/>
    <s v=""/>
    <s v=""/>
    <m/>
    <m/>
    <m/>
    <m/>
    <m/>
    <x v="0"/>
    <m/>
  </r>
  <r>
    <x v="0"/>
    <x v="4"/>
    <x v="1"/>
    <s v="modesg_inp_km_medios_emss_vcls"/>
    <s v="n.a."/>
    <x v="0"/>
    <s v="1. Concluído"/>
    <m/>
    <m/>
    <m/>
    <m/>
    <s v=""/>
    <s v=""/>
    <s v=""/>
    <m/>
    <m/>
    <m/>
    <m/>
    <m/>
    <x v="0"/>
    <m/>
  </r>
  <r>
    <x v="0"/>
    <x v="4"/>
    <x v="1"/>
    <s v="modesg_inp_empr_excl_paris"/>
    <s v="n.a."/>
    <x v="0"/>
    <s v="1. Concluído"/>
    <m/>
    <m/>
    <m/>
    <m/>
    <s v=""/>
    <s v=""/>
    <s v=""/>
    <m/>
    <m/>
    <m/>
    <m/>
    <m/>
    <x v="0"/>
    <m/>
  </r>
  <r>
    <x v="0"/>
    <x v="4"/>
    <x v="1"/>
    <s v="modesg_inp_nfrd_alinhamento_tax"/>
    <s v="n.a."/>
    <x v="0"/>
    <s v="1. Concluído"/>
    <m/>
    <m/>
    <m/>
    <m/>
    <s v=""/>
    <s v=""/>
    <s v=""/>
    <m/>
    <m/>
    <m/>
    <m/>
    <m/>
    <x v="0"/>
    <m/>
  </r>
  <r>
    <x v="0"/>
    <x v="4"/>
    <x v="1"/>
    <s v="modesg_inp_risco_fisico"/>
    <s v="n.a."/>
    <x v="0"/>
    <s v="1. Concluído"/>
    <m/>
    <m/>
    <m/>
    <m/>
    <s v=""/>
    <s v=""/>
    <s v=""/>
    <m/>
    <m/>
    <m/>
    <m/>
    <m/>
    <x v="0"/>
    <m/>
  </r>
  <r>
    <x v="0"/>
    <x v="4"/>
    <x v="1"/>
    <s v="modesg_inp_emss_scib"/>
    <s v="n.a."/>
    <x v="0"/>
    <s v="1. Concluído"/>
    <m/>
    <m/>
    <m/>
    <m/>
    <s v=""/>
    <s v=""/>
    <s v=""/>
    <m/>
    <m/>
    <m/>
    <m/>
    <m/>
    <x v="0"/>
    <m/>
  </r>
  <r>
    <x v="0"/>
    <x v="4"/>
    <x v="1"/>
    <s v="modesg_inp_emss_nace"/>
    <s v="n.a."/>
    <x v="0"/>
    <s v="1. Concluído"/>
    <m/>
    <m/>
    <m/>
    <s v="Package X"/>
    <s v=""/>
    <s v=""/>
    <s v=""/>
    <m/>
    <m/>
    <m/>
    <m/>
    <m/>
    <x v="0"/>
    <m/>
  </r>
  <r>
    <x v="0"/>
    <x v="4"/>
    <x v="1"/>
    <s v="modesg_inp_emss_bens_imoveis"/>
    <s v="n.a."/>
    <x v="0"/>
    <s v="1. Concluído"/>
    <m/>
    <m/>
    <m/>
    <m/>
    <s v=""/>
    <s v=""/>
    <s v=""/>
    <m/>
    <m/>
    <m/>
    <m/>
    <m/>
    <x v="0"/>
    <m/>
  </r>
  <r>
    <x v="0"/>
    <x v="4"/>
    <x v="0"/>
    <s v="modesg_inp_emss_vcls"/>
    <s v="ref_date"/>
    <x v="0"/>
    <s v="1. Concluído"/>
    <m/>
    <m/>
    <m/>
    <m/>
    <s v=""/>
    <s v=""/>
    <s v=""/>
    <m/>
    <m/>
    <m/>
    <m/>
    <m/>
    <x v="0"/>
    <m/>
  </r>
  <r>
    <x v="0"/>
    <x v="4"/>
    <x v="0"/>
    <s v="modesg_inp_emss_vcls"/>
    <s v="nome_regiao"/>
    <x v="0"/>
    <s v="1. Concluído"/>
    <m/>
    <m/>
    <m/>
    <m/>
    <s v=""/>
    <s v=""/>
    <s v=""/>
    <m/>
    <m/>
    <m/>
    <m/>
    <m/>
    <x v="0"/>
    <m/>
  </r>
  <r>
    <x v="0"/>
    <x v="4"/>
    <x v="0"/>
    <s v="modesg_inp_emss_vcls"/>
    <s v="nome_pais"/>
    <x v="0"/>
    <s v="1. Concluído"/>
    <m/>
    <m/>
    <m/>
    <m/>
    <s v=""/>
    <s v=""/>
    <s v=""/>
    <m/>
    <m/>
    <m/>
    <m/>
    <m/>
    <x v="0"/>
    <m/>
  </r>
  <r>
    <x v="0"/>
    <x v="4"/>
    <x v="0"/>
    <s v="modesg_inp_emss_vcls"/>
    <s v="nome_estado"/>
    <x v="0"/>
    <s v="1. Concluído"/>
    <m/>
    <m/>
    <m/>
    <m/>
    <s v=""/>
    <s v=""/>
    <s v=""/>
    <m/>
    <m/>
    <m/>
    <m/>
    <m/>
    <x v="0"/>
    <m/>
  </r>
  <r>
    <x v="0"/>
    <x v="4"/>
    <x v="0"/>
    <s v="modesg_inp_emss_vcls"/>
    <s v="tipo_veiculo"/>
    <x v="0"/>
    <s v="1. Concluído"/>
    <m/>
    <m/>
    <m/>
    <m/>
    <s v=""/>
    <s v=""/>
    <s v=""/>
    <m/>
    <m/>
    <m/>
    <m/>
    <m/>
    <x v="0"/>
    <m/>
  </r>
  <r>
    <x v="0"/>
    <x v="4"/>
    <x v="0"/>
    <s v="modesg_inp_emss_vcls"/>
    <s v="tipo_motor"/>
    <x v="0"/>
    <s v="1. Concluído"/>
    <m/>
    <m/>
    <m/>
    <m/>
    <s v=""/>
    <s v=""/>
    <s v=""/>
    <m/>
    <m/>
    <m/>
    <m/>
    <m/>
    <x v="0"/>
    <m/>
  </r>
  <r>
    <x v="0"/>
    <x v="4"/>
    <x v="0"/>
    <s v="modesg_inp_emss_vcls"/>
    <s v="marca"/>
    <x v="0"/>
    <s v="1. Concluído"/>
    <m/>
    <m/>
    <m/>
    <m/>
    <s v=""/>
    <s v=""/>
    <s v=""/>
    <m/>
    <m/>
    <m/>
    <m/>
    <m/>
    <x v="0"/>
    <m/>
  </r>
  <r>
    <x v="0"/>
    <x v="4"/>
    <x v="0"/>
    <s v="modesg_inp_emss_vcls"/>
    <s v="modelo"/>
    <x v="0"/>
    <s v="1. Concluído"/>
    <m/>
    <m/>
    <m/>
    <m/>
    <s v=""/>
    <s v=""/>
    <s v=""/>
    <m/>
    <m/>
    <m/>
    <m/>
    <m/>
    <x v="0"/>
    <m/>
  </r>
  <r>
    <x v="0"/>
    <x v="4"/>
    <x v="0"/>
    <s v="modesg_inp_emss_vcls"/>
    <s v="subgrupo"/>
    <x v="0"/>
    <s v="1. Concluído"/>
    <m/>
    <m/>
    <m/>
    <m/>
    <s v=""/>
    <s v=""/>
    <s v=""/>
    <m/>
    <m/>
    <m/>
    <m/>
    <m/>
    <x v="0"/>
    <m/>
  </r>
  <r>
    <x v="0"/>
    <x v="4"/>
    <x v="0"/>
    <s v="modesg_inp_emss_vcls"/>
    <s v="nome_unidade_funcional"/>
    <x v="0"/>
    <s v="1. Concluído"/>
    <m/>
    <m/>
    <m/>
    <m/>
    <s v=""/>
    <s v=""/>
    <s v=""/>
    <m/>
    <m/>
    <m/>
    <m/>
    <m/>
    <x v="0"/>
    <m/>
  </r>
  <r>
    <x v="0"/>
    <x v="4"/>
    <x v="0"/>
    <s v="modesg_inp_emss_vcls"/>
    <s v="unidade_funcional"/>
    <x v="0"/>
    <s v="1. Concluído"/>
    <m/>
    <m/>
    <m/>
    <m/>
    <s v=""/>
    <s v=""/>
    <s v=""/>
    <m/>
    <m/>
    <m/>
    <m/>
    <m/>
    <x v="0"/>
    <m/>
  </r>
  <r>
    <x v="0"/>
    <x v="4"/>
    <x v="0"/>
    <s v="modesg_inp_emss_vcls"/>
    <s v="nome_fator_emissao"/>
    <x v="0"/>
    <s v="1. Concluído"/>
    <m/>
    <m/>
    <m/>
    <m/>
    <s v=""/>
    <s v=""/>
    <s v=""/>
    <m/>
    <m/>
    <m/>
    <m/>
    <m/>
    <x v="0"/>
    <m/>
  </r>
  <r>
    <x v="0"/>
    <x v="4"/>
    <x v="0"/>
    <s v="modesg_inp_emss_vcls"/>
    <s v="unidade_fator_de_emissao"/>
    <x v="0"/>
    <s v="1. Concluído"/>
    <m/>
    <m/>
    <m/>
    <m/>
    <s v=""/>
    <s v=""/>
    <s v=""/>
    <m/>
    <m/>
    <m/>
    <m/>
    <m/>
    <x v="0"/>
    <m/>
  </r>
  <r>
    <x v="0"/>
    <x v="4"/>
    <x v="0"/>
    <s v="modesg_inp_emss_vcls"/>
    <s v="score_qualidade"/>
    <x v="0"/>
    <s v="1. Concluído"/>
    <m/>
    <m/>
    <m/>
    <m/>
    <s v=""/>
    <s v=""/>
    <s v=""/>
    <m/>
    <m/>
    <m/>
    <m/>
    <m/>
    <x v="0"/>
    <m/>
  </r>
  <r>
    <x v="0"/>
    <x v="4"/>
    <x v="0"/>
    <s v="modesg_inp_emss_vcls"/>
    <s v="scp1_ftr_emss"/>
    <x v="0"/>
    <s v="1. Concluído"/>
    <m/>
    <m/>
    <m/>
    <m/>
    <s v=""/>
    <s v=""/>
    <s v=""/>
    <m/>
    <m/>
    <m/>
    <m/>
    <m/>
    <x v="0"/>
    <m/>
  </r>
  <r>
    <x v="0"/>
    <x v="4"/>
    <x v="0"/>
    <s v="modesg_inp_emss_vcls"/>
    <s v="scp2_ftr_emss"/>
    <x v="0"/>
    <s v="1. Concluído"/>
    <m/>
    <m/>
    <m/>
    <m/>
    <s v=""/>
    <s v=""/>
    <s v=""/>
    <m/>
    <m/>
    <m/>
    <m/>
    <m/>
    <x v="0"/>
    <m/>
  </r>
  <r>
    <x v="0"/>
    <x v="4"/>
    <x v="0"/>
    <s v="modesg_inp_emss_vcls"/>
    <s v="scp3_ftr_emss"/>
    <x v="0"/>
    <s v="1. Concluído"/>
    <m/>
    <m/>
    <m/>
    <m/>
    <s v=""/>
    <s v=""/>
    <s v=""/>
    <m/>
    <m/>
    <m/>
    <m/>
    <m/>
    <x v="0"/>
    <m/>
  </r>
  <r>
    <x v="0"/>
    <x v="4"/>
    <x v="0"/>
    <s v="modesg_inp_km_medios_emss_vcls"/>
    <s v="ref_date"/>
    <x v="0"/>
    <s v="1. Concluído"/>
    <m/>
    <m/>
    <m/>
    <m/>
    <s v=""/>
    <s v=""/>
    <s v=""/>
    <m/>
    <m/>
    <m/>
    <m/>
    <m/>
    <x v="0"/>
    <m/>
  </r>
  <r>
    <x v="0"/>
    <x v="4"/>
    <x v="0"/>
    <s v="modesg_inp_km_medios_emss_vcls"/>
    <s v="nome_pais"/>
    <x v="0"/>
    <s v="1. Concluído"/>
    <m/>
    <m/>
    <m/>
    <m/>
    <s v=""/>
    <s v=""/>
    <s v=""/>
    <m/>
    <m/>
    <m/>
    <m/>
    <m/>
    <x v="0"/>
    <m/>
  </r>
  <r>
    <x v="0"/>
    <x v="4"/>
    <x v="0"/>
    <s v="modesg_inp_km_medios_emss_vcls"/>
    <s v="tipo_vcl"/>
    <x v="0"/>
    <s v="1. Concluído"/>
    <m/>
    <m/>
    <m/>
    <m/>
    <s v=""/>
    <s v=""/>
    <s v=""/>
    <m/>
    <m/>
    <m/>
    <m/>
    <m/>
    <x v="0"/>
    <m/>
  </r>
  <r>
    <x v="0"/>
    <x v="4"/>
    <x v="0"/>
    <s v="modesg_inp_km_medios_emss_vcls"/>
    <s v="tipo_motor"/>
    <x v="0"/>
    <s v="1. Concluído"/>
    <m/>
    <m/>
    <m/>
    <m/>
    <s v=""/>
    <s v=""/>
    <s v=""/>
    <m/>
    <m/>
    <m/>
    <m/>
    <m/>
    <x v="0"/>
    <m/>
  </r>
  <r>
    <x v="0"/>
    <x v="4"/>
    <x v="0"/>
    <s v="modesg_inp_km_medios_emss_vcls"/>
    <s v="subgrupo"/>
    <x v="0"/>
    <s v="1. Concluído"/>
    <m/>
    <m/>
    <m/>
    <m/>
    <s v=""/>
    <s v=""/>
    <s v=""/>
    <m/>
    <m/>
    <m/>
    <m/>
    <m/>
    <x v="0"/>
    <m/>
  </r>
  <r>
    <x v="0"/>
    <x v="4"/>
    <x v="0"/>
    <s v="modesg_inp_km_medios_emss_vcls"/>
    <s v="media_km"/>
    <x v="0"/>
    <s v="1. Concluído"/>
    <m/>
    <m/>
    <m/>
    <m/>
    <s v=""/>
    <s v=""/>
    <s v=""/>
    <m/>
    <m/>
    <m/>
    <m/>
    <m/>
    <x v="0"/>
    <m/>
  </r>
  <r>
    <x v="0"/>
    <x v="4"/>
    <x v="0"/>
    <s v="modesg_inp_empr_excl_paris"/>
    <s v="ref_date"/>
    <x v="0"/>
    <s v="1. Concluído"/>
    <m/>
    <m/>
    <m/>
    <m/>
    <s v=""/>
    <s v=""/>
    <s v=""/>
    <m/>
    <m/>
    <m/>
    <m/>
    <m/>
    <x v="0"/>
    <m/>
  </r>
  <r>
    <x v="0"/>
    <x v="4"/>
    <x v="0"/>
    <s v="modesg_inp_empr_excl_paris"/>
    <s v="isin"/>
    <x v="0"/>
    <s v="1. Concluído"/>
    <m/>
    <m/>
    <m/>
    <m/>
    <s v=""/>
    <s v=""/>
    <s v=""/>
    <m/>
    <m/>
    <m/>
    <m/>
    <m/>
    <x v="0"/>
    <m/>
  </r>
  <r>
    <x v="0"/>
    <x v="4"/>
    <x v="0"/>
    <s v="modesg_inp_empr_excl_paris"/>
    <s v="clei"/>
    <x v="0"/>
    <s v="1. Concluído"/>
    <m/>
    <m/>
    <m/>
    <m/>
    <s v=""/>
    <s v=""/>
    <s v=""/>
    <m/>
    <m/>
    <m/>
    <m/>
    <m/>
    <x v="0"/>
    <m/>
  </r>
  <r>
    <x v="0"/>
    <x v="4"/>
    <x v="0"/>
    <s v="modesg_inp_empr_excl_paris"/>
    <s v="ccli_kgl"/>
    <x v="0"/>
    <s v="1. Concluído"/>
    <m/>
    <m/>
    <m/>
    <m/>
    <s v=""/>
    <s v=""/>
    <s v=""/>
    <m/>
    <m/>
    <m/>
    <m/>
    <m/>
    <x v="0"/>
    <m/>
  </r>
  <r>
    <x v="0"/>
    <x v="4"/>
    <x v="0"/>
    <s v="modesg_inp_empr_excl_paris"/>
    <s v="nome_entidade"/>
    <x v="0"/>
    <s v="1. Concluído"/>
    <m/>
    <m/>
    <m/>
    <m/>
    <s v=""/>
    <s v=""/>
    <s v=""/>
    <m/>
    <m/>
    <m/>
    <m/>
    <m/>
    <x v="0"/>
    <m/>
  </r>
  <r>
    <x v="0"/>
    <x v="4"/>
    <x v="0"/>
    <s v="modesg_inp_empr_excl_paris"/>
    <s v="flg_scib"/>
    <x v="0"/>
    <s v="1. Concluído"/>
    <m/>
    <m/>
    <m/>
    <m/>
    <s v=""/>
    <s v=""/>
    <s v=""/>
    <m/>
    <m/>
    <m/>
    <m/>
    <m/>
    <x v="0"/>
    <m/>
  </r>
  <r>
    <x v="0"/>
    <x v="4"/>
    <x v="0"/>
    <s v="modesg_inp_empr_excl_paris"/>
    <s v="nome_pais"/>
    <x v="0"/>
    <s v="1. Concluído"/>
    <m/>
    <m/>
    <m/>
    <m/>
    <s v=""/>
    <s v=""/>
    <s v=""/>
    <m/>
    <m/>
    <m/>
    <m/>
    <m/>
    <x v="0"/>
    <m/>
  </r>
  <r>
    <x v="0"/>
    <x v="4"/>
    <x v="0"/>
    <s v="modesg_inp_nfrd_alinhamento_tax"/>
    <s v="ref_date"/>
    <x v="0"/>
    <s v="1. Concluído"/>
    <m/>
    <m/>
    <m/>
    <m/>
    <s v=""/>
    <s v=""/>
    <s v=""/>
    <m/>
    <m/>
    <m/>
    <m/>
    <m/>
    <x v="0"/>
    <m/>
  </r>
  <r>
    <x v="0"/>
    <x v="4"/>
    <x v="0"/>
    <s v="modesg_inp_nfrd_alinhamento_tax"/>
    <s v="ccli_kgl"/>
    <x v="0"/>
    <s v="1. Concluído"/>
    <m/>
    <m/>
    <m/>
    <m/>
    <s v=""/>
    <s v=""/>
    <s v=""/>
    <m/>
    <m/>
    <m/>
    <m/>
    <m/>
    <x v="0"/>
    <m/>
  </r>
  <r>
    <x v="0"/>
    <x v="4"/>
    <x v="0"/>
    <s v="modesg_inp_nfrd_alinhamento_tax"/>
    <s v="clei"/>
    <x v="0"/>
    <s v="1. Concluído"/>
    <m/>
    <m/>
    <m/>
    <m/>
    <s v=""/>
    <s v=""/>
    <s v=""/>
    <m/>
    <m/>
    <m/>
    <m/>
    <m/>
    <x v="0"/>
    <m/>
  </r>
  <r>
    <x v="0"/>
    <x v="4"/>
    <x v="0"/>
    <s v="modesg_inp_nfrd_alinhamento_tax"/>
    <s v="perm_id"/>
    <x v="0"/>
    <s v="1. Concluído"/>
    <m/>
    <m/>
    <m/>
    <m/>
    <s v=""/>
    <s v=""/>
    <s v=""/>
    <m/>
    <m/>
    <m/>
    <m/>
    <m/>
    <x v="0"/>
    <m/>
  </r>
  <r>
    <x v="0"/>
    <x v="4"/>
    <x v="0"/>
    <s v="modesg_inp_nfrd_alinhamento_tax"/>
    <s v="nome_entidade"/>
    <x v="0"/>
    <s v="1. Concluído"/>
    <m/>
    <m/>
    <m/>
    <m/>
    <s v=""/>
    <s v=""/>
    <s v=""/>
    <m/>
    <m/>
    <m/>
    <m/>
    <m/>
    <x v="0"/>
    <m/>
  </r>
  <r>
    <x v="0"/>
    <x v="4"/>
    <x v="0"/>
    <s v="modesg_inp_nfrd_alinhamento_tax"/>
    <s v="nome_pais"/>
    <x v="0"/>
    <s v="1. Concluído"/>
    <m/>
    <m/>
    <m/>
    <m/>
    <s v=""/>
    <s v=""/>
    <s v=""/>
    <m/>
    <m/>
    <m/>
    <m/>
    <m/>
    <x v="0"/>
    <m/>
  </r>
  <r>
    <x v="0"/>
    <x v="4"/>
    <x v="0"/>
    <s v="modesg_inp_nfrd_alinhamento_tax"/>
    <s v="flg_nfrd"/>
    <x v="0"/>
    <s v="1. Concluído"/>
    <m/>
    <m/>
    <m/>
    <m/>
    <s v=""/>
    <s v=""/>
    <s v=""/>
    <m/>
    <m/>
    <m/>
    <m/>
    <m/>
    <x v="0"/>
    <m/>
  </r>
  <r>
    <x v="0"/>
    <x v="4"/>
    <x v="0"/>
    <s v="modesg_inp_nfrd_alinhamento_tax"/>
    <s v="cca_trnvr_ttl_elgbl"/>
    <x v="0"/>
    <s v="1. Concluído"/>
    <m/>
    <m/>
    <m/>
    <m/>
    <s v=""/>
    <s v=""/>
    <s v=""/>
    <m/>
    <m/>
    <m/>
    <m/>
    <m/>
    <x v="0"/>
    <m/>
  </r>
  <r>
    <x v="0"/>
    <x v="4"/>
    <x v="0"/>
    <s v="modesg_inp_nfrd_alinhamento_tax"/>
    <s v="cca_trnvr_enblng_alignd"/>
    <x v="0"/>
    <s v="1. Concluído"/>
    <m/>
    <m/>
    <m/>
    <m/>
    <s v=""/>
    <s v=""/>
    <s v=""/>
    <m/>
    <m/>
    <m/>
    <m/>
    <m/>
    <x v="0"/>
    <m/>
  </r>
  <r>
    <x v="0"/>
    <x v="4"/>
    <x v="0"/>
    <s v="modesg_inp_nfrd_alinhamento_tax"/>
    <s v="cca_turnover_own_prfrmnce_algnd"/>
    <x v="0"/>
    <s v="1. Concluído"/>
    <m/>
    <m/>
    <m/>
    <m/>
    <s v=""/>
    <s v=""/>
    <s v=""/>
    <m/>
    <m/>
    <m/>
    <m/>
    <m/>
    <x v="0"/>
    <m/>
  </r>
  <r>
    <x v="0"/>
    <x v="4"/>
    <x v="0"/>
    <s v="modesg_inp_nfrd_alinhamento_tax"/>
    <s v="cca_capex_ttl_elgbl"/>
    <x v="0"/>
    <s v="1. Concluído"/>
    <m/>
    <m/>
    <m/>
    <m/>
    <s v=""/>
    <s v=""/>
    <s v=""/>
    <m/>
    <m/>
    <m/>
    <m/>
    <m/>
    <x v="0"/>
    <m/>
  </r>
  <r>
    <x v="0"/>
    <x v="4"/>
    <x v="0"/>
    <s v="modesg_inp_nfrd_alinhamento_tax"/>
    <s v="cca_capex_enblng_algnd"/>
    <x v="0"/>
    <s v="1. Concluído"/>
    <m/>
    <m/>
    <m/>
    <m/>
    <s v=""/>
    <s v=""/>
    <s v=""/>
    <m/>
    <m/>
    <m/>
    <m/>
    <m/>
    <x v="0"/>
    <m/>
  </r>
  <r>
    <x v="0"/>
    <x v="4"/>
    <x v="0"/>
    <s v="modesg_inp_nfrd_alinhamento_tax"/>
    <s v="cca_capex_own_prfrmnce_algnd"/>
    <x v="0"/>
    <s v="1. Concluído"/>
    <m/>
    <m/>
    <m/>
    <m/>
    <s v=""/>
    <s v=""/>
    <s v=""/>
    <m/>
    <m/>
    <m/>
    <m/>
    <m/>
    <x v="0"/>
    <m/>
  </r>
  <r>
    <x v="0"/>
    <x v="4"/>
    <x v="0"/>
    <s v="modesg_inp_nfrd_alinhamento_tax"/>
    <s v="ccm_trnvr_ttl_elgbl"/>
    <x v="0"/>
    <s v="1. Concluído"/>
    <m/>
    <m/>
    <m/>
    <m/>
    <s v=""/>
    <s v=""/>
    <s v=""/>
    <m/>
    <m/>
    <m/>
    <m/>
    <m/>
    <x v="0"/>
    <m/>
  </r>
  <r>
    <x v="0"/>
    <x v="4"/>
    <x v="0"/>
    <s v="modesg_inp_nfrd_alinhamento_tax"/>
    <s v="ccm_trnvr_enblng_algnd"/>
    <x v="0"/>
    <s v="1. Concluído"/>
    <m/>
    <m/>
    <m/>
    <m/>
    <s v=""/>
    <s v=""/>
    <s v=""/>
    <m/>
    <m/>
    <m/>
    <m/>
    <m/>
    <x v="0"/>
    <m/>
  </r>
  <r>
    <x v="0"/>
    <x v="4"/>
    <x v="0"/>
    <s v="modesg_inp_nfrd_alinhamento_tax"/>
    <s v="ccm_trnvr_trnstn_alignd"/>
    <x v="0"/>
    <s v="1. Concluído"/>
    <m/>
    <m/>
    <m/>
    <m/>
    <s v=""/>
    <s v=""/>
    <s v=""/>
    <m/>
    <m/>
    <m/>
    <m/>
    <m/>
    <x v="0"/>
    <m/>
  </r>
  <r>
    <x v="0"/>
    <x v="4"/>
    <x v="0"/>
    <s v="modesg_inp_nfrd_alinhamento_tax"/>
    <s v="ccm_trnvr_own_prfrmnce_algnd"/>
    <x v="0"/>
    <s v="1. Concluído"/>
    <m/>
    <m/>
    <m/>
    <m/>
    <s v=""/>
    <s v=""/>
    <s v=""/>
    <m/>
    <m/>
    <m/>
    <m/>
    <m/>
    <x v="0"/>
    <m/>
  </r>
  <r>
    <x v="0"/>
    <x v="4"/>
    <x v="0"/>
    <s v="modesg_inp_nfrd_alinhamento_tax"/>
    <s v="ccm_capex_ttl_elgbl"/>
    <x v="0"/>
    <s v="1. Concluído"/>
    <m/>
    <m/>
    <m/>
    <m/>
    <s v=""/>
    <s v=""/>
    <s v=""/>
    <m/>
    <m/>
    <m/>
    <m/>
    <m/>
    <x v="0"/>
    <m/>
  </r>
  <r>
    <x v="0"/>
    <x v="4"/>
    <x v="0"/>
    <s v="modesg_inp_nfrd_alinhamento_tax"/>
    <s v="ccm_capex_enblng_algnd"/>
    <x v="0"/>
    <s v="1. Concluído"/>
    <m/>
    <m/>
    <m/>
    <m/>
    <s v=""/>
    <s v=""/>
    <s v=""/>
    <m/>
    <m/>
    <m/>
    <m/>
    <m/>
    <x v="0"/>
    <m/>
  </r>
  <r>
    <x v="0"/>
    <x v="4"/>
    <x v="0"/>
    <s v="modesg_inp_nfrd_alinhamento_tax"/>
    <s v="ccm_capex_trnstn_algnd"/>
    <x v="0"/>
    <s v="1. Concluído"/>
    <m/>
    <m/>
    <m/>
    <m/>
    <s v=""/>
    <s v=""/>
    <s v=""/>
    <m/>
    <m/>
    <m/>
    <m/>
    <m/>
    <x v="0"/>
    <m/>
  </r>
  <r>
    <x v="0"/>
    <x v="4"/>
    <x v="0"/>
    <s v="modesg_inp_nfrd_alinhamento_tax"/>
    <s v="ccm_capex_own_prfrmnce_algnd"/>
    <x v="0"/>
    <s v="1. Concluído"/>
    <m/>
    <m/>
    <m/>
    <m/>
    <s v=""/>
    <s v=""/>
    <s v=""/>
    <m/>
    <m/>
    <m/>
    <m/>
    <m/>
    <x v="0"/>
    <m/>
  </r>
  <r>
    <x v="0"/>
    <x v="4"/>
    <x v="0"/>
    <s v="modesg_inp_nfrd_alinhamento_tax"/>
    <s v="ppc_trnvr_ttl_elgbl"/>
    <x v="0"/>
    <s v="1. Concluído"/>
    <m/>
    <m/>
    <m/>
    <m/>
    <s v=""/>
    <s v=""/>
    <s v=""/>
    <m/>
    <m/>
    <m/>
    <m/>
    <m/>
    <x v="0"/>
    <m/>
  </r>
  <r>
    <x v="0"/>
    <x v="4"/>
    <x v="0"/>
    <s v="modesg_inp_nfrd_alinhamento_tax"/>
    <s v="ppc_turnover_own_prfrmnce_algnd"/>
    <x v="0"/>
    <s v="1. Concluído"/>
    <m/>
    <m/>
    <m/>
    <m/>
    <s v=""/>
    <s v=""/>
    <s v=""/>
    <m/>
    <m/>
    <m/>
    <m/>
    <m/>
    <x v="0"/>
    <m/>
  </r>
  <r>
    <x v="0"/>
    <x v="4"/>
    <x v="0"/>
    <s v="modesg_inp_nfrd_alinhamento_tax"/>
    <s v="ppc_capex_ttl_elgbl"/>
    <x v="0"/>
    <s v="1. Concluído"/>
    <m/>
    <m/>
    <m/>
    <m/>
    <s v=""/>
    <s v=""/>
    <s v=""/>
    <m/>
    <m/>
    <m/>
    <m/>
    <m/>
    <x v="0"/>
    <m/>
  </r>
  <r>
    <x v="0"/>
    <x v="4"/>
    <x v="0"/>
    <s v="modesg_inp_nfrd_alinhamento_tax"/>
    <s v="ppc_capex_own_prfrmnce_algnd"/>
    <x v="0"/>
    <s v="1. Concluído"/>
    <m/>
    <m/>
    <m/>
    <m/>
    <s v=""/>
    <s v=""/>
    <s v=""/>
    <m/>
    <m/>
    <m/>
    <m/>
    <m/>
    <x v="0"/>
    <m/>
  </r>
  <r>
    <x v="0"/>
    <x v="4"/>
    <x v="0"/>
    <s v="modesg_inp_nfrd_alinhamento_tax"/>
    <s v="bio_trnvr_ttl_elgbl"/>
    <x v="0"/>
    <s v="1. Concluído"/>
    <m/>
    <m/>
    <m/>
    <m/>
    <s v=""/>
    <s v=""/>
    <s v=""/>
    <m/>
    <m/>
    <m/>
    <m/>
    <m/>
    <x v="0"/>
    <m/>
  </r>
  <r>
    <x v="0"/>
    <x v="4"/>
    <x v="0"/>
    <s v="modesg_inp_nfrd_alinhamento_tax"/>
    <s v="bio_turnover_own_prfrmnce_algnd"/>
    <x v="0"/>
    <s v="1. Concluído"/>
    <m/>
    <m/>
    <m/>
    <m/>
    <s v=""/>
    <s v=""/>
    <s v=""/>
    <m/>
    <m/>
    <m/>
    <m/>
    <m/>
    <x v="0"/>
    <m/>
  </r>
  <r>
    <x v="0"/>
    <x v="4"/>
    <x v="0"/>
    <s v="modesg_inp_nfrd_alinhamento_tax"/>
    <s v="bio_capex_ttl_elgbl"/>
    <x v="0"/>
    <s v="1. Concluído"/>
    <m/>
    <m/>
    <m/>
    <m/>
    <s v=""/>
    <s v=""/>
    <s v=""/>
    <m/>
    <m/>
    <m/>
    <m/>
    <m/>
    <x v="0"/>
    <m/>
  </r>
  <r>
    <x v="0"/>
    <x v="4"/>
    <x v="0"/>
    <s v="modesg_inp_nfrd_alinhamento_tax"/>
    <s v="bio_capex_own_prfrmnce_algnd"/>
    <x v="0"/>
    <s v="1. Concluído"/>
    <m/>
    <m/>
    <m/>
    <m/>
    <s v=""/>
    <s v=""/>
    <s v=""/>
    <m/>
    <m/>
    <m/>
    <m/>
    <m/>
    <x v="0"/>
    <m/>
  </r>
  <r>
    <x v="0"/>
    <x v="4"/>
    <x v="0"/>
    <s v="modesg_inp_nfrd_alinhamento_tax"/>
    <s v="wtr_trnvr_ttl_elgbl"/>
    <x v="0"/>
    <s v="1. Concluído"/>
    <m/>
    <m/>
    <m/>
    <m/>
    <s v=""/>
    <s v=""/>
    <s v=""/>
    <m/>
    <m/>
    <m/>
    <m/>
    <m/>
    <x v="0"/>
    <m/>
  </r>
  <r>
    <x v="0"/>
    <x v="4"/>
    <x v="0"/>
    <s v="modesg_inp_nfrd_alinhamento_tax"/>
    <s v="wtr_trnvr_enblng_alignd"/>
    <x v="0"/>
    <s v="1. Concluído"/>
    <m/>
    <m/>
    <m/>
    <m/>
    <s v=""/>
    <s v=""/>
    <s v=""/>
    <m/>
    <m/>
    <m/>
    <m/>
    <m/>
    <x v="0"/>
    <m/>
  </r>
  <r>
    <x v="0"/>
    <x v="4"/>
    <x v="0"/>
    <s v="modesg_inp_nfrd_alinhamento_tax"/>
    <s v="wtr_turnover_own_prfrmnce_algnd"/>
    <x v="0"/>
    <s v="1. Concluído"/>
    <m/>
    <m/>
    <m/>
    <m/>
    <s v=""/>
    <s v=""/>
    <s v=""/>
    <m/>
    <m/>
    <m/>
    <m/>
    <m/>
    <x v="0"/>
    <m/>
  </r>
  <r>
    <x v="0"/>
    <x v="4"/>
    <x v="0"/>
    <s v="modesg_inp_nfrd_alinhamento_tax"/>
    <s v="wtr_capex_ttl_elgbl"/>
    <x v="0"/>
    <s v="1. Concluído"/>
    <m/>
    <m/>
    <m/>
    <m/>
    <s v=""/>
    <s v=""/>
    <s v=""/>
    <m/>
    <m/>
    <m/>
    <m/>
    <m/>
    <x v="0"/>
    <m/>
  </r>
  <r>
    <x v="0"/>
    <x v="4"/>
    <x v="0"/>
    <s v="modesg_inp_nfrd_alinhamento_tax"/>
    <s v="wtr_capex_enblng_algnd"/>
    <x v="0"/>
    <s v="1. Concluído"/>
    <m/>
    <m/>
    <m/>
    <m/>
    <s v=""/>
    <s v=""/>
    <s v=""/>
    <m/>
    <m/>
    <m/>
    <m/>
    <m/>
    <x v="0"/>
    <m/>
  </r>
  <r>
    <x v="0"/>
    <x v="4"/>
    <x v="0"/>
    <s v="modesg_inp_nfrd_alinhamento_tax"/>
    <s v="wtr_capex_own_prfrmnce_algnd"/>
    <x v="0"/>
    <s v="1. Concluído"/>
    <m/>
    <m/>
    <m/>
    <m/>
    <s v=""/>
    <s v=""/>
    <s v=""/>
    <m/>
    <m/>
    <m/>
    <m/>
    <m/>
    <x v="0"/>
    <m/>
  </r>
  <r>
    <x v="0"/>
    <x v="4"/>
    <x v="0"/>
    <s v="modesg_inp_nfrd_alinhamento_tax"/>
    <s v="ce_trnvr_ttl_elgbl"/>
    <x v="0"/>
    <s v="1. Concluído"/>
    <m/>
    <m/>
    <m/>
    <m/>
    <s v=""/>
    <s v=""/>
    <s v=""/>
    <m/>
    <m/>
    <m/>
    <m/>
    <m/>
    <x v="0"/>
    <m/>
  </r>
  <r>
    <x v="0"/>
    <x v="4"/>
    <x v="0"/>
    <s v="modesg_inp_nfrd_alinhamento_tax"/>
    <s v="ce_trnvr_enblng_alignd"/>
    <x v="0"/>
    <s v="1. Concluído"/>
    <m/>
    <m/>
    <m/>
    <m/>
    <s v=""/>
    <s v=""/>
    <s v=""/>
    <m/>
    <m/>
    <m/>
    <m/>
    <m/>
    <x v="0"/>
    <m/>
  </r>
  <r>
    <x v="0"/>
    <x v="4"/>
    <x v="0"/>
    <s v="modesg_inp_nfrd_alinhamento_tax"/>
    <s v="ce_turnover_own_prfrmnce_algnd"/>
    <x v="0"/>
    <s v="1. Concluído"/>
    <m/>
    <m/>
    <m/>
    <m/>
    <s v=""/>
    <s v=""/>
    <s v=""/>
    <m/>
    <m/>
    <m/>
    <m/>
    <m/>
    <x v="0"/>
    <m/>
  </r>
  <r>
    <x v="0"/>
    <x v="4"/>
    <x v="0"/>
    <s v="modesg_inp_nfrd_alinhamento_tax"/>
    <s v="ce_capex_ttl_elgbl"/>
    <x v="0"/>
    <s v="1. Concluído"/>
    <m/>
    <m/>
    <m/>
    <m/>
    <s v=""/>
    <s v=""/>
    <s v=""/>
    <m/>
    <m/>
    <m/>
    <m/>
    <m/>
    <x v="0"/>
    <m/>
  </r>
  <r>
    <x v="0"/>
    <x v="4"/>
    <x v="0"/>
    <s v="modesg_inp_nfrd_alinhamento_tax"/>
    <s v="ce_capex_enblng_algnd"/>
    <x v="0"/>
    <s v="1. Concluído"/>
    <m/>
    <m/>
    <m/>
    <m/>
    <s v=""/>
    <s v=""/>
    <s v=""/>
    <m/>
    <m/>
    <m/>
    <m/>
    <m/>
    <x v="0"/>
    <m/>
  </r>
  <r>
    <x v="0"/>
    <x v="4"/>
    <x v="0"/>
    <s v="modesg_inp_nfrd_alinhamento_tax"/>
    <s v="ce_capex_own_prfrmnce_algnd"/>
    <x v="0"/>
    <s v="1. Concluído"/>
    <m/>
    <m/>
    <m/>
    <m/>
    <s v=""/>
    <s v=""/>
    <s v=""/>
    <m/>
    <m/>
    <m/>
    <m/>
    <m/>
    <x v="0"/>
    <m/>
  </r>
  <r>
    <x v="0"/>
    <x v="4"/>
    <x v="0"/>
    <s v="modesg_inp_risco_fisico"/>
    <s v="ref_date"/>
    <x v="0"/>
    <s v="1. Concluído"/>
    <m/>
    <m/>
    <m/>
    <m/>
    <s v=""/>
    <s v=""/>
    <s v=""/>
    <m/>
    <m/>
    <m/>
    <m/>
    <m/>
    <x v="0"/>
    <m/>
  </r>
  <r>
    <x v="0"/>
    <x v="4"/>
    <x v="0"/>
    <s v="modesg_inp_risco_fisico"/>
    <s v="cod_pais"/>
    <x v="0"/>
    <s v="1. Concluído"/>
    <m/>
    <m/>
    <m/>
    <m/>
    <s v=""/>
    <s v=""/>
    <s v=""/>
    <m/>
    <m/>
    <m/>
    <m/>
    <m/>
    <x v="0"/>
    <m/>
  </r>
  <r>
    <x v="0"/>
    <x v="4"/>
    <x v="0"/>
    <s v="modesg_inp_risco_fisico"/>
    <s v="cod_nutiii"/>
    <x v="0"/>
    <s v="1. Concluído"/>
    <m/>
    <m/>
    <m/>
    <m/>
    <s v=""/>
    <s v=""/>
    <s v=""/>
    <m/>
    <m/>
    <m/>
    <m/>
    <m/>
    <x v="0"/>
    <m/>
  </r>
  <r>
    <x v="0"/>
    <x v="4"/>
    <x v="0"/>
    <s v="modesg_inp_risco_fisico"/>
    <s v="cod_nace_esg"/>
    <x v="0"/>
    <s v="1. Concluído"/>
    <m/>
    <m/>
    <m/>
    <m/>
    <s v=""/>
    <s v=""/>
    <s v=""/>
    <m/>
    <m/>
    <m/>
    <m/>
    <m/>
    <x v="0"/>
    <m/>
  </r>
  <r>
    <x v="0"/>
    <x v="4"/>
    <x v="0"/>
    <s v="modesg_inp_risco_fisico"/>
    <s v="flg_rsc_fsc_agd"/>
    <x v="0"/>
    <s v="1. Concluído"/>
    <m/>
    <m/>
    <m/>
    <m/>
    <s v=""/>
    <s v=""/>
    <s v=""/>
    <m/>
    <m/>
    <m/>
    <m/>
    <m/>
    <x v="0"/>
    <m/>
  </r>
  <r>
    <x v="0"/>
    <x v="4"/>
    <x v="0"/>
    <s v="modesg_inp_risco_fisico"/>
    <s v="flg_rsc_fsc_crnc"/>
    <x v="0"/>
    <s v="1. Concluído"/>
    <m/>
    <m/>
    <m/>
    <m/>
    <s v=""/>
    <s v=""/>
    <s v=""/>
    <m/>
    <m/>
    <m/>
    <m/>
    <m/>
    <x v="0"/>
    <m/>
  </r>
  <r>
    <x v="0"/>
    <x v="4"/>
    <x v="0"/>
    <s v="modesg_inp_emss_scib"/>
    <s v="ref_date"/>
    <x v="0"/>
    <s v="1. Concluído"/>
    <m/>
    <m/>
    <m/>
    <m/>
    <s v=""/>
    <s v=""/>
    <s v=""/>
    <m/>
    <m/>
    <m/>
    <m/>
    <m/>
    <x v="0"/>
    <m/>
  </r>
  <r>
    <x v="0"/>
    <x v="4"/>
    <x v="0"/>
    <s v="modesg_inp_emss_scib"/>
    <s v="ccli_kgl"/>
    <x v="0"/>
    <s v="1. Concluído"/>
    <m/>
    <m/>
    <m/>
    <m/>
    <s v=""/>
    <s v=""/>
    <s v=""/>
    <m/>
    <m/>
    <m/>
    <m/>
    <m/>
    <x v="0"/>
    <m/>
  </r>
  <r>
    <x v="0"/>
    <x v="4"/>
    <x v="0"/>
    <s v="modesg_inp_emss_scib"/>
    <s v="nome_grupo"/>
    <x v="0"/>
    <s v="1. Concluído"/>
    <m/>
    <m/>
    <m/>
    <m/>
    <s v=""/>
    <s v=""/>
    <s v=""/>
    <m/>
    <m/>
    <m/>
    <m/>
    <m/>
    <x v="0"/>
    <m/>
  </r>
  <r>
    <x v="0"/>
    <x v="4"/>
    <x v="0"/>
    <s v="modesg_inp_emss_scib"/>
    <s v="isin"/>
    <x v="0"/>
    <s v="1. Concluído"/>
    <m/>
    <m/>
    <m/>
    <m/>
    <s v=""/>
    <s v=""/>
    <s v=""/>
    <m/>
    <m/>
    <m/>
    <m/>
    <m/>
    <x v="0"/>
    <m/>
  </r>
  <r>
    <x v="0"/>
    <x v="4"/>
    <x v="0"/>
    <s v="modesg_inp_emss_scib"/>
    <s v="clei"/>
    <x v="0"/>
    <s v="1. Concluído"/>
    <m/>
    <m/>
    <m/>
    <m/>
    <s v=""/>
    <s v=""/>
    <s v=""/>
    <m/>
    <m/>
    <m/>
    <m/>
    <m/>
    <x v="0"/>
    <m/>
  </r>
  <r>
    <x v="0"/>
    <x v="4"/>
    <x v="0"/>
    <s v="modesg_inp_emss_scib"/>
    <s v="scp1_emss"/>
    <x v="0"/>
    <s v="1. Concluído"/>
    <m/>
    <m/>
    <m/>
    <m/>
    <s v=""/>
    <s v=""/>
    <s v=""/>
    <m/>
    <m/>
    <m/>
    <m/>
    <m/>
    <x v="0"/>
    <m/>
  </r>
  <r>
    <x v="0"/>
    <x v="4"/>
    <x v="0"/>
    <s v="modesg_inp_emss_scib"/>
    <s v="scp2_emss"/>
    <x v="0"/>
    <s v="1. Concluído"/>
    <m/>
    <m/>
    <m/>
    <m/>
    <s v=""/>
    <s v=""/>
    <s v=""/>
    <m/>
    <m/>
    <m/>
    <m/>
    <m/>
    <x v="0"/>
    <m/>
  </r>
  <r>
    <x v="0"/>
    <x v="4"/>
    <x v="0"/>
    <s v="modesg_inp_emss_scib"/>
    <s v="scp3_emss"/>
    <x v="0"/>
    <s v="1. Concluído"/>
    <m/>
    <m/>
    <m/>
    <m/>
    <s v=""/>
    <s v=""/>
    <s v=""/>
    <m/>
    <m/>
    <m/>
    <m/>
    <m/>
    <x v="0"/>
    <m/>
  </r>
  <r>
    <x v="0"/>
    <x v="4"/>
    <x v="0"/>
    <s v="modesg_inp_emss_scib"/>
    <s v="score_scp1"/>
    <x v="0"/>
    <s v="1. Concluído"/>
    <m/>
    <m/>
    <m/>
    <m/>
    <s v=""/>
    <s v=""/>
    <s v=""/>
    <m/>
    <m/>
    <m/>
    <m/>
    <m/>
    <x v="0"/>
    <m/>
  </r>
  <r>
    <x v="0"/>
    <x v="4"/>
    <x v="0"/>
    <s v="modesg_inp_emss_scib"/>
    <s v="score_scp2"/>
    <x v="0"/>
    <s v="1. Concluído"/>
    <m/>
    <m/>
    <m/>
    <m/>
    <s v=""/>
    <s v=""/>
    <s v=""/>
    <m/>
    <m/>
    <m/>
    <m/>
    <m/>
    <x v="0"/>
    <m/>
  </r>
  <r>
    <x v="0"/>
    <x v="4"/>
    <x v="0"/>
    <s v="modesg_inp_emss_scib"/>
    <s v="score_scp3"/>
    <x v="0"/>
    <s v="1. Concluído"/>
    <m/>
    <m/>
    <m/>
    <m/>
    <s v=""/>
    <s v=""/>
    <s v=""/>
    <m/>
    <m/>
    <m/>
    <m/>
    <m/>
    <x v="0"/>
    <m/>
  </r>
  <r>
    <x v="0"/>
    <x v="4"/>
    <x v="0"/>
    <s v="modesg_inp_emss_scib"/>
    <s v="origem_scp1"/>
    <x v="0"/>
    <s v="1. Concluído"/>
    <m/>
    <m/>
    <m/>
    <m/>
    <s v=""/>
    <s v=""/>
    <s v=""/>
    <m/>
    <m/>
    <m/>
    <m/>
    <m/>
    <x v="0"/>
    <m/>
  </r>
  <r>
    <x v="0"/>
    <x v="4"/>
    <x v="0"/>
    <s v="modesg_inp_emss_scib"/>
    <s v="origem_scp2"/>
    <x v="0"/>
    <s v="1. Concluído"/>
    <m/>
    <m/>
    <m/>
    <m/>
    <s v=""/>
    <s v=""/>
    <s v=""/>
    <m/>
    <m/>
    <m/>
    <m/>
    <m/>
    <x v="0"/>
    <m/>
  </r>
  <r>
    <x v="0"/>
    <x v="4"/>
    <x v="0"/>
    <s v="modesg_inp_emss_scib"/>
    <s v="origem_scp3"/>
    <x v="0"/>
    <s v="1. Concluído"/>
    <m/>
    <m/>
    <m/>
    <m/>
    <s v=""/>
    <s v=""/>
    <s v=""/>
    <m/>
    <m/>
    <m/>
    <m/>
    <m/>
    <x v="0"/>
    <m/>
  </r>
  <r>
    <x v="0"/>
    <x v="4"/>
    <x v="0"/>
    <s v="modesg_inp_emss_scib"/>
    <s v="ano_info"/>
    <x v="0"/>
    <s v="1. Concluído"/>
    <m/>
    <m/>
    <m/>
    <m/>
    <s v=""/>
    <s v=""/>
    <s v=""/>
    <m/>
    <m/>
    <m/>
    <m/>
    <m/>
    <x v="0"/>
    <m/>
  </r>
  <r>
    <x v="0"/>
    <x v="4"/>
    <x v="0"/>
    <s v="modesg_inp_emss_scib"/>
    <s v="divida_total"/>
    <x v="0"/>
    <s v="1. Concluído"/>
    <m/>
    <m/>
    <m/>
    <m/>
    <s v=""/>
    <s v=""/>
    <s v=""/>
    <m/>
    <m/>
    <m/>
    <m/>
    <m/>
    <x v="0"/>
    <m/>
  </r>
  <r>
    <x v="0"/>
    <x v="4"/>
    <x v="0"/>
    <s v="modesg_inp_emss_scib"/>
    <s v="capital_proprio"/>
    <x v="0"/>
    <s v="1. Concluído"/>
    <m/>
    <m/>
    <m/>
    <m/>
    <s v=""/>
    <s v=""/>
    <s v=""/>
    <m/>
    <m/>
    <m/>
    <m/>
    <m/>
    <x v="0"/>
    <m/>
  </r>
  <r>
    <x v="0"/>
    <x v="4"/>
    <x v="0"/>
    <s v="modesg_inp_emss_nace"/>
    <s v="ref_date"/>
    <x v="0"/>
    <s v="1. Concluído"/>
    <m/>
    <m/>
    <m/>
    <s v="Package X"/>
    <s v=""/>
    <s v=""/>
    <s v=""/>
    <m/>
    <m/>
    <m/>
    <m/>
    <m/>
    <x v="0"/>
    <m/>
  </r>
  <r>
    <x v="0"/>
    <x v="4"/>
    <x v="0"/>
    <s v="modesg_inp_emss_nace"/>
    <s v="ano"/>
    <x v="0"/>
    <s v="1. Concluído"/>
    <m/>
    <m/>
    <m/>
    <s v="Package X"/>
    <s v=""/>
    <s v=""/>
    <s v=""/>
    <m/>
    <m/>
    <m/>
    <m/>
    <m/>
    <x v="0"/>
    <m/>
  </r>
  <r>
    <x v="0"/>
    <x v="4"/>
    <x v="0"/>
    <s v="modesg_inp_emss_nace"/>
    <s v="nome_pais"/>
    <x v="0"/>
    <s v="1. Concluído"/>
    <m/>
    <m/>
    <m/>
    <s v="Package X"/>
    <s v=""/>
    <s v=""/>
    <s v=""/>
    <m/>
    <m/>
    <m/>
    <m/>
    <m/>
    <x v="0"/>
    <m/>
  </r>
  <r>
    <x v="0"/>
    <x v="4"/>
    <x v="0"/>
    <s v="modesg_inp_emss_nace"/>
    <s v="cod_nace_esg"/>
    <x v="0"/>
    <s v="1. Concluído"/>
    <m/>
    <m/>
    <m/>
    <s v="Package X"/>
    <s v=""/>
    <s v=""/>
    <s v=""/>
    <m/>
    <m/>
    <m/>
    <m/>
    <m/>
    <x v="0"/>
    <m/>
  </r>
  <r>
    <x v="0"/>
    <x v="4"/>
    <x v="0"/>
    <s v="modesg_inp_emss_nace"/>
    <s v="cod_class_indust"/>
    <x v="0"/>
    <s v="1. Concluído"/>
    <m/>
    <m/>
    <m/>
    <s v="Package X"/>
    <s v=""/>
    <s v=""/>
    <s v=""/>
    <m/>
    <m/>
    <m/>
    <m/>
    <m/>
    <x v="0"/>
    <m/>
  </r>
  <r>
    <x v="0"/>
    <x v="4"/>
    <x v="0"/>
    <s v="modesg_inp_emss_nace"/>
    <s v="nivel_classificacao_1"/>
    <x v="0"/>
    <s v="1. Concluído"/>
    <m/>
    <m/>
    <m/>
    <s v="Package X"/>
    <s v=""/>
    <s v=""/>
    <s v=""/>
    <m/>
    <m/>
    <m/>
    <m/>
    <m/>
    <x v="0"/>
    <m/>
  </r>
  <r>
    <x v="0"/>
    <x v="4"/>
    <x v="0"/>
    <s v="modesg_inp_emss_nace"/>
    <s v="classe_ativo"/>
    <x v="0"/>
    <s v="1. Concluído"/>
    <m/>
    <m/>
    <m/>
    <s v="Package X"/>
    <s v=""/>
    <s v=""/>
    <s v=""/>
    <m/>
    <m/>
    <m/>
    <m/>
    <m/>
    <x v="0"/>
    <m/>
  </r>
  <r>
    <x v="0"/>
    <x v="4"/>
    <x v="0"/>
    <s v="modesg_inp_emss_nace"/>
    <s v="opcao_metodologia"/>
    <x v="0"/>
    <s v="1. Concluído"/>
    <m/>
    <m/>
    <m/>
    <s v="Package X"/>
    <s v=""/>
    <s v=""/>
    <s v=""/>
    <m/>
    <m/>
    <m/>
    <m/>
    <m/>
    <x v="0"/>
    <m/>
  </r>
  <r>
    <x v="0"/>
    <x v="4"/>
    <x v="0"/>
    <s v="modesg_inp_emss_nace"/>
    <s v="unidade_funcional"/>
    <x v="0"/>
    <s v="1. Concluído"/>
    <m/>
    <m/>
    <m/>
    <s v="Package X"/>
    <s v=""/>
    <s v=""/>
    <s v=""/>
    <m/>
    <m/>
    <m/>
    <m/>
    <m/>
    <x v="0"/>
    <m/>
  </r>
  <r>
    <x v="0"/>
    <x v="4"/>
    <x v="0"/>
    <s v="modesg_inp_emss_nace"/>
    <s v="unidades_fator_de_emissao"/>
    <x v="0"/>
    <s v="1. Concluído"/>
    <m/>
    <m/>
    <m/>
    <s v="Package X"/>
    <s v=""/>
    <s v=""/>
    <s v=""/>
    <m/>
    <m/>
    <m/>
    <m/>
    <m/>
    <x v="0"/>
    <m/>
  </r>
  <r>
    <x v="0"/>
    <x v="4"/>
    <x v="0"/>
    <s v="modesg_inp_emss_nace"/>
    <s v="score_qualidade"/>
    <x v="0"/>
    <s v="1. Concluído"/>
    <m/>
    <m/>
    <m/>
    <s v="Package X"/>
    <s v=""/>
    <s v=""/>
    <s v=""/>
    <m/>
    <m/>
    <m/>
    <m/>
    <m/>
    <x v="0"/>
    <m/>
  </r>
  <r>
    <x v="0"/>
    <x v="4"/>
    <x v="0"/>
    <s v="modesg_inp_emss_nace"/>
    <s v="scp1_ftr_emss"/>
    <x v="0"/>
    <s v="1. Concluído"/>
    <m/>
    <m/>
    <m/>
    <s v="Package X"/>
    <s v=""/>
    <s v=""/>
    <s v=""/>
    <m/>
    <m/>
    <m/>
    <m/>
    <m/>
    <x v="0"/>
    <m/>
  </r>
  <r>
    <x v="0"/>
    <x v="4"/>
    <x v="0"/>
    <s v="modesg_inp_emss_nace"/>
    <s v="scp2_ftr_emss"/>
    <x v="0"/>
    <s v="1. Concluído"/>
    <m/>
    <m/>
    <m/>
    <s v="Package X"/>
    <s v=""/>
    <s v=""/>
    <s v=""/>
    <m/>
    <m/>
    <m/>
    <m/>
    <m/>
    <x v="0"/>
    <m/>
  </r>
  <r>
    <x v="0"/>
    <x v="4"/>
    <x v="0"/>
    <s v="modesg_inp_emss_nace"/>
    <s v="scp3_ftr_emss"/>
    <x v="0"/>
    <s v="1. Concluído"/>
    <m/>
    <m/>
    <m/>
    <s v="Package X"/>
    <s v=""/>
    <s v=""/>
    <s v=""/>
    <m/>
    <m/>
    <m/>
    <m/>
    <m/>
    <x v="0"/>
    <m/>
  </r>
  <r>
    <x v="0"/>
    <x v="4"/>
    <x v="0"/>
    <s v="modesg_inp_emss_bens_imoveis"/>
    <s v="ref_date"/>
    <x v="0"/>
    <s v="1. Concluído"/>
    <m/>
    <m/>
    <m/>
    <m/>
    <s v=""/>
    <s v=""/>
    <s v=""/>
    <m/>
    <m/>
    <m/>
    <m/>
    <m/>
    <x v="0"/>
    <m/>
  </r>
  <r>
    <x v="0"/>
    <x v="4"/>
    <x v="0"/>
    <s v="modesg_inp_emss_bens_imoveis"/>
    <s v="nome_pais"/>
    <x v="0"/>
    <s v="1. Concluído"/>
    <m/>
    <m/>
    <m/>
    <m/>
    <s v=""/>
    <s v=""/>
    <s v=""/>
    <m/>
    <m/>
    <m/>
    <m/>
    <m/>
    <x v="0"/>
    <m/>
  </r>
  <r>
    <x v="0"/>
    <x v="4"/>
    <x v="0"/>
    <s v="modesg_inp_emss_bens_imoveis"/>
    <s v="nome_estado"/>
    <x v="0"/>
    <s v="1. Concluído"/>
    <m/>
    <m/>
    <m/>
    <m/>
    <s v=""/>
    <s v=""/>
    <s v=""/>
    <m/>
    <m/>
    <m/>
    <m/>
    <m/>
    <x v="0"/>
    <m/>
  </r>
  <r>
    <x v="0"/>
    <x v="4"/>
    <x v="0"/>
    <s v="modesg_inp_emss_bens_imoveis"/>
    <s v="classe_ativo"/>
    <x v="0"/>
    <s v="1. Concluído"/>
    <m/>
    <m/>
    <m/>
    <m/>
    <s v=""/>
    <s v=""/>
    <s v=""/>
    <m/>
    <m/>
    <m/>
    <m/>
    <m/>
    <x v="0"/>
    <m/>
  </r>
  <r>
    <x v="0"/>
    <x v="4"/>
    <x v="0"/>
    <s v="modesg_inp_emss_bens_imoveis"/>
    <s v="tipo_fator_emissao"/>
    <x v="0"/>
    <s v="1. Concluído"/>
    <m/>
    <m/>
    <m/>
    <m/>
    <s v=""/>
    <s v=""/>
    <s v=""/>
    <m/>
    <m/>
    <m/>
    <m/>
    <m/>
    <x v="0"/>
    <m/>
  </r>
  <r>
    <x v="0"/>
    <x v="4"/>
    <x v="0"/>
    <s v="modesg_inp_emss_bens_imoveis"/>
    <s v="regiao"/>
    <x v="0"/>
    <s v="1. Concluído"/>
    <m/>
    <m/>
    <m/>
    <m/>
    <s v=""/>
    <s v=""/>
    <s v=""/>
    <m/>
    <m/>
    <m/>
    <m/>
    <m/>
    <x v="0"/>
    <m/>
  </r>
  <r>
    <x v="0"/>
    <x v="4"/>
    <x v="0"/>
    <s v="modesg_inp_emss_bens_imoveis"/>
    <s v="tipo_bem"/>
    <x v="0"/>
    <s v="1. Concluído"/>
    <m/>
    <m/>
    <m/>
    <m/>
    <s v=""/>
    <s v=""/>
    <s v=""/>
    <m/>
    <m/>
    <m/>
    <m/>
    <m/>
    <x v="0"/>
    <m/>
  </r>
  <r>
    <x v="0"/>
    <x v="4"/>
    <x v="0"/>
    <s v="modesg_inp_emss_bens_imoveis"/>
    <s v="tipo_finalidade_bem"/>
    <x v="0"/>
    <s v="1. Concluído"/>
    <m/>
    <m/>
    <m/>
    <m/>
    <s v=""/>
    <s v=""/>
    <s v=""/>
    <m/>
    <m/>
    <m/>
    <m/>
    <m/>
    <x v="0"/>
    <m/>
  </r>
  <r>
    <x v="0"/>
    <x v="4"/>
    <x v="0"/>
    <s v="modesg_inp_emss_bens_imoveis"/>
    <s v="epc"/>
    <x v="0"/>
    <s v="1. Concluído"/>
    <m/>
    <m/>
    <m/>
    <m/>
    <s v=""/>
    <s v=""/>
    <s v=""/>
    <m/>
    <m/>
    <m/>
    <m/>
    <m/>
    <x v="0"/>
    <m/>
  </r>
  <r>
    <x v="0"/>
    <x v="4"/>
    <x v="0"/>
    <s v="modesg_inp_emss_bens_imoveis"/>
    <s v="flg_ftr_emss_area"/>
    <x v="5"/>
    <s v="0. Cancelado"/>
    <m/>
    <m/>
    <m/>
    <m/>
    <s v=""/>
    <s v=""/>
    <s v=""/>
    <m/>
    <m/>
    <m/>
    <m/>
    <m/>
    <x v="0"/>
    <m/>
  </r>
  <r>
    <x v="0"/>
    <x v="4"/>
    <x v="0"/>
    <s v="modesg_inp_emss_bens_imoveis"/>
    <s v="nome_unidade_funcional"/>
    <x v="0"/>
    <s v="1. Concluído"/>
    <m/>
    <m/>
    <m/>
    <m/>
    <s v=""/>
    <s v=""/>
    <s v=""/>
    <m/>
    <m/>
    <m/>
    <m/>
    <m/>
    <x v="0"/>
    <m/>
  </r>
  <r>
    <x v="0"/>
    <x v="4"/>
    <x v="0"/>
    <s v="modesg_inp_emss_bens_imoveis"/>
    <s v="unidade_funcional"/>
    <x v="0"/>
    <s v="1. Concluído"/>
    <m/>
    <m/>
    <m/>
    <m/>
    <s v=""/>
    <s v=""/>
    <s v=""/>
    <m/>
    <m/>
    <m/>
    <m/>
    <m/>
    <x v="0"/>
    <m/>
  </r>
  <r>
    <x v="0"/>
    <x v="4"/>
    <x v="0"/>
    <s v="modesg_inp_emss_bens_imoveis"/>
    <s v="nome_fator_emissao"/>
    <x v="0"/>
    <s v="1. Concluído"/>
    <m/>
    <m/>
    <m/>
    <m/>
    <s v=""/>
    <s v=""/>
    <s v=""/>
    <m/>
    <m/>
    <m/>
    <m/>
    <m/>
    <x v="0"/>
    <m/>
  </r>
  <r>
    <x v="0"/>
    <x v="4"/>
    <x v="0"/>
    <s v="modesg_inp_emss_bens_imoveis"/>
    <s v="unidade_fator_de_emissao"/>
    <x v="0"/>
    <s v="1. Concluído"/>
    <m/>
    <m/>
    <m/>
    <m/>
    <s v=""/>
    <s v=""/>
    <s v=""/>
    <m/>
    <m/>
    <m/>
    <m/>
    <m/>
    <x v="0"/>
    <m/>
  </r>
  <r>
    <x v="0"/>
    <x v="4"/>
    <x v="0"/>
    <s v="modesg_inp_emss_bens_imoveis"/>
    <s v="score_qualidade"/>
    <x v="0"/>
    <s v="1. Concluído"/>
    <m/>
    <m/>
    <m/>
    <m/>
    <s v=""/>
    <s v=""/>
    <s v=""/>
    <m/>
    <m/>
    <m/>
    <m/>
    <m/>
    <x v="0"/>
    <m/>
  </r>
  <r>
    <x v="0"/>
    <x v="4"/>
    <x v="0"/>
    <s v="modesg_inp_emss_bens_imoveis"/>
    <s v="ano_fator_emissao"/>
    <x v="0"/>
    <s v="1. Concluído"/>
    <m/>
    <m/>
    <m/>
    <m/>
    <s v=""/>
    <s v=""/>
    <s v=""/>
    <m/>
    <m/>
    <m/>
    <m/>
    <m/>
    <x v="0"/>
    <m/>
  </r>
  <r>
    <x v="0"/>
    <x v="4"/>
    <x v="0"/>
    <s v="modesg_inp_emss_bens_imoveis"/>
    <s v="scp1_ftr_emss"/>
    <x v="0"/>
    <s v="1. Concluído"/>
    <m/>
    <m/>
    <m/>
    <m/>
    <s v=""/>
    <s v=""/>
    <s v=""/>
    <m/>
    <m/>
    <m/>
    <m/>
    <m/>
    <x v="0"/>
    <m/>
  </r>
  <r>
    <x v="0"/>
    <x v="4"/>
    <x v="0"/>
    <s v="modesg_inp_emss_bens_imoveis"/>
    <s v="scp2_ftr_emss"/>
    <x v="0"/>
    <s v="1. Concluído"/>
    <m/>
    <m/>
    <m/>
    <m/>
    <s v=""/>
    <s v=""/>
    <s v=""/>
    <m/>
    <m/>
    <m/>
    <m/>
    <m/>
    <x v="0"/>
    <m/>
  </r>
  <r>
    <x v="0"/>
    <x v="4"/>
    <x v="0"/>
    <s v="modesg_inp_project_finance"/>
    <s v="codigo_unidade"/>
    <x v="0"/>
    <s v="1. Concluído"/>
    <m/>
    <m/>
    <m/>
    <m/>
    <s v=""/>
    <s v=""/>
    <s v=""/>
    <m/>
    <m/>
    <m/>
    <m/>
    <m/>
    <x v="3"/>
    <s v="HF"/>
  </r>
  <r>
    <x v="0"/>
    <x v="4"/>
    <x v="0"/>
    <s v="modesg_inp_project_finance"/>
    <s v="nome_unidade"/>
    <x v="0"/>
    <s v="1. Concluído"/>
    <m/>
    <m/>
    <m/>
    <m/>
    <s v=""/>
    <s v=""/>
    <s v=""/>
    <m/>
    <m/>
    <m/>
    <m/>
    <m/>
    <x v="3"/>
    <s v="HF"/>
  </r>
  <r>
    <x v="0"/>
    <x v="4"/>
    <x v="0"/>
    <s v="modesg_inp_project_finance"/>
    <s v="kgl"/>
    <x v="0"/>
    <s v="1. Concluído"/>
    <m/>
    <m/>
    <m/>
    <m/>
    <s v=""/>
    <s v=""/>
    <s v=""/>
    <m/>
    <m/>
    <m/>
    <m/>
    <m/>
    <x v="3"/>
    <s v="HF"/>
  </r>
  <r>
    <x v="0"/>
    <x v="4"/>
    <x v="0"/>
    <s v="modesg_inp_project_finance"/>
    <s v="nome_legal_kgl"/>
    <x v="0"/>
    <s v="1. Concluído"/>
    <m/>
    <m/>
    <m/>
    <m/>
    <s v=""/>
    <s v=""/>
    <s v=""/>
    <m/>
    <m/>
    <m/>
    <m/>
    <m/>
    <x v="3"/>
    <s v="HF"/>
  </r>
  <r>
    <x v="0"/>
    <x v="4"/>
    <x v="0"/>
    <s v="modesg_inp_project_finance"/>
    <s v="kgl_top_entidade_principal"/>
    <x v="0"/>
    <s v="1. Concluído"/>
    <m/>
    <m/>
    <m/>
    <m/>
    <s v=""/>
    <s v=""/>
    <s v=""/>
    <m/>
    <m/>
    <m/>
    <m/>
    <m/>
    <x v="3"/>
    <s v="HF"/>
  </r>
  <r>
    <x v="0"/>
    <x v="4"/>
    <x v="0"/>
    <s v="modesg_inp_project_finance"/>
    <s v="kgl_entidade_principal"/>
    <x v="0"/>
    <s v="1. Concluído"/>
    <m/>
    <m/>
    <m/>
    <m/>
    <s v=""/>
    <s v=""/>
    <s v=""/>
    <m/>
    <m/>
    <m/>
    <m/>
    <m/>
    <x v="3"/>
    <s v="HF"/>
  </r>
  <r>
    <x v="0"/>
    <x v="4"/>
    <x v="0"/>
    <s v="modesg_inp_project_finance"/>
    <s v="nome_top_entidade_principal"/>
    <x v="0"/>
    <s v="1. Concluído"/>
    <m/>
    <m/>
    <m/>
    <m/>
    <s v=""/>
    <s v=""/>
    <s v=""/>
    <m/>
    <m/>
    <m/>
    <m/>
    <m/>
    <x v="3"/>
    <s v="HF"/>
  </r>
  <r>
    <x v="0"/>
    <x v="4"/>
    <x v="0"/>
    <s v="modesg_inp_project_finance"/>
    <s v="codigo_unidade_operativa"/>
    <x v="0"/>
    <s v="1. Concluído"/>
    <m/>
    <m/>
    <m/>
    <m/>
    <s v=""/>
    <s v=""/>
    <s v=""/>
    <m/>
    <m/>
    <m/>
    <m/>
    <m/>
    <x v="3"/>
    <s v="HF"/>
  </r>
  <r>
    <x v="0"/>
    <x v="4"/>
    <x v="0"/>
    <s v="modesg_inp_project_finance"/>
    <s v="nome_entidade_operativa"/>
    <x v="0"/>
    <s v="1. Concluído"/>
    <m/>
    <m/>
    <m/>
    <m/>
    <s v=""/>
    <s v=""/>
    <s v=""/>
    <m/>
    <m/>
    <m/>
    <m/>
    <m/>
    <x v="3"/>
    <s v="HF"/>
  </r>
  <r>
    <x v="0"/>
    <x v="2"/>
    <x v="1"/>
    <s v="modesg_out_bens_imoveis"/>
    <s v="n.a."/>
    <x v="0"/>
    <s v="1. Concluído"/>
    <m/>
    <m/>
    <m/>
    <m/>
    <s v=""/>
    <s v=""/>
    <s v=""/>
    <m/>
    <m/>
    <m/>
    <m/>
    <m/>
    <x v="0"/>
    <m/>
  </r>
  <r>
    <x v="0"/>
    <x v="2"/>
    <x v="0"/>
    <s v="modesg_out_bens_imoveis"/>
    <s v="cempbem"/>
    <x v="0"/>
    <s v="1. Concluído"/>
    <m/>
    <m/>
    <m/>
    <m/>
    <s v=""/>
    <s v=""/>
    <s v=""/>
    <m/>
    <m/>
    <m/>
    <m/>
    <m/>
    <x v="0"/>
    <m/>
  </r>
  <r>
    <x v="0"/>
    <x v="2"/>
    <x v="0"/>
    <s v="modesg_out_bens_imoveis"/>
    <s v="ckbalbem"/>
    <x v="0"/>
    <s v="1. Concluído"/>
    <m/>
    <m/>
    <m/>
    <m/>
    <s v=""/>
    <s v=""/>
    <s v=""/>
    <m/>
    <m/>
    <m/>
    <m/>
    <m/>
    <x v="0"/>
    <m/>
  </r>
  <r>
    <x v="0"/>
    <x v="2"/>
    <x v="0"/>
    <s v="modesg_out_bens_imoveis"/>
    <s v="ckctabem"/>
    <x v="0"/>
    <s v="1. Concluído"/>
    <m/>
    <m/>
    <m/>
    <m/>
    <s v=""/>
    <s v=""/>
    <s v=""/>
    <m/>
    <m/>
    <m/>
    <m/>
    <m/>
    <x v="0"/>
    <m/>
  </r>
  <r>
    <x v="0"/>
    <x v="2"/>
    <x v="0"/>
    <s v="modesg_out_bens_imoveis"/>
    <s v="ckrefbem"/>
    <x v="0"/>
    <s v="1. Concluído"/>
    <m/>
    <m/>
    <m/>
    <m/>
    <s v=""/>
    <s v=""/>
    <s v=""/>
    <m/>
    <m/>
    <m/>
    <m/>
    <m/>
    <x v="0"/>
    <m/>
  </r>
  <r>
    <x v="0"/>
    <x v="2"/>
    <x v="0"/>
    <s v="modesg_out_bens_imoveis"/>
    <s v="origem_scp1_emss"/>
    <x v="0"/>
    <s v="1. Concluído"/>
    <m/>
    <m/>
    <m/>
    <s v="Package X"/>
    <s v=""/>
    <s v=""/>
    <s v=""/>
    <m/>
    <m/>
    <m/>
    <m/>
    <m/>
    <x v="0"/>
    <m/>
  </r>
  <r>
    <x v="0"/>
    <x v="2"/>
    <x v="0"/>
    <s v="modesg_out_bens_imoveis"/>
    <s v="origem_scp2_emss"/>
    <x v="0"/>
    <s v="1. Concluído"/>
    <m/>
    <m/>
    <m/>
    <s v="Package X"/>
    <s v=""/>
    <s v=""/>
    <s v=""/>
    <m/>
    <m/>
    <m/>
    <m/>
    <m/>
    <x v="0"/>
    <m/>
  </r>
  <r>
    <x v="0"/>
    <x v="2"/>
    <x v="0"/>
    <s v="modesg_out_bens_imoveis"/>
    <s v="origem_scp3_emss"/>
    <x v="0"/>
    <s v="1. Concluído"/>
    <m/>
    <m/>
    <m/>
    <s v="Package X"/>
    <s v=""/>
    <s v=""/>
    <s v=""/>
    <m/>
    <m/>
    <m/>
    <m/>
    <m/>
    <x v="0"/>
    <m/>
  </r>
  <r>
    <x v="0"/>
    <x v="2"/>
    <x v="0"/>
    <s v="modesg_out_bens_imoveis"/>
    <s v="ref_date"/>
    <x v="0"/>
    <s v="1. Concluído"/>
    <m/>
    <m/>
    <m/>
    <m/>
    <s v=""/>
    <s v=""/>
    <s v=""/>
    <m/>
    <m/>
    <m/>
    <m/>
    <m/>
    <x v="0"/>
    <m/>
  </r>
  <r>
    <x v="0"/>
    <x v="2"/>
    <x v="0"/>
    <s v="modesg_out_bens_imoveis"/>
    <s v="scp1_emss"/>
    <x v="0"/>
    <s v="1. Concluído"/>
    <m/>
    <m/>
    <m/>
    <s v="Package X"/>
    <s v=""/>
    <s v=""/>
    <s v=""/>
    <m/>
    <m/>
    <m/>
    <m/>
    <m/>
    <x v="0"/>
    <m/>
  </r>
  <r>
    <x v="0"/>
    <x v="2"/>
    <x v="0"/>
    <s v="modesg_out_bens_imoveis"/>
    <s v="scp2_emss"/>
    <x v="0"/>
    <s v="1. Concluído"/>
    <m/>
    <m/>
    <m/>
    <s v="Package X"/>
    <s v=""/>
    <s v=""/>
    <s v=""/>
    <m/>
    <m/>
    <m/>
    <m/>
    <m/>
    <x v="0"/>
    <m/>
  </r>
  <r>
    <x v="0"/>
    <x v="2"/>
    <x v="0"/>
    <s v="modesg_out_bens_imoveis"/>
    <s v="scp3_emss"/>
    <x v="0"/>
    <s v="1. Concluído"/>
    <m/>
    <m/>
    <m/>
    <s v="Package X"/>
    <s v=""/>
    <s v=""/>
    <s v=""/>
    <m/>
    <m/>
    <m/>
    <m/>
    <m/>
    <x v="0"/>
    <m/>
  </r>
  <r>
    <x v="0"/>
    <x v="2"/>
    <x v="0"/>
    <s v="modesg_out_bens_imoveis"/>
    <s v="unidade_funcional_scp1_emss"/>
    <x v="0"/>
    <s v="1. Concluído"/>
    <m/>
    <m/>
    <m/>
    <s v="Package X"/>
    <s v=""/>
    <s v=""/>
    <s v=""/>
    <m/>
    <m/>
    <m/>
    <m/>
    <m/>
    <x v="0"/>
    <m/>
  </r>
  <r>
    <x v="0"/>
    <x v="2"/>
    <x v="0"/>
    <s v="modesg_out_bens_imoveis"/>
    <s v="unidade_funcional_scp2_emss"/>
    <x v="0"/>
    <s v="1. Concluído"/>
    <m/>
    <m/>
    <m/>
    <s v="Package X"/>
    <s v=""/>
    <s v=""/>
    <s v=""/>
    <m/>
    <m/>
    <m/>
    <m/>
    <m/>
    <x v="0"/>
    <m/>
  </r>
  <r>
    <x v="0"/>
    <x v="2"/>
    <x v="0"/>
    <s v="modesg_out_bens_imoveis"/>
    <s v="unidade_funcional_scp3_emss"/>
    <x v="0"/>
    <s v="1. Concluído"/>
    <m/>
    <m/>
    <m/>
    <s v="Package X"/>
    <s v=""/>
    <s v=""/>
    <s v=""/>
    <m/>
    <m/>
    <m/>
    <m/>
    <m/>
    <x v="0"/>
    <m/>
  </r>
  <r>
    <x v="0"/>
    <x v="2"/>
    <x v="1"/>
    <s v="modesg_out_empr_info_nfin"/>
    <s v="n.a."/>
    <x v="0"/>
    <s v="1. Concluído"/>
    <m/>
    <m/>
    <m/>
    <m/>
    <s v=""/>
    <s v=""/>
    <s v=""/>
    <m/>
    <m/>
    <m/>
    <m/>
    <m/>
    <x v="0"/>
    <m/>
  </r>
  <r>
    <x v="0"/>
    <x v="2"/>
    <x v="0"/>
    <s v="modesg_out_empr_info_nfin"/>
    <s v="cca_capex_enblng_algnd"/>
    <x v="0"/>
    <s v="1. Concluído"/>
    <m/>
    <m/>
    <m/>
    <m/>
    <s v=""/>
    <s v=""/>
    <s v=""/>
    <m/>
    <m/>
    <m/>
    <m/>
    <m/>
    <x v="0"/>
    <m/>
  </r>
  <r>
    <x v="0"/>
    <x v="2"/>
    <x v="0"/>
    <s v="modesg_out_empr_info_nfin"/>
    <s v="cca_capex_own_prfrmnce_algnd"/>
    <x v="0"/>
    <s v="1. Concluído"/>
    <m/>
    <m/>
    <m/>
    <m/>
    <s v=""/>
    <s v=""/>
    <s v=""/>
    <m/>
    <m/>
    <m/>
    <m/>
    <m/>
    <x v="0"/>
    <m/>
  </r>
  <r>
    <x v="0"/>
    <x v="2"/>
    <x v="0"/>
    <s v="modesg_out_empr_info_nfin"/>
    <s v="cca_capex_ttl_elgbl"/>
    <x v="0"/>
    <s v="1. Concluído"/>
    <m/>
    <m/>
    <m/>
    <m/>
    <s v=""/>
    <s v=""/>
    <s v=""/>
    <m/>
    <m/>
    <m/>
    <m/>
    <m/>
    <x v="0"/>
    <m/>
  </r>
  <r>
    <x v="0"/>
    <x v="2"/>
    <x v="0"/>
    <s v="modesg_out_empr_info_nfin"/>
    <s v="cca_trnvr_enblng_alignd"/>
    <x v="0"/>
    <s v="1. Concluído"/>
    <m/>
    <m/>
    <m/>
    <m/>
    <s v=""/>
    <s v=""/>
    <s v=""/>
    <m/>
    <m/>
    <m/>
    <m/>
    <m/>
    <x v="0"/>
    <m/>
  </r>
  <r>
    <x v="0"/>
    <x v="2"/>
    <x v="0"/>
    <s v="modesg_out_empr_info_nfin"/>
    <s v="cca_trnvr_ttl_elgbl"/>
    <x v="0"/>
    <s v="1. Concluído"/>
    <m/>
    <m/>
    <m/>
    <m/>
    <s v=""/>
    <s v=""/>
    <s v=""/>
    <m/>
    <m/>
    <m/>
    <m/>
    <m/>
    <x v="0"/>
    <m/>
  </r>
  <r>
    <x v="0"/>
    <x v="2"/>
    <x v="0"/>
    <s v="modesg_out_empr_info_nfin"/>
    <s v="cca_turnover_own_prfrmnce_algnd"/>
    <x v="0"/>
    <s v="1. Concluído"/>
    <m/>
    <m/>
    <m/>
    <m/>
    <s v=""/>
    <s v=""/>
    <s v=""/>
    <m/>
    <m/>
    <m/>
    <m/>
    <m/>
    <x v="0"/>
    <m/>
  </r>
  <r>
    <x v="0"/>
    <x v="2"/>
    <x v="0"/>
    <s v="modesg_out_empr_info_nfin"/>
    <s v="ccm_capex_enblng_algnd"/>
    <x v="0"/>
    <s v="1. Concluído"/>
    <m/>
    <m/>
    <m/>
    <m/>
    <s v=""/>
    <s v=""/>
    <s v=""/>
    <m/>
    <m/>
    <m/>
    <m/>
    <m/>
    <x v="0"/>
    <m/>
  </r>
  <r>
    <x v="0"/>
    <x v="2"/>
    <x v="0"/>
    <s v="modesg_out_empr_info_nfin"/>
    <s v="ccm_capex_own_prfrmnce_algnd"/>
    <x v="0"/>
    <s v="1. Concluído"/>
    <m/>
    <m/>
    <m/>
    <m/>
    <s v=""/>
    <s v=""/>
    <s v=""/>
    <m/>
    <m/>
    <m/>
    <m/>
    <m/>
    <x v="0"/>
    <m/>
  </r>
  <r>
    <x v="0"/>
    <x v="2"/>
    <x v="0"/>
    <s v="modesg_out_empr_info_nfin"/>
    <s v="ccm_capex_trnstn_algnd"/>
    <x v="0"/>
    <s v="1. Concluído"/>
    <m/>
    <m/>
    <m/>
    <m/>
    <s v=""/>
    <s v=""/>
    <s v=""/>
    <m/>
    <m/>
    <m/>
    <m/>
    <m/>
    <x v="0"/>
    <m/>
  </r>
  <r>
    <x v="0"/>
    <x v="2"/>
    <x v="0"/>
    <s v="modesg_out_empr_info_nfin"/>
    <s v="ccm_capex_ttl_elgbl"/>
    <x v="0"/>
    <s v="1. Concluído"/>
    <m/>
    <m/>
    <m/>
    <m/>
    <s v=""/>
    <s v=""/>
    <s v=""/>
    <m/>
    <m/>
    <m/>
    <m/>
    <m/>
    <x v="0"/>
    <m/>
  </r>
  <r>
    <x v="0"/>
    <x v="2"/>
    <x v="0"/>
    <s v="modesg_out_empr_info_nfin"/>
    <s v="ccm_trnvr_enblng_algnd"/>
    <x v="0"/>
    <s v="1. Concluído"/>
    <m/>
    <m/>
    <m/>
    <m/>
    <s v=""/>
    <s v=""/>
    <s v=""/>
    <m/>
    <m/>
    <m/>
    <m/>
    <m/>
    <x v="0"/>
    <m/>
  </r>
  <r>
    <x v="0"/>
    <x v="2"/>
    <x v="0"/>
    <s v="modesg_out_empr_info_nfin"/>
    <s v="ccm_trnvr_own_prfrmnce_algnd"/>
    <x v="0"/>
    <s v="1. Concluído"/>
    <m/>
    <m/>
    <m/>
    <m/>
    <s v=""/>
    <s v=""/>
    <s v=""/>
    <m/>
    <m/>
    <m/>
    <m/>
    <m/>
    <x v="0"/>
    <m/>
  </r>
  <r>
    <x v="0"/>
    <x v="2"/>
    <x v="0"/>
    <s v="modesg_out_empr_info_nfin"/>
    <s v="ccm_trnvr_trnstn_alignd"/>
    <x v="0"/>
    <s v="1. Concluído"/>
    <m/>
    <m/>
    <m/>
    <m/>
    <s v=""/>
    <s v=""/>
    <s v=""/>
    <m/>
    <m/>
    <m/>
    <m/>
    <m/>
    <x v="0"/>
    <m/>
  </r>
  <r>
    <x v="0"/>
    <x v="2"/>
    <x v="0"/>
    <s v="modesg_out_empr_info_nfin"/>
    <s v="ccm_trnvr_ttl_elgbl"/>
    <x v="0"/>
    <s v="1. Concluído"/>
    <m/>
    <m/>
    <m/>
    <m/>
    <s v=""/>
    <s v=""/>
    <s v=""/>
    <m/>
    <m/>
    <m/>
    <m/>
    <m/>
    <x v="0"/>
    <m/>
  </r>
  <r>
    <x v="0"/>
    <x v="2"/>
    <x v="0"/>
    <s v="modesg_out_empr_info_nfin"/>
    <s v="flg_emprs_excl_paris"/>
    <x v="0"/>
    <s v="1. Concluído"/>
    <m/>
    <m/>
    <m/>
    <m/>
    <s v=""/>
    <s v=""/>
    <s v=""/>
    <m/>
    <m/>
    <m/>
    <m/>
    <m/>
    <x v="0"/>
    <m/>
  </r>
  <r>
    <x v="0"/>
    <x v="2"/>
    <x v="0"/>
    <s v="modesg_out_empr_info_nfin"/>
    <s v="flg_nfrd"/>
    <x v="0"/>
    <s v="1. Concluído"/>
    <m/>
    <m/>
    <m/>
    <m/>
    <s v=""/>
    <s v=""/>
    <s v=""/>
    <m/>
    <m/>
    <m/>
    <m/>
    <m/>
    <x v="0"/>
    <m/>
  </r>
  <r>
    <x v="0"/>
    <x v="2"/>
    <x v="0"/>
    <s v="modesg_out_empr_info_nfin"/>
    <s v="origem_alinhamentos"/>
    <x v="0"/>
    <s v="1. Concluído"/>
    <m/>
    <m/>
    <m/>
    <m/>
    <s v=""/>
    <s v=""/>
    <s v=""/>
    <m/>
    <m/>
    <m/>
    <m/>
    <m/>
    <x v="0"/>
    <m/>
  </r>
  <r>
    <x v="0"/>
    <x v="2"/>
    <x v="0"/>
    <s v="modesg_out_empr_info_nfin"/>
    <s v="origem_flg_emprs_excl_paris"/>
    <x v="0"/>
    <s v="1. Concluído"/>
    <m/>
    <m/>
    <m/>
    <m/>
    <s v=""/>
    <s v=""/>
    <s v=""/>
    <m/>
    <m/>
    <m/>
    <m/>
    <m/>
    <x v="0"/>
    <m/>
  </r>
  <r>
    <x v="0"/>
    <x v="2"/>
    <x v="0"/>
    <s v="modesg_out_empr_info_nfin"/>
    <s v="origem_flg_nfrd"/>
    <x v="0"/>
    <s v="1. Concluído"/>
    <m/>
    <m/>
    <m/>
    <m/>
    <s v=""/>
    <s v=""/>
    <s v=""/>
    <m/>
    <m/>
    <m/>
    <m/>
    <m/>
    <x v="0"/>
    <m/>
  </r>
  <r>
    <x v="0"/>
    <x v="2"/>
    <x v="0"/>
    <s v="modesg_out_empr_info_nfin"/>
    <s v="ref_date"/>
    <x v="0"/>
    <s v="1. Concluído"/>
    <m/>
    <m/>
    <m/>
    <m/>
    <s v=""/>
    <s v=""/>
    <s v=""/>
    <m/>
    <m/>
    <m/>
    <m/>
    <m/>
    <x v="0"/>
    <m/>
  </r>
  <r>
    <x v="0"/>
    <x v="2"/>
    <x v="0"/>
    <s v="modesg_out_empr_info_nfin"/>
    <s v="zcliente"/>
    <x v="0"/>
    <s v="1. Concluído"/>
    <m/>
    <m/>
    <m/>
    <m/>
    <s v=""/>
    <s v=""/>
    <s v=""/>
    <m/>
    <m/>
    <m/>
    <m/>
    <m/>
    <x v="0"/>
    <m/>
  </r>
  <r>
    <x v="0"/>
    <x v="2"/>
    <x v="1"/>
    <s v="modesg_out_emss_vcls"/>
    <s v="n.a."/>
    <x v="0"/>
    <s v="1. Concluído"/>
    <m/>
    <m/>
    <m/>
    <m/>
    <s v=""/>
    <s v=""/>
    <s v=""/>
    <m/>
    <m/>
    <m/>
    <m/>
    <m/>
    <x v="0"/>
    <m/>
  </r>
  <r>
    <x v="0"/>
    <x v="2"/>
    <x v="0"/>
    <s v="modesg_out_emss_vcls"/>
    <s v="cempbem"/>
    <x v="0"/>
    <s v="1. Concluído"/>
    <m/>
    <m/>
    <m/>
    <m/>
    <s v=""/>
    <s v=""/>
    <s v=""/>
    <m/>
    <m/>
    <m/>
    <m/>
    <m/>
    <x v="0"/>
    <m/>
  </r>
  <r>
    <x v="0"/>
    <x v="2"/>
    <x v="0"/>
    <s v="modesg_out_emss_vcls"/>
    <s v="ckbalbem"/>
    <x v="0"/>
    <s v="1. Concluído"/>
    <m/>
    <m/>
    <m/>
    <m/>
    <s v=""/>
    <s v=""/>
    <s v=""/>
    <m/>
    <m/>
    <m/>
    <m/>
    <m/>
    <x v="0"/>
    <m/>
  </r>
  <r>
    <x v="0"/>
    <x v="2"/>
    <x v="0"/>
    <s v="modesg_out_emss_vcls"/>
    <s v="ckctabem"/>
    <x v="0"/>
    <s v="1. Concluído"/>
    <m/>
    <m/>
    <m/>
    <m/>
    <s v=""/>
    <s v=""/>
    <s v=""/>
    <m/>
    <m/>
    <m/>
    <m/>
    <m/>
    <x v="0"/>
    <m/>
  </r>
  <r>
    <x v="0"/>
    <x v="2"/>
    <x v="0"/>
    <s v="modesg_out_emss_vcls"/>
    <s v="ckrefbem"/>
    <x v="0"/>
    <s v="1. Concluído"/>
    <m/>
    <m/>
    <m/>
    <m/>
    <s v=""/>
    <s v=""/>
    <s v=""/>
    <m/>
    <m/>
    <m/>
    <m/>
    <m/>
    <x v="0"/>
    <m/>
  </r>
  <r>
    <x v="0"/>
    <x v="2"/>
    <x v="0"/>
    <s v="modesg_out_emss_vcls"/>
    <s v="cnsm_co2"/>
    <x v="0"/>
    <s v="1. Concluído"/>
    <m/>
    <m/>
    <m/>
    <m/>
    <s v=""/>
    <s v=""/>
    <s v=""/>
    <m/>
    <m/>
    <m/>
    <m/>
    <m/>
    <x v="0"/>
    <m/>
  </r>
  <r>
    <x v="0"/>
    <x v="2"/>
    <x v="0"/>
    <s v="modesg_out_emss_vcls"/>
    <s v="origem_scp1_emss"/>
    <x v="0"/>
    <s v="1. Concluído"/>
    <m/>
    <m/>
    <m/>
    <s v="Package X"/>
    <s v=""/>
    <s v=""/>
    <s v=""/>
    <m/>
    <m/>
    <m/>
    <m/>
    <m/>
    <x v="0"/>
    <m/>
  </r>
  <r>
    <x v="0"/>
    <x v="2"/>
    <x v="0"/>
    <s v="modesg_out_emss_vcls"/>
    <s v="origem_scp2_emss"/>
    <x v="0"/>
    <s v="1. Concluído"/>
    <m/>
    <m/>
    <m/>
    <s v="Package X"/>
    <s v=""/>
    <s v=""/>
    <s v=""/>
    <m/>
    <m/>
    <m/>
    <m/>
    <m/>
    <x v="0"/>
    <m/>
  </r>
  <r>
    <x v="0"/>
    <x v="2"/>
    <x v="0"/>
    <s v="modesg_out_emss_vcls"/>
    <s v="origem_scp3_emss"/>
    <x v="0"/>
    <s v="1. Concluído"/>
    <m/>
    <m/>
    <m/>
    <s v="Package X"/>
    <s v=""/>
    <s v=""/>
    <s v=""/>
    <m/>
    <m/>
    <m/>
    <m/>
    <m/>
    <x v="0"/>
    <m/>
  </r>
  <r>
    <x v="0"/>
    <x v="2"/>
    <x v="0"/>
    <s v="modesg_out_emss_vcls"/>
    <s v="ref_date"/>
    <x v="0"/>
    <s v="1. Concluído"/>
    <m/>
    <m/>
    <m/>
    <m/>
    <s v=""/>
    <s v=""/>
    <s v=""/>
    <m/>
    <m/>
    <m/>
    <m/>
    <m/>
    <x v="0"/>
    <m/>
  </r>
  <r>
    <x v="0"/>
    <x v="2"/>
    <x v="0"/>
    <s v="modesg_out_emss_vcls"/>
    <s v="scp1_emss"/>
    <x v="0"/>
    <s v="1. Concluído"/>
    <m/>
    <m/>
    <m/>
    <s v="Package X"/>
    <s v=""/>
    <s v=""/>
    <s v=""/>
    <m/>
    <m/>
    <m/>
    <m/>
    <m/>
    <x v="0"/>
    <m/>
  </r>
  <r>
    <x v="0"/>
    <x v="2"/>
    <x v="0"/>
    <s v="modesg_out_emss_vcls"/>
    <s v="scp2_emss"/>
    <x v="0"/>
    <s v="1. Concluído"/>
    <m/>
    <m/>
    <m/>
    <s v="Package X"/>
    <s v=""/>
    <s v=""/>
    <s v=""/>
    <m/>
    <m/>
    <m/>
    <m/>
    <m/>
    <x v="0"/>
    <m/>
  </r>
  <r>
    <x v="0"/>
    <x v="2"/>
    <x v="0"/>
    <s v="modesg_out_emss_vcls"/>
    <s v="scp3_emss"/>
    <x v="0"/>
    <s v="1. Concluído"/>
    <m/>
    <m/>
    <m/>
    <s v="Package X"/>
    <s v=""/>
    <s v=""/>
    <s v=""/>
    <m/>
    <m/>
    <m/>
    <m/>
    <m/>
    <x v="0"/>
    <m/>
  </r>
  <r>
    <x v="0"/>
    <x v="2"/>
    <x v="0"/>
    <s v="modesg_out_emss_vcls"/>
    <s v="unidade_funcional_scp1_emss"/>
    <x v="0"/>
    <s v="1. Concluído"/>
    <m/>
    <m/>
    <m/>
    <s v="Package X"/>
    <s v=""/>
    <s v=""/>
    <s v=""/>
    <m/>
    <m/>
    <m/>
    <m/>
    <m/>
    <x v="0"/>
    <m/>
  </r>
  <r>
    <x v="0"/>
    <x v="2"/>
    <x v="0"/>
    <s v="modesg_out_emss_vcls"/>
    <s v="unidade_funcional_scp2_emss"/>
    <x v="0"/>
    <s v="1. Concluído"/>
    <m/>
    <m/>
    <m/>
    <s v="Package X"/>
    <s v=""/>
    <s v=""/>
    <s v=""/>
    <m/>
    <m/>
    <m/>
    <m/>
    <m/>
    <x v="0"/>
    <m/>
  </r>
  <r>
    <x v="0"/>
    <x v="2"/>
    <x v="0"/>
    <s v="modesg_out_emss_vcls"/>
    <s v="unidade_funcional_scp3_emss"/>
    <x v="0"/>
    <s v="1. Concluído"/>
    <m/>
    <m/>
    <m/>
    <s v="Package X"/>
    <s v=""/>
    <s v=""/>
    <s v=""/>
    <m/>
    <m/>
    <m/>
    <m/>
    <m/>
    <x v="0"/>
    <m/>
  </r>
  <r>
    <x v="0"/>
    <x v="2"/>
    <x v="0"/>
    <s v="modesg_out_sfics_taxon_europeia"/>
    <s v="ordem"/>
    <x v="5"/>
    <s v="0. Cancelado"/>
    <m/>
    <m/>
    <m/>
    <m/>
    <s v=""/>
    <s v=""/>
    <s v=""/>
    <m/>
    <m/>
    <m/>
    <m/>
    <m/>
    <x v="0"/>
    <m/>
  </r>
  <r>
    <x v="0"/>
    <x v="1"/>
    <x v="0"/>
    <s v="lt003_entity"/>
    <s v="txnmy_elgbl_capex_ccm"/>
    <x v="0"/>
    <s v="1. Concluído"/>
    <m/>
    <m/>
    <m/>
    <m/>
    <s v=""/>
    <s v=""/>
    <s v=""/>
    <m/>
    <m/>
    <m/>
    <m/>
    <m/>
    <x v="0"/>
    <m/>
  </r>
  <r>
    <x v="0"/>
    <x v="1"/>
    <x v="0"/>
    <s v="lt003_entity"/>
    <s v="txnmy_elgbl_trnvr_ccm"/>
    <x v="0"/>
    <s v="1. Concluído"/>
    <m/>
    <m/>
    <m/>
    <m/>
    <s v=""/>
    <s v=""/>
    <s v=""/>
    <m/>
    <m/>
    <m/>
    <m/>
    <m/>
    <x v="0"/>
    <m/>
  </r>
  <r>
    <x v="0"/>
    <x v="1"/>
    <x v="0"/>
    <s v="lt003_entity"/>
    <s v="txnmy_elgbl_capex_cca"/>
    <x v="0"/>
    <s v="1. Concluído"/>
    <m/>
    <m/>
    <m/>
    <m/>
    <s v=""/>
    <s v=""/>
    <s v=""/>
    <m/>
    <m/>
    <m/>
    <m/>
    <m/>
    <x v="0"/>
    <m/>
  </r>
  <r>
    <x v="0"/>
    <x v="1"/>
    <x v="0"/>
    <s v="lt003_entity"/>
    <s v="txnmy_elgbl_trnvr_cca"/>
    <x v="0"/>
    <s v="1. Concluído"/>
    <m/>
    <m/>
    <m/>
    <m/>
    <s v=""/>
    <s v=""/>
    <s v=""/>
    <m/>
    <m/>
    <m/>
    <m/>
    <m/>
    <x v="0"/>
    <m/>
  </r>
  <r>
    <x v="0"/>
    <x v="1"/>
    <x v="0"/>
    <s v="lt003_entity"/>
    <s v="enblng_capex_ccm"/>
    <x v="0"/>
    <s v="1. Concluído"/>
    <m/>
    <m/>
    <m/>
    <m/>
    <s v=""/>
    <s v=""/>
    <s v=""/>
    <m/>
    <m/>
    <m/>
    <m/>
    <m/>
    <x v="0"/>
    <m/>
  </r>
  <r>
    <x v="0"/>
    <x v="1"/>
    <x v="0"/>
    <s v="lt003_entity"/>
    <s v="enblng_capex_cca"/>
    <x v="0"/>
    <s v="1. Concluído"/>
    <m/>
    <m/>
    <m/>
    <m/>
    <s v=""/>
    <s v=""/>
    <s v=""/>
    <m/>
    <m/>
    <m/>
    <m/>
    <m/>
    <x v="0"/>
    <m/>
  </r>
  <r>
    <x v="0"/>
    <x v="1"/>
    <x v="0"/>
    <s v="lt003_entity"/>
    <s v="trnstnl_capex"/>
    <x v="0"/>
    <s v="1. Concluído"/>
    <m/>
    <m/>
    <m/>
    <m/>
    <s v=""/>
    <s v=""/>
    <s v=""/>
    <m/>
    <m/>
    <m/>
    <m/>
    <m/>
    <x v="0"/>
    <m/>
  </r>
  <r>
    <x v="0"/>
    <x v="1"/>
    <x v="0"/>
    <s v="lt003_entity"/>
    <s v="pure_capex_ccm"/>
    <x v="0"/>
    <s v="1. Concluído"/>
    <m/>
    <m/>
    <m/>
    <m/>
    <s v=""/>
    <s v=""/>
    <s v=""/>
    <m/>
    <m/>
    <m/>
    <m/>
    <m/>
    <x v="0"/>
    <m/>
  </r>
  <r>
    <x v="0"/>
    <x v="1"/>
    <x v="0"/>
    <s v="lt003_entity"/>
    <s v="pure_capex_cca"/>
    <x v="0"/>
    <s v="1. Concluído"/>
    <m/>
    <m/>
    <m/>
    <m/>
    <s v=""/>
    <s v=""/>
    <s v=""/>
    <m/>
    <m/>
    <m/>
    <m/>
    <m/>
    <x v="0"/>
    <m/>
  </r>
  <r>
    <x v="0"/>
    <x v="1"/>
    <x v="0"/>
    <s v="lt003_entity"/>
    <s v="enblng_trnvr_ccm"/>
    <x v="0"/>
    <s v="1. Concluído"/>
    <m/>
    <m/>
    <m/>
    <m/>
    <s v=""/>
    <s v=""/>
    <s v=""/>
    <m/>
    <m/>
    <m/>
    <m/>
    <m/>
    <x v="0"/>
    <m/>
  </r>
  <r>
    <x v="0"/>
    <x v="1"/>
    <x v="0"/>
    <s v="lt003_entity"/>
    <s v="enblng_trnvr_cca"/>
    <x v="0"/>
    <s v="1. Concluído"/>
    <m/>
    <m/>
    <m/>
    <m/>
    <s v=""/>
    <s v=""/>
    <s v=""/>
    <m/>
    <m/>
    <m/>
    <m/>
    <m/>
    <x v="0"/>
    <m/>
  </r>
  <r>
    <x v="0"/>
    <x v="1"/>
    <x v="0"/>
    <s v="lt003_entity"/>
    <s v="trnstnl_trnvr"/>
    <x v="0"/>
    <s v="1. Concluído"/>
    <m/>
    <m/>
    <m/>
    <m/>
    <s v=""/>
    <s v=""/>
    <s v=""/>
    <m/>
    <m/>
    <m/>
    <m/>
    <m/>
    <x v="0"/>
    <m/>
  </r>
  <r>
    <x v="0"/>
    <x v="1"/>
    <x v="0"/>
    <s v="lt003_entity"/>
    <s v="pure_trnvr_ccm"/>
    <x v="0"/>
    <s v="1. Concluído"/>
    <m/>
    <m/>
    <m/>
    <m/>
    <s v=""/>
    <s v=""/>
    <s v=""/>
    <m/>
    <m/>
    <m/>
    <m/>
    <m/>
    <x v="0"/>
    <m/>
  </r>
  <r>
    <x v="0"/>
    <x v="1"/>
    <x v="0"/>
    <s v="lt003_entity"/>
    <s v="pure_trnvr_cca"/>
    <x v="0"/>
    <s v="1. Concluído"/>
    <m/>
    <m/>
    <m/>
    <m/>
    <s v=""/>
    <s v=""/>
    <s v=""/>
    <m/>
    <m/>
    <m/>
    <m/>
    <m/>
    <x v="0"/>
    <m/>
  </r>
  <r>
    <x v="0"/>
    <x v="1"/>
    <x v="0"/>
    <s v="lt003_entity"/>
    <s v="flg_nfrd_applcblty"/>
    <x v="0"/>
    <s v="1. Concluído"/>
    <m/>
    <m/>
    <m/>
    <m/>
    <s v=""/>
    <s v=""/>
    <s v=""/>
    <m/>
    <m/>
    <m/>
    <m/>
    <m/>
    <x v="0"/>
    <m/>
  </r>
  <r>
    <x v="0"/>
    <x v="1"/>
    <x v="0"/>
    <s v="lt003_entity"/>
    <s v="cntrprty_emssns_scp1"/>
    <x v="0"/>
    <s v="1. Concluído"/>
    <m/>
    <m/>
    <m/>
    <m/>
    <s v=""/>
    <s v=""/>
    <s v=""/>
    <m/>
    <m/>
    <m/>
    <m/>
    <m/>
    <x v="0"/>
    <m/>
  </r>
  <r>
    <x v="0"/>
    <x v="1"/>
    <x v="0"/>
    <s v="lt003_entity"/>
    <s v="cntrprty_emssns_scp2"/>
    <x v="0"/>
    <s v="1. Concluído"/>
    <m/>
    <m/>
    <m/>
    <m/>
    <s v=""/>
    <s v=""/>
    <s v=""/>
    <m/>
    <m/>
    <m/>
    <m/>
    <m/>
    <x v="0"/>
    <m/>
  </r>
  <r>
    <x v="0"/>
    <x v="1"/>
    <x v="0"/>
    <s v="lt003_entity"/>
    <s v="cntrprty_emssns_scp3"/>
    <x v="0"/>
    <s v="1. Concluído"/>
    <m/>
    <m/>
    <m/>
    <m/>
    <s v=""/>
    <s v=""/>
    <s v=""/>
    <m/>
    <m/>
    <m/>
    <m/>
    <m/>
    <x v="0"/>
    <m/>
  </r>
  <r>
    <x v="0"/>
    <x v="1"/>
    <x v="0"/>
    <s v="lt003_entity"/>
    <s v="flg_excldd_eu_prs_algnd_bnchmrk"/>
    <x v="0"/>
    <s v="1. Concluído"/>
    <m/>
    <m/>
    <m/>
    <m/>
    <s v=""/>
    <s v=""/>
    <s v=""/>
    <m/>
    <m/>
    <m/>
    <m/>
    <m/>
    <x v="0"/>
    <m/>
  </r>
  <r>
    <x v="0"/>
    <x v="1"/>
    <x v="0"/>
    <s v="lt003_entity"/>
    <s v="pst_cd"/>
    <x v="0"/>
    <s v="1. Concluído"/>
    <m/>
    <m/>
    <m/>
    <m/>
    <s v=""/>
    <s v=""/>
    <s v=""/>
    <m/>
    <m/>
    <m/>
    <m/>
    <m/>
    <x v="0"/>
    <m/>
  </r>
  <r>
    <x v="0"/>
    <x v="1"/>
    <x v="0"/>
    <s v="lt003_entity"/>
    <s v="ttl_lblty"/>
    <x v="0"/>
    <s v="1. Concluído"/>
    <m/>
    <m/>
    <m/>
    <m/>
    <s v=""/>
    <s v=""/>
    <s v=""/>
    <d v="2024-10-28T00:00:00"/>
    <m/>
    <m/>
    <m/>
    <m/>
    <x v="0"/>
    <m/>
  </r>
  <r>
    <x v="0"/>
    <x v="1"/>
    <x v="0"/>
    <s v="lt003_entity"/>
    <s v="isin"/>
    <x v="0"/>
    <s v="1. Concluído"/>
    <m/>
    <m/>
    <m/>
    <m/>
    <s v=""/>
    <s v=""/>
    <s v=""/>
    <d v="2024-10-23T00:00:00"/>
    <m/>
    <m/>
    <m/>
    <m/>
    <x v="0"/>
    <m/>
  </r>
  <r>
    <x v="0"/>
    <x v="1"/>
    <x v="0"/>
    <s v="lt003_entity"/>
    <s v="grp_annl_trnvr_le"/>
    <x v="0"/>
    <s v="1. Concluído"/>
    <m/>
    <m/>
    <m/>
    <m/>
    <s v=""/>
    <s v=""/>
    <s v=""/>
    <d v="2024-10-28T00:00:00"/>
    <m/>
    <m/>
    <m/>
    <m/>
    <x v="0"/>
    <m/>
  </r>
  <r>
    <x v="0"/>
    <x v="1"/>
    <x v="0"/>
    <s v="lt003_entity"/>
    <s v="grp_ttl_lblty"/>
    <x v="0"/>
    <s v="1. Concluído"/>
    <m/>
    <m/>
    <m/>
    <m/>
    <s v=""/>
    <s v=""/>
    <s v=""/>
    <d v="2024-10-28T00:00:00"/>
    <m/>
    <m/>
    <m/>
    <m/>
    <x v="0"/>
    <m/>
  </r>
  <r>
    <x v="0"/>
    <x v="1"/>
    <x v="0"/>
    <s v="lt003_entity"/>
    <s v="flg_grp_nfrd_applcblty"/>
    <x v="0"/>
    <s v="1. Concluído"/>
    <m/>
    <m/>
    <m/>
    <m/>
    <s v=""/>
    <s v=""/>
    <s v=""/>
    <d v="2024-10-23T00:00:00"/>
    <m/>
    <m/>
    <m/>
    <m/>
    <x v="0"/>
    <m/>
  </r>
  <r>
    <x v="0"/>
    <x v="1"/>
    <x v="0"/>
    <s v="lt003_entity"/>
    <s v="grp_emssns_scp1"/>
    <x v="0"/>
    <s v="1. Concluído"/>
    <m/>
    <m/>
    <m/>
    <m/>
    <s v=""/>
    <s v=""/>
    <s v=""/>
    <d v="2024-10-23T00:00:00"/>
    <m/>
    <m/>
    <m/>
    <m/>
    <x v="0"/>
    <m/>
  </r>
  <r>
    <x v="0"/>
    <x v="1"/>
    <x v="0"/>
    <s v="lt003_entity"/>
    <s v="grp_emssns_scp2"/>
    <x v="0"/>
    <s v="1. Concluído"/>
    <m/>
    <m/>
    <m/>
    <m/>
    <s v=""/>
    <s v=""/>
    <s v=""/>
    <d v="2024-10-23T00:00:00"/>
    <m/>
    <m/>
    <m/>
    <m/>
    <x v="0"/>
    <m/>
  </r>
  <r>
    <x v="0"/>
    <x v="1"/>
    <x v="0"/>
    <s v="lt003_entity"/>
    <s v="grp_emssns_scp3"/>
    <x v="0"/>
    <s v="1. Concluído"/>
    <m/>
    <m/>
    <m/>
    <m/>
    <s v=""/>
    <s v=""/>
    <s v=""/>
    <d v="2024-10-23T00:00:00"/>
    <m/>
    <m/>
    <m/>
    <m/>
    <x v="0"/>
    <m/>
  </r>
  <r>
    <x v="0"/>
    <x v="1"/>
    <x v="0"/>
    <s v="lt004_protection"/>
    <s v="typ_epc_lbl"/>
    <x v="0"/>
    <s v="1. Concluído"/>
    <m/>
    <m/>
    <m/>
    <s v="Package X"/>
    <s v=""/>
    <s v=""/>
    <s v=""/>
    <m/>
    <m/>
    <m/>
    <m/>
    <m/>
    <x v="0"/>
    <m/>
  </r>
  <r>
    <x v="0"/>
    <x v="1"/>
    <x v="0"/>
    <s v="lt004_protection"/>
    <s v="epc_lbl"/>
    <x v="0"/>
    <s v="1. Concluído"/>
    <m/>
    <m/>
    <m/>
    <s v="Package X"/>
    <s v=""/>
    <s v=""/>
    <s v=""/>
    <m/>
    <m/>
    <m/>
    <m/>
    <m/>
    <x v="0"/>
    <m/>
  </r>
  <r>
    <x v="0"/>
    <x v="1"/>
    <x v="0"/>
    <s v="lt004_protection"/>
    <s v="emssns_scp1_prtctn"/>
    <x v="0"/>
    <s v="1. Concluído"/>
    <m/>
    <m/>
    <m/>
    <s v="Package X"/>
    <s v=""/>
    <s v=""/>
    <s v=""/>
    <m/>
    <m/>
    <m/>
    <m/>
    <m/>
    <x v="0"/>
    <m/>
  </r>
  <r>
    <x v="0"/>
    <x v="1"/>
    <x v="0"/>
    <s v="lt004_protection"/>
    <s v="emssns_scp2_prtctn"/>
    <x v="0"/>
    <s v="1. Concluído"/>
    <m/>
    <m/>
    <m/>
    <s v="Package X"/>
    <s v=""/>
    <s v=""/>
    <s v=""/>
    <m/>
    <m/>
    <m/>
    <m/>
    <m/>
    <x v="0"/>
    <m/>
  </r>
  <r>
    <x v="0"/>
    <x v="1"/>
    <x v="0"/>
    <s v="lt004_protection"/>
    <s v="emssns_scp3_prtctn"/>
    <x v="0"/>
    <s v="1. Concluído"/>
    <m/>
    <m/>
    <m/>
    <s v="Package X"/>
    <s v=""/>
    <s v=""/>
    <s v=""/>
    <m/>
    <m/>
    <m/>
    <m/>
    <m/>
    <x v="0"/>
    <m/>
  </r>
  <r>
    <x v="0"/>
    <x v="1"/>
    <x v="0"/>
    <s v="lt004_protection"/>
    <s v="mthd_usd_prtctn_scp_1"/>
    <x v="0"/>
    <s v="1. Concluído"/>
    <m/>
    <m/>
    <m/>
    <s v="Package X"/>
    <s v=""/>
    <s v=""/>
    <s v=""/>
    <m/>
    <m/>
    <m/>
    <m/>
    <m/>
    <x v="0"/>
    <m/>
  </r>
  <r>
    <x v="0"/>
    <x v="1"/>
    <x v="0"/>
    <s v="lt004_protection"/>
    <s v="mthd_usd_prtctn_scp_2"/>
    <x v="0"/>
    <s v="1. Concluído"/>
    <m/>
    <m/>
    <m/>
    <s v="Package X"/>
    <s v=""/>
    <s v=""/>
    <s v=""/>
    <m/>
    <m/>
    <m/>
    <m/>
    <m/>
    <x v="0"/>
    <m/>
  </r>
  <r>
    <x v="0"/>
    <x v="1"/>
    <x v="0"/>
    <s v="lt004_protection"/>
    <s v="mthd_usd_prtctn_scp_3"/>
    <x v="0"/>
    <s v="1. Concluído"/>
    <m/>
    <m/>
    <m/>
    <s v="Package X"/>
    <s v=""/>
    <s v=""/>
    <s v=""/>
    <m/>
    <m/>
    <m/>
    <m/>
    <m/>
    <x v="0"/>
    <m/>
  </r>
  <r>
    <x v="0"/>
    <x v="1"/>
    <x v="0"/>
    <s v="lt002_instrument"/>
    <s v="rsk_mtgtd_cct"/>
    <x v="0"/>
    <s v="1. Concluído"/>
    <m/>
    <m/>
    <m/>
    <m/>
    <s v=""/>
    <s v=""/>
    <s v=""/>
    <d v="2024-10-30T00:00:00"/>
    <m/>
    <m/>
    <m/>
    <m/>
    <x v="0"/>
    <m/>
  </r>
  <r>
    <x v="0"/>
    <x v="1"/>
    <x v="0"/>
    <s v="lt007_instr_activity"/>
    <s v="envrnmntl_objctv"/>
    <x v="0"/>
    <s v="1. Concluído"/>
    <m/>
    <m/>
    <m/>
    <m/>
    <s v=""/>
    <s v=""/>
    <s v=""/>
    <d v="2024-10-28T00:00:00"/>
    <m/>
    <m/>
    <m/>
    <m/>
    <x v="0"/>
    <s v="Voltar a ver"/>
  </r>
  <r>
    <x v="0"/>
    <x v="1"/>
    <x v="0"/>
    <s v="lt007_instr_activity"/>
    <s v="typ_actvty"/>
    <x v="0"/>
    <s v="1. Concluído"/>
    <m/>
    <m/>
    <m/>
    <m/>
    <s v=""/>
    <s v=""/>
    <s v=""/>
    <d v="2024-10-28T00:00:00"/>
    <m/>
    <m/>
    <m/>
    <m/>
    <x v="0"/>
    <s v="Voltar a ver"/>
  </r>
  <r>
    <x v="0"/>
    <x v="1"/>
    <x v="0"/>
    <s v="lt002_instrument"/>
    <s v="lns_clltrlzd_clssfctn"/>
    <x v="0"/>
    <s v="1. Concluído"/>
    <m/>
    <m/>
    <m/>
    <m/>
    <s v=""/>
    <s v=""/>
    <s v=""/>
    <m/>
    <m/>
    <m/>
    <m/>
    <m/>
    <x v="0"/>
    <m/>
  </r>
  <r>
    <x v="0"/>
    <x v="1"/>
    <x v="0"/>
    <s v="lt002_instrument"/>
    <s v="sstnbl_ctgry_txnmy"/>
    <x v="0"/>
    <s v="1. Concluído"/>
    <m/>
    <m/>
    <m/>
    <m/>
    <s v=""/>
    <s v=""/>
    <s v=""/>
    <d v="2024-10-28T00:00:00"/>
    <m/>
    <m/>
    <m/>
    <m/>
    <x v="0"/>
    <m/>
  </r>
  <r>
    <x v="0"/>
    <x v="1"/>
    <x v="0"/>
    <s v="lt827_mthd_usd_instrmnt"/>
    <s v="ambito"/>
    <x v="0"/>
    <s v="1. Concluído"/>
    <m/>
    <m/>
    <m/>
    <m/>
    <s v=""/>
    <s v=""/>
    <s v=""/>
    <d v="2024-10-28T00:00:00"/>
    <m/>
    <m/>
    <m/>
    <m/>
    <x v="0"/>
    <m/>
  </r>
  <r>
    <x v="0"/>
    <x v="1"/>
    <x v="0"/>
    <s v="lt827_mthd_usd_instrmnt"/>
    <s v="ref_date"/>
    <x v="0"/>
    <s v="1. Concluído"/>
    <m/>
    <m/>
    <m/>
    <m/>
    <s v=""/>
    <s v=""/>
    <s v=""/>
    <d v="2024-10-28T00:00:00"/>
    <m/>
    <m/>
    <m/>
    <m/>
    <x v="0"/>
    <m/>
  </r>
  <r>
    <x v="0"/>
    <x v="1"/>
    <x v="0"/>
    <s v="lt827_mthd_usd_instrmnt"/>
    <s v="ordem"/>
    <x v="0"/>
    <s v="1. Concluído"/>
    <m/>
    <m/>
    <m/>
    <m/>
    <s v=""/>
    <s v=""/>
    <s v=""/>
    <d v="2024-10-28T00:00:00"/>
    <m/>
    <m/>
    <m/>
    <m/>
    <x v="0"/>
    <m/>
  </r>
  <r>
    <x v="0"/>
    <x v="1"/>
    <x v="0"/>
    <s v="lt827_mthd_usd_instrmnt"/>
    <s v="tabela"/>
    <x v="0"/>
    <s v="1. Concluído"/>
    <m/>
    <m/>
    <m/>
    <m/>
    <s v=""/>
    <s v=""/>
    <s v=""/>
    <d v="2024-10-28T00:00:00"/>
    <m/>
    <m/>
    <m/>
    <m/>
    <x v="0"/>
    <m/>
  </r>
  <r>
    <x v="0"/>
    <x v="1"/>
    <x v="0"/>
    <s v="lt827_mthd_usd_instrmnt"/>
    <s v="origem_scp1_emss"/>
    <x v="0"/>
    <s v="1. Concluído"/>
    <m/>
    <m/>
    <m/>
    <m/>
    <s v=""/>
    <s v=""/>
    <s v=""/>
    <d v="2024-10-28T00:00:00"/>
    <m/>
    <m/>
    <m/>
    <m/>
    <x v="0"/>
    <m/>
  </r>
  <r>
    <x v="0"/>
    <x v="1"/>
    <x v="0"/>
    <s v="lt827_mthd_usd_instrmnt"/>
    <s v="origem_scp2_emss"/>
    <x v="0"/>
    <s v="1. Concluído"/>
    <m/>
    <m/>
    <m/>
    <m/>
    <s v=""/>
    <s v=""/>
    <s v=""/>
    <d v="2024-10-28T00:00:00"/>
    <m/>
    <m/>
    <m/>
    <m/>
    <x v="0"/>
    <m/>
  </r>
  <r>
    <x v="0"/>
    <x v="1"/>
    <x v="0"/>
    <s v="lt827_mthd_usd_instrmnt"/>
    <s v="origem_scp3_emss"/>
    <x v="0"/>
    <s v="1. Concluído"/>
    <m/>
    <m/>
    <m/>
    <m/>
    <s v=""/>
    <s v=""/>
    <s v=""/>
    <d v="2024-10-28T00:00:00"/>
    <m/>
    <m/>
    <m/>
    <m/>
    <x v="0"/>
    <m/>
  </r>
  <r>
    <x v="0"/>
    <x v="1"/>
    <x v="0"/>
    <s v="lt827_mthd_usd_instrmnt"/>
    <s v="mthd_usd_instrmnt_scp_1"/>
    <x v="0"/>
    <s v="1. Concluído"/>
    <m/>
    <m/>
    <m/>
    <m/>
    <s v=""/>
    <s v=""/>
    <s v=""/>
    <d v="2024-10-28T00:00:00"/>
    <m/>
    <m/>
    <m/>
    <m/>
    <x v="0"/>
    <m/>
  </r>
  <r>
    <x v="0"/>
    <x v="1"/>
    <x v="0"/>
    <s v="lt827_mthd_usd_instrmnt"/>
    <s v="mthd_usd_instrmnt_scp_2"/>
    <x v="0"/>
    <s v="1. Concluído"/>
    <m/>
    <m/>
    <m/>
    <m/>
    <s v=""/>
    <s v=""/>
    <s v=""/>
    <d v="2024-10-28T00:00:00"/>
    <m/>
    <m/>
    <m/>
    <m/>
    <x v="0"/>
    <m/>
  </r>
  <r>
    <x v="0"/>
    <x v="1"/>
    <x v="0"/>
    <s v="lt827_mthd_usd_instrmnt"/>
    <s v="mthd_usd_instrmnt_scp_3"/>
    <x v="0"/>
    <s v="1. Concluído"/>
    <m/>
    <m/>
    <m/>
    <m/>
    <s v=""/>
    <s v=""/>
    <s v=""/>
    <d v="2024-10-28T00:00:00"/>
    <m/>
    <m/>
    <m/>
    <m/>
    <x v="0"/>
    <m/>
  </r>
  <r>
    <x v="0"/>
    <x v="1"/>
    <x v="0"/>
    <s v="lt827_mthd_usd_instrmnt"/>
    <s v="purpose_code"/>
    <x v="0"/>
    <s v="1. Concluído"/>
    <m/>
    <m/>
    <m/>
    <m/>
    <s v=""/>
    <s v=""/>
    <s v=""/>
    <m/>
    <m/>
    <m/>
    <m/>
    <m/>
    <x v="0"/>
    <m/>
  </r>
  <r>
    <x v="0"/>
    <x v="1"/>
    <x v="0"/>
    <s v="lt827_mthd_usd_instrmnt"/>
    <s v="flg_fin"/>
    <x v="0"/>
    <s v="1. Concluído"/>
    <m/>
    <m/>
    <m/>
    <m/>
    <s v=""/>
    <s v=""/>
    <s v=""/>
    <m/>
    <m/>
    <m/>
    <m/>
    <m/>
    <x v="0"/>
    <m/>
  </r>
  <r>
    <x v="0"/>
    <x v="1"/>
    <x v="0"/>
    <s v="lt827_mthd_usd_instrmnt"/>
    <s v="flg_exec"/>
    <x v="0"/>
    <s v="1. Concluído"/>
    <m/>
    <m/>
    <m/>
    <m/>
    <s v=""/>
    <s v=""/>
    <s v=""/>
    <m/>
    <m/>
    <m/>
    <m/>
    <m/>
    <x v="0"/>
    <m/>
  </r>
  <r>
    <x v="0"/>
    <x v="1"/>
    <x v="0"/>
    <s v="lt827_mthd_usd_instrmnt"/>
    <s v="flg_col"/>
    <x v="0"/>
    <s v="1. Concluído"/>
    <m/>
    <m/>
    <m/>
    <m/>
    <s v=""/>
    <s v=""/>
    <s v=""/>
    <m/>
    <m/>
    <m/>
    <m/>
    <m/>
    <x v="0"/>
    <m/>
  </r>
  <r>
    <x v="0"/>
    <x v="1"/>
    <x v="0"/>
    <s v="lt827_mthd_usd_instrmnt"/>
    <s v="flg_pro"/>
    <x v="0"/>
    <s v="1. Concluído"/>
    <m/>
    <m/>
    <m/>
    <m/>
    <s v=""/>
    <s v=""/>
    <s v=""/>
    <m/>
    <m/>
    <m/>
    <m/>
    <m/>
    <x v="0"/>
    <m/>
  </r>
  <r>
    <x v="0"/>
    <x v="1"/>
    <x v="0"/>
    <s v="lt826_esg_sbsctr"/>
    <s v="ambito"/>
    <x v="0"/>
    <s v="1. Concluído"/>
    <m/>
    <m/>
    <m/>
    <m/>
    <s v=""/>
    <s v=""/>
    <s v=""/>
    <m/>
    <m/>
    <m/>
    <m/>
    <m/>
    <x v="0"/>
    <m/>
  </r>
  <r>
    <x v="0"/>
    <x v="1"/>
    <x v="0"/>
    <s v="lt826_esg_sbsctr"/>
    <s v="ref_date"/>
    <x v="0"/>
    <s v="1. Concluído"/>
    <m/>
    <m/>
    <m/>
    <m/>
    <s v=""/>
    <s v=""/>
    <s v=""/>
    <m/>
    <m/>
    <m/>
    <m/>
    <m/>
    <x v="0"/>
    <m/>
  </r>
  <r>
    <x v="0"/>
    <x v="1"/>
    <x v="0"/>
    <s v="lt826_esg_sbsctr"/>
    <s v="ordem"/>
    <x v="0"/>
    <s v="1. Concluído"/>
    <m/>
    <m/>
    <m/>
    <m/>
    <s v=""/>
    <s v=""/>
    <s v=""/>
    <m/>
    <m/>
    <m/>
    <m/>
    <m/>
    <x v="0"/>
    <m/>
  </r>
  <r>
    <x v="0"/>
    <x v="1"/>
    <x v="0"/>
    <s v="lt826_esg_sbsctr"/>
    <s v="nace_code"/>
    <x v="0"/>
    <s v="1. Concluído"/>
    <m/>
    <m/>
    <m/>
    <m/>
    <s v=""/>
    <s v=""/>
    <s v=""/>
    <m/>
    <m/>
    <m/>
    <m/>
    <m/>
    <x v="0"/>
    <m/>
  </r>
  <r>
    <x v="0"/>
    <x v="1"/>
    <x v="0"/>
    <s v="lt826_esg_sbsctr"/>
    <s v="contraparte"/>
    <x v="0"/>
    <s v="1. Concluído"/>
    <m/>
    <m/>
    <m/>
    <m/>
    <s v=""/>
    <s v=""/>
    <s v=""/>
    <m/>
    <m/>
    <m/>
    <m/>
    <m/>
    <x v="0"/>
    <m/>
  </r>
  <r>
    <x v="0"/>
    <x v="1"/>
    <x v="0"/>
    <s v="lt826_esg_sbsctr"/>
    <s v="cnatureza_juri"/>
    <x v="0"/>
    <s v="1. Concluído"/>
    <m/>
    <m/>
    <m/>
    <m/>
    <s v=""/>
    <s v=""/>
    <s v=""/>
    <m/>
    <m/>
    <m/>
    <m/>
    <m/>
    <x v="0"/>
    <m/>
  </r>
  <r>
    <x v="0"/>
    <x v="1"/>
    <x v="0"/>
    <s v="lt826_esg_sbsctr"/>
    <s v="idcomb"/>
    <x v="0"/>
    <s v="1. Concluído"/>
    <m/>
    <m/>
    <m/>
    <m/>
    <s v=""/>
    <s v=""/>
    <s v=""/>
    <m/>
    <m/>
    <m/>
    <m/>
    <m/>
    <x v="0"/>
    <m/>
  </r>
  <r>
    <x v="0"/>
    <x v="1"/>
    <x v="0"/>
    <s v="lt826_esg_sbsctr"/>
    <s v="esg_sbsctr"/>
    <x v="0"/>
    <s v="1. Concluído"/>
    <m/>
    <m/>
    <m/>
    <m/>
    <s v=""/>
    <s v=""/>
    <s v=""/>
    <m/>
    <m/>
    <m/>
    <m/>
    <m/>
    <x v="0"/>
    <m/>
  </r>
  <r>
    <x v="0"/>
    <x v="1"/>
    <x v="0"/>
    <s v="lt826_esg_sbsctr"/>
    <s v="descrição"/>
    <x v="0"/>
    <s v="1. Concluído"/>
    <m/>
    <m/>
    <m/>
    <m/>
    <s v=""/>
    <s v=""/>
    <s v=""/>
    <m/>
    <m/>
    <m/>
    <m/>
    <m/>
    <x v="0"/>
    <m/>
  </r>
  <r>
    <x v="0"/>
    <x v="1"/>
    <x v="0"/>
    <s v="lt002_instrument"/>
    <s v="dt_rfrnc"/>
    <x v="0"/>
    <s v="1. Concluído"/>
    <m/>
    <m/>
    <m/>
    <m/>
    <s v=""/>
    <s v=""/>
    <s v=""/>
    <m/>
    <m/>
    <m/>
    <m/>
    <m/>
    <x v="0"/>
    <m/>
  </r>
  <r>
    <x v="0"/>
    <x v="1"/>
    <x v="0"/>
    <s v="lt002_instrument"/>
    <s v="instrmnt_id"/>
    <x v="0"/>
    <s v="1. Concluído"/>
    <m/>
    <m/>
    <m/>
    <m/>
    <s v=""/>
    <s v=""/>
    <s v=""/>
    <m/>
    <m/>
    <m/>
    <m/>
    <m/>
    <x v="0"/>
    <m/>
  </r>
  <r>
    <x v="0"/>
    <x v="1"/>
    <x v="0"/>
    <s v="lt002_instrument"/>
    <s v="dt_incptn"/>
    <x v="0"/>
    <s v="1. Concluído"/>
    <m/>
    <m/>
    <m/>
    <m/>
    <s v=""/>
    <s v=""/>
    <s v=""/>
    <m/>
    <m/>
    <m/>
    <m/>
    <m/>
    <x v="0"/>
    <m/>
  </r>
  <r>
    <x v="0"/>
    <x v="1"/>
    <x v="0"/>
    <s v="lt002_instrument"/>
    <s v="dflt_stts_instrmnt"/>
    <x v="0"/>
    <s v="1. Concluído"/>
    <m/>
    <m/>
    <m/>
    <m/>
    <s v=""/>
    <s v=""/>
    <s v=""/>
    <m/>
    <m/>
    <m/>
    <m/>
    <m/>
    <x v="0"/>
    <m/>
  </r>
  <r>
    <x v="0"/>
    <x v="1"/>
    <x v="0"/>
    <s v="lt002_instrument"/>
    <s v="imprmnt_stts"/>
    <x v="0"/>
    <s v="1. Concluído"/>
    <m/>
    <m/>
    <m/>
    <m/>
    <s v=""/>
    <s v=""/>
    <s v=""/>
    <m/>
    <m/>
    <m/>
    <m/>
    <m/>
    <x v="0"/>
    <m/>
  </r>
  <r>
    <x v="0"/>
    <x v="1"/>
    <x v="0"/>
    <s v="lt002_instrument"/>
    <s v="prfrmng_stts"/>
    <x v="0"/>
    <s v="1. Concluído"/>
    <m/>
    <m/>
    <m/>
    <m/>
    <s v=""/>
    <s v=""/>
    <s v=""/>
    <m/>
    <m/>
    <m/>
    <m/>
    <m/>
    <x v="0"/>
    <m/>
  </r>
  <r>
    <x v="0"/>
    <x v="1"/>
    <x v="0"/>
    <s v="lt002_instrument"/>
    <s v="prjct_fnnc_ln"/>
    <x v="0"/>
    <s v="1. Concluído"/>
    <m/>
    <m/>
    <m/>
    <m/>
    <s v=""/>
    <s v=""/>
    <s v=""/>
    <m/>
    <m/>
    <m/>
    <m/>
    <m/>
    <x v="0"/>
    <m/>
  </r>
  <r>
    <x v="0"/>
    <x v="1"/>
    <x v="0"/>
    <s v="lt002_instrument"/>
    <s v="typ_instrmnt"/>
    <x v="0"/>
    <s v="1. Concluído"/>
    <m/>
    <m/>
    <m/>
    <m/>
    <s v=""/>
    <s v=""/>
    <s v=""/>
    <m/>
    <m/>
    <m/>
    <m/>
    <m/>
    <x v="0"/>
    <m/>
  </r>
  <r>
    <x v="0"/>
    <x v="1"/>
    <x v="0"/>
    <s v="lt002_instrument"/>
    <s v="grss_crryng_amnt_instrmnt"/>
    <x v="0"/>
    <s v="1. Concluído"/>
    <m/>
    <m/>
    <m/>
    <m/>
    <s v=""/>
    <s v=""/>
    <s v=""/>
    <m/>
    <m/>
    <m/>
    <m/>
    <m/>
    <x v="0"/>
    <m/>
  </r>
  <r>
    <x v="0"/>
    <x v="1"/>
    <x v="0"/>
    <s v="lt002_instrument"/>
    <s v="accmltd_chngs_fv_cr_instrmnt"/>
    <x v="0"/>
    <s v="1. Concluído"/>
    <m/>
    <m/>
    <m/>
    <m/>
    <s v=""/>
    <s v=""/>
    <s v=""/>
    <m/>
    <m/>
    <m/>
    <m/>
    <m/>
    <x v="0"/>
    <m/>
  </r>
  <r>
    <x v="0"/>
    <x v="1"/>
    <x v="0"/>
    <s v="lt002_instrument"/>
    <s v="accntng_clssfctn"/>
    <x v="0"/>
    <s v="1. Concluído"/>
    <m/>
    <m/>
    <m/>
    <m/>
    <s v=""/>
    <s v=""/>
    <s v=""/>
    <m/>
    <m/>
    <m/>
    <m/>
    <m/>
    <x v="0"/>
    <m/>
  </r>
  <r>
    <x v="0"/>
    <x v="1"/>
    <x v="0"/>
    <s v="lt002_instrument"/>
    <s v="dt_lgl_fnl_mtrty"/>
    <x v="0"/>
    <s v="1. Concluído"/>
    <m/>
    <m/>
    <m/>
    <m/>
    <s v=""/>
    <s v=""/>
    <s v=""/>
    <m/>
    <m/>
    <m/>
    <m/>
    <m/>
    <x v="0"/>
    <m/>
  </r>
  <r>
    <x v="0"/>
    <x v="1"/>
    <x v="0"/>
    <s v="lt002_instrument"/>
    <s v="accmltd_imprmnt_instrmnt"/>
    <x v="0"/>
    <s v="1. Concluído"/>
    <m/>
    <m/>
    <m/>
    <m/>
    <s v=""/>
    <s v=""/>
    <s v=""/>
    <m/>
    <m/>
    <m/>
    <m/>
    <m/>
    <x v="0"/>
    <m/>
  </r>
  <r>
    <x v="0"/>
    <x v="1"/>
    <x v="0"/>
    <s v="lt002_instrument"/>
    <s v="issr_cntry"/>
    <x v="0"/>
    <s v="1. Concluído"/>
    <m/>
    <m/>
    <m/>
    <m/>
    <s v=""/>
    <s v=""/>
    <s v=""/>
    <m/>
    <m/>
    <m/>
    <m/>
    <m/>
    <x v="0"/>
    <m/>
  </r>
  <r>
    <x v="0"/>
    <x v="1"/>
    <x v="0"/>
    <s v="lt002_instrument"/>
    <s v="issr_nace_sctr"/>
    <x v="0"/>
    <s v="1. Concluído"/>
    <m/>
    <m/>
    <m/>
    <m/>
    <s v=""/>
    <s v=""/>
    <s v=""/>
    <m/>
    <m/>
    <m/>
    <m/>
    <m/>
    <x v="0"/>
    <m/>
  </r>
  <r>
    <x v="0"/>
    <x v="1"/>
    <x v="0"/>
    <s v="lt002_instrument"/>
    <s v="prmry_asst_clssf"/>
    <x v="0"/>
    <s v="1. Concluído"/>
    <m/>
    <m/>
    <m/>
    <m/>
    <s v=""/>
    <s v=""/>
    <s v=""/>
    <m/>
    <m/>
    <m/>
    <m/>
    <m/>
    <x v="0"/>
    <m/>
  </r>
  <r>
    <x v="0"/>
    <x v="1"/>
    <x v="0"/>
    <s v="lt002_instrument"/>
    <s v="subportfolio_id"/>
    <x v="0"/>
    <s v="1. Concluído"/>
    <m/>
    <m/>
    <m/>
    <m/>
    <s v=""/>
    <s v=""/>
    <s v=""/>
    <m/>
    <m/>
    <m/>
    <m/>
    <m/>
    <x v="0"/>
    <m/>
  </r>
  <r>
    <x v="0"/>
    <x v="1"/>
    <x v="0"/>
    <s v="lt002_instrument"/>
    <s v="cod_soc"/>
    <x v="0"/>
    <s v="1. Concluído"/>
    <m/>
    <m/>
    <m/>
    <m/>
    <s v=""/>
    <s v=""/>
    <s v=""/>
    <m/>
    <m/>
    <m/>
    <m/>
    <m/>
    <x v="0"/>
    <m/>
  </r>
  <r>
    <x v="0"/>
    <x v="1"/>
    <x v="0"/>
    <s v="lt002_instrument"/>
    <s v="lcl_instmrnt_id"/>
    <x v="0"/>
    <s v="1. Concluído"/>
    <m/>
    <m/>
    <m/>
    <m/>
    <s v=""/>
    <s v=""/>
    <s v=""/>
    <m/>
    <m/>
    <m/>
    <m/>
    <m/>
    <x v="0"/>
    <m/>
  </r>
  <r>
    <x v="0"/>
    <x v="1"/>
    <x v="0"/>
    <s v="lt002_instrument"/>
    <s v="idcmb"/>
    <x v="0"/>
    <s v="1. Concluído"/>
    <m/>
    <m/>
    <m/>
    <m/>
    <s v=""/>
    <s v=""/>
    <s v=""/>
    <m/>
    <m/>
    <m/>
    <m/>
    <m/>
    <x v="0"/>
    <m/>
  </r>
  <r>
    <x v="0"/>
    <x v="1"/>
    <x v="0"/>
    <s v="lt003_entity"/>
    <s v="cntry"/>
    <x v="0"/>
    <s v="1. Concluído"/>
    <m/>
    <m/>
    <m/>
    <m/>
    <s v=""/>
    <s v=""/>
    <s v=""/>
    <m/>
    <m/>
    <m/>
    <m/>
    <m/>
    <x v="0"/>
    <m/>
  </r>
  <r>
    <x v="0"/>
    <x v="1"/>
    <x v="0"/>
    <s v="lt003_entity"/>
    <s v="dt_rfrnc"/>
    <x v="0"/>
    <s v="1. Concluído"/>
    <m/>
    <m/>
    <m/>
    <m/>
    <s v=""/>
    <s v=""/>
    <s v=""/>
    <m/>
    <m/>
    <m/>
    <m/>
    <m/>
    <x v="0"/>
    <m/>
  </r>
  <r>
    <x v="0"/>
    <x v="1"/>
    <x v="0"/>
    <s v="lt003_entity"/>
    <s v="entty_id"/>
    <x v="0"/>
    <s v="1. Concluído"/>
    <m/>
    <m/>
    <m/>
    <m/>
    <s v=""/>
    <s v=""/>
    <s v=""/>
    <m/>
    <m/>
    <m/>
    <m/>
    <m/>
    <x v="0"/>
    <m/>
  </r>
  <r>
    <x v="0"/>
    <x v="1"/>
    <x v="0"/>
    <s v="lt003_entity"/>
    <s v="lei"/>
    <x v="0"/>
    <s v="1. Concluído"/>
    <m/>
    <m/>
    <m/>
    <m/>
    <s v=""/>
    <s v=""/>
    <s v=""/>
    <m/>
    <m/>
    <m/>
    <m/>
    <m/>
    <x v="0"/>
    <m/>
  </r>
  <r>
    <x v="0"/>
    <x v="1"/>
    <x v="0"/>
    <s v="lt003_entity"/>
    <s v="ecnmc_actvty"/>
    <x v="0"/>
    <s v="1. Concluído"/>
    <m/>
    <m/>
    <m/>
    <m/>
    <s v=""/>
    <s v=""/>
    <s v=""/>
    <m/>
    <m/>
    <m/>
    <m/>
    <m/>
    <x v="0"/>
    <m/>
  </r>
  <r>
    <x v="0"/>
    <x v="1"/>
    <x v="0"/>
    <s v="lt003_entity"/>
    <s v="grp_eqty"/>
    <x v="0"/>
    <s v="1. Concluído"/>
    <m/>
    <m/>
    <m/>
    <m/>
    <s v=""/>
    <s v=""/>
    <s v=""/>
    <m/>
    <m/>
    <m/>
    <m/>
    <m/>
    <x v="0"/>
    <m/>
  </r>
  <r>
    <x v="0"/>
    <x v="1"/>
    <x v="0"/>
    <s v="lt003_entity"/>
    <s v="annl_trnvr_le"/>
    <x v="0"/>
    <s v="1. Concluído"/>
    <m/>
    <m/>
    <m/>
    <m/>
    <s v=""/>
    <s v=""/>
    <s v=""/>
    <m/>
    <m/>
    <m/>
    <m/>
    <m/>
    <x v="0"/>
    <m/>
  </r>
  <r>
    <x v="0"/>
    <x v="1"/>
    <x v="0"/>
    <s v="lt003_entity"/>
    <s v="eqty"/>
    <x v="0"/>
    <s v="1. Concluído"/>
    <m/>
    <m/>
    <m/>
    <m/>
    <s v=""/>
    <s v=""/>
    <s v=""/>
    <m/>
    <m/>
    <m/>
    <m/>
    <m/>
    <x v="0"/>
    <m/>
  </r>
  <r>
    <x v="0"/>
    <x v="1"/>
    <x v="0"/>
    <s v="lt003_entity"/>
    <s v="grp_ttl_dbt"/>
    <x v="0"/>
    <s v="1. Concluído"/>
    <m/>
    <m/>
    <m/>
    <m/>
    <s v=""/>
    <s v=""/>
    <s v=""/>
    <m/>
    <m/>
    <m/>
    <m/>
    <m/>
    <x v="0"/>
    <m/>
  </r>
  <r>
    <x v="0"/>
    <x v="1"/>
    <x v="0"/>
    <s v="lt003_entity"/>
    <s v="ttl_dbt"/>
    <x v="0"/>
    <s v="1. Concluído"/>
    <m/>
    <m/>
    <m/>
    <m/>
    <s v=""/>
    <s v=""/>
    <s v=""/>
    <m/>
    <m/>
    <m/>
    <m/>
    <m/>
    <x v="0"/>
    <m/>
  </r>
  <r>
    <x v="0"/>
    <x v="1"/>
    <x v="0"/>
    <s v="lt003_entity"/>
    <s v="cod_soc"/>
    <x v="0"/>
    <s v="1. Concluído"/>
    <m/>
    <m/>
    <m/>
    <m/>
    <s v=""/>
    <s v=""/>
    <s v=""/>
    <m/>
    <m/>
    <m/>
    <m/>
    <m/>
    <x v="0"/>
    <m/>
  </r>
  <r>
    <x v="0"/>
    <x v="1"/>
    <x v="0"/>
    <s v="lt004_protection"/>
    <s v="dt_rfrnc"/>
    <x v="0"/>
    <s v="1. Concluído"/>
    <m/>
    <m/>
    <m/>
    <m/>
    <s v=""/>
    <s v=""/>
    <s v=""/>
    <m/>
    <m/>
    <m/>
    <m/>
    <m/>
    <x v="0"/>
    <m/>
  </r>
  <r>
    <x v="0"/>
    <x v="1"/>
    <x v="0"/>
    <s v="lt004_protection"/>
    <s v="prtctn_id"/>
    <x v="0"/>
    <s v="1. Concluído"/>
    <m/>
    <m/>
    <m/>
    <m/>
    <s v=""/>
    <s v=""/>
    <s v=""/>
    <d v="2024-10-23T00:00:00"/>
    <m/>
    <m/>
    <m/>
    <m/>
    <x v="0"/>
    <m/>
  </r>
  <r>
    <x v="0"/>
    <x v="1"/>
    <x v="0"/>
    <s v="lt004_protection"/>
    <s v="rl_estt_clltrl_lctn"/>
    <x v="0"/>
    <s v="1. Concluído"/>
    <m/>
    <m/>
    <m/>
    <s v="Package X"/>
    <s v=""/>
    <s v=""/>
    <s v=""/>
    <d v="2024-10-23T00:00:00"/>
    <m/>
    <m/>
    <m/>
    <m/>
    <x v="0"/>
    <m/>
  </r>
  <r>
    <x v="0"/>
    <x v="1"/>
    <x v="0"/>
    <s v="lt004_protection"/>
    <s v="rl_estt_pst_cd"/>
    <x v="0"/>
    <s v="1. Concluído"/>
    <m/>
    <m/>
    <m/>
    <m/>
    <s v=""/>
    <s v=""/>
    <s v=""/>
    <d v="2024-10-23T00:00:00"/>
    <m/>
    <m/>
    <m/>
    <m/>
    <x v="0"/>
    <m/>
  </r>
  <r>
    <x v="0"/>
    <x v="1"/>
    <x v="0"/>
    <s v="lt004_protection"/>
    <s v="typ_prtctn"/>
    <x v="0"/>
    <s v="1. Concluído"/>
    <m/>
    <m/>
    <m/>
    <m/>
    <s v=""/>
    <s v=""/>
    <s v=""/>
    <d v="2024-10-30T00:00:00"/>
    <m/>
    <m/>
    <m/>
    <m/>
    <x v="0"/>
    <m/>
  </r>
  <r>
    <x v="0"/>
    <x v="1"/>
    <x v="0"/>
    <s v="lt004_protection"/>
    <s v="orgnl_prtctn_vl"/>
    <x v="0"/>
    <s v="1. Concluído"/>
    <m/>
    <m/>
    <m/>
    <m/>
    <s v=""/>
    <s v=""/>
    <s v=""/>
    <d v="2024-10-30T00:00:00"/>
    <m/>
    <m/>
    <m/>
    <m/>
    <x v="0"/>
    <m/>
  </r>
  <r>
    <x v="0"/>
    <x v="1"/>
    <x v="0"/>
    <s v="lt004_protection"/>
    <s v="prtctn_vl"/>
    <x v="0"/>
    <s v="1. Concluído"/>
    <m/>
    <m/>
    <m/>
    <m/>
    <s v=""/>
    <s v=""/>
    <s v=""/>
    <d v="2024-10-23T00:00:00"/>
    <m/>
    <m/>
    <m/>
    <m/>
    <x v="0"/>
    <m/>
  </r>
  <r>
    <x v="0"/>
    <x v="1"/>
    <x v="0"/>
    <s v="lt004_protection"/>
    <s v="cod_soc"/>
    <x v="0"/>
    <s v="1. Concluído"/>
    <m/>
    <m/>
    <m/>
    <m/>
    <s v=""/>
    <s v=""/>
    <s v=""/>
    <m/>
    <m/>
    <m/>
    <m/>
    <m/>
    <x v="0"/>
    <m/>
  </r>
  <r>
    <x v="0"/>
    <x v="1"/>
    <x v="0"/>
    <s v="lt005_instr_ent"/>
    <s v="dt_rfrnc"/>
    <x v="0"/>
    <s v="1. Concluído"/>
    <m/>
    <m/>
    <m/>
    <m/>
    <s v=""/>
    <s v=""/>
    <s v=""/>
    <m/>
    <m/>
    <m/>
    <m/>
    <m/>
    <x v="0"/>
    <m/>
  </r>
  <r>
    <x v="0"/>
    <x v="1"/>
    <x v="0"/>
    <s v="lt005_instr_ent"/>
    <s v="entty_id"/>
    <x v="0"/>
    <s v="1. Concluído"/>
    <m/>
    <m/>
    <m/>
    <m/>
    <s v=""/>
    <s v=""/>
    <s v=""/>
    <m/>
    <m/>
    <m/>
    <m/>
    <m/>
    <x v="0"/>
    <m/>
  </r>
  <r>
    <x v="0"/>
    <x v="1"/>
    <x v="0"/>
    <s v="lt005_instr_ent"/>
    <s v="instrmnt_id"/>
    <x v="0"/>
    <s v="1. Concluído"/>
    <m/>
    <m/>
    <m/>
    <m/>
    <s v=""/>
    <s v=""/>
    <s v=""/>
    <m/>
    <m/>
    <m/>
    <m/>
    <m/>
    <x v="0"/>
    <m/>
  </r>
  <r>
    <x v="0"/>
    <x v="1"/>
    <x v="0"/>
    <s v="lt005_instr_ent"/>
    <s v="cod_soc"/>
    <x v="0"/>
    <s v="1. Concluído"/>
    <m/>
    <m/>
    <m/>
    <m/>
    <s v=""/>
    <s v=""/>
    <s v=""/>
    <m/>
    <m/>
    <m/>
    <m/>
    <m/>
    <x v="0"/>
    <m/>
  </r>
  <r>
    <x v="0"/>
    <x v="1"/>
    <x v="0"/>
    <s v="lt005_instr_ent"/>
    <s v="mn_entty_id"/>
    <x v="0"/>
    <s v="1. Concluído"/>
    <m/>
    <m/>
    <m/>
    <m/>
    <s v=""/>
    <s v=""/>
    <s v=""/>
    <m/>
    <m/>
    <m/>
    <m/>
    <m/>
    <x v="0"/>
    <m/>
  </r>
  <r>
    <x v="0"/>
    <x v="1"/>
    <x v="0"/>
    <s v="lt006_instr_prot"/>
    <s v="dt_rfrnc"/>
    <x v="0"/>
    <s v="1. Concluído"/>
    <m/>
    <m/>
    <m/>
    <m/>
    <s v=""/>
    <s v=""/>
    <s v=""/>
    <m/>
    <m/>
    <m/>
    <m/>
    <m/>
    <x v="0"/>
    <m/>
  </r>
  <r>
    <x v="0"/>
    <x v="1"/>
    <x v="0"/>
    <s v="lt006_instr_prot"/>
    <s v="instrmnt_id"/>
    <x v="0"/>
    <s v="1. Concluído"/>
    <m/>
    <m/>
    <m/>
    <m/>
    <s v=""/>
    <s v=""/>
    <s v=""/>
    <m/>
    <m/>
    <m/>
    <m/>
    <m/>
    <x v="0"/>
    <m/>
  </r>
  <r>
    <x v="0"/>
    <x v="1"/>
    <x v="0"/>
    <s v="lt006_instr_prot"/>
    <s v="prtctn_id"/>
    <x v="0"/>
    <s v="1. Concluído"/>
    <m/>
    <m/>
    <m/>
    <m/>
    <s v=""/>
    <s v=""/>
    <s v=""/>
    <m/>
    <m/>
    <m/>
    <m/>
    <m/>
    <x v="0"/>
    <m/>
  </r>
  <r>
    <x v="0"/>
    <x v="1"/>
    <x v="0"/>
    <s v="lt006_instr_prot"/>
    <s v="cod_soc"/>
    <x v="0"/>
    <s v="1. Concluído"/>
    <m/>
    <m/>
    <m/>
    <m/>
    <s v=""/>
    <s v=""/>
    <s v=""/>
    <m/>
    <m/>
    <m/>
    <m/>
    <m/>
    <x v="0"/>
    <s v="JB"/>
  </r>
  <r>
    <x v="0"/>
    <x v="1"/>
    <x v="0"/>
    <s v="lt004_protection"/>
    <s v="flg_fin"/>
    <x v="5"/>
    <s v="0. Cancelado"/>
    <m/>
    <m/>
    <m/>
    <m/>
    <s v=""/>
    <s v=""/>
    <s v=""/>
    <m/>
    <m/>
    <m/>
    <m/>
    <m/>
    <x v="0"/>
    <s v="JB"/>
  </r>
  <r>
    <x v="0"/>
    <x v="1"/>
    <x v="0"/>
    <s v="lt004_protection"/>
    <s v="flg_exec"/>
    <x v="5"/>
    <s v="0. Cancelado"/>
    <m/>
    <m/>
    <m/>
    <m/>
    <s v=""/>
    <s v=""/>
    <s v=""/>
    <m/>
    <m/>
    <m/>
    <m/>
    <m/>
    <x v="0"/>
    <s v="JB"/>
  </r>
  <r>
    <x v="0"/>
    <x v="1"/>
    <x v="0"/>
    <s v="lt004_protection"/>
    <s v="flg_col"/>
    <x v="5"/>
    <s v="0. Cancelado"/>
    <m/>
    <m/>
    <m/>
    <m/>
    <s v=""/>
    <s v=""/>
    <s v=""/>
    <m/>
    <m/>
    <m/>
    <m/>
    <m/>
    <x v="0"/>
    <m/>
  </r>
  <r>
    <x v="0"/>
    <x v="1"/>
    <x v="0"/>
    <s v="lt004_protection"/>
    <s v="flg_pro"/>
    <x v="5"/>
    <s v="0. Cancelado"/>
    <m/>
    <m/>
    <m/>
    <m/>
    <s v=""/>
    <s v=""/>
    <s v=""/>
    <m/>
    <m/>
    <m/>
    <m/>
    <m/>
    <x v="0"/>
    <m/>
  </r>
  <r>
    <x v="0"/>
    <x v="4"/>
    <x v="0"/>
    <s v="modesg_inp_emss_nace"/>
    <s v="nome_regiao"/>
    <x v="5"/>
    <s v="0. Cancelado"/>
    <m/>
    <m/>
    <m/>
    <s v="Package X"/>
    <s v=""/>
    <s v=""/>
    <s v=""/>
    <m/>
    <m/>
    <m/>
    <m/>
    <m/>
    <x v="0"/>
    <m/>
  </r>
  <r>
    <x v="0"/>
    <x v="4"/>
    <x v="0"/>
    <s v="modesg_inp_emss_nace"/>
    <s v="area_atividade"/>
    <x v="5"/>
    <s v="0. Cancelado"/>
    <m/>
    <m/>
    <m/>
    <s v="Package X"/>
    <s v=""/>
    <s v=""/>
    <s v=""/>
    <m/>
    <m/>
    <m/>
    <m/>
    <m/>
    <x v="0"/>
    <m/>
  </r>
  <r>
    <x v="0"/>
    <x v="4"/>
    <x v="0"/>
    <s v="modesg_inp_emss_nace"/>
    <s v="tipo_atividade"/>
    <x v="5"/>
    <s v="0. Cancelado"/>
    <m/>
    <m/>
    <m/>
    <s v="Package X"/>
    <s v=""/>
    <s v=""/>
    <s v=""/>
    <m/>
    <m/>
    <m/>
    <m/>
    <m/>
    <x v="0"/>
    <m/>
  </r>
  <r>
    <x v="0"/>
    <x v="4"/>
    <x v="0"/>
    <s v="modesg_inp_emss_nace"/>
    <s v="sub_tipo_atividade_1"/>
    <x v="5"/>
    <s v="0. Cancelado"/>
    <m/>
    <m/>
    <m/>
    <s v="Package X"/>
    <s v=""/>
    <s v=""/>
    <s v=""/>
    <m/>
    <m/>
    <m/>
    <m/>
    <m/>
    <x v="0"/>
    <m/>
  </r>
  <r>
    <x v="0"/>
    <x v="4"/>
    <x v="0"/>
    <s v="modesg_inp_emss_nace"/>
    <s v="sub_tipo_atividade_2"/>
    <x v="5"/>
    <s v="0. Cancelado"/>
    <m/>
    <m/>
    <m/>
    <s v="Package X"/>
    <s v=""/>
    <s v=""/>
    <s v=""/>
    <m/>
    <m/>
    <m/>
    <m/>
    <m/>
    <x v="0"/>
    <m/>
  </r>
  <r>
    <x v="0"/>
    <x v="4"/>
    <x v="0"/>
    <s v="modesg_inp_emss_nace"/>
    <s v="unidades_unidade_funcional"/>
    <x v="5"/>
    <s v="0. Cancelado"/>
    <m/>
    <m/>
    <m/>
    <s v="Package X"/>
    <s v=""/>
    <s v=""/>
    <s v=""/>
    <m/>
    <m/>
    <m/>
    <m/>
    <m/>
    <x v="0"/>
    <m/>
  </r>
  <r>
    <x v="0"/>
    <x v="4"/>
    <x v="0"/>
    <s v="modesg_inp_emss_nace"/>
    <s v="fator_emissao"/>
    <x v="5"/>
    <s v="0. Cancelado"/>
    <m/>
    <m/>
    <m/>
    <s v="Package X"/>
    <s v=""/>
    <s v=""/>
    <s v=""/>
    <m/>
    <m/>
    <m/>
    <m/>
    <m/>
    <x v="0"/>
    <m/>
  </r>
  <r>
    <x v="0"/>
    <x v="4"/>
    <x v="0"/>
    <s v="modesg_inp_km_medios_emss_vcls"/>
    <s v="media_scp1_emss"/>
    <x v="5"/>
    <s v="0. Cancelado"/>
    <m/>
    <m/>
    <m/>
    <m/>
    <s v=""/>
    <s v=""/>
    <s v=""/>
    <m/>
    <m/>
    <m/>
    <m/>
    <m/>
    <x v="0"/>
    <m/>
  </r>
  <r>
    <x v="0"/>
    <x v="4"/>
    <x v="0"/>
    <s v="modesg_inp_km_medios_emss_vcls"/>
    <s v="media_scp2_emss"/>
    <x v="5"/>
    <s v="0. Cancelado"/>
    <m/>
    <m/>
    <m/>
    <m/>
    <s v=""/>
    <s v=""/>
    <s v=""/>
    <m/>
    <m/>
    <m/>
    <m/>
    <m/>
    <x v="0"/>
    <m/>
  </r>
  <r>
    <x v="0"/>
    <x v="4"/>
    <x v="0"/>
    <s v="modesg_inp_km_medios_emss_vcls"/>
    <s v="media_scp3_emss"/>
    <x v="5"/>
    <s v="0. Cancelado"/>
    <m/>
    <m/>
    <m/>
    <m/>
    <s v=""/>
    <s v=""/>
    <s v=""/>
    <m/>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4" cacheId="36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I11" firstHeaderRow="1" firstDataRow="2" firstDataCol="1" rowPageCount="2" colPageCount="1"/>
  <pivotFields count="21">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Col" showAll="0">
      <items count="14">
        <item x="5"/>
        <item x="0"/>
        <item x="3"/>
        <item m="1" x="12"/>
        <item x="2"/>
        <item m="1" x="10"/>
        <item m="1" x="11"/>
        <item m="1" x="8"/>
        <item m="1" x="9"/>
        <item m="1" x="7"/>
        <item x="1"/>
        <item x="4"/>
        <item m="1" x="6"/>
        <item t="default"/>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s>
  <rowItems count="1">
    <i/>
  </rowItems>
  <colFields count="1">
    <field x="5"/>
  </colFields>
  <colItems count="7">
    <i>
      <x/>
    </i>
    <i>
      <x v="1"/>
    </i>
    <i>
      <x v="2"/>
    </i>
    <i>
      <x v="4"/>
    </i>
    <i>
      <x v="10"/>
    </i>
    <i>
      <x v="11"/>
    </i>
    <i t="grand">
      <x/>
    </i>
  </colItems>
  <pageFields count="2">
    <pageField fld="0" item="0" hier="-1"/>
    <pageField fld="2" item="1" hier="-1"/>
  </pageFields>
  <dataFields count="1">
    <dataField name="Count of Campo" fld="4" subtotal="count" baseField="0" baseItem="0"/>
  </dataFields>
  <chartFormats count="12">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0"/>
          </reference>
          <reference field="5" count="1" selected="0">
            <x v="10"/>
          </reference>
        </references>
      </pivotArea>
    </chartFormat>
    <chartFormat chart="0" format="20"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34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4">
  <location ref="B66:C7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5">
        <item x="0"/>
        <item x="1"/>
        <item x="4"/>
        <item x="2"/>
        <item x="3"/>
      </items>
    </pivotField>
  </pivotFields>
  <rowFields count="1">
    <field x="6"/>
  </rowFields>
  <rowItems count="5">
    <i>
      <x/>
    </i>
    <i>
      <x v="1"/>
    </i>
    <i>
      <x v="3"/>
    </i>
    <i>
      <x v="4"/>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9">
    <chartFormat chart="6" format="57">
      <pivotArea type="data" outline="0" fieldPosition="0">
        <references count="2">
          <reference field="4294967294" count="1" selected="0">
            <x v="0"/>
          </reference>
          <reference field="6" count="1" selected="0">
            <x v="1"/>
          </reference>
        </references>
      </pivotArea>
    </chartFormat>
    <chartFormat chart="6" format="58">
      <pivotArea type="data" outline="0" fieldPosition="0">
        <references count="2">
          <reference field="4294967294" count="1" selected="0">
            <x v="0"/>
          </reference>
          <reference field="6" count="1" selected="0">
            <x v="0"/>
          </reference>
        </references>
      </pivotArea>
    </chartFormat>
    <chartFormat chart="6" format="59">
      <pivotArea type="data" outline="0" fieldPosition="0">
        <references count="2">
          <reference field="4294967294" count="1" selected="0">
            <x v="0"/>
          </reference>
          <reference field="6" count="1" selected="0">
            <x v="2"/>
          </reference>
        </references>
      </pivotArea>
    </chartFormat>
    <chartFormat chart="6" format="60">
      <pivotArea type="data" outline="0" fieldPosition="0">
        <references count="2">
          <reference field="4294967294" count="1" selected="0">
            <x v="0"/>
          </reference>
          <reference field="6" count="1" selected="0">
            <x v="1048832"/>
          </reference>
        </references>
      </pivotArea>
    </chartFormat>
    <chartFormat chart="6" format="61" series="1">
      <pivotArea type="data" outline="0" fieldPosition="0">
        <references count="1">
          <reference field="4294967294" count="1" selected="0">
            <x v="0"/>
          </reference>
        </references>
      </pivotArea>
    </chartFormat>
    <chartFormat chart="6" format="62">
      <pivotArea type="data" outline="0" fieldPosition="0">
        <references count="2">
          <reference field="4294967294" count="1" selected="0">
            <x v="0"/>
          </reference>
          <reference field="6" count="1" selected="0">
            <x v="1048832"/>
          </reference>
        </references>
      </pivotArea>
    </chartFormat>
    <chartFormat chart="6" format="63">
      <pivotArea type="data" outline="0" fieldPosition="0">
        <references count="2">
          <reference field="4294967294" count="1" selected="0">
            <x v="0"/>
          </reference>
          <reference field="6" count="1" selected="0">
            <x v="3"/>
          </reference>
        </references>
      </pivotArea>
    </chartFormat>
    <chartFormat chart="6" format="64">
      <pivotArea type="data" outline="0" fieldPosition="0">
        <references count="2">
          <reference field="4294967294" count="1" selected="0">
            <x v="0"/>
          </reference>
          <reference field="6" count="1" selected="0">
            <x v="4"/>
          </reference>
        </references>
      </pivotArea>
    </chartFormat>
    <chartFormat chart="6" format="65">
      <pivotArea type="data" outline="0" fieldPosition="0">
        <references count="2">
          <reference field="4294967294" count="1" selected="0">
            <x v="0"/>
          </reference>
          <reference field="6" count="1" selected="0">
            <x v="1048832"/>
          </reference>
        </references>
      </pivotArea>
    </chartFormat>
  </chartFormats>
  <pivotHierarchies count="74">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3.xml><?xml version="1.0" encoding="utf-8"?>
<pivotTableDefinition xmlns="http://schemas.openxmlformats.org/spreadsheetml/2006/main" name="PivotTable12" cacheId="36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B204:C211" firstHeaderRow="1" firstDataRow="1" firstDataCol="1" rowPageCount="2" colPageCount="1"/>
  <pivotFields count="21">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5"/>
        <item x="0"/>
        <item x="3"/>
        <item x="4"/>
        <item m="1" x="8"/>
        <item m="1" x="12"/>
        <item x="2"/>
        <item m="1" x="10"/>
        <item x="1"/>
        <item m="1" x="11"/>
        <item m="1" x="7"/>
        <item m="1" x="9"/>
        <item m="1" x="6"/>
        <item t="countA"/>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axis="axisPage" multipleItemSelectionAllowed="1" showAll="0">
      <items count="8">
        <item h="1" x="1"/>
        <item x="0"/>
        <item x="3"/>
        <item h="1" x="4"/>
        <item h="1" x="2"/>
        <item h="1" m="1" x="6"/>
        <item h="1" x="5"/>
        <item t="default"/>
      </items>
    </pivotField>
    <pivotField showAll="0"/>
  </pivotFields>
  <rowFields count="1">
    <field x="5"/>
  </rowFields>
  <rowItems count="7">
    <i>
      <x/>
    </i>
    <i>
      <x v="1"/>
    </i>
    <i>
      <x v="2"/>
    </i>
    <i>
      <x v="3"/>
    </i>
    <i>
      <x v="6"/>
    </i>
    <i>
      <x v="8"/>
    </i>
    <i t="grand">
      <x/>
    </i>
  </rowItems>
  <colItems count="1">
    <i/>
  </colItems>
  <pageFields count="2">
    <pageField fld="1" hier="-1"/>
    <pageField fld="19" hier="-1"/>
  </pageFields>
  <dataFields count="1">
    <dataField name="Count of Status Atual" fld="5" subtotal="count" baseField="0" baseItem="0"/>
  </dataFields>
  <chartFormats count="16">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1"/>
          </reference>
        </references>
      </pivotArea>
    </chartFormat>
    <chartFormat chart="5" format="20">
      <pivotArea type="data" outline="0" fieldPosition="0">
        <references count="2">
          <reference field="4294967294" count="1" selected="0">
            <x v="0"/>
          </reference>
          <reference field="5" count="1" selected="0">
            <x v="1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5" count="1" selected="0">
            <x v="1"/>
          </reference>
        </references>
      </pivotArea>
    </chartFormat>
    <chartFormat chart="8" format="17">
      <pivotArea type="data" outline="0" fieldPosition="0">
        <references count="2">
          <reference field="4294967294" count="1" selected="0">
            <x v="0"/>
          </reference>
          <reference field="5" count="1" selected="0">
            <x v="10"/>
          </reference>
        </references>
      </pivotArea>
    </chartFormat>
    <chartFormat chart="3" format="5"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5" count="1" selected="0">
            <x v="0"/>
          </reference>
        </references>
      </pivotArea>
    </chartFormat>
    <chartFormat chart="14" format="16">
      <pivotArea type="data" outline="0" fieldPosition="0">
        <references count="2">
          <reference field="4294967294" count="1" selected="0">
            <x v="0"/>
          </reference>
          <reference field="5" count="1" selected="0">
            <x v="6"/>
          </reference>
        </references>
      </pivotArea>
    </chartFormat>
    <chartFormat chart="14" format="17">
      <pivotArea type="data" outline="0" fieldPosition="0">
        <references count="2">
          <reference field="4294967294" count="1" selected="0">
            <x v="0"/>
          </reference>
          <reference field="5" count="1" selected="0">
            <x v="5"/>
          </reference>
        </references>
      </pivotArea>
    </chartFormat>
    <chartFormat chart="14" format="18">
      <pivotArea type="data" outline="0" fieldPosition="0">
        <references count="2">
          <reference field="4294967294" count="1" selected="0">
            <x v="0"/>
          </reference>
          <reference field="5" count="1" selected="0">
            <x v="10"/>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5" count="1" selected="0">
            <x v="1"/>
          </reference>
        </references>
      </pivotArea>
    </chartFormat>
    <chartFormat chart="14" format="21">
      <pivotArea type="data" outline="0" fieldPosition="0">
        <references count="2">
          <reference field="4294967294" count="1" selected="0">
            <x v="0"/>
          </reference>
          <reference field="5" count="1" selected="0">
            <x v="3"/>
          </reference>
        </references>
      </pivotArea>
    </chartFormat>
    <chartFormat chart="14" format="22">
      <pivotArea type="data" outline="0" fieldPosition="0">
        <references count="2">
          <reference field="4294967294" count="1" selected="0">
            <x v="0"/>
          </reference>
          <reference field="5" count="1" selected="0">
            <x v="8"/>
          </reference>
        </references>
      </pivotArea>
    </chartFormat>
    <chartFormat chart="14" format="2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5" cacheId="36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0" firstHeaderRow="1" firstDataRow="1" firstDataCol="1" rowPageCount="2" colPageCount="1"/>
  <pivotFields count="21">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Row" showAll="0">
      <items count="14">
        <item x="5"/>
        <item x="0"/>
        <item x="3"/>
        <item m="1" x="12"/>
        <item x="2"/>
        <item m="1" x="10"/>
        <item m="1" x="11"/>
        <item m="1" x="8"/>
        <item m="1" x="9"/>
        <item m="1" x="7"/>
        <item x="1"/>
        <item x="4"/>
        <item m="1" x="6"/>
        <item t="default"/>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s>
  <rowFields count="1">
    <field x="5"/>
  </rowFields>
  <rowItems count="7">
    <i>
      <x/>
    </i>
    <i>
      <x v="1"/>
    </i>
    <i>
      <x v="2"/>
    </i>
    <i>
      <x v="4"/>
    </i>
    <i>
      <x v="10"/>
    </i>
    <i>
      <x v="11"/>
    </i>
    <i t="grand">
      <x/>
    </i>
  </rowItems>
  <colItems count="1">
    <i/>
  </colItems>
  <pageFields count="2">
    <pageField fld="0" item="0" hier="-1"/>
    <pageField fld="2" item="1" hier="-1"/>
  </pageFields>
  <dataFields count="1">
    <dataField name="Count of Campo" fld="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10"/>
          </reference>
        </references>
      </pivotArea>
    </chartFormat>
    <chartFormat chart="0" format="1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34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I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9">
    <i>
      <x/>
    </i>
    <i>
      <x v="1"/>
    </i>
    <i>
      <x v="2"/>
    </i>
    <i>
      <x v="3"/>
    </i>
    <i>
      <x v="4"/>
    </i>
    <i>
      <x v="5"/>
    </i>
    <i>
      <x v="6"/>
    </i>
    <i>
      <x v="7"/>
    </i>
    <i t="grand">
      <x/>
    </i>
  </rowItems>
  <colFields count="1">
    <field x="5"/>
  </colFields>
  <colItems count="7">
    <i>
      <x/>
    </i>
    <i>
      <x v="1"/>
    </i>
    <i>
      <x v="2"/>
    </i>
    <i>
      <x v="3"/>
    </i>
    <i>
      <x v="4"/>
    </i>
    <i>
      <x v="5"/>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6">
    <chartFormat chart="7" format="56" series="1">
      <pivotArea type="data" outline="0" fieldPosition="0">
        <references count="2">
          <reference field="4294967294" count="1" selected="0">
            <x v="0"/>
          </reference>
          <reference field="5" count="1" selected="0">
            <x v="0"/>
          </reference>
        </references>
      </pivotArea>
    </chartFormat>
    <chartFormat chart="7" format="57" series="1">
      <pivotArea type="data" outline="0" fieldPosition="0">
        <references count="2">
          <reference field="4294967294" count="1" selected="0">
            <x v="0"/>
          </reference>
          <reference field="5" count="1" selected="0">
            <x v="1"/>
          </reference>
        </references>
      </pivotArea>
    </chartFormat>
    <chartFormat chart="7" format="58" series="1">
      <pivotArea type="data" outline="0" fieldPosition="0">
        <references count="2">
          <reference field="4294967294" count="1" selected="0">
            <x v="0"/>
          </reference>
          <reference field="5" count="1" selected="0">
            <x v="3"/>
          </reference>
        </references>
      </pivotArea>
    </chartFormat>
    <chartFormat chart="7" format="60" series="1">
      <pivotArea type="data" outline="0" fieldPosition="0">
        <references count="2">
          <reference field="4294967294" count="1" selected="0">
            <x v="0"/>
          </reference>
          <reference field="5" count="1" selected="0">
            <x v="4"/>
          </reference>
        </references>
      </pivotArea>
    </chartFormat>
    <chartFormat chart="7" format="61" series="1">
      <pivotArea type="data" outline="0" fieldPosition="0">
        <references count="2">
          <reference field="4294967294" count="1" selected="0">
            <x v="0"/>
          </reference>
          <reference field="5" count="1" selected="0">
            <x v="5"/>
          </reference>
        </references>
      </pivotArea>
    </chartFormat>
    <chartFormat chart="7" format="68" series="1">
      <pivotArea type="data" outline="0" fieldPosition="0">
        <references count="2">
          <reference field="4294967294" count="1" selected="0">
            <x v="0"/>
          </reference>
          <reference field="5" count="1" selected="0">
            <x v="2"/>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6.xml><?xml version="1.0" encoding="utf-8"?>
<pivotTableDefinition xmlns="http://schemas.openxmlformats.org/spreadsheetml/2006/main" name="PivotTable8" cacheId="35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111:C118"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4"/>
  </rowFields>
  <rowItems count="7">
    <i>
      <x/>
    </i>
    <i>
      <x v="1"/>
    </i>
    <i>
      <x v="2"/>
    </i>
    <i>
      <x v="3"/>
    </i>
    <i>
      <x v="4"/>
    </i>
    <i>
      <x v="5"/>
    </i>
    <i t="grand">
      <x/>
    </i>
  </rowItems>
  <colItems count="1">
    <i/>
  </colItems>
  <pageFields count="3">
    <pageField fld="0" hier="35" name="[Table4].[Âmbito].[All]" cap="All"/>
    <pageField fld="1" hier="36" name="[Table4].[Sub-âmbito].&amp;[Pilar III]" cap="Pilar III"/>
    <pageField fld="2" hier="37" name="[Table4].[Tipo de teste].&amp;[2. Campo]" cap="2. Campo"/>
  </pageFields>
  <dataFields count="1">
    <dataField name="Count of Campo" fld="3" subtotal="count" baseField="0" baseItem="0"/>
  </dataFields>
  <chartFormats count="15">
    <chartFormat chart="9" format="57" series="1">
      <pivotArea type="data" outline="0" fieldPosition="0">
        <references count="1">
          <reference field="4294967294" count="1" selected="0">
            <x v="0"/>
          </reference>
        </references>
      </pivotArea>
    </chartFormat>
    <chartFormat chart="9" format="58">
      <pivotArea type="data" outline="0" fieldPosition="0">
        <references count="2">
          <reference field="4294967294" count="1" selected="0">
            <x v="0"/>
          </reference>
          <reference field="4" count="1" selected="0">
            <x v="0"/>
          </reference>
        </references>
      </pivotArea>
    </chartFormat>
    <chartFormat chart="9" format="59">
      <pivotArea type="data" outline="0" fieldPosition="0">
        <references count="2">
          <reference field="4294967294" count="1" selected="0">
            <x v="0"/>
          </reference>
          <reference field="4" count="1" selected="0">
            <x v="1"/>
          </reference>
        </references>
      </pivotArea>
    </chartFormat>
    <chartFormat chart="9" format="60">
      <pivotArea type="data" outline="0" fieldPosition="0">
        <references count="2">
          <reference field="4294967294" count="1" selected="0">
            <x v="0"/>
          </reference>
          <reference field="4" count="1" selected="0">
            <x v="3"/>
          </reference>
        </references>
      </pivotArea>
    </chartFormat>
    <chartFormat chart="9" format="62">
      <pivotArea type="data" outline="0" fieldPosition="0">
        <references count="2">
          <reference field="4294967294" count="1" selected="0">
            <x v="0"/>
          </reference>
          <reference field="4" count="1" selected="0">
            <x v="4"/>
          </reference>
        </references>
      </pivotArea>
    </chartFormat>
    <chartFormat chart="9" format="63">
      <pivotArea type="data" outline="0" fieldPosition="0">
        <references count="2">
          <reference field="4294967294" count="1" selected="0">
            <x v="0"/>
          </reference>
          <reference field="4" count="1" selected="0">
            <x v="5"/>
          </reference>
        </references>
      </pivotArea>
    </chartFormat>
    <chartFormat chart="10" format="73" series="1">
      <pivotArea type="data" outline="0" fieldPosition="0">
        <references count="1">
          <reference field="4294967294" count="1" selected="0">
            <x v="0"/>
          </reference>
        </references>
      </pivotArea>
    </chartFormat>
    <chartFormat chart="10" format="73" series="1">
      <pivotArea type="data" outline="0" fieldPosition="0">
        <references count="1">
          <reference field="4294967294" count="1" selected="0">
            <x v="0"/>
          </reference>
        </references>
      </pivotArea>
    </chartFormat>
    <chartFormat chart="6" format="64" series="1">
      <pivotArea type="data" outline="0" fieldPosition="0">
        <references count="1">
          <reference field="4294967294" count="1" selected="0">
            <x v="0"/>
          </reference>
        </references>
      </pivotArea>
    </chartFormat>
    <chartFormat chart="6" format="65">
      <pivotArea type="data" outline="0" fieldPosition="0">
        <references count="2">
          <reference field="4294967294" count="1" selected="0">
            <x v="0"/>
          </reference>
          <reference field="4" count="1" selected="0">
            <x v="1"/>
          </reference>
        </references>
      </pivotArea>
    </chartFormat>
    <chartFormat chart="6" format="66">
      <pivotArea type="data" outline="0" fieldPosition="0">
        <references count="2">
          <reference field="4294967294" count="1" selected="0">
            <x v="0"/>
          </reference>
          <reference field="4" count="1" selected="0">
            <x v="0"/>
          </reference>
        </references>
      </pivotArea>
    </chartFormat>
    <chartFormat chart="6" format="69">
      <pivotArea type="data" outline="0" fieldPosition="0">
        <references count="2">
          <reference field="4294967294" count="1" selected="0">
            <x v="0"/>
          </reference>
          <reference field="4" count="1" selected="0">
            <x v="3"/>
          </reference>
        </references>
      </pivotArea>
    </chartFormat>
    <chartFormat chart="6" format="70">
      <pivotArea type="data" outline="0" fieldPosition="0">
        <references count="2">
          <reference field="4294967294" count="1" selected="0">
            <x v="0"/>
          </reference>
          <reference field="4" count="1" selected="0">
            <x v="4"/>
          </reference>
        </references>
      </pivotArea>
    </chartFormat>
    <chartFormat chart="6" format="71">
      <pivotArea type="data" outline="0" fieldPosition="0">
        <references count="2">
          <reference field="4294967294" count="1" selected="0">
            <x v="0"/>
          </reference>
          <reference field="4" count="1" selected="0">
            <x v="5"/>
          </reference>
        </references>
      </pivotArea>
    </chartFormat>
    <chartFormat chart="6" format="72">
      <pivotArea type="data" outline="0" fieldPosition="0">
        <references count="2">
          <reference field="4294967294" count="1" selected="0">
            <x v="0"/>
          </reference>
          <reference field="4" count="1" selected="0">
            <x v="2"/>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7.xml><?xml version="1.0" encoding="utf-8"?>
<pivotTableDefinition xmlns="http://schemas.openxmlformats.org/spreadsheetml/2006/main" name="PivotTable1" cacheId="35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G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5">
    <chartFormat chart="6" format="55" series="1">
      <pivotArea type="data" outline="0" fieldPosition="0">
        <references count="2">
          <reference field="4294967294" count="1" selected="0">
            <x v="0"/>
          </reference>
          <reference field="5" count="1" selected="0">
            <x v="0"/>
          </reference>
        </references>
      </pivotArea>
    </chartFormat>
    <chartFormat chart="6" format="56" series="1">
      <pivotArea type="data" outline="0" fieldPosition="0">
        <references count="2">
          <reference field="4294967294" count="1" selected="0">
            <x v="0"/>
          </reference>
          <reference field="5" count="1" selected="0">
            <x v="1"/>
          </reference>
        </references>
      </pivotArea>
    </chartFormat>
    <chartFormat chart="6" format="57" series="1">
      <pivotArea type="data" outline="0" fieldPosition="0">
        <references count="2">
          <reference field="4294967294" count="1" selected="0">
            <x v="0"/>
          </reference>
          <reference field="5" count="1" selected="0">
            <x v="2"/>
          </reference>
        </references>
      </pivotArea>
    </chartFormat>
    <chartFormat chart="6" format="58" series="1">
      <pivotArea type="data" outline="0" fieldPosition="0">
        <references count="2">
          <reference field="4294967294" count="1" selected="0">
            <x v="0"/>
          </reference>
          <reference field="5" count="1" selected="0">
            <x v="3"/>
          </reference>
        </references>
      </pivotArea>
    </chartFormat>
    <chartFormat chart="6" format="59" series="1">
      <pivotArea type="data" outline="0" fieldPosition="0">
        <references count="2">
          <reference field="4294967294" count="1" selected="0">
            <x v="0"/>
          </reference>
          <reference field="5" count="1" selected="0">
            <x v="4"/>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8.xml><?xml version="1.0" encoding="utf-8"?>
<pivotTableDefinition xmlns="http://schemas.openxmlformats.org/spreadsheetml/2006/main" name="PivotTable6" cacheId="36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B172:C175" firstHeaderRow="1" firstDataRow="1" firstDataCol="1" rowPageCount="2" colPageCount="1"/>
  <pivotFields count="21">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5"/>
        <item x="0"/>
        <item x="3"/>
        <item x="4"/>
        <item m="1" x="8"/>
        <item m="1" x="12"/>
        <item x="2"/>
        <item m="1" x="10"/>
        <item x="1"/>
        <item m="1" x="11"/>
        <item m="1" x="7"/>
        <item m="1" x="9"/>
        <item m="1" x="6"/>
        <item t="countA"/>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axis="axisPage" multipleItemSelectionAllowed="1" showAll="0">
      <items count="8">
        <item x="1"/>
        <item h="1" x="0"/>
        <item h="1" x="3"/>
        <item h="1" x="4"/>
        <item h="1" x="2"/>
        <item h="1" m="1" x="6"/>
        <item h="1" x="5"/>
        <item t="default"/>
      </items>
    </pivotField>
    <pivotField showAll="0"/>
  </pivotFields>
  <rowFields count="1">
    <field x="5"/>
  </rowFields>
  <rowItems count="3">
    <i>
      <x v="6"/>
    </i>
    <i>
      <x v="8"/>
    </i>
    <i t="grand">
      <x/>
    </i>
  </rowItems>
  <colItems count="1">
    <i/>
  </colItems>
  <pageFields count="2">
    <pageField fld="1" hier="-1"/>
    <pageField fld="19" hier="-1"/>
  </pageFields>
  <dataFields count="1">
    <dataField name="Count of Status Atual" fld="5" subtotal="count" baseField="0" baseItem="0"/>
  </dataFields>
  <chartFormats count="10">
    <chartFormat chart="3" format="5"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1"/>
          </reference>
        </references>
      </pivotArea>
    </chartFormat>
    <chartFormat chart="9" format="20">
      <pivotArea type="data" outline="0" fieldPosition="0">
        <references count="2">
          <reference field="4294967294" count="1" selected="0">
            <x v="0"/>
          </reference>
          <reference field="5" count="1" selected="0">
            <x v="1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5" count="1" selected="0">
            <x v="1"/>
          </reference>
        </references>
      </pivotArea>
    </chartFormat>
    <chartFormat chart="17" format="6">
      <pivotArea type="data" outline="0" fieldPosition="0">
        <references count="2">
          <reference field="4294967294" count="1" selected="0">
            <x v="0"/>
          </reference>
          <reference field="5" count="1" selected="0">
            <x v="10"/>
          </reference>
        </references>
      </pivotArea>
    </chartFormat>
    <chartFormat chart="17" format="7">
      <pivotArea type="data" outline="0" fieldPosition="0">
        <references count="2">
          <reference field="4294967294" count="1" selected="0">
            <x v="0"/>
          </reference>
          <reference field="5" count="1" selected="0">
            <x v="8"/>
          </reference>
        </references>
      </pivotArea>
    </chartFormat>
    <chartFormat chart="17" format="8">
      <pivotArea type="data" outline="0" fieldPosition="0">
        <references count="2">
          <reference field="4294967294" count="1" selected="0">
            <x v="0"/>
          </reference>
          <reference field="5" count="1" selected="0">
            <x v="6"/>
          </reference>
        </references>
      </pivotArea>
    </chartFormat>
    <chartFormat chart="17" format="9">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0" cacheId="34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1"/>
        <item x="0"/>
        <item x="4"/>
        <item x="3"/>
        <item x="5"/>
        <item x="2"/>
      </items>
    </pivotField>
    <pivotField dataField="1" subtotalTop="0" showAll="0" defaultSubtotal="0"/>
  </pivotFields>
  <rowFields count="1">
    <field x="3"/>
  </rowFields>
  <rowItems count="7">
    <i>
      <x/>
    </i>
    <i>
      <x v="1"/>
    </i>
    <i>
      <x v="2"/>
    </i>
    <i>
      <x v="3"/>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10.xml><?xml version="1.0" encoding="utf-8"?>
<pivotTableDefinition xmlns="http://schemas.openxmlformats.org/spreadsheetml/2006/main" name="PivotTable7" cacheId="35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H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6">
    <i>
      <x/>
    </i>
    <i>
      <x v="1"/>
    </i>
    <i>
      <x v="2"/>
    </i>
    <i>
      <x v="3"/>
    </i>
    <i>
      <x v="4"/>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6">
    <chartFormat chart="3" format="55" series="1">
      <pivotArea type="data" outline="0" fieldPosition="0">
        <references count="2">
          <reference field="4294967294" count="1" selected="0">
            <x v="0"/>
          </reference>
          <reference field="5" count="1" selected="0">
            <x v="0"/>
          </reference>
        </references>
      </pivotArea>
    </chartFormat>
    <chartFormat chart="3" format="56" series="1">
      <pivotArea type="data" outline="0" fieldPosition="0">
        <references count="2">
          <reference field="4294967294" count="1" selected="0">
            <x v="0"/>
          </reference>
          <reference field="5" count="1" selected="0">
            <x v="1"/>
          </reference>
        </references>
      </pivotArea>
    </chartFormat>
    <chartFormat chart="3" format="57" series="1">
      <pivotArea type="data" outline="0" fieldPosition="0">
        <references count="2">
          <reference field="4294967294" count="1" selected="0">
            <x v="0"/>
          </reference>
          <reference field="5" count="1" selected="0">
            <x v="2"/>
          </reference>
        </references>
      </pivotArea>
    </chartFormat>
    <chartFormat chart="3" format="58" series="1">
      <pivotArea type="data" outline="0" fieldPosition="0">
        <references count="2">
          <reference field="4294967294" count="1" selected="0">
            <x v="0"/>
          </reference>
          <reference field="5" count="1" selected="0">
            <x v="3"/>
          </reference>
        </references>
      </pivotArea>
    </chartFormat>
    <chartFormat chart="3" format="59" series="1">
      <pivotArea type="data" outline="0" fieldPosition="0">
        <references count="2">
          <reference field="4294967294" count="1" selected="0">
            <x v="0"/>
          </reference>
          <reference field="5" count="1" selected="0">
            <x v="4"/>
          </reference>
        </references>
      </pivotArea>
    </chartFormat>
    <chartFormat chart="3" format="65">
      <pivotArea type="data" outline="0" fieldPosition="0">
        <references count="3">
          <reference field="4294967294" count="1" selected="0">
            <x v="0"/>
          </reference>
          <reference field="3" count="1" selected="0">
            <x v="1"/>
          </reference>
          <reference field="5" count="1" selected="0">
            <x v="3"/>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11.xml><?xml version="1.0" encoding="utf-8"?>
<pivotTableDefinition xmlns="http://schemas.openxmlformats.org/spreadsheetml/2006/main" name="PivotTable1" cacheId="340"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40" firstHeaderRow="1" firstDataRow="1" firstDataCol="1"/>
  <pivotFields count="2">
    <pivotField axis="axisRow" compact="0" allDrilled="1" outline="0" subtotalTop="0" showAll="0" dataSourceSort="1" defaultSubtotal="0" defaultAttributeDrillState="1">
      <items count="7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t="grand">
      <x/>
    </i>
  </rowItems>
  <colItems count="1">
    <i/>
  </colItems>
  <dataFields count="1">
    <dataField name="Max of Status2" fld="1" subtotal="max" baseField="0" baseItem="2"/>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tables/table1.xml><?xml version="1.0" encoding="utf-8"?>
<table xmlns="http://schemas.openxmlformats.org/spreadsheetml/2006/main" id="4" name="Table4" displayName="Table4" ref="B6:V741" totalsRowShown="0" headerRowDxfId="256" tableBorderDxfId="255">
  <autoFilter ref="B6:V741">
    <filterColumn colId="4">
      <filters>
        <filter val="PRMRY_ENRGY_DMND_RFRNC_VL"/>
      </filters>
    </filterColumn>
  </autoFilter>
  <tableColumns count="21">
    <tableColumn id="1" name="Âmbito" dataDxfId="254"/>
    <tableColumn id="2" name="Sub-âmbito" dataDxfId="253"/>
    <tableColumn id="3" name="Tipo de teste" dataDxfId="252"/>
    <tableColumn id="4" name="Tabela" dataDxfId="251"/>
    <tableColumn id="5" name="Campo" dataDxfId="250"/>
    <tableColumn id="6" name="Status Atual" dataDxfId="249">
      <calculatedColumnFormula>VLOOKUP(A7,Plano_V3!$A$26:$G$769,7,0)</calculatedColumnFormula>
    </tableColumn>
    <tableColumn id="7" name="Status Anterior" dataDxfId="248"/>
    <tableColumn id="14" name="Fase" dataDxfId="247"/>
    <tableColumn id="8" name="Observações - Especificações" dataDxfId="246"/>
    <tableColumn id="20" name="Observações - Testes" dataDxfId="245"/>
    <tableColumn id="19" name="Observações - Testes sem visibilidade" dataDxfId="244"/>
    <tableColumn id="9" name="Data de Pedido correção/esclarecimento" dataDxfId="243">
      <calculatedColumnFormula>IF(VLOOKUP(A7,'Aux - pivots1'!$A:$E,3,0)=0, "",VLOOKUP(A7,'Aux - pivots1'!$A:$E,3,0))</calculatedColumnFormula>
    </tableColumn>
    <tableColumn id="10" name="Data de correção prevista" dataDxfId="242">
      <calculatedColumnFormula>IF(VLOOKUP(A7,'Aux - pivots1'!$A:$E,4,0)=0, "",VLOOKUP(A7,'Aux - pivots1'!$A:$E,4,0))</calculatedColumnFormula>
    </tableColumn>
    <tableColumn id="11" name="Data de correção efetiva" dataDxfId="241">
      <calculatedColumnFormula>IF(VLOOKUP(A7,'Aux - pivots1'!$A:$E,5,0)=0, "",VLOOKUP(A7,'Aux - pivots1'!$A:$E,5,0))</calculatedColumnFormula>
    </tableColumn>
    <tableColumn id="12" name="Data Prevista de Re-especificação" dataDxfId="240"/>
    <tableColumn id="13" name="Data Prevista de Teste" dataDxfId="239"/>
    <tableColumn id="15" name="Projeto (Aux JB)" dataDxfId="238"/>
    <tableColumn id="18" name="LT Âmbito" dataDxfId="237"/>
    <tableColumn id="21" name="LT Âmbito- Aux" dataDxfId="236"/>
    <tableColumn id="16" name="Plano" dataDxfId="235"/>
    <tableColumn id="17" name="Owner" dataDxfId="234"/>
  </tableColumns>
  <tableStyleInfo showFirstColumn="0" showLastColumn="0" showRowStripes="1" showColumnStripes="0"/>
</table>
</file>

<file path=xl/tables/table2.xml><?xml version="1.0" encoding="utf-8"?>
<table xmlns="http://schemas.openxmlformats.org/spreadsheetml/2006/main" id="1" name="Table1" displayName="Table1" ref="B8:X1535" headerRowDxfId="95" dataDxfId="93" totalsRowDxfId="91" headerRowBorderDxfId="94" tableBorderDxfId="92" totalsRowBorderDxfId="90">
  <autoFilter ref="B8:X1535">
    <filterColumn colId="5">
      <filters>
        <filter val="PRMRY_ENRGY_DMND_RFRNC_VL"/>
      </filters>
    </filterColumn>
  </autoFilter>
  <tableColumns count="23">
    <tableColumn id="1" name="Âmbito" dataDxfId="89" totalsRowDxfId="88"/>
    <tableColumn id="12" name="Sub-âmbito" dataDxfId="87" totalsRowDxfId="86"/>
    <tableColumn id="2" name="Origem" dataDxfId="85" totalsRowDxfId="84"/>
    <tableColumn id="18" name="Campo Origem" dataDxfId="83" totalsRowDxfId="82"/>
    <tableColumn id="5" name="Tabela" dataDxfId="81" totalsRowDxfId="80"/>
    <tableColumn id="3" name="Campo" dataDxfId="79" totalsRowDxfId="78"/>
    <tableColumn id="20" name="concat" dataDxfId="77" totalsRowDxfId="76">
      <calculatedColumnFormula>Table1[[#This Row],[Tabela]]&amp;Table1[[#This Row],[Campo]]</calculatedColumnFormula>
    </tableColumn>
    <tableColumn id="4" name="Status" dataDxfId="75" totalsRowDxfId="74"/>
    <tableColumn id="19" name="Status2" dataDxfId="73">
      <calculatedColumnFormula>VLOOKUP(Table1[[#This Row],[Status]],Auxiliar!$B$16:$C$24,2,0)</calculatedColumnFormula>
    </tableColumn>
    <tableColumn id="6" name="Tipologia_Testes" dataDxfId="72" totalsRowDxfId="71"/>
    <tableColumn id="10" name="Necessidade de re-especificação? (campo)" dataDxfId="70" totalsRowDxfId="69"/>
    <tableColumn id="9" name="Complexidade" dataDxfId="68" totalsRowDxfId="67"/>
    <tableColumn id="17" name="Data de Alteração Status" dataDxfId="66" totalsRowDxfId="65"/>
    <tableColumn id="8" name="Estimação (horas)" totalsRowFunction="custom" dataDxfId="64" totalsRowDxfId="63">
      <calculatedColumnFormula>INDEX(Auxiliar!$D$5:$F$11,MATCH(Table1[[#This Row],[Tipologia_Testes]],Auxiliar!$B$5:$B$11,0),MATCH(Table1[[#This Row],[Complexidade]],Auxiliar!$D$4:$F$4,0))</calculatedColumnFormula>
      <totalsRowFormula>SUMIF(Table1[Estimação (horas)],"&gt;0")</totalsRowFormula>
    </tableColumn>
    <tableColumn id="7" name="Notas" dataDxfId="62" totalsRowDxfId="61"/>
    <tableColumn id="11" name="Owner" dataDxfId="60" totalsRowDxfId="59"/>
    <tableColumn id="21" name="Data alteração especificação" dataDxfId="58" totalsRowDxfId="57"/>
    <tableColumn id="13" name="Data de inicio testes" dataDxfId="56" totalsRowDxfId="55"/>
    <tableColumn id="14" name="Data de incidência / pedido esclarecimento" dataDxfId="54" totalsRowDxfId="53"/>
    <tableColumn id="15" name="Data de correção/resposta prevista" dataDxfId="52" totalsRowDxfId="51"/>
    <tableColumn id="22" name="Data de correção/resposta efetiva" dataDxfId="50" totalsRowDxfId="49"/>
    <tableColumn id="23" name="Horas efetivas" dataDxfId="48" totalsRowDxfId="47">
      <calculatedColumnFormula>VLOOKUP(Table1[[#This Row],[Status]],Auxiliar!$B$16:$D$24,3,0)*Table1[[#This Row],[Estimação (horas)]]</calculatedColumnFormula>
    </tableColumn>
    <tableColumn id="16" name="Query" dataDxfId="46" totalsRowDxfId="45">
      <calculatedColumnFormula>+VLOOKUP(CONCATENATE(Table1[[#This Row],[Tabela]],Table1[[#This Row],[Campo]]),'2. Status Detalhe Campos FY24'!A:J,9,FALSE)</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eme/themeOverride1.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4.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59765625" customWidth="1"/>
    <col min="2" max="2" width="8.59765625" bestFit="1" customWidth="1"/>
    <col min="3" max="3" width="19.59765625" bestFit="1" customWidth="1"/>
    <col min="4" max="4" width="14.59765625" hidden="1" customWidth="1"/>
    <col min="5" max="5" width="35.59765625" customWidth="1"/>
    <col min="6" max="6" width="33.59765625" customWidth="1"/>
    <col min="7" max="8" width="14.59765625" customWidth="1"/>
    <col min="9" max="10" width="8.59765625" style="25" customWidth="1"/>
    <col min="11" max="11" width="13.09765625" customWidth="1"/>
    <col min="12" max="12" width="8.59765625" customWidth="1"/>
    <col min="13" max="13" width="4.5" customWidth="1"/>
    <col min="14" max="167" width="5.59765625" customWidth="1"/>
    <col min="168" max="168" width="8.59765625" customWidth="1"/>
    <col min="169" max="16384" width="8.59765625" hidden="1"/>
  </cols>
  <sheetData>
    <row r="1" spans="1:168" s="25" customFormat="1">
      <c r="AF1" s="117"/>
    </row>
    <row r="2" spans="1:168" s="25" customFormat="1"/>
    <row r="3" spans="1:168" s="25" customFormat="1"/>
    <row r="4" spans="1:168" s="25" customFormat="1"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c r="M5" s="90"/>
    </row>
    <row r="6" spans="1:168" hidden="1">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row r="9" spans="1:168" hidden="1"/>
    <row r="10" spans="1:168" hidden="1">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35" customHeight="1" collapsed="1">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35" customHeight="1" collapsed="1">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c r="B25" s="82" t="s">
        <v>33</v>
      </c>
      <c r="C25" s="83"/>
      <c r="D25" s="83"/>
      <c r="E25" s="83"/>
      <c r="F25" s="83"/>
      <c r="G25" s="83"/>
      <c r="H25" s="83"/>
      <c r="I25" s="105">
        <f>I26+I27+I42+I198+I362+I447</f>
        <v>1192.8125</v>
      </c>
      <c r="J25" s="105">
        <f>J26+J27+J42+J198+J362+J447</f>
        <v>151</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c r="A368" s="29" t="str">
        <f t="shared" si="32"/>
        <v>modesg_out_bens_imoveisflg_rsc_fsc_agd</v>
      </c>
      <c r="B368" s="67" t="s">
        <v>26</v>
      </c>
      <c r="C368" s="68" t="s">
        <v>310</v>
      </c>
      <c r="D368" s="64" t="s">
        <v>40</v>
      </c>
      <c r="E368" s="66" t="s">
        <v>311</v>
      </c>
      <c r="F368" s="64" t="s">
        <v>282</v>
      </c>
      <c r="G368" s="64" t="str">
        <f>INDEX(Auxiliar!$B$16:$B$24,MATCH(Plano_V1!H368,Auxiliar!$C$16:$C$24,0),1)</f>
        <v>2.1 Em Teste</v>
      </c>
      <c r="H368" s="64">
        <f>VLOOKUP(A368,'Aux - pivots1'!$A:$B,2,0)</f>
        <v>2</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c r="A369" s="29" t="str">
        <f t="shared" si="32"/>
        <v>modesg_out_bens_imoveisflg_rsc_fsc_crnc</v>
      </c>
      <c r="B369" s="67" t="s">
        <v>26</v>
      </c>
      <c r="C369" s="68" t="s">
        <v>310</v>
      </c>
      <c r="D369" s="64" t="s">
        <v>40</v>
      </c>
      <c r="E369" s="66" t="s">
        <v>311</v>
      </c>
      <c r="F369" s="64" t="s">
        <v>283</v>
      </c>
      <c r="G369" s="64" t="str">
        <f>INDEX(Auxiliar!$B$16:$B$24,MATCH(Plano_V1!H369,Auxiliar!$C$16:$C$24,0),1)</f>
        <v>2.1 Em Teste</v>
      </c>
      <c r="H369" s="64">
        <f>VLOOKUP(A369,'Aux - pivots1'!$A:$B,2,0)</f>
        <v>2</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c r="A370" s="29" t="str">
        <f t="shared" si="32"/>
        <v>modesg_out_bens_imoveisorigem_flg_rsc_fsc_agd</v>
      </c>
      <c r="B370" s="67" t="s">
        <v>26</v>
      </c>
      <c r="C370" s="68" t="s">
        <v>310</v>
      </c>
      <c r="D370" s="64" t="s">
        <v>40</v>
      </c>
      <c r="E370" s="66" t="s">
        <v>311</v>
      </c>
      <c r="F370" s="64" t="s">
        <v>317</v>
      </c>
      <c r="G370" s="64" t="str">
        <f>INDEX(Auxiliar!$B$16:$B$24,MATCH(Plano_V1!H370,Auxiliar!$C$16:$C$24,0),1)</f>
        <v>2.1 Em Teste</v>
      </c>
      <c r="H370" s="64">
        <f>VLOOKUP(A370,'Aux - pivots1'!$A:$B,2,0)</f>
        <v>2</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c r="A371" s="29" t="str">
        <f t="shared" si="32"/>
        <v>modesg_out_bens_imoveisorigem_flg_rsc_fsc_crnc</v>
      </c>
      <c r="B371" s="67" t="s">
        <v>26</v>
      </c>
      <c r="C371" s="68" t="s">
        <v>310</v>
      </c>
      <c r="D371" s="64" t="s">
        <v>40</v>
      </c>
      <c r="E371" s="66" t="s">
        <v>311</v>
      </c>
      <c r="F371" s="64" t="s">
        <v>318</v>
      </c>
      <c r="G371" s="64" t="str">
        <f>INDEX(Auxiliar!$B$16:$B$24,MATCH(Plano_V1!H371,Auxiliar!$C$16:$C$24,0),1)</f>
        <v>2.1 Em Teste</v>
      </c>
      <c r="H371" s="64">
        <f>VLOOKUP(A371,'Aux - pivots1'!$A:$B,2,0)</f>
        <v>2</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c r="A397" s="29" t="str">
        <f t="shared" si="32"/>
        <v>modesg_out_empr_info_nfincod_nace_esg</v>
      </c>
      <c r="B397" s="67" t="s">
        <v>26</v>
      </c>
      <c r="C397" s="68" t="s">
        <v>310</v>
      </c>
      <c r="D397" s="64" t="s">
        <v>40</v>
      </c>
      <c r="E397" s="66" t="s">
        <v>325</v>
      </c>
      <c r="F397" s="64" t="s">
        <v>281</v>
      </c>
      <c r="G397" s="64" t="str">
        <f>INDEX(Auxiliar!$B$16:$B$24,MATCH(Plano_V1!H397,Auxiliar!$C$16:$C$24,0),1)</f>
        <v xml:space="preserve">6. Em implementação </v>
      </c>
      <c r="H397" s="64">
        <f>VLOOKUP(A397,'Aux - pivots1'!$A:$B,2,0)</f>
        <v>7</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c r="A400" s="29" t="str">
        <f t="shared" si="32"/>
        <v>modesg_out_empr_info_nfinflg_rsc_fsc_agd</v>
      </c>
      <c r="B400" s="67" t="s">
        <v>26</v>
      </c>
      <c r="C400" s="68" t="s">
        <v>310</v>
      </c>
      <c r="D400" s="64" t="s">
        <v>40</v>
      </c>
      <c r="E400" s="66" t="s">
        <v>325</v>
      </c>
      <c r="F400" s="64" t="s">
        <v>282</v>
      </c>
      <c r="G400" s="64" t="str">
        <f>INDEX(Auxiliar!$B$16:$B$24,MATCH(Plano_V1!H400,Auxiliar!$C$16:$C$24,0),1)</f>
        <v xml:space="preserve">6. Em implementação </v>
      </c>
      <c r="H400" s="64">
        <f>VLOOKUP(A400,'Aux - pivots1'!$A:$B,2,0)</f>
        <v>7</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c r="A401" s="29" t="str">
        <f t="shared" si="32"/>
        <v>modesg_out_empr_info_nfinflg_rsc_fsc_crnc</v>
      </c>
      <c r="B401" s="67" t="s">
        <v>26</v>
      </c>
      <c r="C401" s="68" t="s">
        <v>310</v>
      </c>
      <c r="D401" s="64" t="s">
        <v>40</v>
      </c>
      <c r="E401" s="66" t="s">
        <v>325</v>
      </c>
      <c r="F401" s="64" t="s">
        <v>283</v>
      </c>
      <c r="G401" s="64" t="str">
        <f>INDEX(Auxiliar!$B$16:$B$24,MATCH(Plano_V1!H401,Auxiliar!$C$16:$C$24,0),1)</f>
        <v xml:space="preserve">6. Em implementação </v>
      </c>
      <c r="H401" s="64">
        <f>VLOOKUP(A401,'Aux - pivots1'!$A:$B,2,0)</f>
        <v>7</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c r="A405" s="29" t="str">
        <f t="shared" si="32"/>
        <v>modesg_out_empr_info_nfinorigem_flg_rsc_fsc_agd</v>
      </c>
      <c r="B405" s="67" t="s">
        <v>26</v>
      </c>
      <c r="C405" s="68" t="s">
        <v>310</v>
      </c>
      <c r="D405" s="64" t="s">
        <v>40</v>
      </c>
      <c r="E405" s="66" t="s">
        <v>325</v>
      </c>
      <c r="F405" s="64" t="s">
        <v>317</v>
      </c>
      <c r="G405" s="64" t="str">
        <f>INDEX(Auxiliar!$B$16:$B$24,MATCH(Plano_V1!H405,Auxiliar!$C$16:$C$24,0),1)</f>
        <v xml:space="preserve">6. Em implementação </v>
      </c>
      <c r="H405" s="64">
        <f>VLOOKUP(A405,'Aux - pivots1'!$A:$B,2,0)</f>
        <v>7</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c r="A406" s="29" t="str">
        <f t="shared" si="32"/>
        <v>modesg_out_empr_info_nfinorigem_flg_rsc_fsc_crnc</v>
      </c>
      <c r="B406" s="67" t="s">
        <v>26</v>
      </c>
      <c r="C406" s="68" t="s">
        <v>310</v>
      </c>
      <c r="D406" s="64" t="s">
        <v>40</v>
      </c>
      <c r="E406" s="66" t="s">
        <v>325</v>
      </c>
      <c r="F406" s="64" t="s">
        <v>318</v>
      </c>
      <c r="G406" s="64" t="str">
        <f>INDEX(Auxiliar!$B$16:$B$24,MATCH(Plano_V1!H406,Auxiliar!$C$16:$C$24,0),1)</f>
        <v xml:space="preserve">6. Em implementação </v>
      </c>
      <c r="H406" s="64">
        <f>VLOOKUP(A406,'Aux - pivots1'!$A:$B,2,0)</f>
        <v>7</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c r="A407" s="29" t="str">
        <f t="shared" si="32"/>
        <v>modesg_out_empr_info_nfinorigem_scp1_emss</v>
      </c>
      <c r="B407" s="67" t="s">
        <v>26</v>
      </c>
      <c r="C407" s="68" t="s">
        <v>310</v>
      </c>
      <c r="D407" s="64" t="s">
        <v>40</v>
      </c>
      <c r="E407" s="66" t="s">
        <v>325</v>
      </c>
      <c r="F407" s="64" t="s">
        <v>319</v>
      </c>
      <c r="G407" s="64" t="str">
        <f>INDEX(Auxiliar!$B$16:$B$24,MATCH(Plano_V1!H407,Auxiliar!$C$16:$C$24,0),1)</f>
        <v>2.1 Em Teste</v>
      </c>
      <c r="H407" s="64">
        <f>VLOOKUP(A407,'Aux - pivots1'!$A:$B,2,0)</f>
        <v>2</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c r="A408" s="29" t="str">
        <f t="shared" si="32"/>
        <v>modesg_out_empr_info_nfinorigem_scp2_emss</v>
      </c>
      <c r="B408" s="67" t="s">
        <v>26</v>
      </c>
      <c r="C408" s="68" t="s">
        <v>310</v>
      </c>
      <c r="D408" s="64" t="s">
        <v>40</v>
      </c>
      <c r="E408" s="66" t="s">
        <v>325</v>
      </c>
      <c r="F408" s="64" t="s">
        <v>320</v>
      </c>
      <c r="G408" s="64" t="str">
        <f>INDEX(Auxiliar!$B$16:$B$24,MATCH(Plano_V1!H408,Auxiliar!$C$16:$C$24,0),1)</f>
        <v>2.1 Em Teste</v>
      </c>
      <c r="H408" s="64">
        <f>VLOOKUP(A408,'Aux - pivots1'!$A:$B,2,0)</f>
        <v>2</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c r="A409" s="29" t="str">
        <f t="shared" si="32"/>
        <v>modesg_out_empr_info_nfinorigem_scp3_emss</v>
      </c>
      <c r="B409" s="67" t="s">
        <v>26</v>
      </c>
      <c r="C409" s="68" t="s">
        <v>310</v>
      </c>
      <c r="D409" s="64" t="s">
        <v>40</v>
      </c>
      <c r="E409" s="66" t="s">
        <v>325</v>
      </c>
      <c r="F409" s="64" t="s">
        <v>321</v>
      </c>
      <c r="G409" s="64" t="str">
        <f>INDEX(Auxiliar!$B$16:$B$24,MATCH(Plano_V1!H409,Auxiliar!$C$16:$C$24,0),1)</f>
        <v>2.1 Em Teste</v>
      </c>
      <c r="H409" s="64">
        <f>VLOOKUP(A409,'Aux - pivots1'!$A:$B,2,0)</f>
        <v>2</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c r="A411" s="29" t="str">
        <f t="shared" si="32"/>
        <v>modesg_out_empr_info_nfinscp1_emss</v>
      </c>
      <c r="B411" s="67" t="s">
        <v>26</v>
      </c>
      <c r="C411" s="68" t="s">
        <v>310</v>
      </c>
      <c r="D411" s="64" t="s">
        <v>40</v>
      </c>
      <c r="E411" s="66" t="s">
        <v>325</v>
      </c>
      <c r="F411" s="64" t="s">
        <v>285</v>
      </c>
      <c r="G411" s="64" t="str">
        <f>INDEX(Auxiliar!$B$16:$B$24,MATCH(Plano_V1!H411,Auxiliar!$C$16:$C$24,0),1)</f>
        <v>2.1 Em Teste</v>
      </c>
      <c r="H411" s="64">
        <f>VLOOKUP(A411,'Aux - pivots1'!$A:$B,2,0)</f>
        <v>2</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c r="A412" s="29" t="str">
        <f t="shared" si="32"/>
        <v>modesg_out_empr_info_nfinscp2_emss</v>
      </c>
      <c r="B412" s="67" t="s">
        <v>26</v>
      </c>
      <c r="C412" s="68" t="s">
        <v>310</v>
      </c>
      <c r="D412" s="64" t="s">
        <v>40</v>
      </c>
      <c r="E412" s="66" t="s">
        <v>325</v>
      </c>
      <c r="F412" s="64" t="s">
        <v>286</v>
      </c>
      <c r="G412" s="64" t="str">
        <f>INDEX(Auxiliar!$B$16:$B$24,MATCH(Plano_V1!H412,Auxiliar!$C$16:$C$24,0),1)</f>
        <v>2.1 Em Teste</v>
      </c>
      <c r="H412" s="64">
        <f>VLOOKUP(A412,'Aux - pivots1'!$A:$B,2,0)</f>
        <v>2</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2.1 Em Teste</v>
      </c>
      <c r="H413" s="64">
        <f>VLOOKUP(A413,'Aux - pivots1'!$A:$B,2,0)</f>
        <v>2</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c r="A447" s="29" t="str">
        <f t="shared" si="35"/>
        <v/>
      </c>
      <c r="B447" s="101" t="s">
        <v>26</v>
      </c>
      <c r="C447" s="102" t="s">
        <v>26</v>
      </c>
      <c r="D447" s="96"/>
      <c r="E447" s="103"/>
      <c r="F447" s="96"/>
      <c r="G447" s="96"/>
      <c r="H447" s="96"/>
      <c r="I447" s="99">
        <f>SUM(I448:I574)</f>
        <v>282.5999999999994</v>
      </c>
      <c r="J447" s="99">
        <f>ROUNDUP(I447/8,0)</f>
        <v>36</v>
      </c>
      <c r="K447" s="87"/>
      <c r="L447" s="90">
        <f t="shared" si="34"/>
        <v>-1</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c r="A448" s="29" t="str">
        <f t="shared" si="35"/>
        <v>lt003_entitynace_esg</v>
      </c>
      <c r="B448" s="67" t="s">
        <v>26</v>
      </c>
      <c r="C448" s="68" t="s">
        <v>26</v>
      </c>
      <c r="D448" s="64" t="s">
        <v>40</v>
      </c>
      <c r="E448" s="70" t="s">
        <v>335</v>
      </c>
      <c r="F448" s="71" t="s">
        <v>336</v>
      </c>
      <c r="G448" s="64" t="str">
        <f>INDEX(Auxiliar!$B$16:$B$24,MATCH(Plano_V1!H448,Auxiliar!$C$16:$C$24,0),1)</f>
        <v xml:space="preserve">6. Em implementação </v>
      </c>
      <c r="H448" s="64">
        <f>VLOOKUP(A448,'Aux - pivots1'!$A:$B,2,0)</f>
        <v>7</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c r="A468" s="29" t="str">
        <f t="shared" si="35"/>
        <v>lt003_entityflg_act_physcl_rsk</v>
      </c>
      <c r="B468" s="67" t="s">
        <v>26</v>
      </c>
      <c r="C468" s="68" t="s">
        <v>26</v>
      </c>
      <c r="D468" s="64" t="s">
        <v>40</v>
      </c>
      <c r="E468" s="70" t="s">
        <v>335</v>
      </c>
      <c r="F468" s="71" t="s">
        <v>357</v>
      </c>
      <c r="G468" s="64" t="str">
        <f>INDEX(Auxiliar!$B$16:$B$24,MATCH(Plano_V1!H468,Auxiliar!$C$16:$C$24,0),1)</f>
        <v xml:space="preserve">6. Em implementação </v>
      </c>
      <c r="H468" s="64">
        <f>VLOOKUP(A468,'Aux - pivots1'!$A:$B,2,0)</f>
        <v>7</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c r="A469" s="29" t="str">
        <f t="shared" si="35"/>
        <v>lt003_entityflg_chrnc_physcl_rsk</v>
      </c>
      <c r="B469" s="67" t="s">
        <v>26</v>
      </c>
      <c r="C469" s="68" t="s">
        <v>26</v>
      </c>
      <c r="D469" s="64" t="s">
        <v>40</v>
      </c>
      <c r="E469" s="70" t="s">
        <v>335</v>
      </c>
      <c r="F469" s="71" t="s">
        <v>358</v>
      </c>
      <c r="G469" s="64" t="str">
        <f>INDEX(Auxiliar!$B$16:$B$24,MATCH(Plano_V1!H469,Auxiliar!$C$16:$C$24,0),1)</f>
        <v xml:space="preserve">6. Em implementação </v>
      </c>
      <c r="H469" s="64">
        <f>VLOOKUP(A469,'Aux - pivots1'!$A:$B,2,0)</f>
        <v>7</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c r="A471" s="29" t="str">
        <f t="shared" si="35"/>
        <v>lt003_entityesg_sbsctr</v>
      </c>
      <c r="B471" s="67" t="s">
        <v>26</v>
      </c>
      <c r="C471" s="68" t="s">
        <v>26</v>
      </c>
      <c r="D471" s="64" t="s">
        <v>40</v>
      </c>
      <c r="E471" s="70" t="s">
        <v>335</v>
      </c>
      <c r="F471" s="71" t="s">
        <v>360</v>
      </c>
      <c r="G471" s="64" t="str">
        <f>INDEX(Auxiliar!$B$16:$B$24,MATCH(Plano_V1!H471,Auxiliar!$C$16:$C$24,0),1)</f>
        <v xml:space="preserve">6. Em implementação </v>
      </c>
      <c r="H471" s="64">
        <f>VLOOKUP(A471,'Aux - pivots1'!$A:$B,2,0)</f>
        <v>7</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c r="A480" s="29" t="str">
        <f t="shared" si="38"/>
        <v>lt004_protectiontyp_ep_scr</v>
      </c>
      <c r="B480" s="67" t="s">
        <v>26</v>
      </c>
      <c r="C480" s="68" t="s">
        <v>26</v>
      </c>
      <c r="D480" s="64" t="s">
        <v>40</v>
      </c>
      <c r="E480" s="70" t="s">
        <v>368</v>
      </c>
      <c r="F480" s="71" t="s">
        <v>369</v>
      </c>
      <c r="G480" s="64" t="str">
        <f>INDEX(Auxiliar!$B$16:$B$24,MATCH(Plano_V1!H480,Auxiliar!$C$16:$C$24,0),1)</f>
        <v>4. Validação EF</v>
      </c>
      <c r="H480" s="64">
        <f>VLOOKUP(A480,'Aux - pivots1'!$A:$B,2,0)</f>
        <v>5</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c r="A481" s="29" t="str">
        <f t="shared" si="38"/>
        <v>lt004_protectionep_scr</v>
      </c>
      <c r="B481" s="67" t="s">
        <v>26</v>
      </c>
      <c r="C481" s="68" t="s">
        <v>26</v>
      </c>
      <c r="D481" s="64" t="s">
        <v>40</v>
      </c>
      <c r="E481" s="70" t="s">
        <v>368</v>
      </c>
      <c r="F481" s="71" t="s">
        <v>370</v>
      </c>
      <c r="G481" s="64" t="str">
        <f>INDEX(Auxiliar!$B$16:$B$24,MATCH(Plano_V1!H481,Auxiliar!$C$16:$C$24,0),1)</f>
        <v>4. Validação EF</v>
      </c>
      <c r="H481" s="64">
        <f>VLOOKUP(A481,'Aux - pivots1'!$A:$B,2,0)</f>
        <v>5</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c r="A490" s="29" t="str">
        <f t="shared" si="38"/>
        <v>lt004_protectionflg_act_physcl_rsk</v>
      </c>
      <c r="B490" s="67" t="s">
        <v>26</v>
      </c>
      <c r="C490" s="68" t="s">
        <v>26</v>
      </c>
      <c r="D490" s="64" t="s">
        <v>40</v>
      </c>
      <c r="E490" s="70" t="s">
        <v>368</v>
      </c>
      <c r="F490" s="71" t="s">
        <v>357</v>
      </c>
      <c r="G490" s="64" t="str">
        <f>INDEX(Auxiliar!$B$16:$B$24,MATCH(Plano_V1!H490,Auxiliar!$C$16:$C$24,0),1)</f>
        <v>2.1 Em Teste</v>
      </c>
      <c r="H490" s="64">
        <f>VLOOKUP(A490,'Aux - pivots1'!$A:$B,2,0)</f>
        <v>2</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c r="A491" s="29" t="str">
        <f t="shared" si="38"/>
        <v>lt004_protectionflg_chrnc_physcl_rsk</v>
      </c>
      <c r="B491" s="67" t="s">
        <v>26</v>
      </c>
      <c r="C491" s="68" t="s">
        <v>26</v>
      </c>
      <c r="D491" s="64" t="s">
        <v>40</v>
      </c>
      <c r="E491" s="70" t="s">
        <v>368</v>
      </c>
      <c r="F491" s="71" t="s">
        <v>358</v>
      </c>
      <c r="G491" s="64" t="str">
        <f>INDEX(Auxiliar!$B$16:$B$24,MATCH(Plano_V1!H491,Auxiliar!$C$16:$C$24,0),1)</f>
        <v>2.1 Em Teste</v>
      </c>
      <c r="H491" s="64">
        <f>VLOOKUP(A491,'Aux - pivots1'!$A:$B,2,0)</f>
        <v>2</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c r="A493" s="29" t="str">
        <f t="shared" si="38"/>
        <v>lt002_instrumentrsk_mtgtd_ccp</v>
      </c>
      <c r="B493" s="67" t="s">
        <v>26</v>
      </c>
      <c r="C493" s="68" t="s">
        <v>26</v>
      </c>
      <c r="D493" s="64" t="s">
        <v>40</v>
      </c>
      <c r="E493" s="70" t="s">
        <v>379</v>
      </c>
      <c r="F493" s="71" t="s">
        <v>381</v>
      </c>
      <c r="G493" s="64" t="str">
        <f>INDEX(Auxiliar!$B$16:$B$24,MATCH(Plano_V1!H493,Auxiliar!$C$16:$C$24,0),1)</f>
        <v xml:space="preserve">6. Em implementação </v>
      </c>
      <c r="H493" s="64">
        <f>VLOOKUP(A493,'Aux - pivots1'!$A:$B,2,0)</f>
        <v>7</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c r="A497" s="29" t="str">
        <f t="shared" si="38"/>
        <v>lt002_instrumentmthd_usd_instrmnt_scp_1</v>
      </c>
      <c r="B497" s="67" t="s">
        <v>26</v>
      </c>
      <c r="C497" s="68" t="s">
        <v>26</v>
      </c>
      <c r="D497" s="64" t="s">
        <v>40</v>
      </c>
      <c r="E497" s="70" t="s">
        <v>379</v>
      </c>
      <c r="F497" s="71" t="s">
        <v>385</v>
      </c>
      <c r="G497" s="64" t="str">
        <f>INDEX(Auxiliar!$B$16:$B$24,MATCH(Plano_V1!H497,Auxiliar!$C$16:$C$24,0),1)</f>
        <v>2.2 Em especificação</v>
      </c>
      <c r="H497" s="64">
        <f>VLOOKUP(A497,'Aux - pivots1'!$A:$B,2,0)</f>
        <v>3</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c r="A498" s="29" t="str">
        <f t="shared" si="38"/>
        <v>lt002_instrumentmthd_usd_instrmnt_scp_2</v>
      </c>
      <c r="B498" s="67" t="s">
        <v>26</v>
      </c>
      <c r="C498" s="68" t="s">
        <v>26</v>
      </c>
      <c r="D498" s="64" t="s">
        <v>40</v>
      </c>
      <c r="E498" s="70" t="s">
        <v>379</v>
      </c>
      <c r="F498" s="71" t="s">
        <v>386</v>
      </c>
      <c r="G498" s="64" t="str">
        <f>INDEX(Auxiliar!$B$16:$B$24,MATCH(Plano_V1!H498,Auxiliar!$C$16:$C$24,0),1)</f>
        <v>2.2 Em especificação</v>
      </c>
      <c r="H498" s="64">
        <f>VLOOKUP(A498,'Aux - pivots1'!$A:$B,2,0)</f>
        <v>3</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c r="A499" s="29" t="str">
        <f t="shared" si="38"/>
        <v>lt002_instrumentmthd_usd_instrmnt_scp_3</v>
      </c>
      <c r="B499" s="67" t="s">
        <v>26</v>
      </c>
      <c r="C499" s="68" t="s">
        <v>26</v>
      </c>
      <c r="D499" s="64" t="s">
        <v>40</v>
      </c>
      <c r="E499" s="70" t="s">
        <v>379</v>
      </c>
      <c r="F499" s="71" t="s">
        <v>387</v>
      </c>
      <c r="G499" s="64" t="str">
        <f>INDEX(Auxiliar!$B$16:$B$24,MATCH(Plano_V1!H499,Auxiliar!$C$16:$C$24,0),1)</f>
        <v>2.2 Em especificação</v>
      </c>
      <c r="H499" s="64">
        <f>VLOOKUP(A499,'Aux - pivots1'!$A:$B,2,0)</f>
        <v>3</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c r="A500" s="29" t="str">
        <f t="shared" si="38"/>
        <v>lt002_instrumentsstnbl_ctgry_txnmy</v>
      </c>
      <c r="B500" s="67" t="s">
        <v>26</v>
      </c>
      <c r="C500" s="68" t="s">
        <v>26</v>
      </c>
      <c r="D500" s="64" t="s">
        <v>40</v>
      </c>
      <c r="E500" s="70" t="s">
        <v>379</v>
      </c>
      <c r="F500" s="71" t="s">
        <v>388</v>
      </c>
      <c r="G500" s="64" t="str">
        <f>INDEX(Auxiliar!$B$16:$B$24,MATCH(Plano_V1!H500,Auxiliar!$C$16:$C$24,0),1)</f>
        <v>1. Concluído</v>
      </c>
      <c r="H500" s="64">
        <f>VLOOKUP(A500,'Aux - pivots1'!$A:$B,2,0)</f>
        <v>1</v>
      </c>
      <c r="I500" s="84">
        <f>SUMIFS(Table1[Estimação (horas)],Table1[Tabela],Plano_V1!E500,Table1[Campo],Plano_V1!F500)</f>
        <v>4.0999999999999996</v>
      </c>
      <c r="J500" s="84">
        <f t="shared" si="37"/>
        <v>0.51249999999999996</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c r="A541" s="29" t="str">
        <f t="shared" si="38"/>
        <v>lt002_instrumentgrss_intrst_incm</v>
      </c>
      <c r="B541" s="67" t="s">
        <v>26</v>
      </c>
      <c r="C541" s="68" t="s">
        <v>26</v>
      </c>
      <c r="D541" s="64" t="s">
        <v>40</v>
      </c>
      <c r="E541" s="70" t="s">
        <v>379</v>
      </c>
      <c r="F541" s="71" t="s">
        <v>420</v>
      </c>
      <c r="G541" s="64" t="str">
        <f>INDEX(Auxiliar!$B$16:$B$24,MATCH(Plano_V1!H541,Auxiliar!$C$16:$C$24,0),1)</f>
        <v>2.2 Em especificação</v>
      </c>
      <c r="H541" s="64">
        <f>VLOOKUP(A541,'Aux - pivots1'!$A:$B,2,0)</f>
        <v>3</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c r="A542" s="29" t="str">
        <f t="shared" si="38"/>
        <v>lt002_instrumentgrss_cmmssn_incm</v>
      </c>
      <c r="B542" s="67" t="s">
        <v>26</v>
      </c>
      <c r="C542" s="68" t="s">
        <v>26</v>
      </c>
      <c r="D542" s="64" t="s">
        <v>40</v>
      </c>
      <c r="E542" s="70" t="s">
        <v>379</v>
      </c>
      <c r="F542" s="71" t="s">
        <v>421</v>
      </c>
      <c r="G542" s="64" t="str">
        <f>INDEX(Auxiliar!$B$16:$B$24,MATCH(Plano_V1!H542,Auxiliar!$C$16:$C$24,0),1)</f>
        <v>2.2 Em especificação</v>
      </c>
      <c r="H542" s="64">
        <f>VLOOKUP(A542,'Aux - pivots1'!$A:$B,2,0)</f>
        <v>3</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c r="A543" s="29" t="str">
        <f t="shared" si="38"/>
        <v>lt002_instrumentgrss_cmmssn_incm_off_blnc</v>
      </c>
      <c r="B543" s="67" t="s">
        <v>26</v>
      </c>
      <c r="C543" s="68" t="s">
        <v>26</v>
      </c>
      <c r="D543" s="64" t="s">
        <v>40</v>
      </c>
      <c r="E543" s="70" t="s">
        <v>379</v>
      </c>
      <c r="F543" s="71" t="s">
        <v>422</v>
      </c>
      <c r="G543" s="64" t="str">
        <f>INDEX(Auxiliar!$B$16:$B$24,MATCH(Plano_V1!H543,Auxiliar!$C$16:$C$24,0),1)</f>
        <v>2.2 Em especificação</v>
      </c>
      <c r="H543" s="64">
        <f>VLOOKUP(A543,'Aux - pivots1'!$A:$B,2,0)</f>
        <v>3</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c r="A572" s="29" t="str">
        <f t="shared" si="38"/>
        <v>lt006_instr_protprtctn_allctd_vl</v>
      </c>
      <c r="B572" s="67" t="s">
        <v>26</v>
      </c>
      <c r="C572" s="68" t="s">
        <v>26</v>
      </c>
      <c r="D572" s="64" t="s">
        <v>40</v>
      </c>
      <c r="E572" s="70" t="s">
        <v>441</v>
      </c>
      <c r="F572" s="71" t="s">
        <v>442</v>
      </c>
      <c r="G572" s="64" t="str">
        <f>INDEX(Auxiliar!$B$16:$B$24,MATCH(Plano_V1!H572,Auxiliar!$C$16:$C$24,0),1)</f>
        <v xml:space="preserve">6. Em implementação </v>
      </c>
      <c r="H572" s="64">
        <f>VLOOKUP(A572,'Aux - pivots1'!$A:$B,2,0)</f>
        <v>7</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c r="A574" s="29" t="str">
        <f t="shared" si="38"/>
        <v>Re-testesn.a.</v>
      </c>
      <c r="B574" s="67" t="s">
        <v>26</v>
      </c>
      <c r="C574" s="68" t="s">
        <v>26</v>
      </c>
      <c r="D574" s="64" t="s">
        <v>40</v>
      </c>
      <c r="E574" s="66" t="s">
        <v>53</v>
      </c>
      <c r="F574" s="64" t="s">
        <v>38</v>
      </c>
      <c r="G574" s="64" t="s">
        <v>28</v>
      </c>
      <c r="H574" s="64"/>
      <c r="I574" s="84">
        <f>SUM(I448:I573)*D7</f>
        <v>31.399999999999935</v>
      </c>
      <c r="J574" s="84">
        <f>I574/8</f>
        <v>3.9249999999999918</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35" customHeight="1" collapsed="1">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35" customHeight="1">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c r="D639" s="11"/>
      <c r="AT639" t="s">
        <v>443</v>
      </c>
    </row>
  </sheetData>
  <autoFilter ref="B13:K636"/>
  <conditionalFormatting sqref="L15:L18 L26:L447">
    <cfRule type="cellIs" dxfId="279" priority="11" operator="notEqual">
      <formula>0</formula>
    </cfRule>
  </conditionalFormatting>
  <conditionalFormatting sqref="L21:L23">
    <cfRule type="cellIs" dxfId="278" priority="3" operator="notEqual">
      <formula>0</formula>
    </cfRule>
  </conditionalFormatting>
  <conditionalFormatting sqref="L577:L579">
    <cfRule type="cellIs" dxfId="277" priority="2" operator="notEqual">
      <formula>0</formula>
    </cfRule>
  </conditionalFormatting>
  <conditionalFormatting sqref="L582:L636">
    <cfRule type="cellIs" dxfId="276" priority="1" operator="notEqual">
      <formula>0</formula>
    </cfRule>
  </conditionalFormatting>
  <conditionalFormatting sqref="M5:M6 N6:FK6">
    <cfRule type="cellIs" dxfId="275" priority="12" operator="notEqual">
      <formula>0</formula>
    </cfRule>
  </conditionalFormatting>
  <conditionalFormatting sqref="M15:FK18 M21:FK23 M577:FK579 M636:FK636">
    <cfRule type="cellIs" dxfId="274" priority="10" operator="greaterThan">
      <formula>0</formula>
    </cfRule>
  </conditionalFormatting>
  <conditionalFormatting sqref="M26:FK27">
    <cfRule type="cellIs" dxfId="273" priority="9" operator="greaterThan">
      <formula>0</formula>
    </cfRule>
  </conditionalFormatting>
  <conditionalFormatting sqref="M42:FK42">
    <cfRule type="cellIs" dxfId="272" priority="8" operator="greaterThan">
      <formula>0</formula>
    </cfRule>
  </conditionalFormatting>
  <conditionalFormatting sqref="M198:FK198">
    <cfRule type="cellIs" dxfId="271" priority="7" operator="greaterThan">
      <formula>0</formula>
    </cfRule>
  </conditionalFormatting>
  <conditionalFormatting sqref="M362:FK362">
    <cfRule type="cellIs" dxfId="270" priority="6" operator="greaterThan">
      <formula>0</formula>
    </cfRule>
  </conditionalFormatting>
  <conditionalFormatting sqref="M447:FK447">
    <cfRule type="cellIs" dxfId="269" priority="5" operator="greaterThan">
      <formula>0</formula>
    </cfRule>
  </conditionalFormatting>
  <conditionalFormatting sqref="M582:FK583">
    <cfRule type="cellIs" dxfId="268"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241"/>
  <sheetViews>
    <sheetView showGridLines="0" tabSelected="1" zoomScale="60" zoomScaleNormal="60" zoomScalePageLayoutView="90" workbookViewId="0">
      <selection activeCell="N40" sqref="N40"/>
    </sheetView>
  </sheetViews>
  <sheetFormatPr defaultColWidth="0" defaultRowHeight="17.399999999999999" zeroHeight="1"/>
  <cols>
    <col min="1" max="2" width="3.59765625" style="25" customWidth="1"/>
    <col min="3" max="4" width="14.5" style="25" customWidth="1"/>
    <col min="5" max="13" width="13.09765625" style="25" customWidth="1"/>
    <col min="14" max="14" width="11.59765625" style="25" customWidth="1"/>
    <col min="15" max="15" width="12.296875" style="25" customWidth="1"/>
    <col min="16" max="16" width="12.59765625" style="25" customWidth="1"/>
    <col min="17" max="17" width="13" style="25" customWidth="1"/>
    <col min="18" max="22" width="8.59765625" style="25" customWidth="1"/>
    <col min="23" max="23" width="10" style="25" customWidth="1"/>
    <col min="24" max="32" width="8.59765625" style="25" customWidth="1"/>
    <col min="33" max="34" width="3.59765625" style="25" customWidth="1"/>
    <col min="35" max="40" width="3.59765625" style="25" hidden="1" customWidth="1"/>
    <col min="41" max="16384" width="8.59765625" style="25" hidden="1"/>
  </cols>
  <sheetData>
    <row r="1" spans="1:34"/>
    <row r="2" spans="1:34"/>
    <row r="3" spans="1:34"/>
    <row r="4" spans="1:34"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2.2">
      <c r="A6" s="116"/>
      <c r="B6" s="126" t="s">
        <v>2457</v>
      </c>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row>
    <row r="7" spans="1:34" ht="3.6" customHeight="1">
      <c r="A7" s="116"/>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row>
    <row r="8" spans="1:34" ht="19.8">
      <c r="A8" s="116"/>
      <c r="B8" s="383">
        <v>1</v>
      </c>
      <c r="C8" s="325"/>
      <c r="D8" s="325"/>
      <c r="E8" s="325"/>
      <c r="F8" s="325"/>
      <c r="G8" s="325"/>
      <c r="H8" s="325"/>
      <c r="I8" s="325"/>
      <c r="J8" s="325"/>
      <c r="K8" s="325"/>
      <c r="L8" s="325"/>
      <c r="M8" s="325"/>
      <c r="N8" s="325"/>
      <c r="O8" s="325"/>
      <c r="P8" s="325"/>
      <c r="Q8" s="325"/>
      <c r="R8" s="325"/>
      <c r="S8" s="325"/>
      <c r="T8" s="325"/>
      <c r="U8" s="325"/>
      <c r="V8" s="325"/>
      <c r="W8" s="325"/>
      <c r="X8" s="325"/>
      <c r="Y8" s="325"/>
      <c r="Z8" s="325"/>
      <c r="AA8" s="325"/>
      <c r="AB8" s="325"/>
      <c r="AC8" s="325"/>
      <c r="AD8" s="325"/>
      <c r="AE8" s="325"/>
      <c r="AF8" s="325"/>
      <c r="AG8" s="386">
        <v>1</v>
      </c>
      <c r="AH8" s="116"/>
    </row>
    <row r="9" spans="1:34" ht="21.6">
      <c r="A9" s="116"/>
      <c r="B9" s="326"/>
      <c r="C9" s="401" t="s">
        <v>2349</v>
      </c>
      <c r="D9" s="333"/>
      <c r="E9" s="333"/>
      <c r="F9" s="333"/>
      <c r="G9" s="333"/>
      <c r="H9" s="333"/>
      <c r="I9" s="333"/>
      <c r="J9" s="333"/>
      <c r="K9" s="333"/>
      <c r="L9" s="333"/>
      <c r="M9" s="333"/>
      <c r="N9" s="333"/>
      <c r="O9" s="154"/>
      <c r="P9" s="154" t="s">
        <v>2338</v>
      </c>
      <c r="Q9" s="333"/>
      <c r="R9" s="154"/>
      <c r="S9" s="333"/>
      <c r="T9" s="333"/>
      <c r="U9" s="333"/>
      <c r="V9" s="333"/>
      <c r="W9" s="333"/>
      <c r="X9" s="483" t="s">
        <v>610</v>
      </c>
      <c r="Y9" s="322"/>
      <c r="Z9" s="322"/>
      <c r="AA9" s="322"/>
      <c r="AB9" s="322"/>
      <c r="AC9" s="322"/>
      <c r="AD9" s="322"/>
      <c r="AE9" s="322"/>
      <c r="AF9" s="322"/>
      <c r="AG9" s="334"/>
      <c r="AH9" s="116"/>
    </row>
    <row r="10" spans="1:34" ht="18.75" customHeight="1">
      <c r="A10" s="116"/>
      <c r="B10" s="326"/>
      <c r="C10" s="333"/>
      <c r="D10" s="333"/>
      <c r="E10" s="388">
        <v>0</v>
      </c>
      <c r="F10" s="388"/>
      <c r="G10" s="388"/>
      <c r="H10" s="388">
        <v>1</v>
      </c>
      <c r="I10" s="388"/>
      <c r="J10" s="388"/>
      <c r="K10" s="388"/>
      <c r="L10" s="388">
        <v>6</v>
      </c>
      <c r="M10" s="333"/>
      <c r="N10" s="333"/>
      <c r="O10" s="333"/>
      <c r="P10" s="333"/>
      <c r="Q10" s="333"/>
      <c r="R10" s="333"/>
      <c r="S10" s="333"/>
      <c r="T10" s="333"/>
      <c r="U10" s="333"/>
      <c r="V10" s="333"/>
      <c r="W10" s="333"/>
      <c r="X10" s="494" t="s">
        <v>2455</v>
      </c>
      <c r="Y10" s="495"/>
      <c r="Z10" s="495"/>
      <c r="AA10" s="495"/>
      <c r="AB10" s="495"/>
      <c r="AC10" s="495"/>
      <c r="AD10" s="495"/>
      <c r="AE10" s="495"/>
      <c r="AF10" s="496"/>
      <c r="AG10" s="334"/>
      <c r="AH10" s="116"/>
    </row>
    <row r="11" spans="1:34" ht="18.75" customHeight="1">
      <c r="A11" s="116"/>
      <c r="B11" s="326"/>
      <c r="C11" s="538" t="s">
        <v>8</v>
      </c>
      <c r="D11" s="539"/>
      <c r="E11" s="542" t="s">
        <v>2363</v>
      </c>
      <c r="F11" s="543"/>
      <c r="G11" s="544"/>
      <c r="H11" s="505" t="s">
        <v>2364</v>
      </c>
      <c r="I11" s="506"/>
      <c r="J11" s="506"/>
      <c r="K11" s="507"/>
      <c r="L11" s="508" t="s">
        <v>2365</v>
      </c>
      <c r="M11" s="509"/>
      <c r="N11" s="510"/>
      <c r="O11" s="388"/>
      <c r="P11" s="421"/>
      <c r="Q11" s="423" t="s">
        <v>2374</v>
      </c>
      <c r="R11" s="532" t="s">
        <v>2372</v>
      </c>
      <c r="S11" s="532"/>
      <c r="T11" s="532" t="s">
        <v>2373</v>
      </c>
      <c r="U11" s="532"/>
      <c r="V11" s="422" t="s">
        <v>13</v>
      </c>
      <c r="W11" s="333"/>
      <c r="X11" s="497"/>
      <c r="Y11" s="498"/>
      <c r="Z11" s="498"/>
      <c r="AA11" s="498"/>
      <c r="AB11" s="498"/>
      <c r="AC11" s="498"/>
      <c r="AD11" s="498"/>
      <c r="AE11" s="498"/>
      <c r="AF11" s="499"/>
      <c r="AG11" s="334"/>
      <c r="AH11" s="116"/>
    </row>
    <row r="12" spans="1:34" ht="18.75" customHeight="1">
      <c r="A12" s="116"/>
      <c r="B12" s="326"/>
      <c r="C12" s="540"/>
      <c r="D12" s="541"/>
      <c r="E12" s="397" t="s">
        <v>1965</v>
      </c>
      <c r="F12" s="391" t="s">
        <v>2313</v>
      </c>
      <c r="G12" s="398" t="s">
        <v>2335</v>
      </c>
      <c r="H12" s="397" t="s">
        <v>2345</v>
      </c>
      <c r="I12" s="390" t="s">
        <v>1965</v>
      </c>
      <c r="J12" s="391" t="s">
        <v>2313</v>
      </c>
      <c r="K12" s="398" t="s">
        <v>2335</v>
      </c>
      <c r="L12" s="397" t="s">
        <v>2345</v>
      </c>
      <c r="M12" s="399" t="s">
        <v>1965</v>
      </c>
      <c r="N12" s="392" t="s">
        <v>2331</v>
      </c>
      <c r="O12" s="388">
        <v>1</v>
      </c>
      <c r="P12" s="333" t="s">
        <v>2339</v>
      </c>
      <c r="Q12" s="404" t="s">
        <v>2355</v>
      </c>
      <c r="R12" s="533">
        <v>20</v>
      </c>
      <c r="S12" s="533"/>
      <c r="T12" s="548">
        <f>+COUNTIFS('2. Status Detalhe Campos FY24'!$C:$C,"*Pilar*",'2. Status Detalhe Campos FY24'!$J:$J,"*"&amp;O12&amp;"*",'2. Status Detalhe Campos FY24'!U:U,"*Novo Plano*")</f>
        <v>20</v>
      </c>
      <c r="U12" s="548"/>
      <c r="V12" s="161" t="s">
        <v>621</v>
      </c>
      <c r="W12" s="333"/>
      <c r="X12" s="497"/>
      <c r="Y12" s="498"/>
      <c r="Z12" s="498"/>
      <c r="AA12" s="498"/>
      <c r="AB12" s="498"/>
      <c r="AC12" s="498"/>
      <c r="AD12" s="498"/>
      <c r="AE12" s="498"/>
      <c r="AF12" s="499"/>
      <c r="AG12" s="334"/>
      <c r="AH12" s="116"/>
    </row>
    <row r="13" spans="1:34" ht="18.75" customHeight="1">
      <c r="A13" s="116"/>
      <c r="B13" s="326"/>
      <c r="C13" s="534" t="s">
        <v>2336</v>
      </c>
      <c r="D13" s="535"/>
      <c r="E13" s="405">
        <v>0</v>
      </c>
      <c r="F13" s="408">
        <v>0</v>
      </c>
      <c r="G13" s="432">
        <f>E13-F13</f>
        <v>0</v>
      </c>
      <c r="H13" s="405">
        <v>0</v>
      </c>
      <c r="I13" s="408">
        <v>0</v>
      </c>
      <c r="J13" s="431">
        <v>0</v>
      </c>
      <c r="K13" s="432">
        <f>J13-(I13+H13)</f>
        <v>0</v>
      </c>
      <c r="L13" s="405">
        <f t="shared" ref="L13:L21" si="0">+IF(K13&lt;0,-K13,0)</f>
        <v>0</v>
      </c>
      <c r="M13" s="409">
        <f>+COUNTIFS('2. Status Detalhe Campos FY24'!$C:$C,"*Bens Imóveis*",'2. Status Detalhe Campos FY24'!$J:$J,"*"&amp;$L$10&amp;"*")</f>
        <v>2</v>
      </c>
      <c r="N13" s="432">
        <f>+M13+L13</f>
        <v>2</v>
      </c>
      <c r="O13" s="388">
        <v>2</v>
      </c>
      <c r="P13" s="333" t="s">
        <v>2340</v>
      </c>
      <c r="Q13" s="404" t="s">
        <v>2356</v>
      </c>
      <c r="R13" s="533">
        <v>15</v>
      </c>
      <c r="S13" s="533"/>
      <c r="T13" s="549">
        <f>+COUNTIFS('2. Status Detalhe Campos FY24'!$C:$C,"*Pilar*",'2. Status Detalhe Campos FY24'!$J:$J,"*"&amp;O13&amp;"*",'2. Status Detalhe Campos FY24'!U:U,"*Novo Plano*")</f>
        <v>14</v>
      </c>
      <c r="U13" s="549"/>
      <c r="V13" s="161" t="s">
        <v>621</v>
      </c>
      <c r="W13" s="333"/>
      <c r="X13" s="497"/>
      <c r="Y13" s="498"/>
      <c r="Z13" s="498"/>
      <c r="AA13" s="498"/>
      <c r="AB13" s="498"/>
      <c r="AC13" s="498"/>
      <c r="AD13" s="498"/>
      <c r="AE13" s="498"/>
      <c r="AF13" s="499"/>
      <c r="AG13" s="334"/>
      <c r="AH13" s="116"/>
    </row>
    <row r="14" spans="1:34" ht="18.75" customHeight="1">
      <c r="A14" s="116"/>
      <c r="B14" s="326"/>
      <c r="C14" s="389" t="s">
        <v>2371</v>
      </c>
      <c r="D14" s="394"/>
      <c r="E14" s="413">
        <v>0</v>
      </c>
      <c r="F14" s="387">
        <v>0</v>
      </c>
      <c r="G14" s="436">
        <f t="shared" ref="G14:G22" si="1">E14-F14</f>
        <v>0</v>
      </c>
      <c r="H14" s="413">
        <v>0</v>
      </c>
      <c r="I14" s="387">
        <v>0</v>
      </c>
      <c r="J14" s="435">
        <v>0</v>
      </c>
      <c r="K14" s="436">
        <f t="shared" ref="K14:K22" si="2">J14-(I14+H14)</f>
        <v>0</v>
      </c>
      <c r="L14" s="413">
        <f t="shared" si="0"/>
        <v>0</v>
      </c>
      <c r="M14" s="414">
        <f>+COUNTIFS('2. Status Detalhe Campos FY24'!$C:$C,"*Bens Imóveis*",'2. Status Detalhe Campos FY24'!$J:$J,"*"&amp;$L$10&amp;"*",'2. Status Detalhe Campos FY24'!U:U,"*anterior*")</f>
        <v>2</v>
      </c>
      <c r="N14" s="436">
        <f t="shared" ref="N14:N21" si="3">+M14+L14</f>
        <v>2</v>
      </c>
      <c r="O14" s="388">
        <v>3</v>
      </c>
      <c r="P14" s="333" t="s">
        <v>2341</v>
      </c>
      <c r="Q14" s="404" t="s">
        <v>2357</v>
      </c>
      <c r="R14" s="533">
        <v>14</v>
      </c>
      <c r="S14" s="533"/>
      <c r="T14" s="549">
        <f>+COUNTIFS('2. Status Detalhe Campos FY24'!$C:$C,"*Pilar*",'2. Status Detalhe Campos FY24'!$J:$J,"*"&amp;O14&amp;"*",'2. Status Detalhe Campos FY24'!U:U,"*Novo Plano*")</f>
        <v>16</v>
      </c>
      <c r="U14" s="549"/>
      <c r="V14" s="161" t="s">
        <v>621</v>
      </c>
      <c r="W14" s="333"/>
      <c r="X14" s="497"/>
      <c r="Y14" s="498"/>
      <c r="Z14" s="498"/>
      <c r="AA14" s="498"/>
      <c r="AB14" s="498"/>
      <c r="AC14" s="498"/>
      <c r="AD14" s="498"/>
      <c r="AE14" s="498"/>
      <c r="AF14" s="499"/>
      <c r="AG14" s="334"/>
      <c r="AH14" s="116"/>
    </row>
    <row r="15" spans="1:34" ht="18.75" customHeight="1">
      <c r="A15" s="116"/>
      <c r="B15" s="326"/>
      <c r="C15" s="393" t="s">
        <v>2361</v>
      </c>
      <c r="D15" s="395"/>
      <c r="E15" s="415">
        <v>0</v>
      </c>
      <c r="F15" s="416">
        <v>0</v>
      </c>
      <c r="G15" s="438">
        <f t="shared" si="1"/>
        <v>0</v>
      </c>
      <c r="H15" s="415">
        <v>0</v>
      </c>
      <c r="I15" s="416">
        <v>0</v>
      </c>
      <c r="J15" s="437">
        <v>0</v>
      </c>
      <c r="K15" s="438">
        <f t="shared" si="2"/>
        <v>0</v>
      </c>
      <c r="L15" s="415">
        <f t="shared" si="0"/>
        <v>0</v>
      </c>
      <c r="M15" s="417">
        <f>+COUNTIFS('2. Status Detalhe Campos FY24'!$C:$C,"*Bens Imóveis*",'2. Status Detalhe Campos FY24'!$J:$J,"*"&amp;$L$10&amp;"*",'2. Status Detalhe Campos FY24'!U:U,"*Novo Plano*")</f>
        <v>0</v>
      </c>
      <c r="N15" s="438">
        <f t="shared" si="3"/>
        <v>0</v>
      </c>
      <c r="O15" s="388">
        <v>4</v>
      </c>
      <c r="P15" s="333" t="s">
        <v>2342</v>
      </c>
      <c r="Q15" s="404" t="s">
        <v>2358</v>
      </c>
      <c r="R15" s="533">
        <v>13</v>
      </c>
      <c r="S15" s="533"/>
      <c r="T15" s="549">
        <f>+COUNTIFS('2. Status Detalhe Campos FY24'!$C:$C,"*Pilar*",'2. Status Detalhe Campos FY24'!$J:$J,"*"&amp;O15&amp;"*",'2. Status Detalhe Campos FY24'!U:U,"*Novo Plano*")</f>
        <v>14</v>
      </c>
      <c r="U15" s="549"/>
      <c r="V15" s="161" t="s">
        <v>2429</v>
      </c>
      <c r="W15" s="333"/>
      <c r="X15" s="497"/>
      <c r="Y15" s="498"/>
      <c r="Z15" s="498"/>
      <c r="AA15" s="498"/>
      <c r="AB15" s="498"/>
      <c r="AC15" s="498"/>
      <c r="AD15" s="498"/>
      <c r="AE15" s="498"/>
      <c r="AF15" s="499"/>
      <c r="AG15" s="334"/>
      <c r="AH15" s="116"/>
    </row>
    <row r="16" spans="1:34" ht="18.75" customHeight="1">
      <c r="A16" s="116"/>
      <c r="B16" s="326"/>
      <c r="C16" s="534" t="s">
        <v>29</v>
      </c>
      <c r="D16" s="535"/>
      <c r="E16" s="405">
        <v>0</v>
      </c>
      <c r="F16" s="411">
        <v>0</v>
      </c>
      <c r="G16" s="434">
        <f t="shared" si="1"/>
        <v>0</v>
      </c>
      <c r="H16" s="410">
        <v>0</v>
      </c>
      <c r="I16" s="411">
        <v>14</v>
      </c>
      <c r="J16" s="433">
        <v>14</v>
      </c>
      <c r="K16" s="434">
        <f t="shared" si="2"/>
        <v>0</v>
      </c>
      <c r="L16" s="410">
        <f t="shared" si="0"/>
        <v>0</v>
      </c>
      <c r="M16" s="412">
        <f>+COUNTIFS('2. Status Detalhe Campos FY24'!$C:$C,"*Verde*",'2. Status Detalhe Campos FY24'!$J:$J,"*"&amp;$L$10&amp;"*")</f>
        <v>1</v>
      </c>
      <c r="N16" s="434">
        <f t="shared" si="3"/>
        <v>1</v>
      </c>
      <c r="O16" s="388">
        <v>5</v>
      </c>
      <c r="P16" s="421" t="s">
        <v>2343</v>
      </c>
      <c r="Q16" s="425" t="s">
        <v>2359</v>
      </c>
      <c r="R16" s="545">
        <v>6</v>
      </c>
      <c r="S16" s="545"/>
      <c r="T16" s="550">
        <f>+COUNTIFS('2. Status Detalhe Campos FY24'!$C:$C,"*Pilar*",'2. Status Detalhe Campos FY24'!$J:$J,"*"&amp;O16&amp;"*",'2. Status Detalhe Campos FY24'!U:U,"*Novo Plano*")</f>
        <v>7</v>
      </c>
      <c r="U16" s="550"/>
      <c r="V16" s="475" t="s">
        <v>2430</v>
      </c>
      <c r="W16" s="333"/>
      <c r="X16" s="497"/>
      <c r="Y16" s="498"/>
      <c r="Z16" s="498"/>
      <c r="AA16" s="498"/>
      <c r="AB16" s="498"/>
      <c r="AC16" s="498"/>
      <c r="AD16" s="498"/>
      <c r="AE16" s="498"/>
      <c r="AF16" s="499"/>
      <c r="AG16" s="334"/>
      <c r="AH16" s="116"/>
    </row>
    <row r="17" spans="1:34" ht="18.75" customHeight="1">
      <c r="A17" s="116"/>
      <c r="B17" s="326"/>
      <c r="C17" s="389" t="s">
        <v>2371</v>
      </c>
      <c r="D17" s="394"/>
      <c r="E17" s="413">
        <v>0</v>
      </c>
      <c r="F17" s="387">
        <v>0</v>
      </c>
      <c r="G17" s="436">
        <f t="shared" si="1"/>
        <v>0</v>
      </c>
      <c r="H17" s="413">
        <v>0</v>
      </c>
      <c r="I17" s="387">
        <v>14</v>
      </c>
      <c r="J17" s="435">
        <v>14</v>
      </c>
      <c r="K17" s="436">
        <f t="shared" si="2"/>
        <v>0</v>
      </c>
      <c r="L17" s="413">
        <f t="shared" si="0"/>
        <v>0</v>
      </c>
      <c r="M17" s="414">
        <f>+COUNTIFS('2. Status Detalhe Campos FY24'!$C:$C,"*Verde*",'2. Status Detalhe Campos FY24'!$J:$J,"*"&amp;$L$10&amp;"*",'2. Status Detalhe Campos FY24'!U:U,"*anterior*")</f>
        <v>1</v>
      </c>
      <c r="N17" s="436">
        <f t="shared" si="3"/>
        <v>1</v>
      </c>
      <c r="O17" s="333"/>
      <c r="P17" s="424" t="s">
        <v>2375</v>
      </c>
      <c r="Q17" s="333"/>
      <c r="R17" s="546">
        <f>+SUM(R12:S16)</f>
        <v>68</v>
      </c>
      <c r="S17" s="546"/>
      <c r="T17" s="547">
        <f>+SUM(T12:T16)</f>
        <v>71</v>
      </c>
      <c r="U17" s="547"/>
      <c r="V17" s="426"/>
      <c r="W17" s="333"/>
      <c r="X17" s="497"/>
      <c r="Y17" s="498"/>
      <c r="Z17" s="498"/>
      <c r="AA17" s="498"/>
      <c r="AB17" s="498"/>
      <c r="AC17" s="498"/>
      <c r="AD17" s="498"/>
      <c r="AE17" s="498"/>
      <c r="AF17" s="499"/>
      <c r="AG17" s="334"/>
      <c r="AH17" s="116"/>
    </row>
    <row r="18" spans="1:34" ht="18.75" customHeight="1">
      <c r="A18" s="116"/>
      <c r="B18" s="326"/>
      <c r="C18" s="393" t="s">
        <v>2361</v>
      </c>
      <c r="D18" s="395"/>
      <c r="E18" s="415">
        <v>0</v>
      </c>
      <c r="F18" s="416">
        <v>0</v>
      </c>
      <c r="G18" s="438">
        <f t="shared" si="1"/>
        <v>0</v>
      </c>
      <c r="H18" s="415">
        <v>0</v>
      </c>
      <c r="I18" s="416">
        <v>0</v>
      </c>
      <c r="J18" s="437">
        <v>0</v>
      </c>
      <c r="K18" s="438">
        <f t="shared" si="2"/>
        <v>0</v>
      </c>
      <c r="L18" s="415">
        <f t="shared" si="0"/>
        <v>0</v>
      </c>
      <c r="M18" s="417">
        <f>+COUNTIFS('2. Status Detalhe Campos FY24'!$C:$C,"*Verde*",'2. Status Detalhe Campos FY24'!$J:$J,"*"&amp;$L$10&amp;"*",'2. Status Detalhe Campos FY24'!U:U,"*Novo Plano*")</f>
        <v>0</v>
      </c>
      <c r="N18" s="438">
        <f t="shared" si="3"/>
        <v>0</v>
      </c>
      <c r="O18" s="333"/>
      <c r="P18" s="370"/>
      <c r="Q18" s="403"/>
      <c r="R18" s="420"/>
      <c r="S18" s="333"/>
      <c r="T18" s="333"/>
      <c r="U18" s="333"/>
      <c r="V18" s="333"/>
      <c r="W18" s="333"/>
      <c r="X18" s="497"/>
      <c r="Y18" s="498"/>
      <c r="Z18" s="498"/>
      <c r="AA18" s="498"/>
      <c r="AB18" s="498"/>
      <c r="AC18" s="498"/>
      <c r="AD18" s="498"/>
      <c r="AE18" s="498"/>
      <c r="AF18" s="499"/>
      <c r="AG18" s="334"/>
      <c r="AH18" s="116"/>
    </row>
    <row r="19" spans="1:34" ht="18.600000000000001" customHeight="1">
      <c r="A19" s="116"/>
      <c r="B19" s="326"/>
      <c r="C19" s="534" t="s">
        <v>2337</v>
      </c>
      <c r="D19" s="535"/>
      <c r="E19" s="405">
        <v>14</v>
      </c>
      <c r="F19" s="411">
        <v>10</v>
      </c>
      <c r="G19" s="434">
        <f t="shared" si="1"/>
        <v>4</v>
      </c>
      <c r="H19" s="410">
        <v>4</v>
      </c>
      <c r="I19" s="411">
        <v>9</v>
      </c>
      <c r="J19" s="433">
        <v>8</v>
      </c>
      <c r="K19" s="434">
        <f t="shared" si="2"/>
        <v>-5</v>
      </c>
      <c r="L19" s="410">
        <f t="shared" si="0"/>
        <v>5</v>
      </c>
      <c r="M19" s="412">
        <v>5</v>
      </c>
      <c r="N19" s="434">
        <f t="shared" si="3"/>
        <v>10</v>
      </c>
      <c r="O19" s="333"/>
      <c r="P19" s="370"/>
      <c r="Q19" s="333"/>
      <c r="R19" s="333"/>
      <c r="S19" s="333"/>
      <c r="T19" s="333"/>
      <c r="U19" s="333"/>
      <c r="V19" s="333"/>
      <c r="W19" s="333"/>
      <c r="X19" s="497"/>
      <c r="Y19" s="498"/>
      <c r="Z19" s="498"/>
      <c r="AA19" s="498"/>
      <c r="AB19" s="498"/>
      <c r="AC19" s="498"/>
      <c r="AD19" s="498"/>
      <c r="AE19" s="498"/>
      <c r="AF19" s="499"/>
      <c r="AG19" s="334"/>
      <c r="AH19" s="116"/>
    </row>
    <row r="20" spans="1:34" ht="18.75" customHeight="1">
      <c r="A20" s="116"/>
      <c r="B20" s="326"/>
      <c r="C20" s="389" t="s">
        <v>2371</v>
      </c>
      <c r="D20" s="396"/>
      <c r="E20" s="413">
        <v>0</v>
      </c>
      <c r="F20" s="419">
        <v>0</v>
      </c>
      <c r="G20" s="440">
        <f t="shared" si="1"/>
        <v>0</v>
      </c>
      <c r="H20" s="418">
        <v>0</v>
      </c>
      <c r="I20" s="419">
        <v>2</v>
      </c>
      <c r="J20" s="439">
        <v>1</v>
      </c>
      <c r="K20" s="440">
        <f t="shared" si="2"/>
        <v>-1</v>
      </c>
      <c r="L20" s="418">
        <f t="shared" si="0"/>
        <v>1</v>
      </c>
      <c r="M20" s="414">
        <v>5</v>
      </c>
      <c r="N20" s="436">
        <f t="shared" si="3"/>
        <v>6</v>
      </c>
      <c r="O20" s="333"/>
      <c r="P20" s="370"/>
      <c r="Q20" s="333"/>
      <c r="R20" s="333"/>
      <c r="S20" s="333"/>
      <c r="T20" s="333"/>
      <c r="U20" s="333"/>
      <c r="V20" s="333"/>
      <c r="W20" s="333"/>
      <c r="X20" s="497"/>
      <c r="Y20" s="498"/>
      <c r="Z20" s="498"/>
      <c r="AA20" s="498"/>
      <c r="AB20" s="498"/>
      <c r="AC20" s="498"/>
      <c r="AD20" s="498"/>
      <c r="AE20" s="498"/>
      <c r="AF20" s="499"/>
      <c r="AG20" s="334"/>
      <c r="AH20" s="116"/>
    </row>
    <row r="21" spans="1:34" ht="18.75" customHeight="1">
      <c r="A21" s="116"/>
      <c r="B21" s="326"/>
      <c r="C21" s="393" t="s">
        <v>2361</v>
      </c>
      <c r="D21" s="395"/>
      <c r="E21" s="415">
        <v>14</v>
      </c>
      <c r="F21" s="416">
        <v>10</v>
      </c>
      <c r="G21" s="438">
        <f t="shared" si="1"/>
        <v>4</v>
      </c>
      <c r="H21" s="415">
        <v>4</v>
      </c>
      <c r="I21" s="416">
        <v>7</v>
      </c>
      <c r="J21" s="437">
        <v>7</v>
      </c>
      <c r="K21" s="438">
        <f t="shared" si="2"/>
        <v>-4</v>
      </c>
      <c r="L21" s="441">
        <f t="shared" si="0"/>
        <v>4</v>
      </c>
      <c r="M21" s="417">
        <v>0</v>
      </c>
      <c r="N21" s="438">
        <f t="shared" si="3"/>
        <v>4</v>
      </c>
      <c r="O21" s="333"/>
      <c r="P21" s="370"/>
      <c r="Q21" s="333"/>
      <c r="R21" s="333"/>
      <c r="S21" s="333"/>
      <c r="T21" s="333"/>
      <c r="U21" s="333"/>
      <c r="V21" s="333"/>
      <c r="W21" s="333"/>
      <c r="X21" s="497"/>
      <c r="Y21" s="498"/>
      <c r="Z21" s="498"/>
      <c r="AA21" s="498"/>
      <c r="AB21" s="498"/>
      <c r="AC21" s="498"/>
      <c r="AD21" s="498"/>
      <c r="AE21" s="498"/>
      <c r="AF21" s="499"/>
      <c r="AG21" s="334"/>
      <c r="AH21" s="116"/>
    </row>
    <row r="22" spans="1:34" ht="18.75" customHeight="1">
      <c r="A22" s="116"/>
      <c r="B22" s="326"/>
      <c r="C22" s="536" t="s">
        <v>2331</v>
      </c>
      <c r="D22" s="537"/>
      <c r="E22" s="463">
        <v>14</v>
      </c>
      <c r="F22" s="464">
        <v>10</v>
      </c>
      <c r="G22" s="470">
        <f t="shared" si="1"/>
        <v>4</v>
      </c>
      <c r="H22" s="463">
        <v>4</v>
      </c>
      <c r="I22" s="464">
        <f>9+14</f>
        <v>23</v>
      </c>
      <c r="J22" s="468">
        <f>8+14</f>
        <v>22</v>
      </c>
      <c r="K22" s="470">
        <f t="shared" si="2"/>
        <v>-5</v>
      </c>
      <c r="L22" s="463">
        <f>+SUM(L13,L16,L19)</f>
        <v>5</v>
      </c>
      <c r="M22" s="465">
        <f>+SUM(M13,M16,M19)</f>
        <v>8</v>
      </c>
      <c r="N22" s="470">
        <f>+SUM(N13,N16,N19)</f>
        <v>13</v>
      </c>
      <c r="O22" s="333"/>
      <c r="P22" s="370"/>
      <c r="Q22" s="333"/>
      <c r="R22" s="333"/>
      <c r="S22" s="333"/>
      <c r="T22" s="333"/>
      <c r="U22" s="333"/>
      <c r="V22" s="333"/>
      <c r="W22" s="333"/>
      <c r="X22" s="497"/>
      <c r="Y22" s="498"/>
      <c r="Z22" s="498"/>
      <c r="AA22" s="498"/>
      <c r="AB22" s="498"/>
      <c r="AC22" s="498"/>
      <c r="AD22" s="498"/>
      <c r="AE22" s="498"/>
      <c r="AF22" s="499"/>
      <c r="AG22" s="334"/>
      <c r="AH22" s="116"/>
    </row>
    <row r="23" spans="1:34" ht="18.75" customHeight="1">
      <c r="A23" s="116"/>
      <c r="B23" s="326"/>
      <c r="C23" s="333"/>
      <c r="D23" s="333"/>
      <c r="E23" s="333"/>
      <c r="F23" s="333"/>
      <c r="G23" s="333"/>
      <c r="H23" s="333"/>
      <c r="I23" s="333"/>
      <c r="J23" s="333"/>
      <c r="K23" s="333"/>
      <c r="L23" s="333"/>
      <c r="M23" s="333"/>
      <c r="N23" s="333"/>
      <c r="O23" s="333"/>
      <c r="P23" s="333"/>
      <c r="Q23" s="333"/>
      <c r="R23" s="333"/>
      <c r="S23" s="333"/>
      <c r="T23" s="333"/>
      <c r="U23" s="333"/>
      <c r="V23" s="333"/>
      <c r="W23" s="333"/>
      <c r="X23" s="497"/>
      <c r="Y23" s="498"/>
      <c r="Z23" s="498"/>
      <c r="AA23" s="498"/>
      <c r="AB23" s="498"/>
      <c r="AC23" s="498"/>
      <c r="AD23" s="498"/>
      <c r="AE23" s="498"/>
      <c r="AF23" s="499"/>
      <c r="AG23" s="334"/>
      <c r="AH23" s="116"/>
    </row>
    <row r="24" spans="1:34" ht="18.75" customHeight="1">
      <c r="A24" s="116"/>
      <c r="B24" s="326"/>
      <c r="C24" s="401" t="s">
        <v>2348</v>
      </c>
      <c r="D24" s="333"/>
      <c r="E24" s="333"/>
      <c r="F24" s="333"/>
      <c r="G24" s="333"/>
      <c r="H24" s="333"/>
      <c r="I24" s="333"/>
      <c r="J24" s="333"/>
      <c r="K24" s="333"/>
      <c r="L24" s="333"/>
      <c r="M24" s="333"/>
      <c r="N24" s="333"/>
      <c r="O24" s="333"/>
      <c r="P24" s="333"/>
      <c r="Q24" s="333"/>
      <c r="R24" s="154"/>
      <c r="S24" s="333"/>
      <c r="T24" s="333"/>
      <c r="U24" s="333"/>
      <c r="V24" s="333"/>
      <c r="W24" s="333"/>
      <c r="X24" s="497"/>
      <c r="Y24" s="498"/>
      <c r="Z24" s="498"/>
      <c r="AA24" s="498"/>
      <c r="AB24" s="498"/>
      <c r="AC24" s="498"/>
      <c r="AD24" s="498"/>
      <c r="AE24" s="498"/>
      <c r="AF24" s="499"/>
      <c r="AG24" s="334"/>
      <c r="AH24" s="116"/>
    </row>
    <row r="25" spans="1:34" ht="18.75" customHeight="1">
      <c r="A25" s="116"/>
      <c r="B25" s="326"/>
      <c r="C25" s="333"/>
      <c r="D25" s="333"/>
      <c r="E25" s="388">
        <v>1</v>
      </c>
      <c r="F25" s="388"/>
      <c r="G25" s="388"/>
      <c r="H25" s="388"/>
      <c r="I25" s="388">
        <v>1</v>
      </c>
      <c r="J25" s="388"/>
      <c r="K25" s="333"/>
      <c r="L25" s="333"/>
      <c r="M25" s="333"/>
      <c r="N25" s="333"/>
      <c r="O25" s="333"/>
      <c r="P25" s="388" t="s">
        <v>2454</v>
      </c>
      <c r="Q25" s="333"/>
      <c r="R25" s="333"/>
      <c r="S25" s="333"/>
      <c r="T25" s="333"/>
      <c r="U25" s="333"/>
      <c r="V25" s="333"/>
      <c r="W25" s="333"/>
      <c r="X25" s="497"/>
      <c r="Y25" s="498"/>
      <c r="Z25" s="498"/>
      <c r="AA25" s="498"/>
      <c r="AB25" s="498"/>
      <c r="AC25" s="498"/>
      <c r="AD25" s="498"/>
      <c r="AE25" s="498"/>
      <c r="AF25" s="499"/>
      <c r="AG25" s="334"/>
      <c r="AH25" s="116"/>
    </row>
    <row r="26" spans="1:34" ht="18.75" customHeight="1">
      <c r="A26" s="116"/>
      <c r="B26" s="326"/>
      <c r="C26" s="538" t="s">
        <v>8</v>
      </c>
      <c r="D26" s="539"/>
      <c r="E26" s="508" t="s">
        <v>2344</v>
      </c>
      <c r="F26" s="509"/>
      <c r="G26" s="509"/>
      <c r="H26" s="509"/>
      <c r="I26" s="510"/>
      <c r="J26" s="505" t="s">
        <v>2350</v>
      </c>
      <c r="K26" s="506"/>
      <c r="L26" s="506"/>
      <c r="M26" s="506"/>
      <c r="N26" s="506"/>
      <c r="O26" s="507"/>
      <c r="P26" s="508" t="s">
        <v>2351</v>
      </c>
      <c r="Q26" s="509"/>
      <c r="R26" s="510"/>
      <c r="S26" s="333"/>
      <c r="T26" s="333"/>
      <c r="U26" s="161"/>
      <c r="V26" s="333"/>
      <c r="W26" s="333"/>
      <c r="X26" s="497"/>
      <c r="Y26" s="498"/>
      <c r="Z26" s="498"/>
      <c r="AA26" s="498"/>
      <c r="AB26" s="498"/>
      <c r="AC26" s="498"/>
      <c r="AD26" s="498"/>
      <c r="AE26" s="498"/>
      <c r="AF26" s="499"/>
      <c r="AG26" s="334"/>
      <c r="AH26" s="116"/>
    </row>
    <row r="27" spans="1:34" ht="18.75" customHeight="1">
      <c r="A27" s="116"/>
      <c r="B27" s="326"/>
      <c r="C27" s="540"/>
      <c r="D27" s="541"/>
      <c r="E27" s="397" t="s">
        <v>1965</v>
      </c>
      <c r="F27" s="391" t="s">
        <v>2352</v>
      </c>
      <c r="G27" s="400" t="s">
        <v>2353</v>
      </c>
      <c r="H27" s="402" t="s">
        <v>2354</v>
      </c>
      <c r="I27" s="398" t="s">
        <v>2335</v>
      </c>
      <c r="J27" s="397" t="s">
        <v>2345</v>
      </c>
      <c r="K27" s="390" t="s">
        <v>1965</v>
      </c>
      <c r="L27" s="391" t="s">
        <v>2352</v>
      </c>
      <c r="M27" s="400" t="s">
        <v>2353</v>
      </c>
      <c r="N27" s="402" t="s">
        <v>2354</v>
      </c>
      <c r="O27" s="398" t="s">
        <v>2335</v>
      </c>
      <c r="P27" s="397" t="s">
        <v>2345</v>
      </c>
      <c r="Q27" s="399" t="s">
        <v>1965</v>
      </c>
      <c r="R27" s="392" t="s">
        <v>2331</v>
      </c>
      <c r="S27" s="333"/>
      <c r="T27" s="333"/>
      <c r="U27" s="370"/>
      <c r="V27" s="333"/>
      <c r="W27" s="333"/>
      <c r="X27" s="497"/>
      <c r="Y27" s="498"/>
      <c r="Z27" s="498"/>
      <c r="AA27" s="498"/>
      <c r="AB27" s="498"/>
      <c r="AC27" s="498"/>
      <c r="AD27" s="498"/>
      <c r="AE27" s="498"/>
      <c r="AF27" s="499"/>
      <c r="AG27" s="334"/>
      <c r="AH27" s="116"/>
    </row>
    <row r="28" spans="1:34" ht="18.75" customHeight="1">
      <c r="A28" s="116"/>
      <c r="B28" s="326"/>
      <c r="C28" s="534" t="s">
        <v>2336</v>
      </c>
      <c r="D28" s="535"/>
      <c r="E28" s="442">
        <v>0</v>
      </c>
      <c r="F28" s="443">
        <v>0</v>
      </c>
      <c r="G28" s="444">
        <v>0</v>
      </c>
      <c r="H28" s="444">
        <v>0</v>
      </c>
      <c r="I28" s="445">
        <v>0</v>
      </c>
      <c r="J28" s="405">
        <v>0</v>
      </c>
      <c r="K28" s="408">
        <v>0</v>
      </c>
      <c r="L28" s="406">
        <v>0</v>
      </c>
      <c r="M28" s="431">
        <v>0</v>
      </c>
      <c r="N28" s="407">
        <v>0</v>
      </c>
      <c r="O28" s="432">
        <f>+SUM(J28:K28)-SUM(L28:N28)</f>
        <v>0</v>
      </c>
      <c r="P28" s="442">
        <v>0</v>
      </c>
      <c r="Q28" s="444">
        <f>+COUNTIFS('2. Status Detalhe Campos FY24'!$C:$C,"*Bens Imóveis*",'2. Status Detalhe Campos FY24'!$K:$K,"*"&amp;$P$25&amp;"*")</f>
        <v>47</v>
      </c>
      <c r="R28" s="445">
        <f>+Q28+P28</f>
        <v>47</v>
      </c>
      <c r="S28" s="333"/>
      <c r="T28" s="333"/>
      <c r="U28" s="370"/>
      <c r="V28" s="333"/>
      <c r="W28" s="333"/>
      <c r="X28" s="497"/>
      <c r="Y28" s="498"/>
      <c r="Z28" s="498"/>
      <c r="AA28" s="498"/>
      <c r="AB28" s="498"/>
      <c r="AC28" s="498"/>
      <c r="AD28" s="498"/>
      <c r="AE28" s="498"/>
      <c r="AF28" s="499"/>
      <c r="AG28" s="334"/>
      <c r="AH28" s="116"/>
    </row>
    <row r="29" spans="1:34" ht="18.75" customHeight="1">
      <c r="A29" s="116"/>
      <c r="B29" s="326"/>
      <c r="C29" s="389" t="s">
        <v>2362</v>
      </c>
      <c r="D29" s="394"/>
      <c r="E29" s="451">
        <v>0</v>
      </c>
      <c r="F29" s="452">
        <v>0</v>
      </c>
      <c r="G29" s="453">
        <v>0</v>
      </c>
      <c r="H29" s="453">
        <v>0</v>
      </c>
      <c r="I29" s="454">
        <v>0</v>
      </c>
      <c r="J29" s="413">
        <v>0</v>
      </c>
      <c r="K29" s="387">
        <v>0</v>
      </c>
      <c r="L29" s="455">
        <v>0</v>
      </c>
      <c r="M29" s="435">
        <v>0</v>
      </c>
      <c r="N29" s="456">
        <v>0</v>
      </c>
      <c r="O29" s="436">
        <f t="shared" ref="O29:O36" si="4">+SUM(J29:K29)-SUM(L29:N29)</f>
        <v>0</v>
      </c>
      <c r="P29" s="451">
        <v>0</v>
      </c>
      <c r="Q29" s="453">
        <f>+COUNTIFS('2. Status Detalhe Campos FY24'!$C:$C,"*Bens Imóveis*",'2. Status Detalhe Campos FY24'!$K:$K,"*"&amp;$P$25&amp;"*",'2. Status Detalhe Campos FY24'!U:U,"*anterior*")</f>
        <v>47</v>
      </c>
      <c r="R29" s="454">
        <f t="shared" ref="R29:R36" si="5">+Q29+P29</f>
        <v>47</v>
      </c>
      <c r="S29" s="333"/>
      <c r="T29" s="333"/>
      <c r="U29" s="333"/>
      <c r="V29" s="333"/>
      <c r="W29" s="333"/>
      <c r="X29" s="497"/>
      <c r="Y29" s="498"/>
      <c r="Z29" s="498"/>
      <c r="AA29" s="498"/>
      <c r="AB29" s="498"/>
      <c r="AC29" s="498"/>
      <c r="AD29" s="498"/>
      <c r="AE29" s="498"/>
      <c r="AF29" s="499"/>
      <c r="AG29" s="334"/>
      <c r="AH29" s="116"/>
    </row>
    <row r="30" spans="1:34" ht="18.75" customHeight="1">
      <c r="A30" s="116"/>
      <c r="B30" s="326"/>
      <c r="C30" s="393" t="s">
        <v>2361</v>
      </c>
      <c r="D30" s="395"/>
      <c r="E30" s="457">
        <v>0</v>
      </c>
      <c r="F30" s="458">
        <v>0</v>
      </c>
      <c r="G30" s="459">
        <v>0</v>
      </c>
      <c r="H30" s="459">
        <v>0</v>
      </c>
      <c r="I30" s="460">
        <v>0</v>
      </c>
      <c r="J30" s="415">
        <v>0</v>
      </c>
      <c r="K30" s="416">
        <v>0</v>
      </c>
      <c r="L30" s="461">
        <v>0</v>
      </c>
      <c r="M30" s="437">
        <v>0</v>
      </c>
      <c r="N30" s="462">
        <v>0</v>
      </c>
      <c r="O30" s="438">
        <f t="shared" si="4"/>
        <v>0</v>
      </c>
      <c r="P30" s="457">
        <v>0</v>
      </c>
      <c r="Q30" s="459">
        <f>+COUNTIFS('2. Status Detalhe Campos FY24'!$C:$C,"*Bens Imóveis*",'2. Status Detalhe Campos FY24'!$K:$K,"*"&amp;$P$25&amp;"*",'2. Status Detalhe Campos FY24'!U:U,"*Novo Plano*")</f>
        <v>0</v>
      </c>
      <c r="R30" s="460">
        <f t="shared" si="5"/>
        <v>0</v>
      </c>
      <c r="S30" s="333"/>
      <c r="T30" s="333"/>
      <c r="U30" s="333"/>
      <c r="V30" s="333"/>
      <c r="W30" s="333"/>
      <c r="X30" s="497"/>
      <c r="Y30" s="498"/>
      <c r="Z30" s="498"/>
      <c r="AA30" s="498"/>
      <c r="AB30" s="498"/>
      <c r="AC30" s="498"/>
      <c r="AD30" s="498"/>
      <c r="AE30" s="498"/>
      <c r="AF30" s="499"/>
      <c r="AG30" s="334"/>
      <c r="AH30" s="116"/>
    </row>
    <row r="31" spans="1:34" ht="18.75" customHeight="1">
      <c r="A31" s="116"/>
      <c r="B31" s="326"/>
      <c r="C31" s="534" t="s">
        <v>29</v>
      </c>
      <c r="D31" s="535"/>
      <c r="E31" s="442">
        <v>20</v>
      </c>
      <c r="F31" s="443">
        <v>0</v>
      </c>
      <c r="G31" s="444">
        <v>20</v>
      </c>
      <c r="H31" s="444">
        <v>0</v>
      </c>
      <c r="I31" s="445">
        <v>0</v>
      </c>
      <c r="J31" s="405">
        <v>0</v>
      </c>
      <c r="K31" s="408">
        <v>0</v>
      </c>
      <c r="L31" s="406">
        <v>0</v>
      </c>
      <c r="M31" s="433">
        <v>0</v>
      </c>
      <c r="N31" s="407">
        <v>0</v>
      </c>
      <c r="O31" s="432">
        <f t="shared" si="4"/>
        <v>0</v>
      </c>
      <c r="P31" s="442">
        <v>0</v>
      </c>
      <c r="Q31" s="444">
        <f>+COUNTIFS('2. Status Detalhe Campos FY24'!$C:$C,"*Verde*",'2. Status Detalhe Campos FY24'!$K:$K,"*"&amp;$P$25&amp;"*")</f>
        <v>17</v>
      </c>
      <c r="R31" s="445">
        <f t="shared" si="5"/>
        <v>17</v>
      </c>
      <c r="S31" s="333"/>
      <c r="T31" s="333"/>
      <c r="U31" s="333"/>
      <c r="V31" s="333"/>
      <c r="W31" s="333"/>
      <c r="X31" s="497"/>
      <c r="Y31" s="498"/>
      <c r="Z31" s="498"/>
      <c r="AA31" s="498"/>
      <c r="AB31" s="498"/>
      <c r="AC31" s="498"/>
      <c r="AD31" s="498"/>
      <c r="AE31" s="498"/>
      <c r="AF31" s="499"/>
      <c r="AG31" s="334"/>
      <c r="AH31" s="116"/>
    </row>
    <row r="32" spans="1:34" ht="18.75" customHeight="1">
      <c r="A32" s="116"/>
      <c r="B32" s="326"/>
      <c r="C32" s="389" t="s">
        <v>2362</v>
      </c>
      <c r="D32" s="394"/>
      <c r="E32" s="451">
        <v>0</v>
      </c>
      <c r="F32" s="452">
        <v>0</v>
      </c>
      <c r="G32" s="453">
        <v>0</v>
      </c>
      <c r="H32" s="453">
        <v>0</v>
      </c>
      <c r="I32" s="454">
        <v>0</v>
      </c>
      <c r="J32" s="413">
        <v>0</v>
      </c>
      <c r="K32" s="387">
        <v>0</v>
      </c>
      <c r="L32" s="455">
        <v>0</v>
      </c>
      <c r="M32" s="435">
        <v>0</v>
      </c>
      <c r="N32" s="456">
        <v>0</v>
      </c>
      <c r="O32" s="436">
        <f t="shared" si="4"/>
        <v>0</v>
      </c>
      <c r="P32" s="451">
        <v>0</v>
      </c>
      <c r="Q32" s="453">
        <f>+COUNTIFS('2. Status Detalhe Campos FY24'!$C:$C,"*Verde*",'2. Status Detalhe Campos FY24'!$K:$K,"*"&amp;$P$25&amp;"*",'2. Status Detalhe Campos FY24'!U:U,"*anterior*")</f>
        <v>12</v>
      </c>
      <c r="R32" s="454">
        <f t="shared" si="5"/>
        <v>12</v>
      </c>
      <c r="S32" s="333"/>
      <c r="T32" s="333"/>
      <c r="U32" s="333"/>
      <c r="V32" s="333"/>
      <c r="W32" s="333"/>
      <c r="X32" s="497"/>
      <c r="Y32" s="498"/>
      <c r="Z32" s="498"/>
      <c r="AA32" s="498"/>
      <c r="AB32" s="498"/>
      <c r="AC32" s="498"/>
      <c r="AD32" s="498"/>
      <c r="AE32" s="498"/>
      <c r="AF32" s="499"/>
      <c r="AG32" s="334"/>
      <c r="AH32" s="116"/>
    </row>
    <row r="33" spans="1:34" ht="18.75" customHeight="1">
      <c r="A33" s="116"/>
      <c r="B33" s="326"/>
      <c r="C33" s="393" t="s">
        <v>2361</v>
      </c>
      <c r="D33" s="395"/>
      <c r="E33" s="457">
        <v>20</v>
      </c>
      <c r="F33" s="458">
        <v>0</v>
      </c>
      <c r="G33" s="459">
        <v>20</v>
      </c>
      <c r="H33" s="459">
        <v>0</v>
      </c>
      <c r="I33" s="460">
        <v>0</v>
      </c>
      <c r="J33" s="415">
        <v>0</v>
      </c>
      <c r="K33" s="416">
        <v>0</v>
      </c>
      <c r="L33" s="461">
        <v>0</v>
      </c>
      <c r="M33" s="437">
        <v>0</v>
      </c>
      <c r="N33" s="462">
        <v>0</v>
      </c>
      <c r="O33" s="438">
        <f t="shared" si="4"/>
        <v>0</v>
      </c>
      <c r="P33" s="457">
        <v>0</v>
      </c>
      <c r="Q33" s="459">
        <f>+COUNTIFS('2. Status Detalhe Campos FY24'!$C:$C,"*Verde*",'2. Status Detalhe Campos FY24'!$K:$K,"*"&amp;$P$25&amp;"*",'2. Status Detalhe Campos FY24'!U:U,"*Novo Plano*")</f>
        <v>5</v>
      </c>
      <c r="R33" s="460">
        <f t="shared" si="5"/>
        <v>5</v>
      </c>
      <c r="S33" s="333"/>
      <c r="T33" s="333"/>
      <c r="U33" s="333"/>
      <c r="V33" s="333"/>
      <c r="W33" s="333"/>
      <c r="X33" s="497"/>
      <c r="Y33" s="498"/>
      <c r="Z33" s="498"/>
      <c r="AA33" s="498"/>
      <c r="AB33" s="498"/>
      <c r="AC33" s="498"/>
      <c r="AD33" s="498"/>
      <c r="AE33" s="498"/>
      <c r="AF33" s="499"/>
      <c r="AG33" s="334"/>
      <c r="AH33" s="116"/>
    </row>
    <row r="34" spans="1:34" ht="18.75" customHeight="1">
      <c r="A34" s="116"/>
      <c r="B34" s="326"/>
      <c r="C34" s="534" t="s">
        <v>2337</v>
      </c>
      <c r="D34" s="535"/>
      <c r="E34" s="442">
        <v>0</v>
      </c>
      <c r="F34" s="443">
        <v>0</v>
      </c>
      <c r="G34" s="444">
        <v>0</v>
      </c>
      <c r="H34" s="444">
        <v>0</v>
      </c>
      <c r="I34" s="445">
        <v>0</v>
      </c>
      <c r="J34" s="405">
        <v>0</v>
      </c>
      <c r="K34" s="408">
        <v>0</v>
      </c>
      <c r="L34" s="406">
        <v>0</v>
      </c>
      <c r="M34" s="433">
        <v>0</v>
      </c>
      <c r="N34" s="407">
        <v>0</v>
      </c>
      <c r="O34" s="432">
        <f t="shared" si="4"/>
        <v>0</v>
      </c>
      <c r="P34" s="442">
        <v>0</v>
      </c>
      <c r="Q34" s="444">
        <f>+COUNTIFS('2. Status Detalhe Campos FY24'!$C:$C,"*Pilar*",'2. Status Detalhe Campos FY24'!$K:$K,"*"&amp;$P$25&amp;"*")</f>
        <v>2</v>
      </c>
      <c r="R34" s="445">
        <f t="shared" si="5"/>
        <v>2</v>
      </c>
      <c r="S34" s="333"/>
      <c r="T34" s="333"/>
      <c r="U34" s="333"/>
      <c r="V34" s="333"/>
      <c r="W34" s="333"/>
      <c r="X34" s="497"/>
      <c r="Y34" s="498"/>
      <c r="Z34" s="498"/>
      <c r="AA34" s="498"/>
      <c r="AB34" s="498"/>
      <c r="AC34" s="498"/>
      <c r="AD34" s="498"/>
      <c r="AE34" s="498"/>
      <c r="AF34" s="499"/>
      <c r="AG34" s="334"/>
      <c r="AH34" s="116"/>
    </row>
    <row r="35" spans="1:34" ht="18.75" customHeight="1">
      <c r="A35" s="116"/>
      <c r="B35" s="326"/>
      <c r="C35" s="389" t="s">
        <v>2362</v>
      </c>
      <c r="D35" s="396"/>
      <c r="E35" s="451">
        <v>0</v>
      </c>
      <c r="F35" s="452">
        <v>0</v>
      </c>
      <c r="G35" s="453">
        <v>0</v>
      </c>
      <c r="H35" s="453">
        <v>0</v>
      </c>
      <c r="I35" s="454">
        <v>0</v>
      </c>
      <c r="J35" s="413">
        <v>0</v>
      </c>
      <c r="K35" s="387">
        <v>0</v>
      </c>
      <c r="L35" s="455">
        <v>0</v>
      </c>
      <c r="M35" s="439">
        <v>0</v>
      </c>
      <c r="N35" s="456">
        <v>0</v>
      </c>
      <c r="O35" s="436">
        <f t="shared" si="4"/>
        <v>0</v>
      </c>
      <c r="P35" s="451">
        <v>0</v>
      </c>
      <c r="Q35" s="453">
        <f>+COUNTIFS('2. Status Detalhe Campos FY24'!$C:$C,"*Pilar*",'2. Status Detalhe Campos FY24'!$K:$K,"*"&amp;$P$25&amp;"*",'2. Status Detalhe Campos FY24'!U:U,"*anterior*")</f>
        <v>2</v>
      </c>
      <c r="R35" s="454">
        <f t="shared" si="5"/>
        <v>2</v>
      </c>
      <c r="S35" s="333"/>
      <c r="T35" s="333"/>
      <c r="U35" s="333"/>
      <c r="V35" s="333"/>
      <c r="W35" s="333"/>
      <c r="X35" s="497"/>
      <c r="Y35" s="498"/>
      <c r="Z35" s="498"/>
      <c r="AA35" s="498"/>
      <c r="AB35" s="498"/>
      <c r="AC35" s="498"/>
      <c r="AD35" s="498"/>
      <c r="AE35" s="498"/>
      <c r="AF35" s="499"/>
      <c r="AG35" s="334"/>
      <c r="AH35" s="116"/>
    </row>
    <row r="36" spans="1:34" ht="18.75" customHeight="1">
      <c r="A36" s="116"/>
      <c r="B36" s="326"/>
      <c r="C36" s="393" t="s">
        <v>2361</v>
      </c>
      <c r="D36" s="395"/>
      <c r="E36" s="457">
        <v>0</v>
      </c>
      <c r="F36" s="458">
        <v>0</v>
      </c>
      <c r="G36" s="459">
        <v>0</v>
      </c>
      <c r="H36" s="459">
        <v>0</v>
      </c>
      <c r="I36" s="460">
        <v>0</v>
      </c>
      <c r="J36" s="415">
        <v>0</v>
      </c>
      <c r="K36" s="416">
        <v>0</v>
      </c>
      <c r="L36" s="461">
        <v>0</v>
      </c>
      <c r="M36" s="437">
        <v>0</v>
      </c>
      <c r="N36" s="462">
        <v>0</v>
      </c>
      <c r="O36" s="438">
        <f t="shared" si="4"/>
        <v>0</v>
      </c>
      <c r="P36" s="457">
        <v>0</v>
      </c>
      <c r="Q36" s="459">
        <f>+COUNTIFS('2. Status Detalhe Campos FY24'!$C:$C,"*Pilar*",'2. Status Detalhe Campos FY24'!$K:$K,"*"&amp;$P$25&amp;"*",'2. Status Detalhe Campos FY24'!U:U,"*Novo Plano*")</f>
        <v>0</v>
      </c>
      <c r="R36" s="460">
        <f t="shared" si="5"/>
        <v>0</v>
      </c>
      <c r="S36" s="333"/>
      <c r="T36" s="333"/>
      <c r="U36" s="333"/>
      <c r="V36" s="333"/>
      <c r="W36" s="333"/>
      <c r="X36" s="497"/>
      <c r="Y36" s="498"/>
      <c r="Z36" s="498"/>
      <c r="AA36" s="498"/>
      <c r="AB36" s="498"/>
      <c r="AC36" s="498"/>
      <c r="AD36" s="498"/>
      <c r="AE36" s="498"/>
      <c r="AF36" s="499"/>
      <c r="AG36" s="334"/>
      <c r="AH36" s="116"/>
    </row>
    <row r="37" spans="1:34" ht="18.75" customHeight="1">
      <c r="A37" s="116"/>
      <c r="B37" s="326"/>
      <c r="C37" s="536" t="s">
        <v>2331</v>
      </c>
      <c r="D37" s="537"/>
      <c r="E37" s="463">
        <v>20</v>
      </c>
      <c r="F37" s="464">
        <v>0</v>
      </c>
      <c r="G37" s="465">
        <v>20</v>
      </c>
      <c r="H37" s="466">
        <v>0</v>
      </c>
      <c r="I37" s="466">
        <v>0</v>
      </c>
      <c r="J37" s="463">
        <v>0</v>
      </c>
      <c r="K37" s="464">
        <v>0</v>
      </c>
      <c r="L37" s="467">
        <f t="shared" ref="L37:R37" si="6">+SUM(L28,L31,L34)</f>
        <v>0</v>
      </c>
      <c r="M37" s="468">
        <f t="shared" si="6"/>
        <v>0</v>
      </c>
      <c r="N37" s="469">
        <f t="shared" si="6"/>
        <v>0</v>
      </c>
      <c r="O37" s="466">
        <f t="shared" si="6"/>
        <v>0</v>
      </c>
      <c r="P37" s="463">
        <v>2</v>
      </c>
      <c r="Q37" s="465">
        <f t="shared" si="6"/>
        <v>66</v>
      </c>
      <c r="R37" s="470">
        <f t="shared" si="6"/>
        <v>66</v>
      </c>
      <c r="S37" s="333"/>
      <c r="T37" s="333"/>
      <c r="U37" s="333"/>
      <c r="V37" s="333"/>
      <c r="W37" s="333"/>
      <c r="X37" s="497"/>
      <c r="Y37" s="498"/>
      <c r="Z37" s="498"/>
      <c r="AA37" s="498"/>
      <c r="AB37" s="498"/>
      <c r="AC37" s="498"/>
      <c r="AD37" s="498"/>
      <c r="AE37" s="498"/>
      <c r="AF37" s="499"/>
      <c r="AG37" s="334"/>
      <c r="AH37" s="116"/>
    </row>
    <row r="38" spans="1:34" ht="18.75" customHeight="1">
      <c r="A38" s="116"/>
      <c r="B38" s="326"/>
      <c r="C38" s="333"/>
      <c r="D38" s="333"/>
      <c r="E38" s="333"/>
      <c r="F38" s="333"/>
      <c r="G38" s="333"/>
      <c r="H38" s="333"/>
      <c r="I38" s="333"/>
      <c r="J38" s="333"/>
      <c r="K38" s="333"/>
      <c r="L38" s="333"/>
      <c r="M38" s="333"/>
      <c r="N38" s="333"/>
      <c r="O38" s="333"/>
      <c r="P38" s="333"/>
      <c r="Q38" s="333"/>
      <c r="R38" s="333"/>
      <c r="S38" s="333"/>
      <c r="T38" s="333"/>
      <c r="U38" s="333"/>
      <c r="V38" s="333"/>
      <c r="W38" s="333"/>
      <c r="X38" s="497"/>
      <c r="Y38" s="498"/>
      <c r="Z38" s="498"/>
      <c r="AA38" s="498"/>
      <c r="AB38" s="498"/>
      <c r="AC38" s="498"/>
      <c r="AD38" s="498"/>
      <c r="AE38" s="498"/>
      <c r="AF38" s="499"/>
      <c r="AG38" s="334"/>
      <c r="AH38" s="116"/>
    </row>
    <row r="39" spans="1:34" ht="19.8" customHeight="1">
      <c r="A39" s="116"/>
      <c r="B39" s="326"/>
      <c r="C39" s="333"/>
      <c r="D39" s="333"/>
      <c r="E39" s="333"/>
      <c r="F39" s="333"/>
      <c r="G39" s="333"/>
      <c r="H39" s="333"/>
      <c r="I39" s="333"/>
      <c r="J39" s="333"/>
      <c r="K39" s="333"/>
      <c r="L39" s="333"/>
      <c r="M39" s="333"/>
      <c r="N39" s="333"/>
      <c r="O39" s="333"/>
      <c r="P39" s="333"/>
      <c r="Q39" s="333"/>
      <c r="R39" s="333"/>
      <c r="S39" s="333"/>
      <c r="T39" s="333"/>
      <c r="U39" s="333"/>
      <c r="V39" s="333"/>
      <c r="W39" s="333"/>
      <c r="X39" s="497"/>
      <c r="Y39" s="498"/>
      <c r="Z39" s="498"/>
      <c r="AA39" s="498"/>
      <c r="AB39" s="498"/>
      <c r="AC39" s="498"/>
      <c r="AD39" s="498"/>
      <c r="AE39" s="498"/>
      <c r="AF39" s="499"/>
      <c r="AG39" s="334"/>
      <c r="AH39" s="116"/>
    </row>
    <row r="40" spans="1:34" ht="19.8" customHeight="1">
      <c r="A40" s="116"/>
      <c r="B40" s="326"/>
      <c r="C40" s="333"/>
      <c r="D40" s="333"/>
      <c r="E40" s="333"/>
      <c r="F40" s="333"/>
      <c r="G40" s="333"/>
      <c r="H40" s="333"/>
      <c r="I40" s="333"/>
      <c r="J40" s="333"/>
      <c r="K40" s="333"/>
      <c r="L40" s="333"/>
      <c r="M40" s="333"/>
      <c r="N40" s="333"/>
      <c r="O40" s="333"/>
      <c r="P40" s="333"/>
      <c r="Q40" s="333"/>
      <c r="R40" s="333"/>
      <c r="S40" s="333"/>
      <c r="T40" s="333"/>
      <c r="U40" s="333"/>
      <c r="V40" s="333"/>
      <c r="W40" s="333"/>
      <c r="X40" s="497"/>
      <c r="Y40" s="498"/>
      <c r="Z40" s="498"/>
      <c r="AA40" s="498"/>
      <c r="AB40" s="498"/>
      <c r="AC40" s="498"/>
      <c r="AD40" s="498"/>
      <c r="AE40" s="498"/>
      <c r="AF40" s="499"/>
      <c r="AG40" s="334"/>
      <c r="AH40" s="116"/>
    </row>
    <row r="41" spans="1:34" ht="19.8" customHeight="1">
      <c r="A41" s="116"/>
      <c r="B41" s="326"/>
      <c r="C41" s="333"/>
      <c r="D41" s="333"/>
      <c r="E41" s="333"/>
      <c r="F41" s="333"/>
      <c r="G41" s="333"/>
      <c r="H41" s="333"/>
      <c r="I41" s="333"/>
      <c r="J41" s="333"/>
      <c r="K41" s="333"/>
      <c r="L41" s="333"/>
      <c r="M41" s="333"/>
      <c r="N41" s="333"/>
      <c r="O41" s="333"/>
      <c r="P41" s="333"/>
      <c r="Q41" s="333"/>
      <c r="R41" s="333"/>
      <c r="S41" s="333"/>
      <c r="T41" s="333"/>
      <c r="U41" s="333"/>
      <c r="V41" s="333"/>
      <c r="W41" s="333"/>
      <c r="X41" s="497"/>
      <c r="Y41" s="498"/>
      <c r="Z41" s="498"/>
      <c r="AA41" s="498"/>
      <c r="AB41" s="498"/>
      <c r="AC41" s="498"/>
      <c r="AD41" s="498"/>
      <c r="AE41" s="498"/>
      <c r="AF41" s="499"/>
      <c r="AG41" s="334"/>
      <c r="AH41" s="116"/>
    </row>
    <row r="42" spans="1:34" ht="19.8" customHeight="1">
      <c r="A42" s="116"/>
      <c r="B42" s="326"/>
      <c r="C42" s="333"/>
      <c r="D42" s="333"/>
      <c r="E42" s="333"/>
      <c r="F42" s="333"/>
      <c r="G42" s="333"/>
      <c r="H42" s="333"/>
      <c r="I42" s="333"/>
      <c r="J42" s="333"/>
      <c r="K42" s="333"/>
      <c r="L42" s="333"/>
      <c r="M42" s="333"/>
      <c r="N42" s="333"/>
      <c r="O42" s="333"/>
      <c r="P42" s="333"/>
      <c r="Q42" s="333"/>
      <c r="R42" s="333"/>
      <c r="S42" s="333"/>
      <c r="T42" s="333"/>
      <c r="U42" s="333"/>
      <c r="V42" s="333"/>
      <c r="W42" s="333"/>
      <c r="X42" s="497"/>
      <c r="Y42" s="498"/>
      <c r="Z42" s="498"/>
      <c r="AA42" s="498"/>
      <c r="AB42" s="498"/>
      <c r="AC42" s="498"/>
      <c r="AD42" s="498"/>
      <c r="AE42" s="498"/>
      <c r="AF42" s="499"/>
      <c r="AG42" s="334"/>
      <c r="AH42" s="116"/>
    </row>
    <row r="43" spans="1:34" ht="19.8" customHeight="1">
      <c r="A43" s="116"/>
      <c r="B43" s="326"/>
      <c r="C43" s="333"/>
      <c r="D43" s="333"/>
      <c r="E43" s="333"/>
      <c r="F43" s="333"/>
      <c r="G43" s="333"/>
      <c r="H43" s="333"/>
      <c r="I43" s="333"/>
      <c r="J43" s="333"/>
      <c r="K43" s="333"/>
      <c r="L43" s="333"/>
      <c r="M43" s="333"/>
      <c r="N43" s="333"/>
      <c r="O43" s="333"/>
      <c r="P43" s="333"/>
      <c r="Q43" s="333"/>
      <c r="R43" s="333"/>
      <c r="S43" s="333"/>
      <c r="T43" s="333"/>
      <c r="U43" s="333"/>
      <c r="V43" s="333"/>
      <c r="W43" s="333"/>
      <c r="X43" s="497"/>
      <c r="Y43" s="498"/>
      <c r="Z43" s="498"/>
      <c r="AA43" s="498"/>
      <c r="AB43" s="498"/>
      <c r="AC43" s="498"/>
      <c r="AD43" s="498"/>
      <c r="AE43" s="498"/>
      <c r="AF43" s="499"/>
      <c r="AG43" s="334"/>
      <c r="AH43" s="116"/>
    </row>
    <row r="44" spans="1:34" ht="18.75" customHeight="1">
      <c r="A44" s="116"/>
      <c r="B44" s="326"/>
      <c r="C44" s="333"/>
      <c r="D44" s="333"/>
      <c r="E44" s="333"/>
      <c r="F44" s="333"/>
      <c r="G44" s="333"/>
      <c r="H44" s="333"/>
      <c r="I44" s="333"/>
      <c r="J44" s="333"/>
      <c r="K44" s="333"/>
      <c r="L44" s="333"/>
      <c r="M44" s="333"/>
      <c r="N44" s="333"/>
      <c r="O44" s="333"/>
      <c r="P44" s="333"/>
      <c r="Q44" s="333"/>
      <c r="R44" s="333"/>
      <c r="S44" s="333"/>
      <c r="T44" s="333"/>
      <c r="U44" s="333"/>
      <c r="V44" s="333"/>
      <c r="W44" s="333"/>
      <c r="X44" s="497"/>
      <c r="Y44" s="498"/>
      <c r="Z44" s="498"/>
      <c r="AA44" s="498"/>
      <c r="AB44" s="498"/>
      <c r="AC44" s="498"/>
      <c r="AD44" s="498"/>
      <c r="AE44" s="498"/>
      <c r="AF44" s="499"/>
      <c r="AG44" s="334"/>
      <c r="AH44" s="116"/>
    </row>
    <row r="45" spans="1:34" ht="18.75" customHeight="1">
      <c r="A45" s="116"/>
      <c r="B45" s="326"/>
      <c r="C45" s="333"/>
      <c r="D45" s="333"/>
      <c r="E45" s="333"/>
      <c r="F45" s="333"/>
      <c r="G45" s="333"/>
      <c r="H45" s="333"/>
      <c r="I45" s="333"/>
      <c r="J45" s="333"/>
      <c r="K45" s="333"/>
      <c r="L45" s="333"/>
      <c r="M45" s="333"/>
      <c r="N45" s="333"/>
      <c r="O45" s="333"/>
      <c r="P45" s="333"/>
      <c r="Q45" s="333"/>
      <c r="R45" s="333"/>
      <c r="S45" s="333"/>
      <c r="T45" s="333"/>
      <c r="U45" s="333"/>
      <c r="V45" s="333"/>
      <c r="W45" s="333"/>
      <c r="X45" s="500"/>
      <c r="Y45" s="501"/>
      <c r="Z45" s="501"/>
      <c r="AA45" s="501"/>
      <c r="AB45" s="501"/>
      <c r="AC45" s="501"/>
      <c r="AD45" s="501"/>
      <c r="AE45" s="501"/>
      <c r="AF45" s="502"/>
      <c r="AG45" s="334"/>
      <c r="AH45" s="116"/>
    </row>
    <row r="46" spans="1:34">
      <c r="A46" s="116"/>
      <c r="B46" s="384">
        <v>1</v>
      </c>
      <c r="C46" s="327"/>
      <c r="D46" s="327"/>
      <c r="E46" s="327"/>
      <c r="F46" s="327"/>
      <c r="G46" s="327"/>
      <c r="H46" s="327"/>
      <c r="I46" s="327"/>
      <c r="J46" s="327"/>
      <c r="K46" s="327"/>
      <c r="L46" s="327"/>
      <c r="M46" s="327"/>
      <c r="N46" s="327"/>
      <c r="O46" s="327"/>
      <c r="P46" s="327"/>
      <c r="Q46" s="327"/>
      <c r="R46" s="327"/>
      <c r="S46" s="327"/>
      <c r="T46" s="327"/>
      <c r="U46" s="327"/>
      <c r="V46" s="327"/>
      <c r="W46" s="327"/>
      <c r="X46" s="327"/>
      <c r="Y46" s="327"/>
      <c r="Z46" s="327"/>
      <c r="AA46" s="327"/>
      <c r="AB46" s="327"/>
      <c r="AC46" s="327"/>
      <c r="AD46" s="327"/>
      <c r="AE46" s="327"/>
      <c r="AF46" s="327"/>
      <c r="AG46" s="385">
        <v>1</v>
      </c>
      <c r="AH46" s="116"/>
    </row>
    <row r="47" spans="1:34">
      <c r="A47" s="116"/>
      <c r="B47" s="116"/>
      <c r="C47" s="116"/>
      <c r="D47" s="116"/>
      <c r="E47" s="116"/>
      <c r="F47" s="116"/>
      <c r="G47" s="116"/>
      <c r="H47" s="116"/>
      <c r="I47" s="116"/>
      <c r="J47" s="116"/>
      <c r="K47" s="116"/>
      <c r="L47" s="116"/>
      <c r="M47" s="116"/>
      <c r="N47" s="116"/>
      <c r="O47" s="116"/>
      <c r="P47" s="116"/>
      <c r="Q47" s="116"/>
      <c r="R47" s="116"/>
      <c r="S47" s="116"/>
      <c r="T47" s="116"/>
      <c r="U47" s="116"/>
      <c r="V47" s="116"/>
      <c r="W47" s="116"/>
      <c r="X47" s="116"/>
      <c r="Y47" s="116"/>
      <c r="Z47" s="116"/>
      <c r="AA47" s="116"/>
      <c r="AB47" s="116"/>
      <c r="AC47" s="116"/>
      <c r="AD47" s="116"/>
      <c r="AE47" s="116"/>
      <c r="AF47" s="116"/>
      <c r="AG47" s="116"/>
      <c r="AH47" s="116"/>
    </row>
    <row r="48" spans="1:34" ht="22.2">
      <c r="A48" s="116"/>
      <c r="B48" s="126" t="s">
        <v>2332</v>
      </c>
      <c r="C48" s="116"/>
      <c r="D48" s="116"/>
      <c r="E48" s="116"/>
      <c r="F48" s="116"/>
      <c r="G48" s="128" t="s">
        <v>34</v>
      </c>
      <c r="H48" s="128" t="s">
        <v>54</v>
      </c>
      <c r="I48" s="128" t="s">
        <v>181</v>
      </c>
      <c r="J48" s="128" t="s">
        <v>310</v>
      </c>
      <c r="K48" s="128" t="s">
        <v>26</v>
      </c>
      <c r="L48" s="116"/>
      <c r="M48" s="116"/>
      <c r="N48" s="116"/>
      <c r="O48" s="116"/>
      <c r="P48" s="116"/>
      <c r="Q48" s="116"/>
      <c r="R48" s="116"/>
      <c r="S48" s="116"/>
      <c r="T48" s="116"/>
      <c r="U48" s="116"/>
      <c r="V48" s="116"/>
      <c r="W48" s="116"/>
      <c r="X48" s="116"/>
      <c r="Y48" s="116"/>
      <c r="Z48" s="116"/>
      <c r="AA48" s="116"/>
      <c r="AB48" s="116"/>
      <c r="AC48" s="116"/>
      <c r="AD48" s="116"/>
      <c r="AE48" s="116"/>
      <c r="AF48" s="116"/>
      <c r="AG48" s="116"/>
      <c r="AH48" s="116"/>
    </row>
    <row r="49" spans="1:34" ht="5.0999999999999996" customHeight="1">
      <c r="A49" s="116"/>
      <c r="B49" s="116"/>
      <c r="C49" s="116"/>
      <c r="D49" s="116"/>
      <c r="E49" s="116"/>
      <c r="F49" s="116"/>
      <c r="G49" s="116"/>
      <c r="H49" s="116"/>
      <c r="I49" s="116"/>
      <c r="J49" s="116"/>
      <c r="K49" s="116"/>
      <c r="L49" s="116"/>
      <c r="M49" s="116"/>
      <c r="N49" s="116"/>
      <c r="O49" s="116"/>
      <c r="P49" s="116"/>
      <c r="Q49" s="116"/>
      <c r="R49" s="116"/>
      <c r="S49" s="116"/>
      <c r="T49" s="116"/>
      <c r="U49" s="116"/>
      <c r="V49" s="116"/>
      <c r="W49" s="116"/>
      <c r="X49" s="116"/>
      <c r="Y49" s="116"/>
      <c r="Z49" s="116"/>
      <c r="AA49" s="116"/>
      <c r="AB49" s="116"/>
      <c r="AC49" s="116"/>
      <c r="AD49" s="116"/>
      <c r="AE49" s="116"/>
      <c r="AF49" s="116"/>
      <c r="AG49" s="116"/>
      <c r="AH49" s="116"/>
    </row>
    <row r="50" spans="1:34">
      <c r="A50" s="116"/>
      <c r="B50" s="118"/>
      <c r="C50" s="119"/>
      <c r="D50" s="119"/>
      <c r="E50" s="119"/>
      <c r="F50" s="119"/>
      <c r="G50" s="119"/>
      <c r="H50" s="119"/>
      <c r="I50" s="119"/>
      <c r="J50" s="119"/>
      <c r="K50" s="119"/>
      <c r="L50" s="119"/>
      <c r="M50" s="119"/>
      <c r="N50" s="119"/>
      <c r="O50" s="119"/>
      <c r="P50" s="119"/>
      <c r="Q50" s="119"/>
      <c r="R50" s="119"/>
      <c r="S50" s="119"/>
      <c r="T50" s="119"/>
      <c r="U50" s="119"/>
      <c r="V50" s="119"/>
      <c r="W50" s="119"/>
      <c r="X50" s="119"/>
      <c r="Y50" s="119"/>
      <c r="Z50" s="119"/>
      <c r="AA50" s="119"/>
      <c r="AB50" s="119"/>
      <c r="AC50" s="119"/>
      <c r="AD50" s="119"/>
      <c r="AE50" s="119"/>
      <c r="AF50" s="119"/>
      <c r="AG50" s="120"/>
      <c r="AH50" s="116"/>
    </row>
    <row r="51" spans="1:34">
      <c r="A51" s="116"/>
      <c r="B51" s="121"/>
      <c r="C51" s="154" t="s">
        <v>606</v>
      </c>
      <c r="G51" s="154" t="s">
        <v>607</v>
      </c>
      <c r="P51" s="129" t="s">
        <v>608</v>
      </c>
      <c r="Q51" s="130"/>
      <c r="R51" s="129"/>
      <c r="S51" s="130"/>
      <c r="T51" s="131">
        <v>45709</v>
      </c>
      <c r="U51" s="131">
        <f>T51+7</f>
        <v>45716</v>
      </c>
      <c r="V51" s="132" t="s">
        <v>609</v>
      </c>
      <c r="X51" s="155" t="s">
        <v>610</v>
      </c>
      <c r="AG51" s="122"/>
      <c r="AH51" s="116"/>
    </row>
    <row r="52" spans="1:34" ht="17.850000000000001" customHeight="1">
      <c r="A52" s="116"/>
      <c r="B52" s="121"/>
      <c r="P52" s="374" t="s">
        <v>611</v>
      </c>
      <c r="Q52" s="374"/>
      <c r="R52" s="374"/>
      <c r="S52" s="374"/>
      <c r="T52" s="374">
        <f>COUNTIFS('2. Status Detalhe Campos FY24'!$H$7:$H$741,'1. Status Resumo FY24'!$P52,'2. Status Detalhe Campos FY24'!$C$7:$C$741,'1. Status Resumo FY24'!$G$48,'2. Status Detalhe Campos FY24'!$D$7:$D$741,"2. Campo")+COUNTIFS('2. Status Detalhe Campos FY24'!$H$7:$H$741,'1. Status Resumo FY24'!$P52,'2. Status Detalhe Campos FY24'!$C$7:$C$741,'1. Status Resumo FY24'!$H$48,'2. Status Detalhe Campos FY24'!$D$7:$D$741,"2. Campo")</f>
        <v>12</v>
      </c>
      <c r="U52" s="374">
        <f>COUNTIFS('2. Status Detalhe Campos FY24'!$G$7:$G$741,'1. Status Resumo FY24'!$P52,'2. Status Detalhe Campos FY24'!$C$7:$C$741,'1. Status Resumo FY24'!$G$48,'2. Status Detalhe Campos FY24'!$D$7:$D$741,"2. Campo")+COUNTIFS('2. Status Detalhe Campos FY24'!$G$7:$G$741,'1. Status Resumo FY24'!$P52,'2. Status Detalhe Campos FY24'!$C$7:$C$741,'1. Status Resumo FY24'!$H$48,'2. Status Detalhe Campos FY24'!$D$7:$D$741,"2. Campo")</f>
        <v>12</v>
      </c>
      <c r="V52" s="374">
        <f t="shared" ref="V52:V78" si="7">U52-T52</f>
        <v>0</v>
      </c>
      <c r="X52" s="511" t="s">
        <v>2438</v>
      </c>
      <c r="Y52" s="512"/>
      <c r="Z52" s="512"/>
      <c r="AA52" s="512"/>
      <c r="AB52" s="512"/>
      <c r="AC52" s="512"/>
      <c r="AD52" s="512"/>
      <c r="AE52" s="512"/>
      <c r="AF52" s="513"/>
      <c r="AG52" s="163"/>
      <c r="AH52" s="116"/>
    </row>
    <row r="53" spans="1:34" ht="17.850000000000001" customHeight="1">
      <c r="A53" s="116"/>
      <c r="B53" s="121"/>
      <c r="P53" s="375" t="s">
        <v>2362</v>
      </c>
      <c r="Q53" s="376"/>
      <c r="R53" s="376"/>
      <c r="S53" s="376"/>
      <c r="T53" s="446">
        <f>COUNTIFS('2. Status Detalhe Campos FY24'!$H$7:$H$741,'1. Status Resumo FY24'!$P52,'2. Status Detalhe Campos FY24'!$C$7:$C$741,'1. Status Resumo FY24'!$G$48,'2. Status Detalhe Campos FY24'!$D$7:$D$741,"2. Campo",'2. Status Detalhe Campos FY24'!$U$7:$U$741,"*Plano anterior*")
+COUNTIFS('2. Status Detalhe Campos FY24'!$H$7:$H$741,'1. Status Resumo FY24'!$P52,'2. Status Detalhe Campos FY24'!$C$7:$C$741,'1. Status Resumo FY24'!$H$48,'2. Status Detalhe Campos FY24'!$D$7:$D$741,"2. Campo",'2. Status Detalhe Campos FY24'!$U$7:$U$741,"*Plano anterior*")</f>
        <v>12</v>
      </c>
      <c r="U53" s="446">
        <f>COUNTIFS('2. Status Detalhe Campos FY24'!$G$7:$G$741,'1. Status Resumo FY24'!$P52,'2. Status Detalhe Campos FY24'!$C$7:$C$741,'1. Status Resumo FY24'!$G$48,'2. Status Detalhe Campos FY24'!$D$7:$D$741,"2. Campo",'2. Status Detalhe Campos FY24'!$U$7:$U$741,"*Plano anterior*")
+COUNTIFS('2. Status Detalhe Campos FY24'!$G$7:$G$741,'1. Status Resumo FY24'!$P52,'2. Status Detalhe Campos FY24'!$C$7:$C$741,'1. Status Resumo FY24'!$H$48,'2. Status Detalhe Campos FY24'!$D$7:$D$741,"2. Campo",'2. Status Detalhe Campos FY24'!$U$7:$U$741,"*Plano anterior*")</f>
        <v>12</v>
      </c>
      <c r="V53" s="446">
        <f t="shared" si="7"/>
        <v>0</v>
      </c>
      <c r="X53" s="514"/>
      <c r="Y53" s="515"/>
      <c r="Z53" s="515"/>
      <c r="AA53" s="515"/>
      <c r="AB53" s="515"/>
      <c r="AC53" s="515"/>
      <c r="AD53" s="515"/>
      <c r="AE53" s="515"/>
      <c r="AF53" s="516"/>
      <c r="AG53" s="163"/>
      <c r="AH53" s="116"/>
    </row>
    <row r="54" spans="1:34" ht="17.850000000000001" customHeight="1">
      <c r="A54" s="116"/>
      <c r="B54" s="121"/>
      <c r="P54" s="375" t="s">
        <v>2361</v>
      </c>
      <c r="Q54" s="376"/>
      <c r="R54" s="376"/>
      <c r="S54" s="376"/>
      <c r="T54" s="446">
        <f>COUNTIFS('2. Status Detalhe Campos FY24'!$H$7:$H$741,'1. Status Resumo FY24'!$P53,'2. Status Detalhe Campos FY24'!$C$7:$C$741,'1. Status Resumo FY24'!$G$48,'2. Status Detalhe Campos FY24'!$D$7:$D$741,"2. Campo",'2. Status Detalhe Campos FY24'!$U$7:$U$741,"*Novo Plano*")
+COUNTIFS('2. Status Detalhe Campos FY24'!$H$7:$H$741,'1. Status Resumo FY24'!$P53,'2. Status Detalhe Campos FY24'!$C$7:$C$741,'1. Status Resumo FY24'!$H$48,'2. Status Detalhe Campos FY24'!$D$7:$D$741,"2. Campo",'2. Status Detalhe Campos FY24'!$U$7:$U$741,"*Novo Plano*")</f>
        <v>0</v>
      </c>
      <c r="U54" s="446">
        <f>COUNTIFS('2. Status Detalhe Campos FY24'!$G$7:$G$741,'1. Status Resumo FY24'!$P52,'2. Status Detalhe Campos FY24'!$C$7:$C$741,'1. Status Resumo FY24'!$G$48,'2. Status Detalhe Campos FY24'!$D$7:$D$741,"2. Campo",'2. Status Detalhe Campos FY24'!$U$7:$U$741,"*Novo Plano*")
+COUNTIFS('2. Status Detalhe Campos FY24'!$G$7:$G$741,'1. Status Resumo FY24'!$P52,'2. Status Detalhe Campos FY24'!$C$7:$C$741,'1. Status Resumo FY24'!$H$48,'2. Status Detalhe Campos FY24'!$D$7:$D$741,"2. Campo",'2. Status Detalhe Campos FY24'!$U$7:$U$741,"*Novo Plano*")</f>
        <v>0</v>
      </c>
      <c r="V54" s="446">
        <f t="shared" si="7"/>
        <v>0</v>
      </c>
      <c r="X54" s="514"/>
      <c r="Y54" s="515"/>
      <c r="Z54" s="515"/>
      <c r="AA54" s="515"/>
      <c r="AB54" s="515"/>
      <c r="AC54" s="515"/>
      <c r="AD54" s="515"/>
      <c r="AE54" s="515"/>
      <c r="AF54" s="516"/>
      <c r="AG54" s="163"/>
      <c r="AH54" s="116"/>
    </row>
    <row r="55" spans="1:34">
      <c r="A55" s="116"/>
      <c r="B55" s="121"/>
      <c r="P55" s="373" t="s">
        <v>612</v>
      </c>
      <c r="Q55" s="373"/>
      <c r="R55" s="373"/>
      <c r="S55" s="373"/>
      <c r="T55" s="373">
        <f>COUNTIFS('2. Status Detalhe Campos FY24'!$H$7:$H$741,'1. Status Resumo FY24'!$P55,'2. Status Detalhe Campos FY24'!$C$7:$C$741,'1. Status Resumo FY24'!$G$48,'2. Status Detalhe Campos FY24'!$D$7:$D$741,"2. Campo")+COUNTIFS('2. Status Detalhe Campos FY24'!$H$7:$H$741,'1. Status Resumo FY24'!$P55,'2. Status Detalhe Campos FY24'!$C$7:$C$741,'1. Status Resumo FY24'!$H$48,'2. Status Detalhe Campos FY24'!$D$7:$D$741,"2. Campo")</f>
        <v>147</v>
      </c>
      <c r="U55" s="373">
        <f>COUNTIFS('2. Status Detalhe Campos FY24'!$G$7:$G$741,'1. Status Resumo FY24'!$P55,'2. Status Detalhe Campos FY24'!$C$7:$C$741,'1. Status Resumo FY24'!$G$48,'2. Status Detalhe Campos FY24'!$D$7:$D$741,"2. Campo")+COUNTIFS('2. Status Detalhe Campos FY24'!$G$7:$G$741,'1. Status Resumo FY24'!$P55,'2. Status Detalhe Campos FY24'!$C$7:$C$741,'1. Status Resumo FY24'!$H$48,'2. Status Detalhe Campos FY24'!$D$7:$D$741,"2. Campo")</f>
        <v>148</v>
      </c>
      <c r="V55" s="373">
        <f t="shared" si="7"/>
        <v>1</v>
      </c>
      <c r="X55" s="514"/>
      <c r="Y55" s="515"/>
      <c r="Z55" s="515"/>
      <c r="AA55" s="515"/>
      <c r="AB55" s="515"/>
      <c r="AC55" s="515"/>
      <c r="AD55" s="515"/>
      <c r="AE55" s="515"/>
      <c r="AF55" s="516"/>
      <c r="AG55" s="163"/>
      <c r="AH55" s="116"/>
    </row>
    <row r="56" spans="1:34">
      <c r="A56" s="116"/>
      <c r="B56" s="121"/>
      <c r="P56" s="375" t="s">
        <v>2362</v>
      </c>
      <c r="Q56" s="376"/>
      <c r="R56" s="376"/>
      <c r="S56" s="376"/>
      <c r="T56" s="446">
        <f>COUNTIFS('2. Status Detalhe Campos FY24'!$H$7:$H$741,'1. Status Resumo FY24'!$P55,'2. Status Detalhe Campos FY24'!$C$7:$C$741,'1. Status Resumo FY24'!$G$48,'2. Status Detalhe Campos FY24'!$D$7:$D$741,"2. Campo",'2. Status Detalhe Campos FY24'!$U$7:$U$741,"*Plano anterior*")
+COUNTIFS('2. Status Detalhe Campos FY24'!$H$7:$H$741,'1. Status Resumo FY24'!$P55,'2. Status Detalhe Campos FY24'!$C$7:$C$741,'1. Status Resumo FY24'!$H$48,'2. Status Detalhe Campos FY24'!$D$7:$D$741,"2. Campo",'2. Status Detalhe Campos FY24'!$U$7:$U$741,"*Plano anterior*")</f>
        <v>147</v>
      </c>
      <c r="U56" s="446">
        <f>COUNTIFS('2. Status Detalhe Campos FY24'!$G$7:$G$741,'1. Status Resumo FY24'!$P55,'2. Status Detalhe Campos FY24'!$C$7:$C$741,'1. Status Resumo FY24'!$G$48,'2. Status Detalhe Campos FY24'!$D$7:$D$741,"2. Campo",'2. Status Detalhe Campos FY24'!$U$7:$U$741,"*Plano anterior*")
+COUNTIFS('2. Status Detalhe Campos FY24'!$G$7:$G$741,'1. Status Resumo FY24'!$P55,'2. Status Detalhe Campos FY24'!$C$7:$C$741,'1. Status Resumo FY24'!$H$48,'2. Status Detalhe Campos FY24'!$D$7:$D$741,"2. Campo",'2. Status Detalhe Campos FY24'!$U$7:$U$741,"*Plano anterior*")</f>
        <v>148</v>
      </c>
      <c r="V56" s="446">
        <f t="shared" si="7"/>
        <v>1</v>
      </c>
      <c r="X56" s="514"/>
      <c r="Y56" s="515"/>
      <c r="Z56" s="515"/>
      <c r="AA56" s="515"/>
      <c r="AB56" s="515"/>
      <c r="AC56" s="515"/>
      <c r="AD56" s="515"/>
      <c r="AE56" s="515"/>
      <c r="AF56" s="516"/>
      <c r="AG56" s="163"/>
      <c r="AH56" s="116"/>
    </row>
    <row r="57" spans="1:34">
      <c r="A57" s="116"/>
      <c r="B57" s="121"/>
      <c r="P57" s="375" t="s">
        <v>2361</v>
      </c>
      <c r="Q57" s="378"/>
      <c r="R57" s="378"/>
      <c r="S57" s="378"/>
      <c r="T57" s="447">
        <f>COUNTIFS('2. Status Detalhe Campos FY24'!$H$7:$H$741,'1. Status Resumo FY24'!$P56,'2. Status Detalhe Campos FY24'!$C$7:$C$741,'1. Status Resumo FY24'!$G$48,'2. Status Detalhe Campos FY24'!$D$7:$D$741,"2. Campo",'2. Status Detalhe Campos FY24'!$U$7:$U$741,"*Novo Plano*")
+COUNTIFS('2. Status Detalhe Campos FY24'!$H$7:$H$741,'1. Status Resumo FY24'!$P56,'2. Status Detalhe Campos FY24'!$C$7:$C$741,'1. Status Resumo FY24'!$H$48,'2. Status Detalhe Campos FY24'!$D$7:$D$741,"2. Campo",'2. Status Detalhe Campos FY24'!$U$7:$U$741,"*Novo Plano*")</f>
        <v>0</v>
      </c>
      <c r="U57" s="447">
        <f>COUNTIFS('2. Status Detalhe Campos FY24'!$G$7:$G$741,'1. Status Resumo FY24'!$P55,'2. Status Detalhe Campos FY24'!$C$7:$C$741,'1. Status Resumo FY24'!$G$48,'2. Status Detalhe Campos FY24'!$D$7:$D$741,"2. Campo",'2. Status Detalhe Campos FY24'!$U$7:$U$741,"*Novo Plano*")
+COUNTIFS('2. Status Detalhe Campos FY24'!$G$7:$G$741,'1. Status Resumo FY24'!$P55,'2. Status Detalhe Campos FY24'!$C$7:$C$741,'1. Status Resumo FY24'!$H$48,'2. Status Detalhe Campos FY24'!$D$7:$D$741,"2. Campo",'2. Status Detalhe Campos FY24'!$U$7:$U$741,"*Novo Plano*")</f>
        <v>0</v>
      </c>
      <c r="V57" s="447">
        <f t="shared" si="7"/>
        <v>0</v>
      </c>
      <c r="X57" s="514"/>
      <c r="Y57" s="515"/>
      <c r="Z57" s="515"/>
      <c r="AA57" s="515"/>
      <c r="AB57" s="515"/>
      <c r="AC57" s="515"/>
      <c r="AD57" s="515"/>
      <c r="AE57" s="515"/>
      <c r="AF57" s="516"/>
      <c r="AG57" s="163"/>
      <c r="AH57" s="116"/>
    </row>
    <row r="58" spans="1:34">
      <c r="A58" s="116"/>
      <c r="B58" s="121"/>
      <c r="P58" s="373" t="s">
        <v>1845</v>
      </c>
      <c r="Q58" s="373"/>
      <c r="R58" s="373"/>
      <c r="S58" s="373"/>
      <c r="T58" s="373">
        <f>COUNTIFS('2. Status Detalhe Campos FY24'!$H$7:$H$741,'1. Status Resumo FY24'!$P58,'2. Status Detalhe Campos FY24'!$C$7:$C$741,'1. Status Resumo FY24'!$G$48,'2. Status Detalhe Campos FY24'!$D$7:$D$741,"2. Campo")+COUNTIFS('2. Status Detalhe Campos FY24'!$H$7:$H$741,'1. Status Resumo FY24'!$P58,'2. Status Detalhe Campos FY24'!$C$7:$C$741,'1. Status Resumo FY24'!$H$48,'2. Status Detalhe Campos FY24'!$D$7:$D$741,"2. Campo")</f>
        <v>46</v>
      </c>
      <c r="U58" s="373">
        <f>COUNTIFS('2. Status Detalhe Campos FY24'!$G$7:$G$741,'1. Status Resumo FY24'!$P58,'2. Status Detalhe Campos FY24'!$C$7:$C$741,'1. Status Resumo FY24'!$G$48,'2. Status Detalhe Campos FY24'!$D$7:$D$741,"2. Campo")+COUNTIFS('2. Status Detalhe Campos FY24'!$G$7:$G$741,'1. Status Resumo FY24'!$P58,'2. Status Detalhe Campos FY24'!$C$7:$C$741,'1. Status Resumo FY24'!$H$48,'2. Status Detalhe Campos FY24'!$D$7:$D$741,"2. Campo")</f>
        <v>46</v>
      </c>
      <c r="V58" s="373">
        <f t="shared" si="7"/>
        <v>0</v>
      </c>
      <c r="X58" s="514"/>
      <c r="Y58" s="515"/>
      <c r="Z58" s="515"/>
      <c r="AA58" s="515"/>
      <c r="AB58" s="515"/>
      <c r="AC58" s="515"/>
      <c r="AD58" s="515"/>
      <c r="AE58" s="515"/>
      <c r="AF58" s="516"/>
      <c r="AG58" s="163"/>
      <c r="AH58" s="116"/>
    </row>
    <row r="59" spans="1:34">
      <c r="A59" s="116"/>
      <c r="B59" s="121"/>
      <c r="P59" s="375" t="s">
        <v>2362</v>
      </c>
      <c r="Q59" s="376"/>
      <c r="R59" s="376"/>
      <c r="S59" s="376"/>
      <c r="T59" s="446">
        <f>COUNTIFS('2. Status Detalhe Campos FY24'!$H$7:$H$741,'1. Status Resumo FY24'!$P58,'2. Status Detalhe Campos FY24'!$C$7:$C$741,'1. Status Resumo FY24'!$G$48,'2. Status Detalhe Campos FY24'!$D$7:$D$741,"2. Campo",'2. Status Detalhe Campos FY24'!$U$7:$U$741,"*Plano anterior*")
+COUNTIFS('2. Status Detalhe Campos FY24'!$H$7:$H$741,'1. Status Resumo FY24'!$P58,'2. Status Detalhe Campos FY24'!$C$7:$C$741,'1. Status Resumo FY24'!$H$48,'2. Status Detalhe Campos FY24'!$D$7:$D$741,"2. Campo",'2. Status Detalhe Campos FY24'!$U$7:$U$741,"*Plano anterior*")</f>
        <v>46</v>
      </c>
      <c r="U59" s="446">
        <f>COUNTIFS('2. Status Detalhe Campos FY24'!$G$7:$G$741,'1. Status Resumo FY24'!$P58,'2. Status Detalhe Campos FY24'!$C$7:$C$741,'1. Status Resumo FY24'!$G$48,'2. Status Detalhe Campos FY24'!$D$7:$D$741,"2. Campo",'2. Status Detalhe Campos FY24'!$U$7:$U$741,"*Plano anterior*")
+COUNTIFS('2. Status Detalhe Campos FY24'!$G$7:$G$741,'1. Status Resumo FY24'!$P58,'2. Status Detalhe Campos FY24'!$C$7:$C$741,'1. Status Resumo FY24'!$H$48,'2. Status Detalhe Campos FY24'!$D$7:$D$741,"2. Campo",'2. Status Detalhe Campos FY24'!$U$7:$U$741,"*Plano anterior*")</f>
        <v>46</v>
      </c>
      <c r="V59" s="446">
        <f t="shared" si="7"/>
        <v>0</v>
      </c>
      <c r="X59" s="514"/>
      <c r="Y59" s="515"/>
      <c r="Z59" s="515"/>
      <c r="AA59" s="515"/>
      <c r="AB59" s="515"/>
      <c r="AC59" s="515"/>
      <c r="AD59" s="515"/>
      <c r="AE59" s="515"/>
      <c r="AF59" s="516"/>
      <c r="AG59" s="163"/>
      <c r="AH59" s="116"/>
    </row>
    <row r="60" spans="1:34">
      <c r="A60" s="116"/>
      <c r="B60" s="121"/>
      <c r="P60" s="375" t="s">
        <v>2361</v>
      </c>
      <c r="Q60" s="378"/>
      <c r="R60" s="378"/>
      <c r="S60" s="378"/>
      <c r="T60" s="447">
        <f>COUNTIFS('2. Status Detalhe Campos FY24'!$H$7:$H$741,'1. Status Resumo FY24'!$P59,'2. Status Detalhe Campos FY24'!$C$7:$C$741,'1. Status Resumo FY24'!$G$48,'2. Status Detalhe Campos FY24'!$D$7:$D$741,"2. Campo",'2. Status Detalhe Campos FY24'!$U$7:$U$741,"*Novo Plano*")
+COUNTIFS('2. Status Detalhe Campos FY24'!$H$7:$H$741,'1. Status Resumo FY24'!$P59,'2. Status Detalhe Campos FY24'!$C$7:$C$741,'1. Status Resumo FY24'!$H$48,'2. Status Detalhe Campos FY24'!$D$7:$D$741,"2. Campo",'2. Status Detalhe Campos FY24'!$U$7:$U$741,"*Novo Plano*")</f>
        <v>0</v>
      </c>
      <c r="U60" s="447">
        <f>COUNTIFS('2. Status Detalhe Campos FY24'!$G$7:$G$741,'1. Status Resumo FY24'!$P58,'2. Status Detalhe Campos FY24'!$C$7:$C$741,'1. Status Resumo FY24'!$G$48,'2. Status Detalhe Campos FY24'!$D$7:$D$741,"2. Campo",'2. Status Detalhe Campos FY24'!$U$7:$U$741,"*Novo Plano*")
+COUNTIFS('2. Status Detalhe Campos FY24'!$G$7:$G$741,'1. Status Resumo FY24'!$P58,'2. Status Detalhe Campos FY24'!$C$7:$C$741,'1. Status Resumo FY24'!$H$48,'2. Status Detalhe Campos FY24'!$D$7:$D$741,"2. Campo",'2. Status Detalhe Campos FY24'!$U$7:$U$741,"*Novo Plano*")</f>
        <v>0</v>
      </c>
      <c r="V60" s="447">
        <f t="shared" si="7"/>
        <v>0</v>
      </c>
      <c r="X60" s="514"/>
      <c r="Y60" s="515"/>
      <c r="Z60" s="515"/>
      <c r="AA60" s="515"/>
      <c r="AB60" s="515"/>
      <c r="AC60" s="515"/>
      <c r="AD60" s="515"/>
      <c r="AE60" s="515"/>
      <c r="AF60" s="516"/>
      <c r="AG60" s="163"/>
      <c r="AH60" s="116"/>
    </row>
    <row r="61" spans="1:34">
      <c r="A61" s="116"/>
      <c r="B61" s="121"/>
      <c r="D61" s="520" t="str">
        <f>"# "&amp;U79</f>
        <v># 208</v>
      </c>
      <c r="E61" s="520"/>
      <c r="P61" s="373" t="s">
        <v>2324</v>
      </c>
      <c r="Q61" s="373"/>
      <c r="R61" s="373"/>
      <c r="S61" s="373"/>
      <c r="T61" s="373">
        <f>COUNTIFS('2. Status Detalhe Campos FY24'!$H$7:$H$741,'1. Status Resumo FY24'!$P61,'2. Status Detalhe Campos FY24'!$C$7:$C$741,'1. Status Resumo FY24'!$G$48,'2. Status Detalhe Campos FY24'!$D$7:$D$741,"2. Campo")+COUNTIFS('2. Status Detalhe Campos FY24'!$H$7:$H$741,'1. Status Resumo FY24'!$P61,'2. Status Detalhe Campos FY24'!$C$7:$C$741,'1. Status Resumo FY24'!$H$48,'2. Status Detalhe Campos FY24'!$D$7:$D$741,"2. Campo")</f>
        <v>0</v>
      </c>
      <c r="U61" s="373">
        <f>COUNTIFS('2. Status Detalhe Campos FY24'!$G$7:$G$741,'1. Status Resumo FY24'!$P61,'2. Status Detalhe Campos FY24'!$C$7:$C$741,'1. Status Resumo FY24'!$G$48,'2. Status Detalhe Campos FY24'!$D$7:$D$741,"2. Campo")+COUNTIFS('2. Status Detalhe Campos FY24'!$G$7:$G$741,'1. Status Resumo FY24'!$P61,'2. Status Detalhe Campos FY24'!$C$7:$C$741,'1. Status Resumo FY24'!$H$48,'2. Status Detalhe Campos FY24'!$D$7:$D$741,"2. Campo")</f>
        <v>0</v>
      </c>
      <c r="V61" s="373">
        <f t="shared" si="7"/>
        <v>0</v>
      </c>
      <c r="X61" s="514"/>
      <c r="Y61" s="515"/>
      <c r="Z61" s="515"/>
      <c r="AA61" s="515"/>
      <c r="AB61" s="515"/>
      <c r="AC61" s="515"/>
      <c r="AD61" s="515"/>
      <c r="AE61" s="515"/>
      <c r="AF61" s="516"/>
      <c r="AG61" s="163"/>
      <c r="AH61" s="116"/>
    </row>
    <row r="62" spans="1:34">
      <c r="A62" s="116"/>
      <c r="B62" s="121"/>
      <c r="D62" s="520"/>
      <c r="E62" s="520"/>
      <c r="P62" s="375" t="s">
        <v>2362</v>
      </c>
      <c r="Q62" s="376"/>
      <c r="R62" s="376"/>
      <c r="S62" s="376"/>
      <c r="T62" s="446">
        <f>COUNTIFS('2. Status Detalhe Campos FY24'!$H$7:$H$741,'1. Status Resumo FY24'!$P61,'2. Status Detalhe Campos FY24'!$C$7:$C$741,'1. Status Resumo FY24'!$G$48,'2. Status Detalhe Campos FY24'!$D$7:$D$741,"2. Campo",'2. Status Detalhe Campos FY24'!$U$7:$U$741,"*Plano anterior*")
+COUNTIFS('2. Status Detalhe Campos FY24'!$H$7:$H$741,'1. Status Resumo FY24'!$P61,'2. Status Detalhe Campos FY24'!$C$7:$C$741,'1. Status Resumo FY24'!$H$48,'2. Status Detalhe Campos FY24'!$D$7:$D$741,"2. Campo",'2. Status Detalhe Campos FY24'!$U$7:$U$741,"*Plano anterior*")</f>
        <v>0</v>
      </c>
      <c r="U62" s="446">
        <f>COUNTIFS('2. Status Detalhe Campos FY24'!$G$7:$G$741,'1. Status Resumo FY24'!$P61,'2. Status Detalhe Campos FY24'!$C$7:$C$741,'1. Status Resumo FY24'!$G$48,'2. Status Detalhe Campos FY24'!$D$7:$D$741,"2. Campo",'2. Status Detalhe Campos FY24'!$U$7:$U$741,"*Plano anterior*")
+COUNTIFS('2. Status Detalhe Campos FY24'!$G$7:$G$741,'1. Status Resumo FY24'!$P61,'2. Status Detalhe Campos FY24'!$C$7:$C$741,'1. Status Resumo FY24'!$H$48,'2. Status Detalhe Campos FY24'!$D$7:$D$741,"2. Campo",'2. Status Detalhe Campos FY24'!$U$7:$U$741,"*Plano anterior*")</f>
        <v>0</v>
      </c>
      <c r="V62" s="446">
        <f t="shared" si="7"/>
        <v>0</v>
      </c>
      <c r="X62" s="514"/>
      <c r="Y62" s="515"/>
      <c r="Z62" s="515"/>
      <c r="AA62" s="515"/>
      <c r="AB62" s="515"/>
      <c r="AC62" s="515"/>
      <c r="AD62" s="515"/>
      <c r="AE62" s="515"/>
      <c r="AF62" s="516"/>
      <c r="AG62" s="163"/>
      <c r="AH62" s="116"/>
    </row>
    <row r="63" spans="1:34">
      <c r="A63" s="116"/>
      <c r="B63" s="121"/>
      <c r="D63" s="520"/>
      <c r="E63" s="520"/>
      <c r="P63" s="375" t="s">
        <v>2361</v>
      </c>
      <c r="Q63" s="378"/>
      <c r="R63" s="378"/>
      <c r="S63" s="378"/>
      <c r="T63" s="447">
        <f>COUNTIFS('2. Status Detalhe Campos FY24'!$H$7:$H$741,'1. Status Resumo FY24'!$P62,'2. Status Detalhe Campos FY24'!$C$7:$C$741,'1. Status Resumo FY24'!$G$48,'2. Status Detalhe Campos FY24'!$D$7:$D$741,"2. Campo",'2. Status Detalhe Campos FY24'!$U$7:$U$741,"*Novo Plano*")
+COUNTIFS('2. Status Detalhe Campos FY24'!$H$7:$H$741,'1. Status Resumo FY24'!$P62,'2. Status Detalhe Campos FY24'!$C$7:$C$741,'1. Status Resumo FY24'!$H$48,'2. Status Detalhe Campos FY24'!$D$7:$D$741,"2. Campo",'2. Status Detalhe Campos FY24'!$U$7:$U$741,"*Novo Plano*")</f>
        <v>0</v>
      </c>
      <c r="U63" s="447">
        <f>COUNTIFS('2. Status Detalhe Campos FY24'!$G$7:$G$741,'1. Status Resumo FY24'!$P61,'2. Status Detalhe Campos FY24'!$C$7:$C$741,'1. Status Resumo FY24'!$G$48,'2. Status Detalhe Campos FY24'!$D$7:$D$741,"2. Campo",'2. Status Detalhe Campos FY24'!$U$7:$U$741,"*Novo Plano*")
+COUNTIFS('2. Status Detalhe Campos FY24'!$G$7:$G$741,'1. Status Resumo FY24'!$P61,'2. Status Detalhe Campos FY24'!$C$7:$C$741,'1. Status Resumo FY24'!$H$48,'2. Status Detalhe Campos FY24'!$D$7:$D$741,"2. Campo",'2. Status Detalhe Campos FY24'!$U$7:$U$741,"*Novo Plano*")</f>
        <v>0</v>
      </c>
      <c r="V63" s="447">
        <f t="shared" si="7"/>
        <v>0</v>
      </c>
      <c r="X63" s="514"/>
      <c r="Y63" s="515"/>
      <c r="Z63" s="515"/>
      <c r="AA63" s="515"/>
      <c r="AB63" s="515"/>
      <c r="AC63" s="515"/>
      <c r="AD63" s="515"/>
      <c r="AE63" s="515"/>
      <c r="AF63" s="516"/>
      <c r="AG63" s="163"/>
      <c r="AH63" s="116"/>
    </row>
    <row r="64" spans="1:34" ht="17.850000000000001" customHeight="1">
      <c r="A64" s="116"/>
      <c r="B64" s="121"/>
      <c r="D64" s="520"/>
      <c r="E64" s="520"/>
      <c r="P64" s="373" t="s">
        <v>613</v>
      </c>
      <c r="Q64" s="373"/>
      <c r="R64" s="373"/>
      <c r="S64" s="373"/>
      <c r="T64" s="373">
        <f>COUNTIFS('2. Status Detalhe Campos FY24'!$H$7:$H$741,'1. Status Resumo FY24'!$P64,'2. Status Detalhe Campos FY24'!$C$7:$C$741,'1. Status Resumo FY24'!$G$48,'2. Status Detalhe Campos FY24'!$D$7:$D$741,"2. Campo")+COUNTIFS('2. Status Detalhe Campos FY24'!$H$7:$H$741,'1. Status Resumo FY24'!$P64,'2. Status Detalhe Campos FY24'!$C$7:$C$741,'1. Status Resumo FY24'!$H$48,'2. Status Detalhe Campos FY24'!$D$7:$D$741,"2. Campo")</f>
        <v>0</v>
      </c>
      <c r="U64" s="373">
        <f>COUNTIFS('2. Status Detalhe Campos FY24'!$G$7:$G$741,'1. Status Resumo FY24'!$P64,'2. Status Detalhe Campos FY24'!$C$7:$C$741,'1. Status Resumo FY24'!$G$48,'2. Status Detalhe Campos FY24'!$D$7:$D$741,"2. Campo")+COUNTIFS('2. Status Detalhe Campos FY24'!$G$7:$G$741,'1. Status Resumo FY24'!$P64,'2. Status Detalhe Campos FY24'!$C$7:$C$741,'1. Status Resumo FY24'!$H$48,'2. Status Detalhe Campos FY24'!$D$7:$D$741,"2. Campo")</f>
        <v>0</v>
      </c>
      <c r="V64" s="373">
        <f t="shared" si="7"/>
        <v>0</v>
      </c>
      <c r="X64" s="514"/>
      <c r="Y64" s="515"/>
      <c r="Z64" s="515"/>
      <c r="AA64" s="515"/>
      <c r="AB64" s="515"/>
      <c r="AC64" s="515"/>
      <c r="AD64" s="515"/>
      <c r="AE64" s="515"/>
      <c r="AF64" s="516"/>
      <c r="AG64" s="163"/>
      <c r="AH64" s="116"/>
    </row>
    <row r="65" spans="1:34" ht="17.850000000000001" customHeight="1">
      <c r="A65" s="116"/>
      <c r="B65" s="121"/>
      <c r="D65" s="520"/>
      <c r="E65" s="520"/>
      <c r="P65" s="375" t="s">
        <v>2362</v>
      </c>
      <c r="Q65" s="376"/>
      <c r="R65" s="376"/>
      <c r="S65" s="376"/>
      <c r="T65" s="446">
        <f>COUNTIFS('2. Status Detalhe Campos FY24'!$H$7:$H$741,'1. Status Resumo FY24'!$P64,'2. Status Detalhe Campos FY24'!$C$7:$C$741,'1. Status Resumo FY24'!$G$48,'2. Status Detalhe Campos FY24'!$D$7:$D$741,"2. Campo",'2. Status Detalhe Campos FY24'!$U$7:$U$741,"*Plano anterior*")
+COUNTIFS('2. Status Detalhe Campos FY24'!$H$7:$H$741,'1. Status Resumo FY24'!$P64,'2. Status Detalhe Campos FY24'!$C$7:$C$741,'1. Status Resumo FY24'!$H$48,'2. Status Detalhe Campos FY24'!$D$7:$D$741,"2. Campo",'2. Status Detalhe Campos FY24'!$U$7:$U$741,"*Plano anterior*")</f>
        <v>0</v>
      </c>
      <c r="U65" s="446">
        <f>COUNTIFS('2. Status Detalhe Campos FY24'!$G$7:$G$741,'1. Status Resumo FY24'!$P64,'2. Status Detalhe Campos FY24'!$C$7:$C$741,'1. Status Resumo FY24'!$G$48,'2. Status Detalhe Campos FY24'!$D$7:$D$741,"2. Campo",'2. Status Detalhe Campos FY24'!$U$7:$U$741,"*Plano anterior*")
+COUNTIFS('2. Status Detalhe Campos FY24'!$G$7:$G$741,'1. Status Resumo FY24'!$P64,'2. Status Detalhe Campos FY24'!$C$7:$C$741,'1. Status Resumo FY24'!$H$48,'2. Status Detalhe Campos FY24'!$D$7:$D$741,"2. Campo",'2. Status Detalhe Campos FY24'!$U$7:$U$741,"*Plano anterior*")</f>
        <v>0</v>
      </c>
      <c r="V65" s="446">
        <f t="shared" si="7"/>
        <v>0</v>
      </c>
      <c r="X65" s="514"/>
      <c r="Y65" s="515"/>
      <c r="Z65" s="515"/>
      <c r="AA65" s="515"/>
      <c r="AB65" s="515"/>
      <c r="AC65" s="515"/>
      <c r="AD65" s="515"/>
      <c r="AE65" s="515"/>
      <c r="AF65" s="516"/>
      <c r="AG65" s="163"/>
      <c r="AH65" s="116"/>
    </row>
    <row r="66" spans="1:34" ht="17.850000000000001" customHeight="1">
      <c r="A66" s="116"/>
      <c r="B66" s="121"/>
      <c r="D66" s="520"/>
      <c r="E66" s="520"/>
      <c r="P66" s="375" t="s">
        <v>2361</v>
      </c>
      <c r="Q66" s="378"/>
      <c r="R66" s="378"/>
      <c r="S66" s="378"/>
      <c r="T66" s="447">
        <f>COUNTIFS('2. Status Detalhe Campos FY24'!$H$7:$H$741,'1. Status Resumo FY24'!$P65,'2. Status Detalhe Campos FY24'!$C$7:$C$741,'1. Status Resumo FY24'!$G$48,'2. Status Detalhe Campos FY24'!$D$7:$D$741,"2. Campo",'2. Status Detalhe Campos FY24'!$U$7:$U$741,"*Novo Plano*")
+COUNTIFS('2. Status Detalhe Campos FY24'!$H$7:$H$741,'1. Status Resumo FY24'!$P65,'2. Status Detalhe Campos FY24'!$C$7:$C$741,'1. Status Resumo FY24'!$H$48,'2. Status Detalhe Campos FY24'!$D$7:$D$741,"2. Campo",'2. Status Detalhe Campos FY24'!$U$7:$U$741,"*Novo Plano*")</f>
        <v>0</v>
      </c>
      <c r="U66" s="447">
        <f>COUNTIFS('2. Status Detalhe Campos FY24'!$G$7:$G$741,'1. Status Resumo FY24'!$P64,'2. Status Detalhe Campos FY24'!$C$7:$C$741,'1. Status Resumo FY24'!$G$48,'2. Status Detalhe Campos FY24'!$D$7:$D$741,"2. Campo",'2. Status Detalhe Campos FY24'!$U$7:$U$741,"*Novo Plano*")
+COUNTIFS('2. Status Detalhe Campos FY24'!$G$7:$G$741,'1. Status Resumo FY24'!$P64,'2. Status Detalhe Campos FY24'!$C$7:$C$741,'1. Status Resumo FY24'!$H$48,'2. Status Detalhe Campos FY24'!$D$7:$D$741,"2. Campo",'2. Status Detalhe Campos FY24'!$U$7:$U$741,"*Novo Plano*")</f>
        <v>0</v>
      </c>
      <c r="V66" s="447">
        <f t="shared" si="7"/>
        <v>0</v>
      </c>
      <c r="X66" s="514"/>
      <c r="Y66" s="515"/>
      <c r="Z66" s="515"/>
      <c r="AA66" s="515"/>
      <c r="AB66" s="515"/>
      <c r="AC66" s="515"/>
      <c r="AD66" s="515"/>
      <c r="AE66" s="515"/>
      <c r="AF66" s="516"/>
      <c r="AG66" s="163"/>
      <c r="AH66" s="116"/>
    </row>
    <row r="67" spans="1:34" ht="17.850000000000001" customHeight="1">
      <c r="A67" s="116"/>
      <c r="B67" s="121"/>
      <c r="D67" s="520"/>
      <c r="E67" s="520"/>
      <c r="P67" s="373" t="s">
        <v>614</v>
      </c>
      <c r="Q67" s="373"/>
      <c r="R67" s="373"/>
      <c r="S67" s="373"/>
      <c r="T67" s="373">
        <f>COUNTIFS('2. Status Detalhe Campos FY24'!$H$7:$H$741,'1. Status Resumo FY24'!$P67,'2. Status Detalhe Campos FY24'!$C$7:$C$741,'1. Status Resumo FY24'!$G$48,'2. Status Detalhe Campos FY24'!$D$7:$D$741,"2. Campo")+COUNTIFS('2. Status Detalhe Campos FY24'!$H$7:$H$741,'1. Status Resumo FY24'!$P67,'2. Status Detalhe Campos FY24'!$C$7:$C$741,'1. Status Resumo FY24'!$H$48,'2. Status Detalhe Campos FY24'!$D$7:$D$741,"2. Campo")</f>
        <v>2</v>
      </c>
      <c r="U67" s="373">
        <f>COUNTIFS('2. Status Detalhe Campos FY24'!$G$7:$G$741,'1. Status Resumo FY24'!$P67,'2. Status Detalhe Campos FY24'!$C$7:$C$741,'1. Status Resumo FY24'!$G$48,'2. Status Detalhe Campos FY24'!$D$7:$D$741,"2. Campo")+COUNTIFS('2. Status Detalhe Campos FY24'!$G$7:$G$741,'1. Status Resumo FY24'!$P67,'2. Status Detalhe Campos FY24'!$C$7:$C$741,'1. Status Resumo FY24'!$H$48,'2. Status Detalhe Campos FY24'!$D$7:$D$741,"2. Campo")</f>
        <v>2</v>
      </c>
      <c r="V67" s="373">
        <f t="shared" si="7"/>
        <v>0</v>
      </c>
      <c r="X67" s="514"/>
      <c r="Y67" s="515"/>
      <c r="Z67" s="515"/>
      <c r="AA67" s="515"/>
      <c r="AB67" s="515"/>
      <c r="AC67" s="515"/>
      <c r="AD67" s="515"/>
      <c r="AE67" s="515"/>
      <c r="AF67" s="516"/>
      <c r="AG67" s="163"/>
      <c r="AH67" s="116"/>
    </row>
    <row r="68" spans="1:34" ht="17.850000000000001" customHeight="1">
      <c r="A68" s="116"/>
      <c r="B68" s="121"/>
      <c r="D68" s="371"/>
      <c r="E68" s="371"/>
      <c r="P68" s="375" t="s">
        <v>2362</v>
      </c>
      <c r="Q68" s="376"/>
      <c r="R68" s="376"/>
      <c r="S68" s="376"/>
      <c r="T68" s="446">
        <f>COUNTIFS('2. Status Detalhe Campos FY24'!$H$7:$H$741,'1. Status Resumo FY24'!$P67,'2. Status Detalhe Campos FY24'!$C$7:$C$741,'1. Status Resumo FY24'!$G$48,'2. Status Detalhe Campos FY24'!$D$7:$D$741,"2. Campo",'2. Status Detalhe Campos FY24'!$U$7:$U$741,"*Plano anterior*")
+COUNTIFS('2. Status Detalhe Campos FY24'!$H$7:$H$741,'1. Status Resumo FY24'!$P67,'2. Status Detalhe Campos FY24'!$C$7:$C$741,'1. Status Resumo FY24'!$H$48,'2. Status Detalhe Campos FY24'!$D$7:$D$741,"2. Campo",'2. Status Detalhe Campos FY24'!$U$7:$U$741,"*Plano anterior*")</f>
        <v>2</v>
      </c>
      <c r="U68" s="446">
        <f>COUNTIFS('2. Status Detalhe Campos FY24'!$G$7:$G$741,'1. Status Resumo FY24'!$P67,'2. Status Detalhe Campos FY24'!$C$7:$C$741,'1. Status Resumo FY24'!$G$48,'2. Status Detalhe Campos FY24'!$D$7:$D$741,"2. Campo",'2. Status Detalhe Campos FY24'!$U$7:$U$741,"*Plano anterior*")
+COUNTIFS('2. Status Detalhe Campos FY24'!$G$7:$G$741,'1. Status Resumo FY24'!$P67,'2. Status Detalhe Campos FY24'!$C$7:$C$741,'1. Status Resumo FY24'!$H$48,'2. Status Detalhe Campos FY24'!$D$7:$D$741,"2. Campo",'2. Status Detalhe Campos FY24'!$U$7:$U$741,"*Plano anterior*")</f>
        <v>2</v>
      </c>
      <c r="V68" s="446">
        <f t="shared" si="7"/>
        <v>0</v>
      </c>
      <c r="X68" s="514"/>
      <c r="Y68" s="515"/>
      <c r="Z68" s="515"/>
      <c r="AA68" s="515"/>
      <c r="AB68" s="515"/>
      <c r="AC68" s="515"/>
      <c r="AD68" s="515"/>
      <c r="AE68" s="515"/>
      <c r="AF68" s="516"/>
      <c r="AG68" s="163"/>
      <c r="AH68" s="116"/>
    </row>
    <row r="69" spans="1:34" ht="17.850000000000001" customHeight="1">
      <c r="A69" s="116"/>
      <c r="B69" s="121"/>
      <c r="D69" s="371"/>
      <c r="E69" s="371"/>
      <c r="P69" s="375" t="s">
        <v>2361</v>
      </c>
      <c r="Q69" s="378"/>
      <c r="R69" s="378"/>
      <c r="S69" s="378"/>
      <c r="T69" s="447">
        <f>COUNTIFS('2. Status Detalhe Campos FY24'!$H$7:$H$741,'1. Status Resumo FY24'!$P68,'2. Status Detalhe Campos FY24'!$C$7:$C$741,'1. Status Resumo FY24'!$G$48,'2. Status Detalhe Campos FY24'!$D$7:$D$741,"2. Campo",'2. Status Detalhe Campos FY24'!$U$7:$U$741,"*Novo Plano*")
+COUNTIFS('2. Status Detalhe Campos FY24'!$H$7:$H$741,'1. Status Resumo FY24'!$P68,'2. Status Detalhe Campos FY24'!$C$7:$C$741,'1. Status Resumo FY24'!$H$48,'2. Status Detalhe Campos FY24'!$D$7:$D$741,"2. Campo",'2. Status Detalhe Campos FY24'!$U$7:$U$741,"*Novo Plano*")</f>
        <v>0</v>
      </c>
      <c r="U69" s="447">
        <f>COUNTIFS('2. Status Detalhe Campos FY24'!$G$7:$G$741,'1. Status Resumo FY24'!$P67,'2. Status Detalhe Campos FY24'!$C$7:$C$741,'1. Status Resumo FY24'!$G$48,'2. Status Detalhe Campos FY24'!$D$7:$D$741,"2. Campo",'2. Status Detalhe Campos FY24'!$U$7:$U$741,"*Novo Plano*")
+COUNTIFS('2. Status Detalhe Campos FY24'!$G$7:$G$741,'1. Status Resumo FY24'!$P67,'2. Status Detalhe Campos FY24'!$C$7:$C$741,'1. Status Resumo FY24'!$H$48,'2. Status Detalhe Campos FY24'!$D$7:$D$741,"2. Campo",'2. Status Detalhe Campos FY24'!$U$7:$U$741,"*Novo Plano*")</f>
        <v>0</v>
      </c>
      <c r="V69" s="447">
        <f t="shared" si="7"/>
        <v>0</v>
      </c>
      <c r="X69" s="514"/>
      <c r="Y69" s="515"/>
      <c r="Z69" s="515"/>
      <c r="AA69" s="515"/>
      <c r="AB69" s="515"/>
      <c r="AC69" s="515"/>
      <c r="AD69" s="515"/>
      <c r="AE69" s="515"/>
      <c r="AF69" s="516"/>
      <c r="AG69" s="163"/>
      <c r="AH69" s="116"/>
    </row>
    <row r="70" spans="1:34">
      <c r="A70" s="116"/>
      <c r="B70" s="121"/>
      <c r="P70" s="373" t="s">
        <v>615</v>
      </c>
      <c r="Q70" s="373"/>
      <c r="R70" s="373" t="s">
        <v>616</v>
      </c>
      <c r="S70" s="373"/>
      <c r="T70" s="373">
        <f>COUNTIFS('2. Status Detalhe Campos FY24'!$H$7:$H$741,'1. Status Resumo FY24'!$P70,'2. Status Detalhe Campos FY24'!$C$7:$C$741,'1. Status Resumo FY24'!$G$48,'2. Status Detalhe Campos FY24'!$D$7:$D$741,"2. Campo")+COUNTIFS('2. Status Detalhe Campos FY24'!$H$7:$H$741,'1. Status Resumo FY24'!$P70,'2. Status Detalhe Campos FY24'!$C$7:$C$741,'1. Status Resumo FY24'!$H$48,'2. Status Detalhe Campos FY24'!$D$7:$D$741,"2. Campo")</f>
        <v>0</v>
      </c>
      <c r="U70" s="373">
        <f>COUNTIFS('2. Status Detalhe Campos FY24'!$G$7:$G$741,'1. Status Resumo FY24'!$P70,'2. Status Detalhe Campos FY24'!$C$7:$C$741,'1. Status Resumo FY24'!$G$48,'2. Status Detalhe Campos FY24'!$D$7:$D$741,"2. Campo")+COUNTIFS('2. Status Detalhe Campos FY24'!$G$7:$G$741,'1. Status Resumo FY24'!$P70,'2. Status Detalhe Campos FY24'!$C$7:$C$741,'1. Status Resumo FY24'!$H$48,'2. Status Detalhe Campos FY24'!$D$7:$D$741,"2. Campo")</f>
        <v>0</v>
      </c>
      <c r="V70" s="373">
        <f t="shared" si="7"/>
        <v>0</v>
      </c>
      <c r="X70" s="514"/>
      <c r="Y70" s="515"/>
      <c r="Z70" s="515"/>
      <c r="AA70" s="515"/>
      <c r="AB70" s="515"/>
      <c r="AC70" s="515"/>
      <c r="AD70" s="515"/>
      <c r="AE70" s="515"/>
      <c r="AF70" s="516"/>
      <c r="AG70" s="163"/>
      <c r="AH70" s="116"/>
    </row>
    <row r="71" spans="1:34">
      <c r="A71" s="116"/>
      <c r="B71" s="121"/>
      <c r="P71" s="375" t="s">
        <v>2362</v>
      </c>
      <c r="Q71" s="376"/>
      <c r="R71" s="376"/>
      <c r="S71" s="376"/>
      <c r="T71" s="446">
        <f>COUNTIFS('2. Status Detalhe Campos FY24'!$H$7:$H$741,'1. Status Resumo FY24'!$P70,'2. Status Detalhe Campos FY24'!$C$7:$C$741,'1. Status Resumo FY24'!$G$48,'2. Status Detalhe Campos FY24'!$D$7:$D$741,"2. Campo",'2. Status Detalhe Campos FY24'!$U$7:$U$741,"*Plano anterior*")
+COUNTIFS('2. Status Detalhe Campos FY24'!$H$7:$H$741,'1. Status Resumo FY24'!$P70,'2. Status Detalhe Campos FY24'!$C$7:$C$741,'1. Status Resumo FY24'!$H$48,'2. Status Detalhe Campos FY24'!$D$7:$D$741,"2. Campo",'2. Status Detalhe Campos FY24'!$U$7:$U$741,"*Plano anterior*")</f>
        <v>0</v>
      </c>
      <c r="U71" s="446">
        <f>COUNTIFS('2. Status Detalhe Campos FY24'!$G$7:$G$741,'1. Status Resumo FY24'!$P70,'2. Status Detalhe Campos FY24'!$C$7:$C$741,'1. Status Resumo FY24'!$G$48,'2. Status Detalhe Campos FY24'!$D$7:$D$741,"2. Campo",'2. Status Detalhe Campos FY24'!$U$7:$U$741,"*Plano anterior*")
+COUNTIFS('2. Status Detalhe Campos FY24'!$G$7:$G$741,'1. Status Resumo FY24'!$P70,'2. Status Detalhe Campos FY24'!$C$7:$C$741,'1. Status Resumo FY24'!$H$48,'2. Status Detalhe Campos FY24'!$D$7:$D$741,"2. Campo",'2. Status Detalhe Campos FY24'!$U$7:$U$741,"*Plano anterior*")</f>
        <v>0</v>
      </c>
      <c r="V71" s="446">
        <f t="shared" si="7"/>
        <v>0</v>
      </c>
      <c r="X71" s="514"/>
      <c r="Y71" s="515"/>
      <c r="Z71" s="515"/>
      <c r="AA71" s="515"/>
      <c r="AB71" s="515"/>
      <c r="AC71" s="515"/>
      <c r="AD71" s="515"/>
      <c r="AE71" s="515"/>
      <c r="AF71" s="516"/>
      <c r="AG71" s="163"/>
      <c r="AH71" s="116"/>
    </row>
    <row r="72" spans="1:34">
      <c r="A72" s="116"/>
      <c r="B72" s="121"/>
      <c r="P72" s="375" t="s">
        <v>2361</v>
      </c>
      <c r="Q72" s="378"/>
      <c r="R72" s="378"/>
      <c r="S72" s="378"/>
      <c r="T72" s="447">
        <f>COUNTIFS('2. Status Detalhe Campos FY24'!$H$7:$H$741,'1. Status Resumo FY24'!$P71,'2. Status Detalhe Campos FY24'!$C$7:$C$741,'1. Status Resumo FY24'!$G$48,'2. Status Detalhe Campos FY24'!$D$7:$D$741,"2. Campo",'2. Status Detalhe Campos FY24'!$U$7:$U$741,"*Novo Plano*")
+COUNTIFS('2. Status Detalhe Campos FY24'!$H$7:$H$741,'1. Status Resumo FY24'!$P71,'2. Status Detalhe Campos FY24'!$C$7:$C$741,'1. Status Resumo FY24'!$H$48,'2. Status Detalhe Campos FY24'!$D$7:$D$741,"2. Campo",'2. Status Detalhe Campos FY24'!$U$7:$U$741,"*Novo Plano*")</f>
        <v>0</v>
      </c>
      <c r="U72" s="447">
        <f>COUNTIFS('2. Status Detalhe Campos FY24'!$G$7:$G$741,'1. Status Resumo FY24'!$P70,'2. Status Detalhe Campos FY24'!$C$7:$C$741,'1. Status Resumo FY24'!$G$48,'2. Status Detalhe Campos FY24'!$D$7:$D$741,"2. Campo",'2. Status Detalhe Campos FY24'!$U$7:$U$741,"*Novo Plano*")
+COUNTIFS('2. Status Detalhe Campos FY24'!$G$7:$G$741,'1. Status Resumo FY24'!$P70,'2. Status Detalhe Campos FY24'!$C$7:$C$741,'1. Status Resumo FY24'!$H$48,'2. Status Detalhe Campos FY24'!$D$7:$D$741,"2. Campo",'2. Status Detalhe Campos FY24'!$U$7:$U$741,"*Novo Plano*")</f>
        <v>0</v>
      </c>
      <c r="V72" s="447">
        <f t="shared" si="7"/>
        <v>0</v>
      </c>
      <c r="X72" s="514"/>
      <c r="Y72" s="515"/>
      <c r="Z72" s="515"/>
      <c r="AA72" s="515"/>
      <c r="AB72" s="515"/>
      <c r="AC72" s="515"/>
      <c r="AD72" s="515"/>
      <c r="AE72" s="515"/>
      <c r="AF72" s="516"/>
      <c r="AG72" s="163"/>
      <c r="AH72" s="116"/>
    </row>
    <row r="73" spans="1:34">
      <c r="A73" s="116"/>
      <c r="B73" s="121"/>
      <c r="P73" s="373" t="s">
        <v>2325</v>
      </c>
      <c r="Q73" s="373"/>
      <c r="R73" s="373"/>
      <c r="S73" s="373"/>
      <c r="T73" s="373">
        <f>COUNTIFS('2. Status Detalhe Campos FY24'!$H$7:$H$741,'1. Status Resumo FY24'!$P73,'2. Status Detalhe Campos FY24'!$C$7:$C$741,'1. Status Resumo FY24'!$G$48,'2. Status Detalhe Campos FY24'!$D$7:$D$741,"2. Campo")+COUNTIFS('2. Status Detalhe Campos FY24'!$H$7:$H$741,'1. Status Resumo FY24'!$P73,'2. Status Detalhe Campos FY24'!$C$7:$C$741,'1. Status Resumo FY24'!$H$48,'2. Status Detalhe Campos FY24'!$D$7:$D$741,"2. Campo")</f>
        <v>1</v>
      </c>
      <c r="U73" s="373">
        <f>COUNTIFS('2. Status Detalhe Campos FY24'!$G$7:$G$741,'1. Status Resumo FY24'!$P73,'2. Status Detalhe Campos FY24'!$C$7:$C$741,'1. Status Resumo FY24'!$G$48,'2. Status Detalhe Campos FY24'!$D$7:$D$741,"2. Campo")+COUNTIFS('2. Status Detalhe Campos FY24'!$G$7:$G$741,'1. Status Resumo FY24'!$P73,'2. Status Detalhe Campos FY24'!$C$7:$C$741,'1. Status Resumo FY24'!$H$48,'2. Status Detalhe Campos FY24'!$D$7:$D$741,"2. Campo")</f>
        <v>0</v>
      </c>
      <c r="V73" s="373">
        <f t="shared" si="7"/>
        <v>-1</v>
      </c>
      <c r="X73" s="514"/>
      <c r="Y73" s="515"/>
      <c r="Z73" s="515"/>
      <c r="AA73" s="515"/>
      <c r="AB73" s="515"/>
      <c r="AC73" s="515"/>
      <c r="AD73" s="515"/>
      <c r="AE73" s="515"/>
      <c r="AF73" s="516"/>
      <c r="AG73" s="163"/>
      <c r="AH73" s="116"/>
    </row>
    <row r="74" spans="1:34">
      <c r="A74" s="116"/>
      <c r="B74" s="121"/>
      <c r="P74" s="375" t="s">
        <v>2362</v>
      </c>
      <c r="Q74" s="376"/>
      <c r="R74" s="376"/>
      <c r="S74" s="376"/>
      <c r="T74" s="446">
        <f>COUNTIFS('2. Status Detalhe Campos FY24'!$H$7:$H$741,'1. Status Resumo FY24'!$P73,'2. Status Detalhe Campos FY24'!$C$7:$C$741,'1. Status Resumo FY24'!$G$48,'2. Status Detalhe Campos FY24'!$D$7:$D$741,"2. Campo",'2. Status Detalhe Campos FY24'!$U$7:$U$741,"*Plano anterior*")
+COUNTIFS('2. Status Detalhe Campos FY24'!$H$7:$H$741,'1. Status Resumo FY24'!$P73,'2. Status Detalhe Campos FY24'!$C$7:$C$741,'1. Status Resumo FY24'!$H$48,'2. Status Detalhe Campos FY24'!$D$7:$D$741,"2. Campo",'2. Status Detalhe Campos FY24'!$U$7:$U$741,"*Plano anterior*")</f>
        <v>1</v>
      </c>
      <c r="U74" s="446">
        <f>COUNTIFS('2. Status Detalhe Campos FY24'!$G$7:$G$741,'1. Status Resumo FY24'!$P73,'2. Status Detalhe Campos FY24'!$C$7:$C$741,'1. Status Resumo FY24'!$G$48,'2. Status Detalhe Campos FY24'!$D$7:$D$741,"2. Campo",'2. Status Detalhe Campos FY24'!$U$7:$U$741,"*Plano anterior*")
+COUNTIFS('2. Status Detalhe Campos FY24'!$G$7:$G$741,'1. Status Resumo FY24'!$P73,'2. Status Detalhe Campos FY24'!$C$7:$C$741,'1. Status Resumo FY24'!$H$48,'2. Status Detalhe Campos FY24'!$D$7:$D$741,"2. Campo",'2. Status Detalhe Campos FY24'!$U$7:$U$741,"*Plano anterior*")</f>
        <v>0</v>
      </c>
      <c r="V74" s="446">
        <f t="shared" si="7"/>
        <v>-1</v>
      </c>
      <c r="X74" s="514"/>
      <c r="Y74" s="515"/>
      <c r="Z74" s="515"/>
      <c r="AA74" s="515"/>
      <c r="AB74" s="515"/>
      <c r="AC74" s="515"/>
      <c r="AD74" s="515"/>
      <c r="AE74" s="515"/>
      <c r="AF74" s="516"/>
      <c r="AG74" s="163"/>
      <c r="AH74" s="116"/>
    </row>
    <row r="75" spans="1:34">
      <c r="A75" s="116"/>
      <c r="B75" s="121"/>
      <c r="P75" s="375" t="s">
        <v>2361</v>
      </c>
      <c r="Q75" s="378"/>
      <c r="R75" s="378"/>
      <c r="S75" s="378"/>
      <c r="T75" s="447">
        <f>COUNTIFS('2. Status Detalhe Campos FY24'!$H$7:$H$741,'1. Status Resumo FY24'!$P74,'2. Status Detalhe Campos FY24'!$C$7:$C$741,'1. Status Resumo FY24'!$G$48,'2. Status Detalhe Campos FY24'!$D$7:$D$741,"2. Campo",'2. Status Detalhe Campos FY24'!$U$7:$U$741,"*Novo Plano*")
+COUNTIFS('2. Status Detalhe Campos FY24'!$H$7:$H$741,'1. Status Resumo FY24'!$P74,'2. Status Detalhe Campos FY24'!$C$7:$C$741,'1. Status Resumo FY24'!$H$48,'2. Status Detalhe Campos FY24'!$D$7:$D$741,"2. Campo",'2. Status Detalhe Campos FY24'!$U$7:$U$741,"*Novo Plano*")</f>
        <v>0</v>
      </c>
      <c r="U75" s="447">
        <f>COUNTIFS('2. Status Detalhe Campos FY24'!$G$7:$G$741,'1. Status Resumo FY24'!$P73,'2. Status Detalhe Campos FY24'!$C$7:$C$741,'1. Status Resumo FY24'!$G$48,'2. Status Detalhe Campos FY24'!$D$7:$D$741,"2. Campo",'2. Status Detalhe Campos FY24'!$U$7:$U$741,"*Novo Plano*")
+COUNTIFS('2. Status Detalhe Campos FY24'!$G$7:$G$741,'1. Status Resumo FY24'!$P73,'2. Status Detalhe Campos FY24'!$C$7:$C$741,'1. Status Resumo FY24'!$H$48,'2. Status Detalhe Campos FY24'!$D$7:$D$741,"2. Campo",'2. Status Detalhe Campos FY24'!$U$7:$U$741,"*Novo Plano*")</f>
        <v>0</v>
      </c>
      <c r="V75" s="447">
        <f t="shared" si="7"/>
        <v>0</v>
      </c>
      <c r="X75" s="514"/>
      <c r="Y75" s="515"/>
      <c r="Z75" s="515"/>
      <c r="AA75" s="515"/>
      <c r="AB75" s="515"/>
      <c r="AC75" s="515"/>
      <c r="AD75" s="515"/>
      <c r="AE75" s="515"/>
      <c r="AF75" s="516"/>
      <c r="AG75" s="163"/>
      <c r="AH75" s="116"/>
    </row>
    <row r="76" spans="1:34">
      <c r="A76" s="116"/>
      <c r="B76" s="121"/>
      <c r="P76" s="373" t="s">
        <v>28</v>
      </c>
      <c r="Q76" s="373"/>
      <c r="R76" s="373"/>
      <c r="S76" s="373"/>
      <c r="T76" s="373">
        <f>COUNTIFS('2. Status Detalhe Campos FY24'!$H$7:$H$741,'1. Status Resumo FY24'!$P76,'2. Status Detalhe Campos FY24'!$C$7:$C$741,'1. Status Resumo FY24'!$G$48,'2. Status Detalhe Campos FY24'!$D$7:$D$741,"2. Campo")+COUNTIFS('2. Status Detalhe Campos FY24'!$H$7:$H$741,'1. Status Resumo FY24'!$P76,'2. Status Detalhe Campos FY24'!$C$7:$C$741,'1. Status Resumo FY24'!$H$48,'2. Status Detalhe Campos FY24'!$D$7:$D$741,"2. Campo")</f>
        <v>0</v>
      </c>
      <c r="U76" s="373">
        <f>COUNTIFS('2. Status Detalhe Campos FY24'!$G$7:$G$741,'1. Status Resumo FY24'!$P76,'2. Status Detalhe Campos FY24'!$C$7:$C$741,'1. Status Resumo FY24'!$G$48,'2. Status Detalhe Campos FY24'!$D$7:$D$741,"2. Campo")+COUNTIFS('2. Status Detalhe Campos FY24'!$G$7:$G$741,'1. Status Resumo FY24'!$P76,'2. Status Detalhe Campos FY24'!$C$7:$C$741,'1. Status Resumo FY24'!$H$48,'2. Status Detalhe Campos FY24'!$D$7:$D$741,"2. Campo")</f>
        <v>0</v>
      </c>
      <c r="V76" s="373">
        <f t="shared" si="7"/>
        <v>0</v>
      </c>
      <c r="X76" s="514"/>
      <c r="Y76" s="515"/>
      <c r="Z76" s="515"/>
      <c r="AA76" s="515"/>
      <c r="AB76" s="515"/>
      <c r="AC76" s="515"/>
      <c r="AD76" s="515"/>
      <c r="AE76" s="515"/>
      <c r="AF76" s="516"/>
      <c r="AG76" s="163"/>
      <c r="AH76" s="116"/>
    </row>
    <row r="77" spans="1:34">
      <c r="A77" s="116"/>
      <c r="B77" s="121"/>
      <c r="P77" s="375" t="s">
        <v>2362</v>
      </c>
      <c r="Q77" s="376"/>
      <c r="R77" s="376"/>
      <c r="S77" s="376"/>
      <c r="T77" s="446">
        <f>COUNTIFS('2. Status Detalhe Campos FY24'!$H$7:$H$741,'1. Status Resumo FY24'!$P76,'2. Status Detalhe Campos FY24'!$C$7:$C$741,'1. Status Resumo FY24'!$G$48,'2. Status Detalhe Campos FY24'!$D$7:$D$741,"2. Campo",'2. Status Detalhe Campos FY24'!$U$7:$U$741,"*Plano anterior*")
+COUNTIFS('2. Status Detalhe Campos FY24'!$H$7:$H$741,'1. Status Resumo FY24'!$P76,'2. Status Detalhe Campos FY24'!$C$7:$C$741,'1. Status Resumo FY24'!$H$48,'2. Status Detalhe Campos FY24'!$D$7:$D$741,"2. Campo",'2. Status Detalhe Campos FY24'!$U$7:$U$741,"*Plano anterior*")</f>
        <v>0</v>
      </c>
      <c r="U77" s="446">
        <f>COUNTIFS('2. Status Detalhe Campos FY24'!$G$7:$G$741,'1. Status Resumo FY24'!$P76,'2. Status Detalhe Campos FY24'!$C$7:$C$741,'1. Status Resumo FY24'!$G$48,'2. Status Detalhe Campos FY24'!$D$7:$D$741,"2. Campo",'2. Status Detalhe Campos FY24'!$U$7:$U$741,"*Plano anterior*")
+COUNTIFS('2. Status Detalhe Campos FY24'!$G$7:$G$741,'1. Status Resumo FY24'!$P76,'2. Status Detalhe Campos FY24'!$C$7:$C$741,'1. Status Resumo FY24'!$H$48,'2. Status Detalhe Campos FY24'!$D$7:$D$741,"2. Campo",'2. Status Detalhe Campos FY24'!$U$7:$U$741,"*Plano anterior*")</f>
        <v>0</v>
      </c>
      <c r="V77" s="446">
        <f t="shared" si="7"/>
        <v>0</v>
      </c>
      <c r="X77" s="514"/>
      <c r="Y77" s="515"/>
      <c r="Z77" s="515"/>
      <c r="AA77" s="515"/>
      <c r="AB77" s="515"/>
      <c r="AC77" s="515"/>
      <c r="AD77" s="515"/>
      <c r="AE77" s="515"/>
      <c r="AF77" s="516"/>
      <c r="AG77" s="163"/>
      <c r="AH77" s="116"/>
    </row>
    <row r="78" spans="1:34">
      <c r="A78" s="116"/>
      <c r="B78" s="121"/>
      <c r="P78" s="379" t="s">
        <v>2361</v>
      </c>
      <c r="Q78" s="380"/>
      <c r="R78" s="380"/>
      <c r="S78" s="380"/>
      <c r="T78" s="448">
        <f>COUNTIFS('2. Status Detalhe Campos FY24'!$H$7:$H$741,'1. Status Resumo FY24'!$P77,'2. Status Detalhe Campos FY24'!$C$7:$C$741,'1. Status Resumo FY24'!$G$48,'2. Status Detalhe Campos FY24'!$D$7:$D$741,"2. Campo",'2. Status Detalhe Campos FY24'!$U$7:$U$741,"*Novo Plano*")
+COUNTIFS('2. Status Detalhe Campos FY24'!$H$7:$H$741,'1. Status Resumo FY24'!$P77,'2. Status Detalhe Campos FY24'!$C$7:$C$741,'1. Status Resumo FY24'!$H$48,'2. Status Detalhe Campos FY24'!$D$7:$D$741,"2. Campo",'2. Status Detalhe Campos FY24'!$U$7:$U$741,"*Novo Plano*")</f>
        <v>0</v>
      </c>
      <c r="U78" s="448">
        <f>COUNTIFS('2. Status Detalhe Campos FY24'!$G$7:$G$741,'1. Status Resumo FY24'!$P76,'2. Status Detalhe Campos FY24'!$C$7:$C$741,'1. Status Resumo FY24'!$G$48,'2. Status Detalhe Campos FY24'!$D$7:$D$741,"2. Campo",'2. Status Detalhe Campos FY24'!$U$7:$U$741,"*Novo Plano*")
+COUNTIFS('2. Status Detalhe Campos FY24'!$G$7:$G$741,'1. Status Resumo FY24'!$P76,'2. Status Detalhe Campos FY24'!$C$7:$C$741,'1. Status Resumo FY24'!$H$48,'2. Status Detalhe Campos FY24'!$D$7:$D$741,"2. Campo",'2. Status Detalhe Campos FY24'!$U$7:$U$741,"*Novo Plano*")</f>
        <v>0</v>
      </c>
      <c r="V78" s="448">
        <f t="shared" si="7"/>
        <v>0</v>
      </c>
      <c r="X78" s="514"/>
      <c r="Y78" s="515"/>
      <c r="Z78" s="515"/>
      <c r="AA78" s="515"/>
      <c r="AB78" s="515"/>
      <c r="AC78" s="515"/>
      <c r="AD78" s="515"/>
      <c r="AE78" s="515"/>
      <c r="AF78" s="516"/>
      <c r="AG78" s="163"/>
      <c r="AH78" s="116"/>
    </row>
    <row r="79" spans="1:34">
      <c r="A79" s="116"/>
      <c r="B79" s="121"/>
      <c r="P79" s="127" t="s">
        <v>2331</v>
      </c>
      <c r="T79" s="127">
        <f>+SUM(T52,T55,T58,T64,T67,T70,T73,T76,T61)</f>
        <v>208</v>
      </c>
      <c r="U79" s="127">
        <f>+SUM(U52,U55,U58,U64,U67,U70,U73,U76,U61)</f>
        <v>208</v>
      </c>
      <c r="V79" s="127">
        <f>+U79-T79</f>
        <v>0</v>
      </c>
      <c r="X79" s="514"/>
      <c r="Y79" s="515"/>
      <c r="Z79" s="515"/>
      <c r="AA79" s="515"/>
      <c r="AB79" s="515"/>
      <c r="AC79" s="515"/>
      <c r="AD79" s="515"/>
      <c r="AE79" s="515"/>
      <c r="AF79" s="516"/>
      <c r="AG79" s="163"/>
      <c r="AH79" s="116"/>
    </row>
    <row r="80" spans="1:34">
      <c r="A80" s="116"/>
      <c r="B80" s="121"/>
      <c r="P80" s="381" t="s">
        <v>2362</v>
      </c>
      <c r="T80" s="449">
        <f>+SUM(T53,T56,T59,T62,T65,T68,T71,T74,T77)</f>
        <v>208</v>
      </c>
      <c r="U80" s="449">
        <f>+SUM(U53,U56,U59,U62,U65,U68,U71,U74,U77)</f>
        <v>208</v>
      </c>
      <c r="V80" s="449">
        <f>+U80-T80</f>
        <v>0</v>
      </c>
      <c r="X80" s="514"/>
      <c r="Y80" s="515"/>
      <c r="Z80" s="515"/>
      <c r="AA80" s="515"/>
      <c r="AB80" s="515"/>
      <c r="AC80" s="515"/>
      <c r="AD80" s="515"/>
      <c r="AE80" s="515"/>
      <c r="AF80" s="516"/>
      <c r="AG80" s="163"/>
      <c r="AH80" s="116"/>
    </row>
    <row r="81" spans="1:34">
      <c r="A81" s="116"/>
      <c r="B81" s="121"/>
      <c r="P81" s="382" t="s">
        <v>2361</v>
      </c>
      <c r="Q81" s="130"/>
      <c r="R81" s="130"/>
      <c r="S81" s="130"/>
      <c r="T81" s="450">
        <f>+SUM(T54,T57,T60,T63,T66,T69,T72,T75,T78)</f>
        <v>0</v>
      </c>
      <c r="U81" s="450">
        <f>+SUM(U54,U57,U60,U63,U66,U69,U72,U75,U78)</f>
        <v>0</v>
      </c>
      <c r="V81" s="450">
        <f>+U81-T81</f>
        <v>0</v>
      </c>
      <c r="X81" s="514"/>
      <c r="Y81" s="515"/>
      <c r="Z81" s="515"/>
      <c r="AA81" s="515"/>
      <c r="AB81" s="515"/>
      <c r="AC81" s="515"/>
      <c r="AD81" s="515"/>
      <c r="AE81" s="515"/>
      <c r="AF81" s="516"/>
      <c r="AG81" s="163"/>
      <c r="AH81" s="116"/>
    </row>
    <row r="82" spans="1:34">
      <c r="A82" s="116"/>
      <c r="B82" s="121"/>
      <c r="T82" s="127"/>
      <c r="U82" s="127"/>
      <c r="X82" s="514"/>
      <c r="Y82" s="515"/>
      <c r="Z82" s="515"/>
      <c r="AA82" s="515"/>
      <c r="AB82" s="515"/>
      <c r="AC82" s="515"/>
      <c r="AD82" s="515"/>
      <c r="AE82" s="515"/>
      <c r="AF82" s="516"/>
      <c r="AG82" s="163"/>
      <c r="AH82" s="116"/>
    </row>
    <row r="83" spans="1:34">
      <c r="A83" s="116"/>
      <c r="B83" s="121"/>
      <c r="G83" s="129" t="s">
        <v>617</v>
      </c>
      <c r="H83" s="130"/>
      <c r="I83" s="130"/>
      <c r="J83" s="130"/>
      <c r="K83" s="130"/>
      <c r="L83" s="130"/>
      <c r="M83" s="130"/>
      <c r="P83" s="129" t="s">
        <v>618</v>
      </c>
      <c r="Q83" s="130"/>
      <c r="R83" s="130"/>
      <c r="S83" s="130"/>
      <c r="T83" s="130"/>
      <c r="U83" s="130"/>
      <c r="V83" s="130"/>
      <c r="X83" s="514"/>
      <c r="Y83" s="515"/>
      <c r="Z83" s="515"/>
      <c r="AA83" s="515"/>
      <c r="AB83" s="515"/>
      <c r="AC83" s="515"/>
      <c r="AD83" s="515"/>
      <c r="AE83" s="515"/>
      <c r="AF83" s="516"/>
      <c r="AG83" s="163"/>
      <c r="AH83" s="116"/>
    </row>
    <row r="84" spans="1:34">
      <c r="A84" s="116"/>
      <c r="B84" s="121"/>
      <c r="F84" s="159" t="s">
        <v>619</v>
      </c>
      <c r="G84" s="25" t="s">
        <v>620</v>
      </c>
      <c r="L84" s="161" t="s">
        <v>621</v>
      </c>
      <c r="O84" s="159" t="s">
        <v>619</v>
      </c>
      <c r="P84" s="25" t="s">
        <v>622</v>
      </c>
      <c r="T84" s="161" t="s">
        <v>621</v>
      </c>
      <c r="X84" s="514"/>
      <c r="Y84" s="515"/>
      <c r="Z84" s="515"/>
      <c r="AA84" s="515"/>
      <c r="AB84" s="515"/>
      <c r="AC84" s="515"/>
      <c r="AD84" s="515"/>
      <c r="AE84" s="515"/>
      <c r="AF84" s="516"/>
      <c r="AG84" s="163"/>
      <c r="AH84" s="116"/>
    </row>
    <row r="85" spans="1:34">
      <c r="A85" s="116"/>
      <c r="B85" s="121"/>
      <c r="F85" s="159" t="s">
        <v>619</v>
      </c>
      <c r="G85" s="25" t="s">
        <v>623</v>
      </c>
      <c r="L85" s="161" t="s">
        <v>621</v>
      </c>
      <c r="O85" s="159" t="s">
        <v>619</v>
      </c>
      <c r="P85" s="25" t="s">
        <v>624</v>
      </c>
      <c r="T85" s="161" t="s">
        <v>621</v>
      </c>
      <c r="X85" s="514"/>
      <c r="Y85" s="515"/>
      <c r="Z85" s="515"/>
      <c r="AA85" s="515"/>
      <c r="AB85" s="515"/>
      <c r="AC85" s="515"/>
      <c r="AD85" s="515"/>
      <c r="AE85" s="515"/>
      <c r="AF85" s="516"/>
      <c r="AG85" s="163"/>
      <c r="AH85" s="116"/>
    </row>
    <row r="86" spans="1:34">
      <c r="A86" s="116"/>
      <c r="B86" s="121"/>
      <c r="F86" s="159" t="s">
        <v>619</v>
      </c>
      <c r="G86" s="25" t="s">
        <v>625</v>
      </c>
      <c r="L86" s="161" t="s">
        <v>621</v>
      </c>
      <c r="O86" s="159" t="s">
        <v>619</v>
      </c>
      <c r="P86" s="25" t="s">
        <v>626</v>
      </c>
      <c r="T86" s="164" t="s">
        <v>627</v>
      </c>
      <c r="X86" s="514"/>
      <c r="Y86" s="515"/>
      <c r="Z86" s="515"/>
      <c r="AA86" s="515"/>
      <c r="AB86" s="515"/>
      <c r="AC86" s="515"/>
      <c r="AD86" s="515"/>
      <c r="AE86" s="515"/>
      <c r="AF86" s="516"/>
      <c r="AG86" s="163"/>
      <c r="AH86" s="116"/>
    </row>
    <row r="87" spans="1:34">
      <c r="A87" s="116"/>
      <c r="B87" s="121"/>
      <c r="F87" s="159" t="s">
        <v>619</v>
      </c>
      <c r="G87" s="25" t="s">
        <v>628</v>
      </c>
      <c r="L87" s="161" t="s">
        <v>621</v>
      </c>
      <c r="O87" s="159"/>
      <c r="T87" s="164"/>
      <c r="X87" s="514"/>
      <c r="Y87" s="515"/>
      <c r="Z87" s="515"/>
      <c r="AA87" s="515"/>
      <c r="AB87" s="515"/>
      <c r="AC87" s="515"/>
      <c r="AD87" s="515"/>
      <c r="AE87" s="515"/>
      <c r="AF87" s="516"/>
      <c r="AG87" s="163"/>
      <c r="AH87" s="116"/>
    </row>
    <row r="88" spans="1:34">
      <c r="A88" s="116"/>
      <c r="B88" s="121"/>
      <c r="F88" s="159" t="s">
        <v>619</v>
      </c>
      <c r="G88" s="25" t="s">
        <v>629</v>
      </c>
      <c r="L88" s="485" t="s">
        <v>2434</v>
      </c>
      <c r="O88" s="159"/>
      <c r="T88" s="164"/>
      <c r="X88" s="514"/>
      <c r="Y88" s="515"/>
      <c r="Z88" s="515"/>
      <c r="AA88" s="515"/>
      <c r="AB88" s="515"/>
      <c r="AC88" s="515"/>
      <c r="AD88" s="515"/>
      <c r="AE88" s="515"/>
      <c r="AF88" s="516"/>
      <c r="AG88" s="163"/>
      <c r="AH88" s="116"/>
    </row>
    <row r="89" spans="1:34">
      <c r="A89" s="116"/>
      <c r="B89" s="121"/>
      <c r="F89" s="159" t="s">
        <v>619</v>
      </c>
      <c r="G89" s="25" t="s">
        <v>630</v>
      </c>
      <c r="L89" s="485" t="s">
        <v>1846</v>
      </c>
      <c r="O89" s="159"/>
      <c r="T89" s="161"/>
      <c r="X89" s="514"/>
      <c r="Y89" s="515"/>
      <c r="Z89" s="515"/>
      <c r="AA89" s="515"/>
      <c r="AB89" s="515"/>
      <c r="AC89" s="515"/>
      <c r="AD89" s="515"/>
      <c r="AE89" s="515"/>
      <c r="AF89" s="516"/>
      <c r="AG89" s="163"/>
      <c r="AH89" s="116"/>
    </row>
    <row r="90" spans="1:34">
      <c r="A90" s="116"/>
      <c r="B90" s="121"/>
      <c r="O90" s="159"/>
      <c r="X90" s="517"/>
      <c r="Y90" s="518"/>
      <c r="Z90" s="518"/>
      <c r="AA90" s="518"/>
      <c r="AB90" s="518"/>
      <c r="AC90" s="518"/>
      <c r="AD90" s="518"/>
      <c r="AE90" s="518"/>
      <c r="AF90" s="519"/>
      <c r="AG90" s="163"/>
      <c r="AH90" s="116"/>
    </row>
    <row r="91" spans="1:34">
      <c r="A91" s="116"/>
      <c r="B91" s="123"/>
      <c r="C91" s="124"/>
      <c r="D91" s="124"/>
      <c r="E91" s="124"/>
      <c r="F91" s="124"/>
      <c r="G91" s="124"/>
      <c r="H91" s="124"/>
      <c r="I91" s="124"/>
      <c r="J91" s="124"/>
      <c r="K91" s="124"/>
      <c r="L91" s="124"/>
      <c r="M91" s="124"/>
      <c r="N91" s="124"/>
      <c r="O91" s="124"/>
      <c r="P91" s="124"/>
      <c r="Q91" s="124"/>
      <c r="R91" s="124"/>
      <c r="S91" s="124"/>
      <c r="T91" s="124"/>
      <c r="U91" s="124"/>
      <c r="V91" s="124"/>
      <c r="W91" s="124"/>
      <c r="X91" s="124"/>
      <c r="Y91" s="124"/>
      <c r="Z91" s="124"/>
      <c r="AA91" s="124"/>
      <c r="AB91" s="124"/>
      <c r="AC91" s="124"/>
      <c r="AD91" s="124"/>
      <c r="AE91" s="124"/>
      <c r="AF91" s="124"/>
      <c r="AG91" s="124"/>
      <c r="AH91" s="116"/>
    </row>
    <row r="92" spans="1:34">
      <c r="A92" s="116"/>
      <c r="B92" s="116"/>
      <c r="C92" s="116"/>
      <c r="D92" s="116"/>
      <c r="E92" s="116"/>
      <c r="F92" s="116"/>
      <c r="G92" s="116"/>
      <c r="H92" s="116"/>
      <c r="I92" s="116"/>
      <c r="J92" s="116"/>
      <c r="K92" s="116"/>
      <c r="L92" s="116"/>
      <c r="M92" s="116"/>
      <c r="N92" s="116"/>
      <c r="O92" s="116"/>
      <c r="P92" s="116"/>
      <c r="Q92" s="116"/>
      <c r="R92" s="116"/>
      <c r="S92" s="116"/>
      <c r="T92" s="116"/>
      <c r="U92" s="116"/>
      <c r="V92" s="116"/>
      <c r="W92" s="116"/>
      <c r="X92" s="116"/>
      <c r="Y92" s="116"/>
      <c r="Z92" s="116"/>
      <c r="AA92" s="116"/>
      <c r="AB92" s="116"/>
      <c r="AC92" s="116"/>
      <c r="AD92" s="116"/>
      <c r="AE92" s="116"/>
      <c r="AF92" s="116"/>
      <c r="AG92" s="116"/>
      <c r="AH92" s="116"/>
    </row>
    <row r="93" spans="1:34" ht="22.2">
      <c r="A93" s="116"/>
      <c r="B93" s="126" t="s">
        <v>2333</v>
      </c>
      <c r="C93" s="116"/>
      <c r="D93" s="116"/>
      <c r="E93" s="116"/>
      <c r="F93" s="116"/>
      <c r="G93" s="128" t="s">
        <v>181</v>
      </c>
      <c r="H93" s="128" t="s">
        <v>310</v>
      </c>
      <c r="I93" s="116"/>
      <c r="J93" s="116"/>
      <c r="K93" s="116"/>
      <c r="L93" s="116"/>
      <c r="M93" s="116"/>
      <c r="N93" s="116"/>
      <c r="O93" s="116"/>
      <c r="P93" s="116"/>
      <c r="Q93" s="484"/>
      <c r="R93" s="116"/>
      <c r="S93" s="116"/>
      <c r="T93" s="116"/>
      <c r="U93" s="116"/>
      <c r="V93" s="116"/>
      <c r="W93" s="116"/>
      <c r="X93" s="116"/>
      <c r="Y93" s="116"/>
      <c r="Z93" s="116"/>
      <c r="AA93" s="116"/>
      <c r="AB93" s="116"/>
      <c r="AC93" s="116"/>
      <c r="AD93" s="116"/>
      <c r="AE93" s="116"/>
      <c r="AF93" s="116"/>
      <c r="AG93" s="116"/>
      <c r="AH93" s="116"/>
    </row>
    <row r="94" spans="1:34" ht="5.0999999999999996" customHeight="1">
      <c r="A94" s="116"/>
      <c r="B94" s="116"/>
      <c r="C94" s="116"/>
      <c r="D94" s="116"/>
      <c r="E94" s="116"/>
      <c r="F94" s="116"/>
      <c r="G94" s="116"/>
      <c r="H94" s="116"/>
      <c r="I94" s="116"/>
      <c r="J94" s="116"/>
      <c r="K94" s="116"/>
      <c r="L94" s="116"/>
      <c r="M94" s="116"/>
      <c r="N94" s="116"/>
      <c r="O94" s="116"/>
      <c r="P94" s="116"/>
      <c r="Q94" s="116"/>
      <c r="R94" s="116"/>
      <c r="S94" s="116"/>
      <c r="T94" s="116"/>
      <c r="U94" s="116"/>
      <c r="V94" s="116"/>
      <c r="W94" s="116"/>
      <c r="X94" s="116"/>
      <c r="Y94" s="116"/>
      <c r="Z94" s="116"/>
      <c r="AA94" s="116"/>
      <c r="AB94" s="116"/>
      <c r="AC94" s="116"/>
      <c r="AD94" s="116"/>
      <c r="AE94" s="116"/>
      <c r="AF94" s="116"/>
      <c r="AG94" s="116"/>
      <c r="AH94" s="116"/>
    </row>
    <row r="95" spans="1:34">
      <c r="A95" s="116"/>
      <c r="B95" s="118"/>
      <c r="C95" s="119"/>
      <c r="D95" s="119"/>
      <c r="E95" s="119"/>
      <c r="F95" s="119"/>
      <c r="G95" s="119"/>
      <c r="H95" s="119"/>
      <c r="I95" s="119"/>
      <c r="J95" s="119"/>
      <c r="K95" s="119"/>
      <c r="L95" s="119"/>
      <c r="M95" s="119"/>
      <c r="N95" s="119"/>
      <c r="O95" s="119"/>
      <c r="P95" s="119"/>
      <c r="Q95" s="119"/>
      <c r="R95" s="119"/>
      <c r="S95" s="119"/>
      <c r="T95" s="119"/>
      <c r="U95" s="119"/>
      <c r="V95" s="119"/>
      <c r="W95" s="119"/>
      <c r="X95" s="119"/>
      <c r="Y95" s="119"/>
      <c r="Z95" s="119"/>
      <c r="AA95" s="119"/>
      <c r="AB95" s="119"/>
      <c r="AC95" s="119"/>
      <c r="AD95" s="119"/>
      <c r="AE95" s="119"/>
      <c r="AF95" s="119"/>
      <c r="AG95" s="120"/>
      <c r="AH95" s="116"/>
    </row>
    <row r="96" spans="1:34">
      <c r="A96" s="116"/>
      <c r="B96" s="121"/>
      <c r="C96" s="154" t="s">
        <v>606</v>
      </c>
      <c r="G96" s="154" t="s">
        <v>607</v>
      </c>
      <c r="P96" s="129" t="s">
        <v>608</v>
      </c>
      <c r="Q96" s="130"/>
      <c r="R96" s="129"/>
      <c r="S96" s="130"/>
      <c r="T96" s="131">
        <f>T51</f>
        <v>45709</v>
      </c>
      <c r="U96" s="131">
        <f>U51</f>
        <v>45716</v>
      </c>
      <c r="V96" s="132" t="s">
        <v>609</v>
      </c>
      <c r="X96" s="155" t="s">
        <v>610</v>
      </c>
      <c r="AG96" s="122"/>
      <c r="AH96" s="116"/>
    </row>
    <row r="97" spans="1:34" ht="17.850000000000001" customHeight="1">
      <c r="A97" s="116"/>
      <c r="B97" s="121"/>
      <c r="P97" s="374" t="s">
        <v>611</v>
      </c>
      <c r="Q97" s="374"/>
      <c r="R97" s="374"/>
      <c r="S97" s="374"/>
      <c r="T97" s="374">
        <f>COUNTIFS('2. Status Detalhe Campos FY24'!$H$7:$H$741,'1. Status Resumo FY24'!$P97,'2. Status Detalhe Campos FY24'!$C$7:$C$741,'1. Status Resumo FY24'!$G$93,'2. Status Detalhe Campos FY24'!$D$7:$D$741,"2. Campo")+COUNTIFS('2. Status Detalhe Campos FY24'!$H$7:$H$741,'1. Status Resumo FY24'!$P97,'2. Status Detalhe Campos FY24'!$C$7:$C$741,'1. Status Resumo FY24'!$H$93,'2. Status Detalhe Campos FY24'!$D$7:$D$741,"2. Campo")</f>
        <v>16</v>
      </c>
      <c r="U97" s="374">
        <f>COUNTIFS('2. Status Detalhe Campos FY24'!$G$7:$G$741,'1. Status Resumo FY24'!$P97,'2. Status Detalhe Campos FY24'!$C$7:$C$741,'1. Status Resumo FY24'!$G$93,'2. Status Detalhe Campos FY24'!$D$7:$D$741,"2. Campo")+COUNTIFS('2. Status Detalhe Campos FY24'!$G$7:$G$741,'1. Status Resumo FY24'!$P97,'2. Status Detalhe Campos FY24'!$C$7:$C$741,'1. Status Resumo FY24'!$H$93,'2. Status Detalhe Campos FY24'!$D$7:$D$741,"2. Campo")</f>
        <v>16</v>
      </c>
      <c r="V97" s="374">
        <f t="shared" ref="V97:V123" si="8">U97-T97</f>
        <v>0</v>
      </c>
      <c r="W97" s="156"/>
      <c r="X97" s="523" t="s">
        <v>2439</v>
      </c>
      <c r="Y97" s="524"/>
      <c r="Z97" s="524"/>
      <c r="AA97" s="524"/>
      <c r="AB97" s="524"/>
      <c r="AC97" s="524"/>
      <c r="AD97" s="524"/>
      <c r="AE97" s="524"/>
      <c r="AF97" s="525"/>
      <c r="AG97" s="157" t="s">
        <v>631</v>
      </c>
      <c r="AH97" s="116"/>
    </row>
    <row r="98" spans="1:34" ht="17.850000000000001" customHeight="1">
      <c r="A98" s="116"/>
      <c r="B98" s="121"/>
      <c r="P98" s="375" t="s">
        <v>2371</v>
      </c>
      <c r="Q98" s="376"/>
      <c r="R98" s="376"/>
      <c r="S98" s="376"/>
      <c r="T98" s="446">
        <f>COUNTIFS('2. Status Detalhe Campos FY24'!$H$7:$H$741,'1. Status Resumo FY24'!$P97,'2. Status Detalhe Campos FY24'!$C$7:$C$741,'1. Status Resumo FY24'!$G$93,'2. Status Detalhe Campos FY24'!$D$7:$D$741,"2. Campo",'2. Status Detalhe Campos FY24'!$U$7:$U$741,"*Plano anterior*")
+COUNTIFS('2. Status Detalhe Campos FY24'!$H$7:$H$741,'1. Status Resumo FY24'!$P97,'2. Status Detalhe Campos FY24'!$C$7:$C$741,'1. Status Resumo FY24'!$H$93,'2. Status Detalhe Campos FY24'!$D$7:$D$741,"2. Campo",'2. Status Detalhe Campos FY24'!$U$7:$U$741,"*Plano anterior*")</f>
        <v>16</v>
      </c>
      <c r="U98" s="446">
        <f>COUNTIFS('2. Status Detalhe Campos FY24'!$G$7:$G$741,'1. Status Resumo FY24'!$P97,'2. Status Detalhe Campos FY24'!$C$7:$C$741,'1. Status Resumo FY24'!$G$93,'2. Status Detalhe Campos FY24'!$D$7:$D$741,"2. Campo",'2. Status Detalhe Campos FY24'!$U$7:$U$741,"*Plano anterior*")
+COUNTIFS('2. Status Detalhe Campos FY24'!$G$7:$G$741,'1. Status Resumo FY24'!$P97,'2. Status Detalhe Campos FY24'!$C$7:$C$741,'1. Status Resumo FY24'!$H$93,'2. Status Detalhe Campos FY24'!$D$7:$D$741,"2. Campo",'2. Status Detalhe Campos FY24'!$U$7:$U$741,"*Plano anterior*")</f>
        <v>16</v>
      </c>
      <c r="V98" s="446">
        <f t="shared" si="8"/>
        <v>0</v>
      </c>
      <c r="W98" s="156"/>
      <c r="X98" s="526"/>
      <c r="Y98" s="527"/>
      <c r="Z98" s="527"/>
      <c r="AA98" s="527"/>
      <c r="AB98" s="527"/>
      <c r="AC98" s="527"/>
      <c r="AD98" s="527"/>
      <c r="AE98" s="527"/>
      <c r="AF98" s="528"/>
      <c r="AG98" s="157"/>
      <c r="AH98" s="116"/>
    </row>
    <row r="99" spans="1:34" ht="17.25" customHeight="1">
      <c r="A99" s="116"/>
      <c r="B99" s="121"/>
      <c r="P99" s="375" t="s">
        <v>2361</v>
      </c>
      <c r="Q99" s="376"/>
      <c r="R99" s="376"/>
      <c r="S99" s="376"/>
      <c r="T99" s="446">
        <f>COUNTIFS('2. Status Detalhe Campos FY24'!$H$7:$H$741,'1. Status Resumo FY24'!$P97,'2. Status Detalhe Campos FY24'!$C$7:$C$741,'1. Status Resumo FY24'!$G$93,'2. Status Detalhe Campos FY24'!$D$7:$D$741,"2. Campo",'2. Status Detalhe Campos FY24'!$U$7:$U$741,"*Novo Plano*")
+COUNTIFS('2. Status Detalhe Campos FY24'!$H$7:$H$741,'1. Status Resumo FY24'!$P97,'2. Status Detalhe Campos FY24'!$C$7:$C$741,'1. Status Resumo FY24'!$H$93,'2. Status Detalhe Campos FY24'!$D$7:$D$741,"2. Campo",'2. Status Detalhe Campos FY24'!$U$7:$U$741,"*Novo Plano*")</f>
        <v>0</v>
      </c>
      <c r="U99" s="446">
        <f>COUNTIFS('2. Status Detalhe Campos FY24'!$G$7:$G$741,'1. Status Resumo FY24'!$P97,'2. Status Detalhe Campos FY24'!$C$7:$C$741,'1. Status Resumo FY24'!$G$93,'2. Status Detalhe Campos FY24'!$D$7:$D$741,"2. Campo",'2. Status Detalhe Campos FY24'!$U$7:$U$741,"*Novo Plano*")
+COUNTIFS('2. Status Detalhe Campos FY24'!$G$7:$G$741,'1. Status Resumo FY24'!$P97,'2. Status Detalhe Campos FY24'!$C$7:$C$741,'1. Status Resumo FY24'!$H$93,'2. Status Detalhe Campos FY24'!$D$7:$D$741,"2. Campo",'2. Status Detalhe Campos FY24'!$U$7:$U$741,"*Novo Plano*")</f>
        <v>0</v>
      </c>
      <c r="V99" s="446">
        <f t="shared" si="8"/>
        <v>0</v>
      </c>
      <c r="W99" s="156"/>
      <c r="X99" s="526"/>
      <c r="Y99" s="527"/>
      <c r="Z99" s="527"/>
      <c r="AA99" s="527"/>
      <c r="AB99" s="527"/>
      <c r="AC99" s="527"/>
      <c r="AD99" s="527"/>
      <c r="AE99" s="527"/>
      <c r="AF99" s="528"/>
      <c r="AG99" s="157"/>
      <c r="AH99" s="116"/>
    </row>
    <row r="100" spans="1:34">
      <c r="A100" s="116"/>
      <c r="B100" s="121"/>
      <c r="P100" s="373" t="s">
        <v>612</v>
      </c>
      <c r="Q100" s="373"/>
      <c r="R100" s="373"/>
      <c r="S100" s="373"/>
      <c r="T100" s="373">
        <f>COUNTIFS('2. Status Detalhe Campos FY24'!$H$7:$H$741,'1. Status Resumo FY24'!$P100,'2. Status Detalhe Campos FY24'!$C$7:$C$741,'1. Status Resumo FY24'!$G$93,'2. Status Detalhe Campos FY24'!$D$7:$D$741,"2. Campo")+COUNTIFS('2. Status Detalhe Campos FY24'!$H$7:$H$741,'1. Status Resumo FY24'!$P100,'2. Status Detalhe Campos FY24'!$C$7:$C$741,'1. Status Resumo FY24'!$H$93,'2. Status Detalhe Campos FY24'!$D$7:$D$741,"2. Campo")</f>
        <v>204</v>
      </c>
      <c r="U100" s="373">
        <f>COUNTIFS('2. Status Detalhe Campos FY24'!$G$7:$G$741,'1. Status Resumo FY24'!$P100,'2. Status Detalhe Campos FY24'!$C$7:$C$741,'1. Status Resumo FY24'!$G$93,'2. Status Detalhe Campos FY24'!$D$7:$D$741,"2. Campo")+COUNTIFS('2. Status Detalhe Campos FY24'!$G$7:$G$741,'1. Status Resumo FY24'!$P100,'2. Status Detalhe Campos FY24'!$C$7:$C$741,'1. Status Resumo FY24'!$H$93,'2. Status Detalhe Campos FY24'!$D$7:$D$741,"2. Campo")</f>
        <v>204</v>
      </c>
      <c r="V100" s="373">
        <f t="shared" si="8"/>
        <v>0</v>
      </c>
      <c r="W100" s="156"/>
      <c r="X100" s="526"/>
      <c r="Y100" s="527"/>
      <c r="Z100" s="527"/>
      <c r="AA100" s="527"/>
      <c r="AB100" s="527"/>
      <c r="AC100" s="527"/>
      <c r="AD100" s="527"/>
      <c r="AE100" s="527"/>
      <c r="AF100" s="528"/>
      <c r="AG100" s="157"/>
      <c r="AH100" s="116"/>
    </row>
    <row r="101" spans="1:34">
      <c r="A101" s="116"/>
      <c r="B101" s="121"/>
      <c r="P101" s="375" t="s">
        <v>2371</v>
      </c>
      <c r="Q101" s="376"/>
      <c r="R101" s="376"/>
      <c r="S101" s="376"/>
      <c r="T101" s="446">
        <f>COUNTIFS('2. Status Detalhe Campos FY24'!$H$7:$H$741,'1. Status Resumo FY24'!$P100,'2. Status Detalhe Campos FY24'!$C$7:$C$741,'1. Status Resumo FY24'!$G$93,'2. Status Detalhe Campos FY24'!$D$7:$D$741,"2. Campo",'2. Status Detalhe Campos FY24'!$U$7:$U$741,"*Plano anterior*")
+COUNTIFS('2. Status Detalhe Campos FY24'!$H$7:$H$741,'1. Status Resumo FY24'!$P100,'2. Status Detalhe Campos FY24'!$C$7:$C$741,'1. Status Resumo FY24'!$H$93,'2. Status Detalhe Campos FY24'!$D$7:$D$741,"2. Campo",'2. Status Detalhe Campos FY24'!$U$7:$U$741,"*Plano anterior*")</f>
        <v>184</v>
      </c>
      <c r="U101" s="446">
        <f>COUNTIFS('2. Status Detalhe Campos FY24'!$G$7:$G$741,'1. Status Resumo FY24'!$P100,'2. Status Detalhe Campos FY24'!$C$7:$C$741,'1. Status Resumo FY24'!$G$93,'2. Status Detalhe Campos FY24'!$D$7:$D$741,"2. Campo",'2. Status Detalhe Campos FY24'!$U$7:$U$741,"*Plano anterior*")
+COUNTIFS('2. Status Detalhe Campos FY24'!$G$7:$G$741,'1. Status Resumo FY24'!$P100,'2. Status Detalhe Campos FY24'!$C$7:$C$741,'1. Status Resumo FY24'!$H$93,'2. Status Detalhe Campos FY24'!$D$7:$D$741,"2. Campo",'2. Status Detalhe Campos FY24'!$U$7:$U$741,"*Plano anterior*")</f>
        <v>184</v>
      </c>
      <c r="V101" s="446">
        <f t="shared" si="8"/>
        <v>0</v>
      </c>
      <c r="W101" s="156"/>
      <c r="X101" s="526"/>
      <c r="Y101" s="527"/>
      <c r="Z101" s="527"/>
      <c r="AA101" s="527"/>
      <c r="AB101" s="527"/>
      <c r="AC101" s="527"/>
      <c r="AD101" s="527"/>
      <c r="AE101" s="527"/>
      <c r="AF101" s="528"/>
      <c r="AG101" s="157"/>
      <c r="AH101" s="116"/>
    </row>
    <row r="102" spans="1:34">
      <c r="A102" s="116"/>
      <c r="B102" s="121"/>
      <c r="P102" s="375" t="s">
        <v>2361</v>
      </c>
      <c r="Q102" s="378"/>
      <c r="R102" s="378"/>
      <c r="S102" s="378"/>
      <c r="T102" s="447">
        <f>COUNTIFS('2. Status Detalhe Campos FY24'!$H$7:$H$741,'1. Status Resumo FY24'!$P100,'2. Status Detalhe Campos FY24'!$C$7:$C$741,'1. Status Resumo FY24'!$G$93,'2. Status Detalhe Campos FY24'!$D$7:$D$741,"2. Campo",'2. Status Detalhe Campos FY24'!$U$7:$U$741,"*Novo Plano*")
+COUNTIFS('2. Status Detalhe Campos FY24'!$H$7:$H$741,'1. Status Resumo FY24'!$P100,'2. Status Detalhe Campos FY24'!$C$7:$C$741,'1. Status Resumo FY24'!$H$93,'2. Status Detalhe Campos FY24'!$D$7:$D$741,"2. Campo",'2. Status Detalhe Campos FY24'!$U$7:$U$741,"*Novo Plano*")</f>
        <v>20</v>
      </c>
      <c r="U102" s="447">
        <f>COUNTIFS('2. Status Detalhe Campos FY24'!$G$7:$G$741,'1. Status Resumo FY24'!$P100,'2. Status Detalhe Campos FY24'!$C$7:$C$741,'1. Status Resumo FY24'!$G$93,'2. Status Detalhe Campos FY24'!$D$7:$D$741,"2. Campo",'2. Status Detalhe Campos FY24'!$U$7:$U$741,"*Novo Plano*")
+COUNTIFS('2. Status Detalhe Campos FY24'!$G$7:$G$741,'1. Status Resumo FY24'!$P100,'2. Status Detalhe Campos FY24'!$C$7:$C$741,'1. Status Resumo FY24'!$H$93,'2. Status Detalhe Campos FY24'!$D$7:$D$741,"2. Campo",'2. Status Detalhe Campos FY24'!$U$7:$U$741,"*Novo Plano*")</f>
        <v>20</v>
      </c>
      <c r="V102" s="447">
        <f t="shared" si="8"/>
        <v>0</v>
      </c>
      <c r="W102" s="156"/>
      <c r="X102" s="526"/>
      <c r="Y102" s="527"/>
      <c r="Z102" s="527"/>
      <c r="AA102" s="527"/>
      <c r="AB102" s="527"/>
      <c r="AC102" s="527"/>
      <c r="AD102" s="527"/>
      <c r="AE102" s="527"/>
      <c r="AF102" s="528"/>
      <c r="AG102" s="157"/>
      <c r="AH102" s="116"/>
    </row>
    <row r="103" spans="1:34">
      <c r="A103" s="116"/>
      <c r="B103" s="121"/>
      <c r="P103" s="373" t="s">
        <v>1845</v>
      </c>
      <c r="Q103" s="373"/>
      <c r="R103" s="373"/>
      <c r="S103" s="373"/>
      <c r="T103" s="373">
        <f>COUNTIFS('2. Status Detalhe Campos FY24'!$H$7:$H$741,'1. Status Resumo FY24'!$P103,'2. Status Detalhe Campos FY24'!$C$7:$C$741,'1. Status Resumo FY24'!$G$93,'2. Status Detalhe Campos FY24'!$D$7:$D$741,"2. Campo")+COUNTIFS('2. Status Detalhe Campos FY24'!$H$7:$H$741,'1. Status Resumo FY24'!$P103,'2. Status Detalhe Campos FY24'!$C$7:$C$741,'1. Status Resumo FY24'!$H$93,'2. Status Detalhe Campos FY24'!$D$7:$D$741,"2. Campo")</f>
        <v>17</v>
      </c>
      <c r="U103" s="373">
        <f>COUNTIFS('2. Status Detalhe Campos FY24'!$G$7:$G$741,'1. Status Resumo FY24'!$P103,'2. Status Detalhe Campos FY24'!$C$7:$C$741,'1. Status Resumo FY24'!$G$93,'2. Status Detalhe Campos FY24'!$D$7:$D$741,"2. Campo")+COUNTIFS('2. Status Detalhe Campos FY24'!$G$7:$G$741,'1. Status Resumo FY24'!$P103,'2. Status Detalhe Campos FY24'!$C$7:$C$741,'1. Status Resumo FY24'!$H$93,'2. Status Detalhe Campos FY24'!$D$7:$D$741,"2. Campo")</f>
        <v>17</v>
      </c>
      <c r="V103" s="373">
        <f t="shared" si="8"/>
        <v>0</v>
      </c>
      <c r="W103" s="156"/>
      <c r="X103" s="526"/>
      <c r="Y103" s="527"/>
      <c r="Z103" s="527"/>
      <c r="AA103" s="527"/>
      <c r="AB103" s="527"/>
      <c r="AC103" s="527"/>
      <c r="AD103" s="527"/>
      <c r="AE103" s="527"/>
      <c r="AF103" s="528"/>
      <c r="AG103" s="157"/>
      <c r="AH103" s="116"/>
    </row>
    <row r="104" spans="1:34">
      <c r="A104" s="116"/>
      <c r="B104" s="121"/>
      <c r="P104" s="375" t="s">
        <v>2371</v>
      </c>
      <c r="Q104" s="376"/>
      <c r="R104" s="376"/>
      <c r="S104" s="376"/>
      <c r="T104" s="446">
        <f>COUNTIFS('2. Status Detalhe Campos FY24'!$H$7:$H$741,'1. Status Resumo FY24'!$P103,'2. Status Detalhe Campos FY24'!$C$7:$C$741,'1. Status Resumo FY24'!$G$93,'2. Status Detalhe Campos FY24'!$D$7:$D$741,"2. Campo",'2. Status Detalhe Campos FY24'!$U$7:$U$741,"*Plano anterior*")
+COUNTIFS('2. Status Detalhe Campos FY24'!$H$7:$H$741,'1. Status Resumo FY24'!$P103,'2. Status Detalhe Campos FY24'!$C$7:$C$741,'1. Status Resumo FY24'!$H$93,'2. Status Detalhe Campos FY24'!$D$7:$D$741,"2. Campo",'2. Status Detalhe Campos FY24'!$U$7:$U$741,"*Plano anterior*")</f>
        <v>12</v>
      </c>
      <c r="U104" s="446">
        <f>COUNTIFS('2. Status Detalhe Campos FY24'!$G$7:$G$741,'1. Status Resumo FY24'!$P103,'2. Status Detalhe Campos FY24'!$C$7:$C$741,'1. Status Resumo FY24'!$G$93,'2. Status Detalhe Campos FY24'!$D$7:$D$741,"2. Campo",'2. Status Detalhe Campos FY24'!$U$7:$U$741,"*Plano anterior*")
+COUNTIFS('2. Status Detalhe Campos FY24'!$G$7:$G$741,'1. Status Resumo FY24'!$P103,'2. Status Detalhe Campos FY24'!$C$7:$C$741,'1. Status Resumo FY24'!$H$93,'2. Status Detalhe Campos FY24'!$D$7:$D$741,"2. Campo",'2. Status Detalhe Campos FY24'!$U$7:$U$741,"*Plano anterior*")</f>
        <v>12</v>
      </c>
      <c r="V104" s="446">
        <f t="shared" si="8"/>
        <v>0</v>
      </c>
      <c r="W104" s="156"/>
      <c r="X104" s="526"/>
      <c r="Y104" s="527"/>
      <c r="Z104" s="527"/>
      <c r="AA104" s="527"/>
      <c r="AB104" s="527"/>
      <c r="AC104" s="527"/>
      <c r="AD104" s="527"/>
      <c r="AE104" s="527"/>
      <c r="AF104" s="528"/>
      <c r="AG104" s="157"/>
      <c r="AH104" s="116"/>
    </row>
    <row r="105" spans="1:34">
      <c r="A105" s="116"/>
      <c r="B105" s="121"/>
      <c r="P105" s="375" t="s">
        <v>2361</v>
      </c>
      <c r="Q105" s="378"/>
      <c r="R105" s="378"/>
      <c r="S105" s="378"/>
      <c r="T105" s="447">
        <f>COUNTIFS('2. Status Detalhe Campos FY24'!$H$7:$H$741,'1. Status Resumo FY24'!$P103,'2. Status Detalhe Campos FY24'!$C$7:$C$741,'1. Status Resumo FY24'!$G$93,'2. Status Detalhe Campos FY24'!$D$7:$D$741,"2. Campo",'2. Status Detalhe Campos FY24'!$U$7:$U$741,"*Novo Plano*")
+COUNTIFS('2. Status Detalhe Campos FY24'!$H$7:$H$741,'1. Status Resumo FY24'!$P103,'2. Status Detalhe Campos FY24'!$C$7:$C$741,'1. Status Resumo FY24'!$H$93,'2. Status Detalhe Campos FY24'!$D$7:$D$741,"2. Campo",'2. Status Detalhe Campos FY24'!$U$7:$U$741,"*Novo Plano*")</f>
        <v>5</v>
      </c>
      <c r="U105" s="447">
        <f>COUNTIFS('2. Status Detalhe Campos FY24'!$G$7:$G$741,'1. Status Resumo FY24'!$P103,'2. Status Detalhe Campos FY24'!$C$7:$C$741,'1. Status Resumo FY24'!$G$93,'2. Status Detalhe Campos FY24'!$D$7:$D$741,"2. Campo",'2. Status Detalhe Campos FY24'!$U$7:$U$741,"*Novo Plano*")
+COUNTIFS('2. Status Detalhe Campos FY24'!$G$7:$G$741,'1. Status Resumo FY24'!$P103,'2. Status Detalhe Campos FY24'!$C$7:$C$741,'1. Status Resumo FY24'!$H$93,'2. Status Detalhe Campos FY24'!$D$7:$D$741,"2. Campo",'2. Status Detalhe Campos FY24'!$U$7:$U$741,"*Novo Plano*")</f>
        <v>5</v>
      </c>
      <c r="V105" s="447">
        <f t="shared" si="8"/>
        <v>0</v>
      </c>
      <c r="W105" s="156"/>
      <c r="X105" s="526"/>
      <c r="Y105" s="527"/>
      <c r="Z105" s="527"/>
      <c r="AA105" s="527"/>
      <c r="AB105" s="527"/>
      <c r="AC105" s="527"/>
      <c r="AD105" s="527"/>
      <c r="AE105" s="527"/>
      <c r="AF105" s="528"/>
      <c r="AG105" s="157"/>
      <c r="AH105" s="116"/>
    </row>
    <row r="106" spans="1:34" ht="18.75" customHeight="1">
      <c r="A106" s="116"/>
      <c r="B106" s="121"/>
      <c r="D106" s="427"/>
      <c r="E106" s="427"/>
      <c r="P106" s="373" t="s">
        <v>2324</v>
      </c>
      <c r="Q106" s="373"/>
      <c r="R106" s="373"/>
      <c r="S106" s="373"/>
      <c r="T106" s="373">
        <f>COUNTIFS('2. Status Detalhe Campos FY24'!$H$7:$H$741,'1. Status Resumo FY24'!$P106,'2. Status Detalhe Campos FY24'!$C$7:$C$741,'1. Status Resumo FY24'!$G$93,'2. Status Detalhe Campos FY24'!$D$7:$D$741,"2. Campo")+COUNTIFS('2. Status Detalhe Campos FY24'!$H$7:$H$741,'1. Status Resumo FY24'!$P106,'2. Status Detalhe Campos FY24'!$C$7:$C$741,'1. Status Resumo FY24'!$H$93,'2. Status Detalhe Campos FY24'!$D$7:$D$741,"2. Campo")</f>
        <v>1</v>
      </c>
      <c r="U106" s="373">
        <f>COUNTIFS('2. Status Detalhe Campos FY24'!$G$7:$G$741,'1. Status Resumo FY24'!$P106,'2. Status Detalhe Campos FY24'!$C$7:$C$741,'1. Status Resumo FY24'!$G$93,'2. Status Detalhe Campos FY24'!$D$7:$D$741,"2. Campo")+COUNTIFS('2. Status Detalhe Campos FY24'!$G$7:$G$741,'1. Status Resumo FY24'!$P106,'2. Status Detalhe Campos FY24'!$C$7:$C$741,'1. Status Resumo FY24'!$H$93,'2. Status Detalhe Campos FY24'!$D$7:$D$741,"2. Campo")</f>
        <v>1</v>
      </c>
      <c r="V106" s="373">
        <f t="shared" si="8"/>
        <v>0</v>
      </c>
      <c r="W106" s="156"/>
      <c r="X106" s="526"/>
      <c r="Y106" s="527"/>
      <c r="Z106" s="527"/>
      <c r="AA106" s="527"/>
      <c r="AB106" s="527"/>
      <c r="AC106" s="527"/>
      <c r="AD106" s="527"/>
      <c r="AE106" s="527"/>
      <c r="AF106" s="528"/>
      <c r="AG106" s="157"/>
      <c r="AH106" s="116"/>
    </row>
    <row r="107" spans="1:34" ht="18.75" customHeight="1">
      <c r="A107" s="116"/>
      <c r="B107" s="121"/>
      <c r="D107" s="427"/>
      <c r="E107" s="427"/>
      <c r="P107" s="375" t="s">
        <v>2371</v>
      </c>
      <c r="Q107" s="376"/>
      <c r="R107" s="376"/>
      <c r="S107" s="376"/>
      <c r="T107" s="446">
        <f>COUNTIFS('2. Status Detalhe Campos FY24'!$H$7:$H$741,'1. Status Resumo FY24'!$P106,'2. Status Detalhe Campos FY24'!$C$7:$C$741,'1. Status Resumo FY24'!$G$93,'2. Status Detalhe Campos FY24'!$D$7:$D$741,"2. Campo",'2. Status Detalhe Campos FY24'!$U$7:$U$741,"*Plano anterior*")
+COUNTIFS('2. Status Detalhe Campos FY24'!$H$7:$H$741,'1. Status Resumo FY24'!$P106,'2. Status Detalhe Campos FY24'!$C$7:$C$741,'1. Status Resumo FY24'!$H$93,'2. Status Detalhe Campos FY24'!$D$7:$D$741,"2. Campo",'2. Status Detalhe Campos FY24'!$U$7:$U$741,"*Plano anterior*")</f>
        <v>1</v>
      </c>
      <c r="U107" s="446">
        <f>COUNTIFS('2. Status Detalhe Campos FY24'!$G$7:$G$741,'1. Status Resumo FY24'!$P106,'2. Status Detalhe Campos FY24'!$C$7:$C$741,'1. Status Resumo FY24'!$G$93,'2. Status Detalhe Campos FY24'!$D$7:$D$741,"2. Campo",'2. Status Detalhe Campos FY24'!$U$7:$U$741,"*Plano anterior*")
+COUNTIFS('2. Status Detalhe Campos FY24'!$G$7:$G$741,'1. Status Resumo FY24'!$P106,'2. Status Detalhe Campos FY24'!$C$7:$C$741,'1. Status Resumo FY24'!$H$93,'2. Status Detalhe Campos FY24'!$D$7:$D$741,"2. Campo",'2. Status Detalhe Campos FY24'!$U$7:$U$741,"*Plano anterior*")</f>
        <v>1</v>
      </c>
      <c r="V107" s="446">
        <f t="shared" si="8"/>
        <v>0</v>
      </c>
      <c r="W107" s="156"/>
      <c r="X107" s="526"/>
      <c r="Y107" s="527"/>
      <c r="Z107" s="527"/>
      <c r="AA107" s="527"/>
      <c r="AB107" s="527"/>
      <c r="AC107" s="527"/>
      <c r="AD107" s="527"/>
      <c r="AE107" s="527"/>
      <c r="AF107" s="528"/>
      <c r="AG107" s="157"/>
      <c r="AH107" s="116"/>
    </row>
    <row r="108" spans="1:34" ht="18.75" customHeight="1">
      <c r="A108" s="116"/>
      <c r="B108" s="121"/>
      <c r="D108" s="427"/>
      <c r="E108" s="427"/>
      <c r="P108" s="375" t="s">
        <v>2361</v>
      </c>
      <c r="Q108" s="378"/>
      <c r="R108" s="378"/>
      <c r="S108" s="378"/>
      <c r="T108" s="447">
        <f>COUNTIFS('2. Status Detalhe Campos FY24'!$H$7:$H$741,'1. Status Resumo FY24'!$P106,'2. Status Detalhe Campos FY24'!$C$7:$C$741,'1. Status Resumo FY24'!$G$93,'2. Status Detalhe Campos FY24'!$D$7:$D$741,"2. Campo",'2. Status Detalhe Campos FY24'!$U$7:$U$741,"*Novo Plano*")
+COUNTIFS('2. Status Detalhe Campos FY24'!$H$7:$H$741,'1. Status Resumo FY24'!$P106,'2. Status Detalhe Campos FY24'!$C$7:$C$741,'1. Status Resumo FY24'!$H$93,'2. Status Detalhe Campos FY24'!$D$7:$D$741,"2. Campo",'2. Status Detalhe Campos FY24'!$U$7:$U$741,"*Novo Plano*")</f>
        <v>0</v>
      </c>
      <c r="U108" s="447">
        <f>COUNTIFS('2. Status Detalhe Campos FY24'!$G$7:$G$741,'1. Status Resumo FY24'!$P106,'2. Status Detalhe Campos FY24'!$C$7:$C$741,'1. Status Resumo FY24'!$G$93,'2. Status Detalhe Campos FY24'!$D$7:$D$741,"2. Campo",'2. Status Detalhe Campos FY24'!$U$7:$U$741,"*Novo Plano*")
+COUNTIFS('2. Status Detalhe Campos FY24'!$G$7:$G$741,'1. Status Resumo FY24'!$P106,'2. Status Detalhe Campos FY24'!$C$7:$C$741,'1. Status Resumo FY24'!$H$93,'2. Status Detalhe Campos FY24'!$D$7:$D$741,"2. Campo",'2. Status Detalhe Campos FY24'!$U$7:$U$741,"*Novo Plano*")</f>
        <v>0</v>
      </c>
      <c r="V108" s="447">
        <f t="shared" si="8"/>
        <v>0</v>
      </c>
      <c r="W108" s="156"/>
      <c r="X108" s="526"/>
      <c r="Y108" s="527"/>
      <c r="Z108" s="527"/>
      <c r="AA108" s="527"/>
      <c r="AB108" s="527"/>
      <c r="AC108" s="527"/>
      <c r="AD108" s="527"/>
      <c r="AE108" s="527"/>
      <c r="AF108" s="528"/>
      <c r="AG108" s="157"/>
      <c r="AH108" s="116"/>
    </row>
    <row r="109" spans="1:34" ht="17.850000000000001" customHeight="1">
      <c r="A109" s="116"/>
      <c r="B109" s="121"/>
      <c r="D109" s="504" t="str">
        <f>+"#"&amp;$U$124</f>
        <v>#302</v>
      </c>
      <c r="P109" s="373" t="s">
        <v>613</v>
      </c>
      <c r="Q109" s="373"/>
      <c r="R109" s="373"/>
      <c r="S109" s="373"/>
      <c r="T109" s="373">
        <f>COUNTIFS('2. Status Detalhe Campos FY24'!$H$7:$H$741,'1. Status Resumo FY24'!$P109,'2. Status Detalhe Campos FY24'!$C$7:$C$741,'1. Status Resumo FY24'!$G$93,'2. Status Detalhe Campos FY24'!$D$7:$D$741,"2. Campo")+COUNTIFS('2. Status Detalhe Campos FY24'!$H$7:$H$741,'1. Status Resumo FY24'!$P109,'2. Status Detalhe Campos FY24'!$C$7:$C$741,'1. Status Resumo FY24'!$H$93,'2. Status Detalhe Campos FY24'!$D$7:$D$741,"2. Campo")</f>
        <v>0</v>
      </c>
      <c r="U109" s="373">
        <f>COUNTIFS('2. Status Detalhe Campos FY24'!$G$7:$G$741,'1. Status Resumo FY24'!$P109,'2. Status Detalhe Campos FY24'!$C$7:$C$741,'1. Status Resumo FY24'!$G$93,'2. Status Detalhe Campos FY24'!$D$7:$D$741,"2. Campo")+COUNTIFS('2. Status Detalhe Campos FY24'!$G$7:$G$741,'1. Status Resumo FY24'!$P109,'2. Status Detalhe Campos FY24'!$C$7:$C$741,'1. Status Resumo FY24'!$H$93,'2. Status Detalhe Campos FY24'!$D$7:$D$741,"2. Campo")</f>
        <v>0</v>
      </c>
      <c r="V109" s="373">
        <f t="shared" si="8"/>
        <v>0</v>
      </c>
      <c r="W109" s="156"/>
      <c r="X109" s="526"/>
      <c r="Y109" s="527"/>
      <c r="Z109" s="527"/>
      <c r="AA109" s="527"/>
      <c r="AB109" s="527"/>
      <c r="AC109" s="527"/>
      <c r="AD109" s="527"/>
      <c r="AE109" s="527"/>
      <c r="AF109" s="528"/>
      <c r="AG109" s="157"/>
      <c r="AH109" s="116"/>
    </row>
    <row r="110" spans="1:34" ht="17.850000000000001" customHeight="1">
      <c r="A110" s="116"/>
      <c r="B110" s="121"/>
      <c r="D110" s="504"/>
      <c r="P110" s="375" t="s">
        <v>2371</v>
      </c>
      <c r="Q110" s="376"/>
      <c r="R110" s="376"/>
      <c r="S110" s="376"/>
      <c r="T110" s="446">
        <f>COUNTIFS('2. Status Detalhe Campos FY24'!$H$7:$H$741,'1. Status Resumo FY24'!$P109,'2. Status Detalhe Campos FY24'!$C$7:$C$741,'1. Status Resumo FY24'!$G$93,'2. Status Detalhe Campos FY24'!$D$7:$D$741,"2. Campo",'2. Status Detalhe Campos FY24'!$U$7:$U$741,"*Plano anterior*")
+COUNTIFS('2. Status Detalhe Campos FY24'!$H$7:$H$741,'1. Status Resumo FY24'!$P109,'2. Status Detalhe Campos FY24'!$C$7:$C$741,'1. Status Resumo FY24'!$H$93,'2. Status Detalhe Campos FY24'!$D$7:$D$741,"2. Campo",'2. Status Detalhe Campos FY24'!$U$7:$U$741,"*Plano anterior*")</f>
        <v>0</v>
      </c>
      <c r="U110" s="446">
        <f>COUNTIFS('2. Status Detalhe Campos FY24'!$G$7:$G$741,'1. Status Resumo FY24'!$P109,'2. Status Detalhe Campos FY24'!$C$7:$C$741,'1. Status Resumo FY24'!$G$93,'2. Status Detalhe Campos FY24'!$D$7:$D$741,"2. Campo",'2. Status Detalhe Campos FY24'!$U$7:$U$741,"*Plano anterior*")
+COUNTIFS('2. Status Detalhe Campos FY24'!$G$7:$G$741,'1. Status Resumo FY24'!$P109,'2. Status Detalhe Campos FY24'!$C$7:$C$741,'1. Status Resumo FY24'!$H$93,'2. Status Detalhe Campos FY24'!$D$7:$D$741,"2. Campo",'2. Status Detalhe Campos FY24'!$U$7:$U$741,"*Plano anterior*")</f>
        <v>0</v>
      </c>
      <c r="V110" s="446">
        <f t="shared" si="8"/>
        <v>0</v>
      </c>
      <c r="W110" s="156"/>
      <c r="X110" s="526"/>
      <c r="Y110" s="527"/>
      <c r="Z110" s="527"/>
      <c r="AA110" s="527"/>
      <c r="AB110" s="527"/>
      <c r="AC110" s="527"/>
      <c r="AD110" s="527"/>
      <c r="AE110" s="527"/>
      <c r="AF110" s="528"/>
      <c r="AG110" s="157"/>
      <c r="AH110" s="116"/>
    </row>
    <row r="111" spans="1:34" ht="17.850000000000001" customHeight="1">
      <c r="A111" s="116"/>
      <c r="B111" s="121"/>
      <c r="D111" s="504"/>
      <c r="P111" s="375" t="s">
        <v>2361</v>
      </c>
      <c r="Q111" s="378"/>
      <c r="R111" s="378"/>
      <c r="S111" s="378"/>
      <c r="T111" s="447">
        <f>COUNTIFS('2. Status Detalhe Campos FY24'!$H$7:$H$741,'1. Status Resumo FY24'!$P109,'2. Status Detalhe Campos FY24'!$C$7:$C$741,'1. Status Resumo FY24'!$G$93,'2. Status Detalhe Campos FY24'!$D$7:$D$741,"2. Campo",'2. Status Detalhe Campos FY24'!$U$7:$U$741,"*Novo Plano*")
+COUNTIFS('2. Status Detalhe Campos FY24'!$H$7:$H$741,'1. Status Resumo FY24'!$P109,'2. Status Detalhe Campos FY24'!$C$7:$C$741,'1. Status Resumo FY24'!$H$93,'2. Status Detalhe Campos FY24'!$D$7:$D$741,"2. Campo",'2. Status Detalhe Campos FY24'!$U$7:$U$741,"*Novo Plano*")</f>
        <v>0</v>
      </c>
      <c r="U111" s="447">
        <f>COUNTIFS('2. Status Detalhe Campos FY24'!$G$7:$G$741,'1. Status Resumo FY24'!$P109,'2. Status Detalhe Campos FY24'!$C$7:$C$741,'1. Status Resumo FY24'!$G$93,'2. Status Detalhe Campos FY24'!$D$7:$D$741,"2. Campo",'2. Status Detalhe Campos FY24'!$U$7:$U$741,"*Novo Plano*")
+COUNTIFS('2. Status Detalhe Campos FY24'!$G$7:$G$741,'1. Status Resumo FY24'!$P109,'2. Status Detalhe Campos FY24'!$C$7:$C$741,'1. Status Resumo FY24'!$H$93,'2. Status Detalhe Campos FY24'!$D$7:$D$741,"2. Campo",'2. Status Detalhe Campos FY24'!$U$7:$U$741,"*Novo Plano*")</f>
        <v>0</v>
      </c>
      <c r="V111" s="447">
        <f t="shared" si="8"/>
        <v>0</v>
      </c>
      <c r="W111" s="156"/>
      <c r="X111" s="526"/>
      <c r="Y111" s="527"/>
      <c r="Z111" s="527"/>
      <c r="AA111" s="527"/>
      <c r="AB111" s="527"/>
      <c r="AC111" s="527"/>
      <c r="AD111" s="527"/>
      <c r="AE111" s="527"/>
      <c r="AF111" s="528"/>
      <c r="AG111" s="157"/>
      <c r="AH111" s="116"/>
    </row>
    <row r="112" spans="1:34" ht="17.850000000000001" customHeight="1">
      <c r="A112" s="116"/>
      <c r="B112" s="121"/>
      <c r="D112" s="427"/>
      <c r="P112" s="373" t="s">
        <v>614</v>
      </c>
      <c r="Q112" s="373"/>
      <c r="R112" s="373"/>
      <c r="S112" s="373"/>
      <c r="T112" s="373">
        <f>COUNTIFS('2. Status Detalhe Campos FY24'!$H$7:$H$741,'1. Status Resumo FY24'!$P112,'2. Status Detalhe Campos FY24'!$C$7:$C$741,'1. Status Resumo FY24'!$G$93,'2. Status Detalhe Campos FY24'!$D$7:$D$741,"2. Campo")+COUNTIFS('2. Status Detalhe Campos FY24'!$H$7:$H$741,'1. Status Resumo FY24'!$P112,'2. Status Detalhe Campos FY24'!$C$7:$C$741,'1. Status Resumo FY24'!$H$93,'2. Status Detalhe Campos FY24'!$D$7:$D$741,"2. Campo")</f>
        <v>0</v>
      </c>
      <c r="U112" s="373">
        <f>COUNTIFS('2. Status Detalhe Campos FY24'!$G$7:$G$741,'1. Status Resumo FY24'!$P112,'2. Status Detalhe Campos FY24'!$C$7:$C$741,'1. Status Resumo FY24'!$G$93,'2. Status Detalhe Campos FY24'!$D$7:$D$741,"2. Campo")+COUNTIFS('2. Status Detalhe Campos FY24'!$G$7:$G$741,'1. Status Resumo FY24'!$P112,'2. Status Detalhe Campos FY24'!$C$7:$C$741,'1. Status Resumo FY24'!$H$93,'2. Status Detalhe Campos FY24'!$D$7:$D$741,"2. Campo")</f>
        <v>0</v>
      </c>
      <c r="V112" s="373">
        <f t="shared" si="8"/>
        <v>0</v>
      </c>
      <c r="W112" s="156"/>
      <c r="X112" s="526"/>
      <c r="Y112" s="527"/>
      <c r="Z112" s="527"/>
      <c r="AA112" s="527"/>
      <c r="AB112" s="527"/>
      <c r="AC112" s="527"/>
      <c r="AD112" s="527"/>
      <c r="AE112" s="527"/>
      <c r="AF112" s="528"/>
      <c r="AG112" s="157"/>
      <c r="AH112" s="116"/>
    </row>
    <row r="113" spans="1:34" ht="17.850000000000001" customHeight="1">
      <c r="A113" s="116"/>
      <c r="B113" s="121"/>
      <c r="D113" s="371"/>
      <c r="E113" s="371"/>
      <c r="P113" s="375" t="s">
        <v>2371</v>
      </c>
      <c r="Q113" s="376"/>
      <c r="R113" s="376"/>
      <c r="S113" s="376"/>
      <c r="T113" s="446">
        <f>COUNTIFS('2. Status Detalhe Campos FY24'!$H$7:$H$741,'1. Status Resumo FY24'!$P112,'2. Status Detalhe Campos FY24'!$C$7:$C$741,'1. Status Resumo FY24'!$G$93,'2. Status Detalhe Campos FY24'!$D$7:$D$741,"2. Campo",'2. Status Detalhe Campos FY24'!$U$7:$U$741,"*Plano anterior*")
+COUNTIFS('2. Status Detalhe Campos FY24'!$H$7:$H$741,'1. Status Resumo FY24'!$P112,'2. Status Detalhe Campos FY24'!$C$7:$C$741,'1. Status Resumo FY24'!$H$93,'2. Status Detalhe Campos FY24'!$D$7:$D$741,"2. Campo",'2. Status Detalhe Campos FY24'!$U$7:$U$741,"*Plano anterior*")</f>
        <v>0</v>
      </c>
      <c r="U113" s="446">
        <f>COUNTIFS('2. Status Detalhe Campos FY24'!$G$7:$G$741,'1. Status Resumo FY24'!$P112,'2. Status Detalhe Campos FY24'!$C$7:$C$741,'1. Status Resumo FY24'!$G$93,'2. Status Detalhe Campos FY24'!$D$7:$D$741,"2. Campo",'2. Status Detalhe Campos FY24'!$U$7:$U$741,"*Plano anterior*")
+COUNTIFS('2. Status Detalhe Campos FY24'!$G$7:$G$741,'1. Status Resumo FY24'!$P112,'2. Status Detalhe Campos FY24'!$C$7:$C$741,'1. Status Resumo FY24'!$H$93,'2. Status Detalhe Campos FY24'!$D$7:$D$741,"2. Campo",'2. Status Detalhe Campos FY24'!$U$7:$U$741,"*Plano anterior*")</f>
        <v>0</v>
      </c>
      <c r="V113" s="446">
        <f t="shared" si="8"/>
        <v>0</v>
      </c>
      <c r="W113" s="156"/>
      <c r="X113" s="526"/>
      <c r="Y113" s="527"/>
      <c r="Z113" s="527"/>
      <c r="AA113" s="527"/>
      <c r="AB113" s="527"/>
      <c r="AC113" s="527"/>
      <c r="AD113" s="527"/>
      <c r="AE113" s="527"/>
      <c r="AF113" s="528"/>
      <c r="AG113" s="157"/>
      <c r="AH113" s="116"/>
    </row>
    <row r="114" spans="1:34" ht="17.850000000000001" customHeight="1">
      <c r="A114" s="116"/>
      <c r="B114" s="121"/>
      <c r="D114" s="371"/>
      <c r="E114" s="371"/>
      <c r="P114" s="375" t="s">
        <v>2361</v>
      </c>
      <c r="Q114" s="378"/>
      <c r="R114" s="378"/>
      <c r="S114" s="378"/>
      <c r="T114" s="447">
        <f>COUNTIFS('2. Status Detalhe Campos FY24'!$H$7:$H$741,'1. Status Resumo FY24'!$P112,'2. Status Detalhe Campos FY24'!$C$7:$C$741,'1. Status Resumo FY24'!$G$93,'2. Status Detalhe Campos FY24'!$D$7:$D$741,"2. Campo",'2. Status Detalhe Campos FY24'!$U$7:$U$741,"*Novo Plano*")
+COUNTIFS('2. Status Detalhe Campos FY24'!$H$7:$H$741,'1. Status Resumo FY24'!$P112,'2. Status Detalhe Campos FY24'!$C$7:$C$741,'1. Status Resumo FY24'!$H$93,'2. Status Detalhe Campos FY24'!$D$7:$D$741,"2. Campo",'2. Status Detalhe Campos FY24'!$U$7:$U$741,"*Novo Plano*")</f>
        <v>0</v>
      </c>
      <c r="U114" s="447">
        <f>COUNTIFS('2. Status Detalhe Campos FY24'!$G$7:$G$741,'1. Status Resumo FY24'!$P112,'2. Status Detalhe Campos FY24'!$C$7:$C$741,'1. Status Resumo FY24'!$G$93,'2. Status Detalhe Campos FY24'!$D$7:$D$741,"2. Campo",'2. Status Detalhe Campos FY24'!$U$7:$U$741,"*Novo Plano*")
+COUNTIFS('2. Status Detalhe Campos FY24'!$G$7:$G$741,'1. Status Resumo FY24'!$P112,'2. Status Detalhe Campos FY24'!$C$7:$C$741,'1. Status Resumo FY24'!$H$93,'2. Status Detalhe Campos FY24'!$D$7:$D$741,"2. Campo",'2. Status Detalhe Campos FY24'!$U$7:$U$741,"*Novo Plano*")</f>
        <v>0</v>
      </c>
      <c r="V114" s="447">
        <f t="shared" si="8"/>
        <v>0</v>
      </c>
      <c r="W114" s="156"/>
      <c r="X114" s="526"/>
      <c r="Y114" s="527"/>
      <c r="Z114" s="527"/>
      <c r="AA114" s="527"/>
      <c r="AB114" s="527"/>
      <c r="AC114" s="527"/>
      <c r="AD114" s="527"/>
      <c r="AE114" s="527"/>
      <c r="AF114" s="528"/>
      <c r="AG114" s="157"/>
      <c r="AH114" s="116"/>
    </row>
    <row r="115" spans="1:34" ht="17.850000000000001" customHeight="1">
      <c r="A115" s="116"/>
      <c r="B115" s="121"/>
      <c r="P115" s="373" t="s">
        <v>615</v>
      </c>
      <c r="Q115" s="373"/>
      <c r="R115" s="373" t="s">
        <v>616</v>
      </c>
      <c r="S115" s="373"/>
      <c r="T115" s="373">
        <f>COUNTIFS('2. Status Detalhe Campos FY24'!$H$7:$H$741,'1. Status Resumo FY24'!$P115,'2. Status Detalhe Campos FY24'!$C$7:$C$741,'1. Status Resumo FY24'!$G$93,'2. Status Detalhe Campos FY24'!$D$7:$D$741,"2. Campo")+COUNTIFS('2. Status Detalhe Campos FY24'!$H$7:$H$741,'1. Status Resumo FY24'!$P115,'2. Status Detalhe Campos FY24'!$C$7:$C$741,'1. Status Resumo FY24'!$H$93,'2. Status Detalhe Campos FY24'!$D$7:$D$741,"2. Campo")</f>
        <v>0</v>
      </c>
      <c r="U115" s="373">
        <f>COUNTIFS('2. Status Detalhe Campos FY24'!$G$7:$G$741,'1. Status Resumo FY24'!$P115,'2. Status Detalhe Campos FY24'!$C$7:$C$741,'1. Status Resumo FY24'!$G$93,'2. Status Detalhe Campos FY24'!$D$7:$D$741,"2. Campo")+COUNTIFS('2. Status Detalhe Campos FY24'!$G$7:$G$741,'1. Status Resumo FY24'!$P115,'2. Status Detalhe Campos FY24'!$C$7:$C$741,'1. Status Resumo FY24'!$H$93,'2. Status Detalhe Campos FY24'!$D$7:$D$741,"2. Campo")</f>
        <v>0</v>
      </c>
      <c r="V115" s="373">
        <f t="shared" si="8"/>
        <v>0</v>
      </c>
      <c r="W115" s="156"/>
      <c r="X115" s="526"/>
      <c r="Y115" s="527"/>
      <c r="Z115" s="527"/>
      <c r="AA115" s="527"/>
      <c r="AB115" s="527"/>
      <c r="AC115" s="527"/>
      <c r="AD115" s="527"/>
      <c r="AE115" s="527"/>
      <c r="AF115" s="528"/>
      <c r="AG115" s="157"/>
      <c r="AH115" s="116"/>
    </row>
    <row r="116" spans="1:34" ht="17.850000000000001" customHeight="1">
      <c r="A116" s="116"/>
      <c r="B116" s="121"/>
      <c r="P116" s="375" t="s">
        <v>2371</v>
      </c>
      <c r="Q116" s="376"/>
      <c r="R116" s="376"/>
      <c r="S116" s="376"/>
      <c r="T116" s="446">
        <f>COUNTIFS('2. Status Detalhe Campos FY24'!$H$7:$H$741,'1. Status Resumo FY24'!$P115,'2. Status Detalhe Campos FY24'!$C$7:$C$741,'1. Status Resumo FY24'!$G$93,'2. Status Detalhe Campos FY24'!$D$7:$D$741,"2. Campo",'2. Status Detalhe Campos FY24'!$U$7:$U$741,"*Plano anterior*")
+COUNTIFS('2. Status Detalhe Campos FY24'!$H$7:$H$741,'1. Status Resumo FY24'!$P115,'2. Status Detalhe Campos FY24'!$C$7:$C$741,'1. Status Resumo FY24'!$H$93,'2. Status Detalhe Campos FY24'!$D$7:$D$741,"2. Campo",'2. Status Detalhe Campos FY24'!$U$7:$U$741,"*Plano anterior*")</f>
        <v>0</v>
      </c>
      <c r="U116" s="446">
        <f>COUNTIFS('2. Status Detalhe Campos FY24'!$G$7:$G$741,'1. Status Resumo FY24'!$P115,'2. Status Detalhe Campos FY24'!$C$7:$C$741,'1. Status Resumo FY24'!$G$93,'2. Status Detalhe Campos FY24'!$D$7:$D$741,"2. Campo",'2. Status Detalhe Campos FY24'!$U$7:$U$741,"*Plano anterior*")
+COUNTIFS('2. Status Detalhe Campos FY24'!$G$7:$G$741,'1. Status Resumo FY24'!$P115,'2. Status Detalhe Campos FY24'!$C$7:$C$741,'1. Status Resumo FY24'!$H$93,'2. Status Detalhe Campos FY24'!$D$7:$D$741,"2. Campo",'2. Status Detalhe Campos FY24'!$U$7:$U$741,"*Plano anterior*")</f>
        <v>0</v>
      </c>
      <c r="V116" s="446">
        <f t="shared" si="8"/>
        <v>0</v>
      </c>
      <c r="W116" s="156"/>
      <c r="X116" s="526"/>
      <c r="Y116" s="527"/>
      <c r="Z116" s="527"/>
      <c r="AA116" s="527"/>
      <c r="AB116" s="527"/>
      <c r="AC116" s="527"/>
      <c r="AD116" s="527"/>
      <c r="AE116" s="527"/>
      <c r="AF116" s="528"/>
      <c r="AG116" s="157"/>
      <c r="AH116" s="116"/>
    </row>
    <row r="117" spans="1:34" ht="17.850000000000001" customHeight="1">
      <c r="A117" s="116"/>
      <c r="B117" s="121"/>
      <c r="P117" s="375" t="s">
        <v>2361</v>
      </c>
      <c r="Q117" s="378"/>
      <c r="R117" s="378"/>
      <c r="S117" s="378"/>
      <c r="T117" s="447">
        <f>COUNTIFS('2. Status Detalhe Campos FY24'!$H$7:$H$741,'1. Status Resumo FY24'!$P115,'2. Status Detalhe Campos FY24'!$C$7:$C$741,'1. Status Resumo FY24'!$G$93,'2. Status Detalhe Campos FY24'!$D$7:$D$741,"2. Campo",'2. Status Detalhe Campos FY24'!$U$7:$U$741,"*Novo Plano*")
+COUNTIFS('2. Status Detalhe Campos FY24'!$H$7:$H$741,'1. Status Resumo FY24'!$P115,'2. Status Detalhe Campos FY24'!$C$7:$C$741,'1. Status Resumo FY24'!$H$93,'2. Status Detalhe Campos FY24'!$D$7:$D$741,"2. Campo",'2. Status Detalhe Campos FY24'!$U$7:$U$741,"*Novo Plano*")</f>
        <v>0</v>
      </c>
      <c r="U117" s="447">
        <f>COUNTIFS('2. Status Detalhe Campos FY24'!$G$7:$G$741,'1. Status Resumo FY24'!$P115,'2. Status Detalhe Campos FY24'!$C$7:$C$741,'1. Status Resumo FY24'!$G$93,'2. Status Detalhe Campos FY24'!$D$7:$D$741,"2. Campo",'2. Status Detalhe Campos FY24'!$U$7:$U$741,"*Novo Plano*")
+COUNTIFS('2. Status Detalhe Campos FY24'!$G$7:$G$741,'1. Status Resumo FY24'!$P115,'2. Status Detalhe Campos FY24'!$C$7:$C$741,'1. Status Resumo FY24'!$H$93,'2. Status Detalhe Campos FY24'!$D$7:$D$741,"2. Campo",'2. Status Detalhe Campos FY24'!$U$7:$U$741,"*Novo Plano*")</f>
        <v>0</v>
      </c>
      <c r="V117" s="447">
        <f t="shared" si="8"/>
        <v>0</v>
      </c>
      <c r="W117" s="156"/>
      <c r="X117" s="526"/>
      <c r="Y117" s="527"/>
      <c r="Z117" s="527"/>
      <c r="AA117" s="527"/>
      <c r="AB117" s="527"/>
      <c r="AC117" s="527"/>
      <c r="AD117" s="527"/>
      <c r="AE117" s="527"/>
      <c r="AF117" s="528"/>
      <c r="AG117" s="157"/>
      <c r="AH117" s="116"/>
    </row>
    <row r="118" spans="1:34">
      <c r="A118" s="116"/>
      <c r="B118" s="121"/>
      <c r="P118" s="373" t="s">
        <v>2325</v>
      </c>
      <c r="Q118" s="373"/>
      <c r="R118" s="373"/>
      <c r="S118" s="373"/>
      <c r="T118" s="373">
        <f>COUNTIFS('2. Status Detalhe Campos FY24'!$H$7:$H$741,'1. Status Resumo FY24'!$P118,'2. Status Detalhe Campos FY24'!$C$7:$C$741,'1. Status Resumo FY24'!$G$93,'2. Status Detalhe Campos FY24'!$D$7:$D$741,"2. Campo")+COUNTIFS('2. Status Detalhe Campos FY24'!$H$7:$H$741,'1. Status Resumo FY24'!$P118,'2. Status Detalhe Campos FY24'!$C$7:$C$741,'1. Status Resumo FY24'!$H$93,'2. Status Detalhe Campos FY24'!$D$7:$D$741,"2. Campo")</f>
        <v>64</v>
      </c>
      <c r="U118" s="373">
        <f>COUNTIFS('2. Status Detalhe Campos FY24'!$G$7:$G$741,'1. Status Resumo FY24'!$P118,'2. Status Detalhe Campos FY24'!$C$7:$C$741,'1. Status Resumo FY24'!$G$93,'2. Status Detalhe Campos FY24'!$D$7:$D$741,"2. Campo")+COUNTIFS('2. Status Detalhe Campos FY24'!$G$7:$G$741,'1. Status Resumo FY24'!$P118,'2. Status Detalhe Campos FY24'!$C$7:$C$741,'1. Status Resumo FY24'!$H$93,'2. Status Detalhe Campos FY24'!$D$7:$D$741,"2. Campo")</f>
        <v>64</v>
      </c>
      <c r="V118" s="373">
        <f t="shared" si="8"/>
        <v>0</v>
      </c>
      <c r="X118" s="526"/>
      <c r="Y118" s="527"/>
      <c r="Z118" s="527"/>
      <c r="AA118" s="527"/>
      <c r="AB118" s="527"/>
      <c r="AC118" s="527"/>
      <c r="AD118" s="527"/>
      <c r="AE118" s="527"/>
      <c r="AF118" s="528"/>
      <c r="AG118" s="157"/>
      <c r="AH118" s="116"/>
    </row>
    <row r="119" spans="1:34">
      <c r="A119" s="116"/>
      <c r="B119" s="121"/>
      <c r="P119" s="375" t="s">
        <v>2371</v>
      </c>
      <c r="Q119" s="376"/>
      <c r="R119" s="376"/>
      <c r="S119" s="376"/>
      <c r="T119" s="446">
        <f>COUNTIFS('2. Status Detalhe Campos FY24'!$H$7:$H$741,'1. Status Resumo FY24'!$P118,'2. Status Detalhe Campos FY24'!$C$7:$C$741,'1. Status Resumo FY24'!$G$93,'2. Status Detalhe Campos FY24'!$D$7:$D$741,"2. Campo",'2. Status Detalhe Campos FY24'!$U$7:$U$741,"*Plano anterior*")
+COUNTIFS('2. Status Detalhe Campos FY24'!$H$7:$H$741,'1. Status Resumo FY24'!$P118,'2. Status Detalhe Campos FY24'!$C$7:$C$741,'1. Status Resumo FY24'!$H$93,'2. Status Detalhe Campos FY24'!$D$7:$D$741,"2. Campo",'2. Status Detalhe Campos FY24'!$U$7:$U$741,"*Plano anterior*")</f>
        <v>64</v>
      </c>
      <c r="U119" s="446">
        <f>COUNTIFS('2. Status Detalhe Campos FY24'!$G$7:$G$741,'1. Status Resumo FY24'!$P118,'2. Status Detalhe Campos FY24'!$C$7:$C$741,'1. Status Resumo FY24'!$G$93,'2. Status Detalhe Campos FY24'!$D$7:$D$741,"2. Campo",'2. Status Detalhe Campos FY24'!$U$7:$U$741,"*Plano anterior*")
+COUNTIFS('2. Status Detalhe Campos FY24'!$G$7:$G$741,'1. Status Resumo FY24'!$P118,'2. Status Detalhe Campos FY24'!$C$7:$C$741,'1. Status Resumo FY24'!$H$93,'2. Status Detalhe Campos FY24'!$D$7:$D$741,"2. Campo",'2. Status Detalhe Campos FY24'!$U$7:$U$741,"*Plano anterior*")</f>
        <v>64</v>
      </c>
      <c r="V119" s="446">
        <f t="shared" si="8"/>
        <v>0</v>
      </c>
      <c r="X119" s="526"/>
      <c r="Y119" s="527"/>
      <c r="Z119" s="527"/>
      <c r="AA119" s="527"/>
      <c r="AB119" s="527"/>
      <c r="AC119" s="527"/>
      <c r="AD119" s="527"/>
      <c r="AE119" s="527"/>
      <c r="AF119" s="528"/>
      <c r="AG119" s="157"/>
      <c r="AH119" s="116"/>
    </row>
    <row r="120" spans="1:34">
      <c r="A120" s="116"/>
      <c r="B120" s="121"/>
      <c r="P120" s="375" t="s">
        <v>2361</v>
      </c>
      <c r="Q120" s="378"/>
      <c r="R120" s="378"/>
      <c r="S120" s="378"/>
      <c r="T120" s="447">
        <f>COUNTIFS('2. Status Detalhe Campos FY24'!$H$7:$H$741,'1. Status Resumo FY24'!$P118,'2. Status Detalhe Campos FY24'!$C$7:$C$741,'1. Status Resumo FY24'!$G$93,'2. Status Detalhe Campos FY24'!$D$7:$D$741,"2. Campo",'2. Status Detalhe Campos FY24'!$U$7:$U$741,"*Novo Plano*")
+COUNTIFS('2. Status Detalhe Campos FY24'!$H$7:$H$741,'1. Status Resumo FY24'!$P118,'2. Status Detalhe Campos FY24'!$C$7:$C$741,'1. Status Resumo FY24'!$H$93,'2. Status Detalhe Campos FY24'!$D$7:$D$741,"2. Campo",'2. Status Detalhe Campos FY24'!$U$7:$U$741,"*Novo Plano*")</f>
        <v>0</v>
      </c>
      <c r="U120" s="447">
        <f>COUNTIFS('2. Status Detalhe Campos FY24'!$G$7:$G$741,'1. Status Resumo FY24'!$P118,'2. Status Detalhe Campos FY24'!$C$7:$C$741,'1. Status Resumo FY24'!$G$93,'2. Status Detalhe Campos FY24'!$D$7:$D$741,"2. Campo",'2. Status Detalhe Campos FY24'!$U$7:$U$741,"*Novo Plano*")
+COUNTIFS('2. Status Detalhe Campos FY24'!$G$7:$G$741,'1. Status Resumo FY24'!$P118,'2. Status Detalhe Campos FY24'!$C$7:$C$741,'1. Status Resumo FY24'!$H$93,'2. Status Detalhe Campos FY24'!$D$7:$D$741,"2. Campo",'2. Status Detalhe Campos FY24'!$U$7:$U$741,"*Novo Plano*")</f>
        <v>0</v>
      </c>
      <c r="V120" s="447">
        <f t="shared" si="8"/>
        <v>0</v>
      </c>
      <c r="X120" s="526"/>
      <c r="Y120" s="527"/>
      <c r="Z120" s="527"/>
      <c r="AA120" s="527"/>
      <c r="AB120" s="527"/>
      <c r="AC120" s="527"/>
      <c r="AD120" s="527"/>
      <c r="AE120" s="527"/>
      <c r="AF120" s="528"/>
      <c r="AG120" s="157"/>
      <c r="AH120" s="116"/>
    </row>
    <row r="121" spans="1:34">
      <c r="A121" s="116"/>
      <c r="B121" s="121"/>
      <c r="P121" s="373" t="s">
        <v>28</v>
      </c>
      <c r="Q121" s="373"/>
      <c r="R121" s="373"/>
      <c r="S121" s="373"/>
      <c r="T121" s="373">
        <f>COUNTIFS('2. Status Detalhe Campos FY24'!$H$7:$H$741,'1. Status Resumo FY24'!$P121,'2. Status Detalhe Campos FY24'!$C$7:$C$741,'1. Status Resumo FY24'!$G$93,'2. Status Detalhe Campos FY24'!$D$7:$D$741,"2. Campo")+COUNTIFS('2. Status Detalhe Campos FY24'!$H$7:$H$741,'1. Status Resumo FY24'!$P121,'2. Status Detalhe Campos FY24'!$C$7:$C$741,'1. Status Resumo FY24'!$H$93,'2. Status Detalhe Campos FY24'!$D$7:$D$741,"2. Campo")</f>
        <v>0</v>
      </c>
      <c r="U121" s="373">
        <f>COUNTIFS('2. Status Detalhe Campos FY24'!$G$7:$G$741,'1. Status Resumo FY24'!$P121,'2. Status Detalhe Campos FY24'!$C$7:$C$741,'1. Status Resumo FY24'!$G$93,'2. Status Detalhe Campos FY24'!$D$7:$D$741,"2. Campo")+COUNTIFS('2. Status Detalhe Campos FY24'!$G$7:$G$741,'1. Status Resumo FY24'!$P121,'2. Status Detalhe Campos FY24'!$C$7:$C$741,'1. Status Resumo FY24'!$H$93,'2. Status Detalhe Campos FY24'!$D$7:$D$741,"2. Campo")</f>
        <v>0</v>
      </c>
      <c r="V121" s="373">
        <f t="shared" si="8"/>
        <v>0</v>
      </c>
      <c r="X121" s="526"/>
      <c r="Y121" s="527"/>
      <c r="Z121" s="527"/>
      <c r="AA121" s="527"/>
      <c r="AB121" s="527"/>
      <c r="AC121" s="527"/>
      <c r="AD121" s="527"/>
      <c r="AE121" s="527"/>
      <c r="AF121" s="528"/>
      <c r="AG121" s="157"/>
      <c r="AH121" s="116"/>
    </row>
    <row r="122" spans="1:34">
      <c r="A122" s="116"/>
      <c r="B122" s="121"/>
      <c r="P122" s="375" t="s">
        <v>2371</v>
      </c>
      <c r="Q122" s="376"/>
      <c r="R122" s="376"/>
      <c r="S122" s="376"/>
      <c r="T122" s="446">
        <f>COUNTIFS('2. Status Detalhe Campos FY24'!$H$7:$H$741,'1. Status Resumo FY24'!$P121,'2. Status Detalhe Campos FY24'!$C$7:$C$741,'1. Status Resumo FY24'!$G$93,'2. Status Detalhe Campos FY24'!$D$7:$D$741,"2. Campo",'2. Status Detalhe Campos FY24'!$U$7:$U$741,"*Plano anterior*")
+COUNTIFS('2. Status Detalhe Campos FY24'!$H$7:$H$741,'1. Status Resumo FY24'!$P121,'2. Status Detalhe Campos FY24'!$C$7:$C$741,'1. Status Resumo FY24'!$H$93,'2. Status Detalhe Campos FY24'!$D$7:$D$741,"2. Campo",'2. Status Detalhe Campos FY24'!$U$7:$U$741,"*Plano anterior*")</f>
        <v>0</v>
      </c>
      <c r="U122" s="446">
        <f>COUNTIFS('2. Status Detalhe Campos FY24'!$G$7:$G$741,'1. Status Resumo FY24'!$P121,'2. Status Detalhe Campos FY24'!$C$7:$C$741,'1. Status Resumo FY24'!$G$93,'2. Status Detalhe Campos FY24'!$D$7:$D$741,"2. Campo",'2. Status Detalhe Campos FY24'!$U$7:$U$741,"*Plano anterior*")
+COUNTIFS('2. Status Detalhe Campos FY24'!$G$7:$G$741,'1. Status Resumo FY24'!$P121,'2. Status Detalhe Campos FY24'!$C$7:$C$741,'1. Status Resumo FY24'!$H$93,'2. Status Detalhe Campos FY24'!$D$7:$D$741,"2. Campo",'2. Status Detalhe Campos FY24'!$U$7:$U$741,"*Plano anterior*")</f>
        <v>0</v>
      </c>
      <c r="V122" s="446">
        <f t="shared" si="8"/>
        <v>0</v>
      </c>
      <c r="X122" s="526"/>
      <c r="Y122" s="527"/>
      <c r="Z122" s="527"/>
      <c r="AA122" s="527"/>
      <c r="AB122" s="527"/>
      <c r="AC122" s="527"/>
      <c r="AD122" s="527"/>
      <c r="AE122" s="527"/>
      <c r="AF122" s="528"/>
      <c r="AG122" s="157"/>
      <c r="AH122" s="116"/>
    </row>
    <row r="123" spans="1:34">
      <c r="A123" s="116"/>
      <c r="B123" s="121"/>
      <c r="P123" s="379" t="s">
        <v>2361</v>
      </c>
      <c r="Q123" s="380"/>
      <c r="R123" s="380"/>
      <c r="S123" s="380"/>
      <c r="T123" s="448">
        <f>COUNTIFS('2. Status Detalhe Campos FY24'!$H$7:$H$741,'1. Status Resumo FY24'!$P121,'2. Status Detalhe Campos FY24'!$C$7:$C$741,'1. Status Resumo FY24'!$G$93,'2. Status Detalhe Campos FY24'!$D$7:$D$741,"2. Campo",'2. Status Detalhe Campos FY24'!$U$7:$U$741,"*Novo Plano*")
+COUNTIFS('2. Status Detalhe Campos FY24'!$H$7:$H$741,'1. Status Resumo FY24'!$P121,'2. Status Detalhe Campos FY24'!$C$7:$C$741,'1. Status Resumo FY24'!$H$93,'2. Status Detalhe Campos FY24'!$D$7:$D$741,"2. Campo",'2. Status Detalhe Campos FY24'!$U$7:$U$741,"*Novo Plano*")</f>
        <v>0</v>
      </c>
      <c r="U123" s="448">
        <f>COUNTIFS('2. Status Detalhe Campos FY24'!$G$7:$G$741,'1. Status Resumo FY24'!$P121,'2. Status Detalhe Campos FY24'!$C$7:$C$741,'1. Status Resumo FY24'!$G$93,'2. Status Detalhe Campos FY24'!$D$7:$D$741,"2. Campo",'2. Status Detalhe Campos FY24'!$U$7:$U$741,"*Novo Plano*")
+COUNTIFS('2. Status Detalhe Campos FY24'!$G$7:$G$741,'1. Status Resumo FY24'!$P121,'2. Status Detalhe Campos FY24'!$C$7:$C$741,'1. Status Resumo FY24'!$H$93,'2. Status Detalhe Campos FY24'!$D$7:$D$741,"2. Campo",'2. Status Detalhe Campos FY24'!$U$7:$U$741,"*Novo Plano*")</f>
        <v>0</v>
      </c>
      <c r="V123" s="448">
        <f t="shared" si="8"/>
        <v>0</v>
      </c>
      <c r="X123" s="526"/>
      <c r="Y123" s="527"/>
      <c r="Z123" s="527"/>
      <c r="AA123" s="527"/>
      <c r="AB123" s="527"/>
      <c r="AC123" s="527"/>
      <c r="AD123" s="527"/>
      <c r="AE123" s="527"/>
      <c r="AF123" s="528"/>
      <c r="AG123" s="157"/>
      <c r="AH123" s="116"/>
    </row>
    <row r="124" spans="1:34">
      <c r="A124" s="116"/>
      <c r="B124" s="121"/>
      <c r="P124" s="127" t="s">
        <v>2331</v>
      </c>
      <c r="T124" s="127">
        <f>+SUM(T97,T100,T103,T109,T112,T115,T118,T121,T106)</f>
        <v>302</v>
      </c>
      <c r="U124" s="127">
        <f>+SUM(U97,U100,U103,U109,U112,U115,U118,U121,U106)</f>
        <v>302</v>
      </c>
      <c r="V124" s="127">
        <f>+U124-T124</f>
        <v>0</v>
      </c>
      <c r="X124" s="526"/>
      <c r="Y124" s="527"/>
      <c r="Z124" s="527"/>
      <c r="AA124" s="527"/>
      <c r="AB124" s="527"/>
      <c r="AC124" s="527"/>
      <c r="AD124" s="527"/>
      <c r="AE124" s="527"/>
      <c r="AF124" s="528"/>
      <c r="AG124" s="157"/>
      <c r="AH124" s="116"/>
    </row>
    <row r="125" spans="1:34">
      <c r="A125" s="116"/>
      <c r="B125" s="121"/>
      <c r="P125" s="381" t="s">
        <v>2371</v>
      </c>
      <c r="T125" s="449">
        <f>+SUM(T98,T101,T104,T107,T110,T113,T116,T119,T122)</f>
        <v>277</v>
      </c>
      <c r="U125" s="449">
        <f>+SUM(U98,U101,U104,U107,U110,U113,U116,U119,U122)</f>
        <v>277</v>
      </c>
      <c r="V125" s="449">
        <f>+U125-T125</f>
        <v>0</v>
      </c>
      <c r="X125" s="526"/>
      <c r="Y125" s="527"/>
      <c r="Z125" s="527"/>
      <c r="AA125" s="527"/>
      <c r="AB125" s="527"/>
      <c r="AC125" s="527"/>
      <c r="AD125" s="527"/>
      <c r="AE125" s="527"/>
      <c r="AF125" s="528"/>
      <c r="AG125" s="157"/>
      <c r="AH125" s="116"/>
    </row>
    <row r="126" spans="1:34">
      <c r="A126" s="116"/>
      <c r="B126" s="121"/>
      <c r="P126" s="382" t="s">
        <v>2361</v>
      </c>
      <c r="Q126" s="130"/>
      <c r="R126" s="130"/>
      <c r="S126" s="130"/>
      <c r="T126" s="450">
        <f>+SUM(T99,T102,T105,T108,T111,T114,T117,T120,T123)</f>
        <v>25</v>
      </c>
      <c r="U126" s="450">
        <f>+SUM(U99,U102,U105,U108,U111,U114,U117,U120,U123)</f>
        <v>25</v>
      </c>
      <c r="V126" s="450">
        <f>+U126-T126</f>
        <v>0</v>
      </c>
      <c r="X126" s="526"/>
      <c r="Y126" s="527"/>
      <c r="Z126" s="527"/>
      <c r="AA126" s="527"/>
      <c r="AB126" s="527"/>
      <c r="AC126" s="527"/>
      <c r="AD126" s="527"/>
      <c r="AE126" s="527"/>
      <c r="AF126" s="528"/>
      <c r="AG126" s="157"/>
      <c r="AH126" s="116"/>
    </row>
    <row r="127" spans="1:34">
      <c r="A127" s="116"/>
      <c r="B127" s="121"/>
      <c r="X127" s="526"/>
      <c r="Y127" s="527"/>
      <c r="Z127" s="527"/>
      <c r="AA127" s="527"/>
      <c r="AB127" s="527"/>
      <c r="AC127" s="527"/>
      <c r="AD127" s="527"/>
      <c r="AE127" s="527"/>
      <c r="AF127" s="528"/>
      <c r="AG127" s="157"/>
      <c r="AH127" s="116"/>
    </row>
    <row r="128" spans="1:34">
      <c r="A128" s="116"/>
      <c r="B128" s="121"/>
      <c r="P128" s="129" t="s">
        <v>632</v>
      </c>
      <c r="Q128" s="130"/>
      <c r="R128" s="130"/>
      <c r="S128" s="130"/>
      <c r="T128" s="130"/>
      <c r="U128" s="130"/>
      <c r="V128" s="130"/>
      <c r="X128" s="526"/>
      <c r="Y128" s="527"/>
      <c r="Z128" s="527"/>
      <c r="AA128" s="527"/>
      <c r="AB128" s="527"/>
      <c r="AC128" s="527"/>
      <c r="AD128" s="527"/>
      <c r="AE128" s="527"/>
      <c r="AF128" s="528"/>
      <c r="AG128" s="157"/>
      <c r="AH128" s="116"/>
    </row>
    <row r="129" spans="1:34">
      <c r="A129" s="116"/>
      <c r="B129" s="121"/>
      <c r="O129" s="159" t="s">
        <v>619</v>
      </c>
      <c r="P129" s="25" t="s">
        <v>216</v>
      </c>
      <c r="T129" s="161" t="s">
        <v>621</v>
      </c>
      <c r="X129" s="526"/>
      <c r="Y129" s="527"/>
      <c r="Z129" s="527"/>
      <c r="AA129" s="527"/>
      <c r="AB129" s="527"/>
      <c r="AC129" s="527"/>
      <c r="AD129" s="527"/>
      <c r="AE129" s="527"/>
      <c r="AF129" s="528"/>
      <c r="AG129" s="157"/>
      <c r="AH129" s="116"/>
    </row>
    <row r="130" spans="1:34">
      <c r="A130" s="116"/>
      <c r="B130" s="121"/>
      <c r="O130" s="159" t="s">
        <v>619</v>
      </c>
      <c r="P130" s="25" t="s">
        <v>215</v>
      </c>
      <c r="T130" s="161" t="s">
        <v>621</v>
      </c>
      <c r="X130" s="526"/>
      <c r="Y130" s="527"/>
      <c r="Z130" s="527"/>
      <c r="AA130" s="527"/>
      <c r="AB130" s="527"/>
      <c r="AC130" s="527"/>
      <c r="AD130" s="527"/>
      <c r="AE130" s="527"/>
      <c r="AF130" s="528"/>
      <c r="AG130" s="157"/>
      <c r="AH130" s="116"/>
    </row>
    <row r="131" spans="1:34">
      <c r="A131" s="116"/>
      <c r="B131" s="121"/>
      <c r="O131" s="159" t="s">
        <v>619</v>
      </c>
      <c r="P131" s="25" t="s">
        <v>213</v>
      </c>
      <c r="T131" s="161" t="s">
        <v>621</v>
      </c>
      <c r="X131" s="526"/>
      <c r="Y131" s="527"/>
      <c r="Z131" s="527"/>
      <c r="AA131" s="527"/>
      <c r="AB131" s="527"/>
      <c r="AC131" s="527"/>
      <c r="AD131" s="527"/>
      <c r="AE131" s="527"/>
      <c r="AF131" s="528"/>
      <c r="AG131" s="157"/>
      <c r="AH131" s="116"/>
    </row>
    <row r="132" spans="1:34">
      <c r="A132" s="116"/>
      <c r="B132" s="121"/>
      <c r="O132" s="159" t="s">
        <v>619</v>
      </c>
      <c r="P132" s="25" t="s">
        <v>212</v>
      </c>
      <c r="T132" s="161" t="s">
        <v>621</v>
      </c>
      <c r="X132" s="526"/>
      <c r="Y132" s="527"/>
      <c r="Z132" s="527"/>
      <c r="AA132" s="527"/>
      <c r="AB132" s="527"/>
      <c r="AC132" s="527"/>
      <c r="AD132" s="527"/>
      <c r="AE132" s="527"/>
      <c r="AF132" s="528"/>
      <c r="AG132" s="157"/>
      <c r="AH132" s="116"/>
    </row>
    <row r="133" spans="1:34">
      <c r="A133" s="116"/>
      <c r="B133" s="121"/>
      <c r="O133" s="159" t="s">
        <v>619</v>
      </c>
      <c r="P133" s="25" t="s">
        <v>217</v>
      </c>
      <c r="T133" s="161" t="s">
        <v>621</v>
      </c>
      <c r="X133" s="526"/>
      <c r="Y133" s="527"/>
      <c r="Z133" s="527"/>
      <c r="AA133" s="527"/>
      <c r="AB133" s="527"/>
      <c r="AC133" s="527"/>
      <c r="AD133" s="527"/>
      <c r="AE133" s="527"/>
      <c r="AF133" s="528"/>
      <c r="AG133" s="157"/>
      <c r="AH133" s="116"/>
    </row>
    <row r="134" spans="1:34">
      <c r="A134" s="116"/>
      <c r="B134" s="121"/>
      <c r="O134" s="159" t="s">
        <v>619</v>
      </c>
      <c r="P134" s="25" t="s">
        <v>218</v>
      </c>
      <c r="T134" s="161" t="s">
        <v>621</v>
      </c>
      <c r="X134" s="526"/>
      <c r="Y134" s="527"/>
      <c r="Z134" s="527"/>
      <c r="AA134" s="527"/>
      <c r="AB134" s="527"/>
      <c r="AC134" s="527"/>
      <c r="AD134" s="527"/>
      <c r="AE134" s="527"/>
      <c r="AF134" s="528"/>
      <c r="AG134" s="157"/>
      <c r="AH134" s="116"/>
    </row>
    <row r="135" spans="1:34">
      <c r="A135" s="116"/>
      <c r="B135" s="121"/>
      <c r="O135" s="159" t="s">
        <v>619</v>
      </c>
      <c r="P135" s="25" t="s">
        <v>219</v>
      </c>
      <c r="T135" s="161" t="s">
        <v>621</v>
      </c>
      <c r="X135" s="526"/>
      <c r="Y135" s="527"/>
      <c r="Z135" s="527"/>
      <c r="AA135" s="527"/>
      <c r="AB135" s="527"/>
      <c r="AC135" s="527"/>
      <c r="AD135" s="527"/>
      <c r="AE135" s="527"/>
      <c r="AF135" s="528"/>
      <c r="AG135" s="157"/>
      <c r="AH135" s="116"/>
    </row>
    <row r="136" spans="1:34">
      <c r="A136" s="116"/>
      <c r="B136" s="121"/>
      <c r="O136" s="159" t="s">
        <v>619</v>
      </c>
      <c r="P136" s="25" t="s">
        <v>214</v>
      </c>
      <c r="T136" s="161" t="s">
        <v>621</v>
      </c>
      <c r="X136" s="526"/>
      <c r="Y136" s="527"/>
      <c r="Z136" s="527"/>
      <c r="AA136" s="527"/>
      <c r="AB136" s="527"/>
      <c r="AC136" s="527"/>
      <c r="AD136" s="527"/>
      <c r="AE136" s="527"/>
      <c r="AF136" s="528"/>
      <c r="AG136" s="157"/>
      <c r="AH136" s="116"/>
    </row>
    <row r="137" spans="1:34">
      <c r="A137" s="116"/>
      <c r="B137" s="121"/>
      <c r="O137" s="159" t="s">
        <v>619</v>
      </c>
      <c r="P137" s="25" t="s">
        <v>182</v>
      </c>
      <c r="T137" s="486" t="s">
        <v>2436</v>
      </c>
      <c r="X137" s="526"/>
      <c r="Y137" s="527"/>
      <c r="Z137" s="527"/>
      <c r="AA137" s="527"/>
      <c r="AB137" s="527"/>
      <c r="AC137" s="527"/>
      <c r="AD137" s="527"/>
      <c r="AE137" s="527"/>
      <c r="AF137" s="528"/>
      <c r="AG137" s="157"/>
      <c r="AH137" s="116"/>
    </row>
    <row r="138" spans="1:34">
      <c r="A138" s="116"/>
      <c r="B138" s="121"/>
      <c r="O138" s="159" t="s">
        <v>619</v>
      </c>
      <c r="P138" s="171" t="s">
        <v>2323</v>
      </c>
      <c r="T138" s="200" t="s">
        <v>2435</v>
      </c>
      <c r="X138" s="526"/>
      <c r="Y138" s="527"/>
      <c r="Z138" s="527"/>
      <c r="AA138" s="527"/>
      <c r="AB138" s="527"/>
      <c r="AC138" s="527"/>
      <c r="AD138" s="527"/>
      <c r="AE138" s="527"/>
      <c r="AF138" s="528"/>
      <c r="AG138" s="157"/>
      <c r="AH138" s="116"/>
    </row>
    <row r="139" spans="1:34">
      <c r="A139" s="116"/>
      <c r="B139" s="121"/>
      <c r="O139" s="159" t="s">
        <v>619</v>
      </c>
      <c r="P139" s="171" t="s">
        <v>2322</v>
      </c>
      <c r="T139" s="161" t="s">
        <v>621</v>
      </c>
      <c r="X139" s="526"/>
      <c r="Y139" s="527"/>
      <c r="Z139" s="527"/>
      <c r="AA139" s="527"/>
      <c r="AB139" s="527"/>
      <c r="AC139" s="527"/>
      <c r="AD139" s="527"/>
      <c r="AE139" s="527"/>
      <c r="AF139" s="528"/>
      <c r="AG139" s="157"/>
      <c r="AH139" s="116"/>
    </row>
    <row r="140" spans="1:34">
      <c r="A140" s="116"/>
      <c r="B140" s="121"/>
      <c r="P140" s="158"/>
      <c r="X140" s="526"/>
      <c r="Y140" s="527"/>
      <c r="Z140" s="527"/>
      <c r="AA140" s="527"/>
      <c r="AB140" s="527"/>
      <c r="AC140" s="527"/>
      <c r="AD140" s="527"/>
      <c r="AE140" s="527"/>
      <c r="AF140" s="528"/>
      <c r="AG140" s="157"/>
      <c r="AH140" s="116"/>
    </row>
    <row r="141" spans="1:34">
      <c r="A141" s="116"/>
      <c r="B141" s="121"/>
      <c r="O141" s="159" t="s">
        <v>619</v>
      </c>
      <c r="P141" s="129" t="s">
        <v>633</v>
      </c>
      <c r="Q141" s="130"/>
      <c r="R141" s="130"/>
      <c r="S141" s="130"/>
      <c r="T141" s="130"/>
      <c r="U141" s="130"/>
      <c r="V141" s="130"/>
      <c r="X141" s="526"/>
      <c r="Y141" s="527"/>
      <c r="Z141" s="527"/>
      <c r="AA141" s="527"/>
      <c r="AB141" s="527"/>
      <c r="AC141" s="527"/>
      <c r="AD141" s="527"/>
      <c r="AE141" s="527"/>
      <c r="AF141" s="528"/>
      <c r="AG141" s="157"/>
      <c r="AH141" s="116"/>
    </row>
    <row r="142" spans="1:34">
      <c r="A142" s="116"/>
      <c r="B142" s="121"/>
      <c r="O142" s="159" t="s">
        <v>619</v>
      </c>
      <c r="P142" s="25" t="s">
        <v>634</v>
      </c>
      <c r="T142" s="161" t="s">
        <v>621</v>
      </c>
      <c r="X142" s="526"/>
      <c r="Y142" s="527"/>
      <c r="Z142" s="527"/>
      <c r="AA142" s="527"/>
      <c r="AB142" s="527"/>
      <c r="AC142" s="527"/>
      <c r="AD142" s="527"/>
      <c r="AE142" s="527"/>
      <c r="AF142" s="528"/>
      <c r="AG142" s="157"/>
      <c r="AH142" s="116"/>
    </row>
    <row r="143" spans="1:34">
      <c r="A143" s="116"/>
      <c r="B143" s="121"/>
      <c r="O143" s="159" t="s">
        <v>619</v>
      </c>
      <c r="P143" s="25" t="s">
        <v>311</v>
      </c>
      <c r="T143" s="161" t="s">
        <v>635</v>
      </c>
      <c r="X143" s="526"/>
      <c r="Y143" s="527"/>
      <c r="Z143" s="527"/>
      <c r="AA143" s="527"/>
      <c r="AB143" s="527"/>
      <c r="AC143" s="527"/>
      <c r="AD143" s="527"/>
      <c r="AE143" s="527"/>
      <c r="AF143" s="528"/>
      <c r="AG143" s="157"/>
      <c r="AH143" s="116"/>
    </row>
    <row r="144" spans="1:34">
      <c r="A144" s="116"/>
      <c r="B144" s="121"/>
      <c r="O144" s="159" t="s">
        <v>619</v>
      </c>
      <c r="P144" s="25" t="s">
        <v>325</v>
      </c>
      <c r="T144" s="161" t="s">
        <v>621</v>
      </c>
      <c r="X144" s="526"/>
      <c r="Y144" s="527"/>
      <c r="Z144" s="527"/>
      <c r="AA144" s="527"/>
      <c r="AB144" s="527"/>
      <c r="AC144" s="527"/>
      <c r="AD144" s="527"/>
      <c r="AE144" s="527"/>
      <c r="AF144" s="528"/>
      <c r="AG144" s="157"/>
      <c r="AH144" s="116"/>
    </row>
    <row r="145" spans="1:34">
      <c r="A145" s="116"/>
      <c r="B145" s="121"/>
      <c r="O145" s="159"/>
      <c r="P145" s="25" t="s">
        <v>333</v>
      </c>
      <c r="T145" s="487" t="s">
        <v>1846</v>
      </c>
      <c r="X145" s="526"/>
      <c r="Y145" s="527"/>
      <c r="Z145" s="527"/>
      <c r="AA145" s="527"/>
      <c r="AB145" s="527"/>
      <c r="AC145" s="527"/>
      <c r="AD145" s="527"/>
      <c r="AE145" s="527"/>
      <c r="AF145" s="528"/>
      <c r="AG145" s="157"/>
      <c r="AH145" s="116"/>
    </row>
    <row r="146" spans="1:34">
      <c r="A146" s="116"/>
      <c r="B146" s="121"/>
      <c r="O146" s="159"/>
      <c r="T146" s="160"/>
      <c r="X146" s="529"/>
      <c r="Y146" s="530"/>
      <c r="Z146" s="530"/>
      <c r="AA146" s="530"/>
      <c r="AB146" s="530"/>
      <c r="AC146" s="530"/>
      <c r="AD146" s="530"/>
      <c r="AE146" s="530"/>
      <c r="AF146" s="531"/>
      <c r="AG146" s="157"/>
      <c r="AH146" s="116"/>
    </row>
    <row r="147" spans="1:34">
      <c r="A147" s="116"/>
      <c r="B147" s="123"/>
      <c r="C147" s="124"/>
      <c r="D147" s="124"/>
      <c r="E147" s="124"/>
      <c r="F147" s="124"/>
      <c r="G147" s="124"/>
      <c r="H147" s="124"/>
      <c r="I147" s="124"/>
      <c r="J147" s="124"/>
      <c r="K147" s="124"/>
      <c r="L147" s="124"/>
      <c r="M147" s="124"/>
      <c r="N147" s="124"/>
      <c r="O147" s="124"/>
      <c r="P147" s="124"/>
      <c r="Q147" s="124"/>
      <c r="R147" s="124"/>
      <c r="S147" s="124"/>
      <c r="T147" s="124"/>
      <c r="U147" s="124"/>
      <c r="V147" s="124"/>
      <c r="W147" s="124"/>
      <c r="X147" s="124" t="s">
        <v>631</v>
      </c>
      <c r="Y147" s="124"/>
      <c r="Z147" s="124"/>
      <c r="AA147" s="124"/>
      <c r="AB147" s="124"/>
      <c r="AC147" s="124"/>
      <c r="AD147" s="124"/>
      <c r="AE147" s="124"/>
      <c r="AF147" s="124"/>
      <c r="AG147" s="125"/>
      <c r="AH147" s="116"/>
    </row>
    <row r="148" spans="1:34">
      <c r="A148" s="116"/>
      <c r="B148" s="116"/>
      <c r="C148" s="116"/>
      <c r="D148" s="116"/>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c r="AA148" s="116"/>
      <c r="AB148" s="116"/>
      <c r="AC148" s="116"/>
      <c r="AD148" s="116"/>
      <c r="AE148" s="116"/>
      <c r="AF148" s="116"/>
      <c r="AG148" s="116"/>
      <c r="AH148" s="116"/>
    </row>
    <row r="149" spans="1:34" ht="24" customHeight="1">
      <c r="A149" s="116"/>
      <c r="B149" s="126" t="s">
        <v>2334</v>
      </c>
      <c r="C149" s="116"/>
      <c r="D149" s="116"/>
      <c r="E149" s="116"/>
      <c r="F149" s="116"/>
      <c r="G149" s="128" t="s">
        <v>26</v>
      </c>
      <c r="H149" s="128"/>
      <c r="I149" s="116"/>
      <c r="J149" s="116"/>
      <c r="K149" s="116"/>
      <c r="L149" s="116"/>
      <c r="M149" s="116"/>
      <c r="N149" s="116"/>
      <c r="O149" s="116"/>
      <c r="P149" s="116"/>
      <c r="Q149" s="116"/>
      <c r="R149" s="116"/>
      <c r="S149" s="116"/>
      <c r="T149" s="116"/>
      <c r="U149" s="116"/>
      <c r="V149" s="116"/>
      <c r="W149" s="116"/>
      <c r="X149" s="116"/>
      <c r="Y149" s="116"/>
      <c r="Z149" s="116"/>
      <c r="AA149" s="116"/>
      <c r="AB149" s="116"/>
      <c r="AC149" s="116"/>
      <c r="AD149" s="116"/>
      <c r="AE149" s="116"/>
      <c r="AF149" s="116"/>
      <c r="AG149" s="116"/>
      <c r="AH149" s="116"/>
    </row>
    <row r="150" spans="1:34" ht="5.0999999999999996" customHeight="1">
      <c r="A150" s="116"/>
      <c r="B150" s="126"/>
      <c r="C150" s="116"/>
      <c r="D150" s="116"/>
      <c r="E150" s="116"/>
      <c r="F150" s="116"/>
      <c r="G150" s="128"/>
      <c r="H150" s="128"/>
      <c r="I150" s="116"/>
      <c r="J150" s="116"/>
      <c r="K150" s="116"/>
      <c r="L150" s="116"/>
      <c r="M150" s="116"/>
      <c r="N150" s="116"/>
      <c r="O150" s="116"/>
      <c r="P150" s="116"/>
      <c r="Q150" s="116"/>
      <c r="R150" s="116"/>
      <c r="S150" s="116"/>
      <c r="T150" s="116"/>
      <c r="U150" s="116"/>
      <c r="V150" s="116"/>
      <c r="W150" s="116"/>
      <c r="X150" s="116"/>
      <c r="Y150" s="116"/>
      <c r="Z150" s="116"/>
      <c r="AA150" s="116"/>
      <c r="AB150" s="116"/>
      <c r="AC150" s="116"/>
      <c r="AD150" s="116"/>
      <c r="AE150" s="116"/>
      <c r="AF150" s="116"/>
      <c r="AG150" s="116"/>
      <c r="AH150" s="116"/>
    </row>
    <row r="151" spans="1:34">
      <c r="A151" s="116"/>
      <c r="B151" s="118"/>
      <c r="C151" s="119"/>
      <c r="D151" s="119"/>
      <c r="E151" s="119"/>
      <c r="F151" s="119"/>
      <c r="G151" s="119"/>
      <c r="H151" s="119"/>
      <c r="I151" s="119"/>
      <c r="J151" s="119"/>
      <c r="K151" s="119"/>
      <c r="L151" s="119"/>
      <c r="M151" s="119"/>
      <c r="N151" s="119"/>
      <c r="O151" s="119"/>
      <c r="P151" s="119"/>
      <c r="Q151" s="119"/>
      <c r="R151" s="119"/>
      <c r="S151" s="119"/>
      <c r="T151" s="119"/>
      <c r="U151" s="119"/>
      <c r="V151" s="119"/>
      <c r="W151" s="119"/>
      <c r="X151" s="119"/>
      <c r="Y151" s="119"/>
      <c r="Z151" s="119"/>
      <c r="AA151" s="119"/>
      <c r="AB151" s="119"/>
      <c r="AC151" s="119"/>
      <c r="AD151" s="119"/>
      <c r="AE151" s="119"/>
      <c r="AF151" s="119"/>
      <c r="AG151" s="120"/>
      <c r="AH151" s="116"/>
    </row>
    <row r="152" spans="1:34" ht="18" customHeight="1">
      <c r="A152" s="116"/>
      <c r="B152" s="121"/>
      <c r="C152" s="154" t="s">
        <v>606</v>
      </c>
      <c r="G152" s="154" t="s">
        <v>607</v>
      </c>
      <c r="P152" s="129" t="s">
        <v>608</v>
      </c>
      <c r="Q152" s="130"/>
      <c r="R152" s="129"/>
      <c r="S152" s="130"/>
      <c r="T152" s="131">
        <f>T51</f>
        <v>45709</v>
      </c>
      <c r="U152" s="131">
        <f>U51</f>
        <v>45716</v>
      </c>
      <c r="V152" s="132" t="s">
        <v>609</v>
      </c>
      <c r="X152" s="155" t="s">
        <v>610</v>
      </c>
      <c r="AG152" s="122"/>
      <c r="AH152" s="116"/>
    </row>
    <row r="153" spans="1:34">
      <c r="A153" s="116"/>
      <c r="B153" s="121"/>
      <c r="P153" s="25" t="s">
        <v>611</v>
      </c>
      <c r="T153" s="25">
        <f>COUNTIFS(Table4[Status Anterior],'1. Status Resumo FY24'!$P153,Table4[Sub-âmbito],'1. Status Resumo FY24'!$G$149,Table4[Tipo de teste],"2. Campo")</f>
        <v>4</v>
      </c>
      <c r="U153" s="25">
        <f>COUNTIFS(Table4[Status Atual],'1. Status Resumo FY24'!$P153,Table4[Sub-âmbito],'1. Status Resumo FY24'!$G$149,Table4[Tipo de teste],"2. Campo")</f>
        <v>4</v>
      </c>
      <c r="V153" s="25">
        <f t="shared" ref="V153:V188" si="9">U153-T153</f>
        <v>0</v>
      </c>
      <c r="X153" s="521" t="s">
        <v>2456</v>
      </c>
      <c r="Y153" s="522"/>
      <c r="Z153" s="522"/>
      <c r="AA153" s="522"/>
      <c r="AB153" s="522"/>
      <c r="AC153" s="522"/>
      <c r="AD153" s="522"/>
      <c r="AE153" s="522"/>
      <c r="AF153" s="522"/>
      <c r="AG153" s="162"/>
      <c r="AH153" s="116"/>
    </row>
    <row r="154" spans="1:34">
      <c r="A154" s="116"/>
      <c r="B154" s="121"/>
      <c r="C154" s="430" t="s">
        <v>2378</v>
      </c>
      <c r="D154" s="429"/>
      <c r="E154" s="429"/>
      <c r="P154" s="375" t="s">
        <v>2371</v>
      </c>
      <c r="Q154" s="376"/>
      <c r="R154" s="376"/>
      <c r="S154" s="376"/>
      <c r="T154" s="446">
        <f>COUNTIFS(Table4[Status Anterior],'1. Status Resumo FY24'!$P153,Table4[Sub-âmbito],'1. Status Resumo FY24'!$G$149,Table4[Tipo de teste],"2. Campo",'2. Status Detalhe Campos FY24'!$U$7:$U$741,"*Plano anterior*")</f>
        <v>4</v>
      </c>
      <c r="U154" s="446">
        <f>COUNTIFS(Table4[Status Atual],'1. Status Resumo FY24'!$P153,Table4[Sub-âmbito],'1. Status Resumo FY24'!$G$149,Table4[Tipo de teste],"2. Campo",'2. Status Detalhe Campos FY24'!$U$7:$U$741,"*Plano anterior*")</f>
        <v>4</v>
      </c>
      <c r="V154" s="446">
        <f t="shared" si="9"/>
        <v>0</v>
      </c>
      <c r="X154" s="521"/>
      <c r="Y154" s="522"/>
      <c r="Z154" s="522"/>
      <c r="AA154" s="522"/>
      <c r="AB154" s="522"/>
      <c r="AC154" s="522"/>
      <c r="AD154" s="522"/>
      <c r="AE154" s="522"/>
      <c r="AF154" s="522"/>
      <c r="AG154" s="162"/>
      <c r="AH154" s="116"/>
    </row>
    <row r="155" spans="1:34">
      <c r="A155" s="116"/>
      <c r="B155" s="121"/>
      <c r="C155" s="428"/>
      <c r="P155" s="375" t="s">
        <v>2366</v>
      </c>
      <c r="Q155" s="376"/>
      <c r="R155" s="376"/>
      <c r="S155" s="376"/>
      <c r="T155" s="446">
        <f>COUNTIFS(Table4[Status Anterior],'1. Status Resumo FY24'!$P153,Table4[Sub-âmbito],'1. Status Resumo FY24'!$G$149,Table4[Tipo de teste],"2. Campo",'2. Status Detalhe Campos FY24'!$U$7:$U$741,"*Novo Plano*",'2. Status Detalhe Campos FY24'!$T$7:$T$741,"*Âmbito ESTR e (ou) LF*")</f>
        <v>0</v>
      </c>
      <c r="U155" s="446">
        <f>COUNTIFS(Table4[Status Atual],'1. Status Resumo FY24'!$P153,Table4[Sub-âmbito],'1. Status Resumo FY24'!$G$149,Table4[Tipo de teste],"2. Campo",'2. Status Detalhe Campos FY24'!$U$7:$U$741,"*Novo Plano*",'2. Status Detalhe Campos FY24'!$U$7:$U$741,"*Novo Plano*",'2. Status Detalhe Campos FY24'!$T$7:$T$741,"*Âmbito ESTR e (ou) LF*")</f>
        <v>0</v>
      </c>
      <c r="V155" s="446">
        <f t="shared" si="9"/>
        <v>0</v>
      </c>
      <c r="X155" s="521"/>
      <c r="Y155" s="522"/>
      <c r="Z155" s="522"/>
      <c r="AA155" s="522"/>
      <c r="AB155" s="522"/>
      <c r="AC155" s="522"/>
      <c r="AD155" s="522"/>
      <c r="AE155" s="522"/>
      <c r="AF155" s="522"/>
      <c r="AG155" s="162"/>
      <c r="AH155" s="116"/>
    </row>
    <row r="156" spans="1:34">
      <c r="A156" s="116"/>
      <c r="B156" s="121"/>
      <c r="P156" s="377" t="s">
        <v>2367</v>
      </c>
      <c r="Q156" s="378"/>
      <c r="R156" s="378"/>
      <c r="S156" s="378"/>
      <c r="T156" s="447">
        <f>COUNTIFS(Table4[Status Anterior],'1. Status Resumo FY24'!$P153,Table4[Sub-âmbito],'1. Status Resumo FY24'!$G$149,Table4[Tipo de teste],"2. Campo",'2. Status Detalhe Campos FY24'!$U$7:$U$741,"*Novo Plano*",'2. Status Detalhe Campos FY24'!$T$7:$T$741,"*Outros*")</f>
        <v>0</v>
      </c>
      <c r="U156" s="447">
        <f>COUNTIFS(Table4[Status Atual],'1. Status Resumo FY24'!$P153,Table4[Sub-âmbito],'1. Status Resumo FY24'!$G$149,Table4[Tipo de teste],"2. Campo",'2. Status Detalhe Campos FY24'!$U$7:$U$741,"*Novo Plano*",'2. Status Detalhe Campos FY24'!$U$7:$U$741,"*Novo Plano*",'2. Status Detalhe Campos FY24'!$T$7:$T$741,"*Outros*")</f>
        <v>0</v>
      </c>
      <c r="V156" s="447">
        <f t="shared" si="9"/>
        <v>0</v>
      </c>
      <c r="X156" s="521"/>
      <c r="Y156" s="522"/>
      <c r="Z156" s="522"/>
      <c r="AA156" s="522"/>
      <c r="AB156" s="522"/>
      <c r="AC156" s="522"/>
      <c r="AD156" s="522"/>
      <c r="AE156" s="522"/>
      <c r="AF156" s="522"/>
      <c r="AG156" s="162"/>
      <c r="AH156" s="116"/>
    </row>
    <row r="157" spans="1:34">
      <c r="A157" s="116"/>
      <c r="B157" s="121"/>
      <c r="P157" s="25" t="s">
        <v>612</v>
      </c>
      <c r="T157" s="25">
        <f>COUNTIFS(Table4[Status Anterior],'1. Status Resumo FY24'!$P157,Table4[Sub-âmbito],'1. Status Resumo FY24'!$G$149,Table4[Tipo de teste],"2. Campo")</f>
        <v>113</v>
      </c>
      <c r="U157" s="25">
        <f>COUNTIFS(Table4[Status Atual],'1. Status Resumo FY24'!$P157,Table4[Sub-âmbito],'1. Status Resumo FY24'!$G$149,Table4[Tipo de teste],"2. Campo")</f>
        <v>113</v>
      </c>
      <c r="V157" s="25">
        <f t="shared" si="9"/>
        <v>0</v>
      </c>
      <c r="X157" s="522"/>
      <c r="Y157" s="522"/>
      <c r="Z157" s="522"/>
      <c r="AA157" s="522"/>
      <c r="AB157" s="522"/>
      <c r="AC157" s="522"/>
      <c r="AD157" s="522"/>
      <c r="AE157" s="522"/>
      <c r="AF157" s="522"/>
      <c r="AG157" s="162"/>
      <c r="AH157" s="116"/>
    </row>
    <row r="158" spans="1:34">
      <c r="A158" s="116"/>
      <c r="B158" s="121"/>
      <c r="P158" s="375" t="s">
        <v>2371</v>
      </c>
      <c r="Q158" s="376"/>
      <c r="R158" s="376"/>
      <c r="S158" s="376"/>
      <c r="T158" s="446">
        <f>COUNTIFS(Table4[Status Anterior],'1. Status Resumo FY24'!$P157,Table4[Sub-âmbito],'1. Status Resumo FY24'!$G$149,Table4[Tipo de teste],"2. Campo",'2. Status Detalhe Campos FY24'!$U$7:$U$741,"*Plano anterior*")</f>
        <v>113</v>
      </c>
      <c r="U158" s="446">
        <f>COUNTIFS(Table4[Status Atual],'1. Status Resumo FY24'!$P157,Table4[Sub-âmbito],'1. Status Resumo FY24'!$G$149,Table4[Tipo de teste],"2. Campo",'2. Status Detalhe Campos FY24'!$U$7:$U$741,"*Plano anterior*")</f>
        <v>113</v>
      </c>
      <c r="V158" s="446">
        <f t="shared" si="9"/>
        <v>0</v>
      </c>
      <c r="X158" s="522"/>
      <c r="Y158" s="522"/>
      <c r="Z158" s="522"/>
      <c r="AA158" s="522"/>
      <c r="AB158" s="522"/>
      <c r="AC158" s="522"/>
      <c r="AD158" s="522"/>
      <c r="AE158" s="522"/>
      <c r="AF158" s="522"/>
      <c r="AG158" s="162"/>
      <c r="AH158" s="116"/>
    </row>
    <row r="159" spans="1:34">
      <c r="A159" s="116"/>
      <c r="B159" s="121"/>
      <c r="P159" s="375" t="s">
        <v>2366</v>
      </c>
      <c r="Q159" s="376"/>
      <c r="R159" s="376"/>
      <c r="S159" s="376"/>
      <c r="T159" s="446">
        <f>COUNTIFS(Table4[Status Anterior],'1. Status Resumo FY24'!$P157,Table4[Sub-âmbito],'1. Status Resumo FY24'!$G$149,Table4[Tipo de teste],"2. Campo",'2. Status Detalhe Campos FY24'!$U$7:$U$741,"*Novo Plano*",'2. Status Detalhe Campos FY24'!$T$7:$T$741,"*Âmbito ESTR e (ou) LF*")</f>
        <v>0</v>
      </c>
      <c r="U159" s="446">
        <f>COUNTIFS(Table4[Status Atual],'1. Status Resumo FY24'!$P157,Table4[Sub-âmbito],'1. Status Resumo FY24'!$G$149,Table4[Tipo de teste],"2. Campo",'2. Status Detalhe Campos FY24'!$U$7:$U$741,"*Novo Plano*",'2. Status Detalhe Campos FY24'!$U$7:$U$741,"*Novo Plano*",'2. Status Detalhe Campos FY24'!$T$7:$T$741,"*Âmbito ESTR e (ou) LF*")</f>
        <v>0</v>
      </c>
      <c r="V159" s="446">
        <f t="shared" si="9"/>
        <v>0</v>
      </c>
      <c r="X159" s="522"/>
      <c r="Y159" s="522"/>
      <c r="Z159" s="522"/>
      <c r="AA159" s="522"/>
      <c r="AB159" s="522"/>
      <c r="AC159" s="522"/>
      <c r="AD159" s="522"/>
      <c r="AE159" s="522"/>
      <c r="AF159" s="522"/>
      <c r="AG159" s="162"/>
      <c r="AH159" s="116"/>
    </row>
    <row r="160" spans="1:34">
      <c r="A160" s="116"/>
      <c r="B160" s="121"/>
      <c r="P160" s="377" t="s">
        <v>2367</v>
      </c>
      <c r="Q160" s="378"/>
      <c r="R160" s="378"/>
      <c r="S160" s="378"/>
      <c r="T160" s="447">
        <f>COUNTIFS(Table4[Status Anterior],'1. Status Resumo FY24'!$P157,Table4[Sub-âmbito],'1. Status Resumo FY24'!$G$149,Table4[Tipo de teste],"2. Campo",'2. Status Detalhe Campos FY24'!$U$7:$U$741,"*Novo Plano*",'2. Status Detalhe Campos FY24'!$T$7:$T$741,"*Outros*")</f>
        <v>0</v>
      </c>
      <c r="U160" s="447">
        <f>COUNTIFS(Table4[Status Atual],'1. Status Resumo FY24'!$P157,Table4[Sub-âmbito],'1. Status Resumo FY24'!$G$149,Table4[Tipo de teste],"2. Campo",'2. Status Detalhe Campos FY24'!$U$7:$U$741,"*Novo Plano*",'2. Status Detalhe Campos FY24'!$U$7:$U$741,"*Novo Plano*",'2. Status Detalhe Campos FY24'!$T$7:$T$741,"*Outros*")</f>
        <v>0</v>
      </c>
      <c r="V160" s="447">
        <f t="shared" si="9"/>
        <v>0</v>
      </c>
      <c r="X160" s="522"/>
      <c r="Y160" s="522"/>
      <c r="Z160" s="522"/>
      <c r="AA160" s="522"/>
      <c r="AB160" s="522"/>
      <c r="AC160" s="522"/>
      <c r="AD160" s="522"/>
      <c r="AE160" s="522"/>
      <c r="AF160" s="522"/>
      <c r="AG160" s="162"/>
      <c r="AH160" s="116"/>
    </row>
    <row r="161" spans="1:34" ht="17.850000000000001" customHeight="1">
      <c r="A161" s="116"/>
      <c r="B161" s="121"/>
      <c r="P161" s="25" t="s">
        <v>1845</v>
      </c>
      <c r="T161" s="25">
        <f>COUNTIFS(Table4[Status Anterior],'1. Status Resumo FY24'!$P161,Table4[Sub-âmbito],'1. Status Resumo FY24'!$G$149,Table4[Tipo de teste],"2. Campo")</f>
        <v>2</v>
      </c>
      <c r="U161" s="25">
        <f>COUNTIFS(Table4[Status Atual],'1. Status Resumo FY24'!$P161,Table4[Sub-âmbito],'1. Status Resumo FY24'!$G$149,Table4[Tipo de teste],"2. Campo")</f>
        <v>2</v>
      </c>
      <c r="V161" s="25">
        <f t="shared" si="9"/>
        <v>0</v>
      </c>
      <c r="X161" s="522"/>
      <c r="Y161" s="522"/>
      <c r="Z161" s="522"/>
      <c r="AA161" s="522"/>
      <c r="AB161" s="522"/>
      <c r="AC161" s="522"/>
      <c r="AD161" s="522"/>
      <c r="AE161" s="522"/>
      <c r="AF161" s="522"/>
      <c r="AG161" s="162"/>
      <c r="AH161" s="116"/>
    </row>
    <row r="162" spans="1:34" ht="17.850000000000001" customHeight="1">
      <c r="A162" s="116"/>
      <c r="B162" s="121"/>
      <c r="E162" s="503" t="str">
        <f>+"#"&amp;SUM($U$191:$U$192)</f>
        <v>#71</v>
      </c>
      <c r="P162" s="375" t="s">
        <v>2371</v>
      </c>
      <c r="Q162" s="376"/>
      <c r="R162" s="376"/>
      <c r="S162" s="376"/>
      <c r="T162" s="446">
        <f>COUNTIFS(Table4[Status Anterior],'1. Status Resumo FY24'!$P161,Table4[Sub-âmbito],'1. Status Resumo FY24'!$G$149,Table4[Tipo de teste],"2. Campo",'2. Status Detalhe Campos FY24'!$U$7:$U$741,"*Plano anterior*")</f>
        <v>2</v>
      </c>
      <c r="U162" s="446">
        <f>COUNTIFS(Table4[Status Atual],'1. Status Resumo FY24'!$P161,Table4[Sub-âmbito],'1. Status Resumo FY24'!$G$149,Table4[Tipo de teste],"2. Campo",'2. Status Detalhe Campos FY24'!$U$7:$U$741,"*Plano anterior*")</f>
        <v>2</v>
      </c>
      <c r="V162" s="446">
        <f t="shared" si="9"/>
        <v>0</v>
      </c>
      <c r="X162" s="522"/>
      <c r="Y162" s="522"/>
      <c r="Z162" s="522"/>
      <c r="AA162" s="522"/>
      <c r="AB162" s="522"/>
      <c r="AC162" s="522"/>
      <c r="AD162" s="522"/>
      <c r="AE162" s="522"/>
      <c r="AF162" s="522"/>
      <c r="AG162" s="162"/>
      <c r="AH162" s="116"/>
    </row>
    <row r="163" spans="1:34" ht="17.850000000000001" customHeight="1">
      <c r="A163" s="116"/>
      <c r="B163" s="121"/>
      <c r="E163" s="503"/>
      <c r="P163" s="375" t="s">
        <v>2366</v>
      </c>
      <c r="Q163" s="376"/>
      <c r="R163" s="376"/>
      <c r="S163" s="376"/>
      <c r="T163" s="446">
        <f>COUNTIFS(Table4[Status Anterior],'1. Status Resumo FY24'!$P161,Table4[Sub-âmbito],'1. Status Resumo FY24'!$G$149,Table4[Tipo de teste],"2. Campo",'2. Status Detalhe Campos FY24'!$U$7:$U$741,"*Novo Plano*",'2. Status Detalhe Campos FY24'!$T$7:$T$741,"*Âmbito ESTR e (ou) LF*")</f>
        <v>0</v>
      </c>
      <c r="U163" s="446">
        <f>COUNTIFS(Table4[Status Atual],'1. Status Resumo FY24'!$P161,Table4[Sub-âmbito],'1. Status Resumo FY24'!$G$149,Table4[Tipo de teste],"2. Campo",'2. Status Detalhe Campos FY24'!$U$7:$U$741,"*Novo Plano*",'2. Status Detalhe Campos FY24'!$U$7:$U$741,"*Novo Plano*",'2. Status Detalhe Campos FY24'!$T$7:$T$741,"*Âmbito ESTR e (ou) LF*")</f>
        <v>0</v>
      </c>
      <c r="V163" s="446">
        <f t="shared" si="9"/>
        <v>0</v>
      </c>
      <c r="X163" s="522"/>
      <c r="Y163" s="522"/>
      <c r="Z163" s="522"/>
      <c r="AA163" s="522"/>
      <c r="AB163" s="522"/>
      <c r="AC163" s="522"/>
      <c r="AD163" s="522"/>
      <c r="AE163" s="522"/>
      <c r="AF163" s="522"/>
      <c r="AG163" s="162"/>
      <c r="AH163" s="116"/>
    </row>
    <row r="164" spans="1:34" ht="17.850000000000001" customHeight="1">
      <c r="A164" s="116"/>
      <c r="B164" s="121"/>
      <c r="E164" s="503"/>
      <c r="P164" s="377" t="s">
        <v>2367</v>
      </c>
      <c r="Q164" s="378"/>
      <c r="R164" s="378"/>
      <c r="S164" s="378"/>
      <c r="T164" s="447">
        <f>COUNTIFS(Table4[Status Anterior],'1. Status Resumo FY24'!$P161,Table4[Sub-âmbito],'1. Status Resumo FY24'!$G$149,Table4[Tipo de teste],"2. Campo",'2. Status Detalhe Campos FY24'!$U$7:$U$741,"*Novo Plano*",'2. Status Detalhe Campos FY24'!$T$7:$T$741,"*Outros*")</f>
        <v>0</v>
      </c>
      <c r="U164" s="447">
        <f>COUNTIFS(Table4[Status Atual],'1. Status Resumo FY24'!$P161,Table4[Sub-âmbito],'1. Status Resumo FY24'!$G$149,Table4[Tipo de teste],"2. Campo",'2. Status Detalhe Campos FY24'!$U$7:$U$741,"*Novo Plano*",'2. Status Detalhe Campos FY24'!$U$7:$U$741,"*Novo Plano*",'2. Status Detalhe Campos FY24'!$T$7:$T$741,"*Outros*")</f>
        <v>0</v>
      </c>
      <c r="V164" s="447">
        <f t="shared" si="9"/>
        <v>0</v>
      </c>
      <c r="X164" s="522"/>
      <c r="Y164" s="522"/>
      <c r="Z164" s="522"/>
      <c r="AA164" s="522"/>
      <c r="AB164" s="522"/>
      <c r="AC164" s="522"/>
      <c r="AD164" s="522"/>
      <c r="AE164" s="522"/>
      <c r="AF164" s="522"/>
      <c r="AG164" s="162"/>
      <c r="AH164" s="116"/>
    </row>
    <row r="165" spans="1:34" ht="17.850000000000001" customHeight="1">
      <c r="A165" s="116"/>
      <c r="B165" s="121"/>
      <c r="D165" s="427"/>
      <c r="E165" s="427"/>
      <c r="P165" s="25" t="s">
        <v>2324</v>
      </c>
      <c r="T165" s="25">
        <f>COUNTIFS(Table4[Status Anterior],'1. Status Resumo FY24'!$P165,Table4[Sub-âmbito],'1. Status Resumo FY24'!$G$149,Table4[Tipo de teste],"2. Campo")</f>
        <v>6</v>
      </c>
      <c r="U165" s="25">
        <f>COUNTIFS(Table4[Status Atual],'1. Status Resumo FY24'!$P165,Table4[Sub-âmbito],'1. Status Resumo FY24'!$G$149,Table4[Tipo de teste],"2. Campo")</f>
        <v>6</v>
      </c>
      <c r="V165" s="25">
        <f t="shared" si="9"/>
        <v>0</v>
      </c>
      <c r="X165" s="522"/>
      <c r="Y165" s="522"/>
      <c r="Z165" s="522"/>
      <c r="AA165" s="522"/>
      <c r="AB165" s="522"/>
      <c r="AC165" s="522"/>
      <c r="AD165" s="522"/>
      <c r="AE165" s="522"/>
      <c r="AF165" s="522"/>
      <c r="AG165" s="162"/>
      <c r="AH165" s="116"/>
    </row>
    <row r="166" spans="1:34" ht="17.850000000000001" customHeight="1">
      <c r="A166" s="116"/>
      <c r="B166" s="121"/>
      <c r="D166" s="427"/>
      <c r="E166" s="427"/>
      <c r="P166" s="375" t="s">
        <v>2371</v>
      </c>
      <c r="Q166" s="376"/>
      <c r="R166" s="376"/>
      <c r="S166" s="376"/>
      <c r="T166" s="446">
        <f>COUNTIFS(Table4[Status Anterior],'1. Status Resumo FY24'!$P165,Table4[Sub-âmbito],'1. Status Resumo FY24'!$G$149,Table4[Tipo de teste],"2. Campo",'2. Status Detalhe Campos FY24'!$U$7:$U$741,"*Plano anterior*")</f>
        <v>6</v>
      </c>
      <c r="U166" s="446">
        <f>COUNTIFS(Table4[Status Atual],'1. Status Resumo FY24'!$P165,Table4[Sub-âmbito],'1. Status Resumo FY24'!$G$149,Table4[Tipo de teste],"2. Campo",'2. Status Detalhe Campos FY24'!$U$7:$U$741,"*Plano anterior*")</f>
        <v>6</v>
      </c>
      <c r="V166" s="446">
        <f t="shared" si="9"/>
        <v>0</v>
      </c>
      <c r="X166" s="522"/>
      <c r="Y166" s="522"/>
      <c r="Z166" s="522"/>
      <c r="AA166" s="522"/>
      <c r="AB166" s="522"/>
      <c r="AC166" s="522"/>
      <c r="AD166" s="522"/>
      <c r="AE166" s="522"/>
      <c r="AF166" s="522"/>
      <c r="AG166" s="162"/>
      <c r="AH166" s="116"/>
    </row>
    <row r="167" spans="1:34" ht="17.850000000000001" customHeight="1">
      <c r="A167" s="116"/>
      <c r="B167" s="121"/>
      <c r="D167" s="427"/>
      <c r="E167" s="427"/>
      <c r="P167" s="375" t="s">
        <v>2366</v>
      </c>
      <c r="Q167" s="376"/>
      <c r="R167" s="376"/>
      <c r="S167" s="376"/>
      <c r="T167" s="446">
        <f>COUNTIFS(Table4[Status Anterior],'1. Status Resumo FY24'!$P165,Table4[Sub-âmbito],'1. Status Resumo FY24'!$G$149,Table4[Tipo de teste],"2. Campo",'2. Status Detalhe Campos FY24'!$U$7:$U$741,"*Novo Plano*",'2. Status Detalhe Campos FY24'!$T$7:$T$741,"*Âmbito ESTR e (ou) LF*")</f>
        <v>0</v>
      </c>
      <c r="U167" s="446">
        <f>COUNTIFS(Table4[Status Atual],'1. Status Resumo FY24'!$P165,Table4[Sub-âmbito],'1. Status Resumo FY24'!$G$149,Table4[Tipo de teste],"2. Campo",'2. Status Detalhe Campos FY24'!$U$7:$U$741,"*Novo Plano*",'2. Status Detalhe Campos FY24'!$U$7:$U$741,"*Novo Plano*",'2. Status Detalhe Campos FY24'!$T$7:$T$741,"*Âmbito ESTR e (ou) LF*")</f>
        <v>0</v>
      </c>
      <c r="V167" s="446">
        <f t="shared" si="9"/>
        <v>0</v>
      </c>
      <c r="X167" s="522"/>
      <c r="Y167" s="522"/>
      <c r="Z167" s="522"/>
      <c r="AA167" s="522"/>
      <c r="AB167" s="522"/>
      <c r="AC167" s="522"/>
      <c r="AD167" s="522"/>
      <c r="AE167" s="522"/>
      <c r="AF167" s="522"/>
      <c r="AG167" s="162"/>
      <c r="AH167" s="116"/>
    </row>
    <row r="168" spans="1:34" ht="17.850000000000001" customHeight="1">
      <c r="A168" s="116"/>
      <c r="B168" s="121"/>
      <c r="D168" s="427"/>
      <c r="E168" s="427"/>
      <c r="P168" s="377" t="s">
        <v>2367</v>
      </c>
      <c r="Q168" s="378"/>
      <c r="R168" s="378"/>
      <c r="S168" s="378"/>
      <c r="T168" s="447">
        <f>COUNTIFS(Table4[Status Anterior],'1. Status Resumo FY24'!$P165,Table4[Sub-âmbito],'1. Status Resumo FY24'!$G$149,Table4[Tipo de teste],"2. Campo",'2. Status Detalhe Campos FY24'!$U$7:$U$741,"*Novo Plano*",'2. Status Detalhe Campos FY24'!$T$7:$T$741,"*Outros*")</f>
        <v>0</v>
      </c>
      <c r="U168" s="447">
        <f>COUNTIFS(Table4[Status Atual],'1. Status Resumo FY24'!$P165,Table4[Sub-âmbito],'1. Status Resumo FY24'!$G$149,Table4[Tipo de teste],"2. Campo",'2. Status Detalhe Campos FY24'!$U$7:$U$741,"*Novo Plano*",'2. Status Detalhe Campos FY24'!$U$7:$U$741,"*Novo Plano*",'2. Status Detalhe Campos FY24'!$T$7:$T$741,"*Outros*")</f>
        <v>0</v>
      </c>
      <c r="V168" s="447">
        <f t="shared" si="9"/>
        <v>0</v>
      </c>
      <c r="X168" s="522"/>
      <c r="Y168" s="522"/>
      <c r="Z168" s="522"/>
      <c r="AA168" s="522"/>
      <c r="AB168" s="522"/>
      <c r="AC168" s="522"/>
      <c r="AD168" s="522"/>
      <c r="AE168" s="522"/>
      <c r="AF168" s="522"/>
      <c r="AG168" s="162"/>
      <c r="AH168" s="116"/>
    </row>
    <row r="169" spans="1:34" ht="17.25" customHeight="1">
      <c r="A169" s="116"/>
      <c r="B169" s="121"/>
      <c r="D169" s="427"/>
      <c r="E169" s="427"/>
      <c r="P169" s="25" t="s">
        <v>613</v>
      </c>
      <c r="T169" s="25">
        <f>COUNTIFS(Table4[Status Anterior],'1. Status Resumo FY24'!$P169,Table4[Sub-âmbito],'1. Status Resumo FY24'!$G$149,Table4[Tipo de teste],"2. Campo")</f>
        <v>0</v>
      </c>
      <c r="U169" s="25">
        <f>COUNTIFS(Table4[Status Atual],'1. Status Resumo FY24'!$P169,Table4[Sub-âmbito],'1. Status Resumo FY24'!$G$149,Table4[Tipo de teste],"2. Campo")</f>
        <v>0</v>
      </c>
      <c r="V169" s="25">
        <f t="shared" si="9"/>
        <v>0</v>
      </c>
      <c r="X169" s="522"/>
      <c r="Y169" s="522"/>
      <c r="Z169" s="522"/>
      <c r="AA169" s="522"/>
      <c r="AB169" s="522"/>
      <c r="AC169" s="522"/>
      <c r="AD169" s="522"/>
      <c r="AE169" s="522"/>
      <c r="AF169" s="522"/>
      <c r="AG169" s="162"/>
      <c r="AH169" s="116"/>
    </row>
    <row r="170" spans="1:34" ht="17.25" customHeight="1">
      <c r="A170" s="116"/>
      <c r="B170" s="121"/>
      <c r="D170" s="427"/>
      <c r="E170" s="427"/>
      <c r="P170" s="375" t="s">
        <v>2371</v>
      </c>
      <c r="Q170" s="376"/>
      <c r="R170" s="376"/>
      <c r="S170" s="376"/>
      <c r="T170" s="446">
        <f>COUNTIFS(Table4[Status Anterior],'1. Status Resumo FY24'!$P169,Table4[Sub-âmbito],'1. Status Resumo FY24'!$G$149,Table4[Tipo de teste],"2. Campo",'2. Status Detalhe Campos FY24'!$U$7:$U$741,"*Plano anterior*")</f>
        <v>0</v>
      </c>
      <c r="U170" s="446">
        <f>COUNTIFS(Table4[Status Atual],'1. Status Resumo FY24'!$P169,Table4[Sub-âmbito],'1. Status Resumo FY24'!$G$149,Table4[Tipo de teste],"2. Campo",'2. Status Detalhe Campos FY24'!$U$7:$U$741,"*Plano anterior*")</f>
        <v>0</v>
      </c>
      <c r="V170" s="446">
        <f t="shared" si="9"/>
        <v>0</v>
      </c>
      <c r="X170" s="522"/>
      <c r="Y170" s="522"/>
      <c r="Z170" s="522"/>
      <c r="AA170" s="522"/>
      <c r="AB170" s="522"/>
      <c r="AC170" s="522"/>
      <c r="AD170" s="522"/>
      <c r="AE170" s="522"/>
      <c r="AF170" s="522"/>
      <c r="AG170" s="162"/>
      <c r="AH170" s="116"/>
    </row>
    <row r="171" spans="1:34" ht="17.25" customHeight="1">
      <c r="A171" s="116"/>
      <c r="B171" s="121"/>
      <c r="D171" s="427"/>
      <c r="E171" s="427"/>
      <c r="P171" s="375" t="s">
        <v>2366</v>
      </c>
      <c r="Q171" s="376"/>
      <c r="R171" s="376"/>
      <c r="S171" s="376"/>
      <c r="T171" s="446">
        <f>COUNTIFS(Table4[Status Anterior],'1. Status Resumo FY24'!$P169,Table4[Sub-âmbito],'1. Status Resumo FY24'!$G$149,Table4[Tipo de teste],"2. Campo",'2. Status Detalhe Campos FY24'!$U$7:$U$741,"*Novo Plano*",'2. Status Detalhe Campos FY24'!$T$7:$T$741,"*Âmbito ESTR e (ou) LF*")</f>
        <v>0</v>
      </c>
      <c r="U171" s="446">
        <f>COUNTIFS(Table4[Status Atual],'1. Status Resumo FY24'!$P169,Table4[Sub-âmbito],'1. Status Resumo FY24'!$G$149,Table4[Tipo de teste],"2. Campo",'2. Status Detalhe Campos FY24'!$U$7:$U$741,"*Novo Plano*",'2. Status Detalhe Campos FY24'!$U$7:$U$741,"*Novo Plano*",'2. Status Detalhe Campos FY24'!$T$7:$T$741,"*Âmbito ESTR e (ou) LF*")</f>
        <v>0</v>
      </c>
      <c r="V171" s="446">
        <f t="shared" si="9"/>
        <v>0</v>
      </c>
      <c r="X171" s="522"/>
      <c r="Y171" s="522"/>
      <c r="Z171" s="522"/>
      <c r="AA171" s="522"/>
      <c r="AB171" s="522"/>
      <c r="AC171" s="522"/>
      <c r="AD171" s="522"/>
      <c r="AE171" s="522"/>
      <c r="AF171" s="522"/>
      <c r="AG171" s="162"/>
      <c r="AH171" s="116"/>
    </row>
    <row r="172" spans="1:34" ht="17.25" customHeight="1">
      <c r="A172" s="116"/>
      <c r="B172" s="121"/>
      <c r="D172" s="427"/>
      <c r="E172" s="427"/>
      <c r="P172" s="377" t="s">
        <v>2367</v>
      </c>
      <c r="Q172" s="378"/>
      <c r="R172" s="378"/>
      <c r="S172" s="378"/>
      <c r="T172" s="447">
        <f>COUNTIFS(Table4[Status Anterior],'1. Status Resumo FY24'!$P169,Table4[Sub-âmbito],'1. Status Resumo FY24'!$G$149,Table4[Tipo de teste],"2. Campo",'2. Status Detalhe Campos FY24'!$U$7:$U$741,"*Novo Plano*",'2. Status Detalhe Campos FY24'!$T$7:$T$741,"*Outros*")</f>
        <v>0</v>
      </c>
      <c r="U172" s="447">
        <f>COUNTIFS(Table4[Status Atual],'1. Status Resumo FY24'!$P169,Table4[Sub-âmbito],'1. Status Resumo FY24'!$G$149,Table4[Tipo de teste],"2. Campo",'2. Status Detalhe Campos FY24'!$U$7:$U$741,"*Novo Plano*",'2. Status Detalhe Campos FY24'!$U$7:$U$741,"*Novo Plano*",'2. Status Detalhe Campos FY24'!$T$7:$T$741,"*Outros*")</f>
        <v>0</v>
      </c>
      <c r="V172" s="447">
        <f t="shared" si="9"/>
        <v>0</v>
      </c>
      <c r="X172" s="522"/>
      <c r="Y172" s="522"/>
      <c r="Z172" s="522"/>
      <c r="AA172" s="522"/>
      <c r="AB172" s="522"/>
      <c r="AC172" s="522"/>
      <c r="AD172" s="522"/>
      <c r="AE172" s="522"/>
      <c r="AF172" s="522"/>
      <c r="AG172" s="162"/>
      <c r="AH172" s="116"/>
    </row>
    <row r="173" spans="1:34" ht="18.75" customHeight="1">
      <c r="A173" s="116"/>
      <c r="B173" s="121"/>
      <c r="D173" s="427"/>
      <c r="E173" s="427"/>
      <c r="P173" s="25" t="s">
        <v>614</v>
      </c>
      <c r="T173" s="25">
        <f>COUNTIFS(Table4[Status Anterior],'1. Status Resumo FY24'!$P173,Table4[Sub-âmbito],'1. Status Resumo FY24'!$G$149,Table4[Tipo de teste],"2. Campo")</f>
        <v>7</v>
      </c>
      <c r="U173" s="25">
        <f>COUNTIFS(Table4[Status Atual],'1. Status Resumo FY24'!$P173,Table4[Sub-âmbito],'1. Status Resumo FY24'!$G$149,Table4[Tipo de teste],"2. Campo")</f>
        <v>7</v>
      </c>
      <c r="V173" s="25">
        <f t="shared" si="9"/>
        <v>0</v>
      </c>
      <c r="X173" s="522"/>
      <c r="Y173" s="522"/>
      <c r="Z173" s="522"/>
      <c r="AA173" s="522"/>
      <c r="AB173" s="522"/>
      <c r="AC173" s="522"/>
      <c r="AD173" s="522"/>
      <c r="AE173" s="522"/>
      <c r="AF173" s="522"/>
      <c r="AG173" s="162"/>
      <c r="AH173" s="116"/>
    </row>
    <row r="174" spans="1:34" ht="18.75" customHeight="1">
      <c r="A174" s="116"/>
      <c r="B174" s="121"/>
      <c r="C174" s="430" t="s">
        <v>2379</v>
      </c>
      <c r="D174" s="427"/>
      <c r="E174" s="427"/>
      <c r="P174" s="375" t="s">
        <v>2371</v>
      </c>
      <c r="Q174" s="376"/>
      <c r="R174" s="376"/>
      <c r="S174" s="376"/>
      <c r="T174" s="446">
        <f>COUNTIFS(Table4[Status Anterior],'1. Status Resumo FY24'!$P173,Table4[Sub-âmbito],'1. Status Resumo FY24'!$G$149,Table4[Tipo de teste],"2. Campo",'2. Status Detalhe Campos FY24'!$U$7:$U$741,"*Plano anterior*")</f>
        <v>3</v>
      </c>
      <c r="U174" s="446">
        <f>COUNTIFS(Table4[Status Atual],'1. Status Resumo FY24'!$P173,Table4[Sub-âmbito],'1. Status Resumo FY24'!$G$149,Table4[Tipo de teste],"2. Campo",'2. Status Detalhe Campos FY24'!$U$7:$U$741,"*Plano anterior*")</f>
        <v>3</v>
      </c>
      <c r="V174" s="446">
        <f t="shared" si="9"/>
        <v>0</v>
      </c>
      <c r="X174" s="522"/>
      <c r="Y174" s="522"/>
      <c r="Z174" s="522"/>
      <c r="AA174" s="522"/>
      <c r="AB174" s="522"/>
      <c r="AC174" s="522"/>
      <c r="AD174" s="522"/>
      <c r="AE174" s="522"/>
      <c r="AF174" s="522"/>
      <c r="AG174" s="162"/>
      <c r="AH174" s="116"/>
    </row>
    <row r="175" spans="1:34" ht="18.75" customHeight="1">
      <c r="A175" s="116"/>
      <c r="B175" s="121"/>
      <c r="D175" s="427"/>
      <c r="E175" s="427"/>
      <c r="P175" s="375" t="s">
        <v>2366</v>
      </c>
      <c r="Q175" s="376"/>
      <c r="R175" s="376"/>
      <c r="S175" s="376"/>
      <c r="T175" s="446">
        <f>COUNTIFS(Table4[Status Anterior],'1. Status Resumo FY24'!$P173,Table4[Sub-âmbito],'1. Status Resumo FY24'!$G$149,Table4[Tipo de teste],"2. Campo",'2. Status Detalhe Campos FY24'!$U$7:$U$741,"*Novo Plano*",'2. Status Detalhe Campos FY24'!$T$7:$T$741,"*Âmbito ESTR e (ou) LF*")</f>
        <v>0</v>
      </c>
      <c r="U175" s="446">
        <f>COUNTIFS(Table4[Status Atual],'1. Status Resumo FY24'!$P173,Table4[Sub-âmbito],'1. Status Resumo FY24'!$G$149,Table4[Tipo de teste],"2. Campo",'2. Status Detalhe Campos FY24'!$U$7:$U$741,"*Novo Plano*",'2. Status Detalhe Campos FY24'!$U$7:$U$741,"*Novo Plano*",'2. Status Detalhe Campos FY24'!$T$7:$T$741,"*Âmbito ESTR e (ou) LF*")</f>
        <v>0</v>
      </c>
      <c r="V175" s="446">
        <f t="shared" si="9"/>
        <v>0</v>
      </c>
      <c r="X175" s="522"/>
      <c r="Y175" s="522"/>
      <c r="Z175" s="522"/>
      <c r="AA175" s="522"/>
      <c r="AB175" s="522"/>
      <c r="AC175" s="522"/>
      <c r="AD175" s="522"/>
      <c r="AE175" s="522"/>
      <c r="AF175" s="522"/>
      <c r="AG175" s="162"/>
      <c r="AH175" s="116"/>
    </row>
    <row r="176" spans="1:34" ht="18.75" customHeight="1">
      <c r="A176" s="116"/>
      <c r="B176" s="121"/>
      <c r="D176" s="427"/>
      <c r="E176" s="427"/>
      <c r="P176" s="377" t="s">
        <v>2367</v>
      </c>
      <c r="Q176" s="378"/>
      <c r="R176" s="378"/>
      <c r="S176" s="378"/>
      <c r="T176" s="447">
        <f>COUNTIFS(Table4[Status Anterior],'1. Status Resumo FY24'!$P173,Table4[Sub-âmbito],'1. Status Resumo FY24'!$G$149,Table4[Tipo de teste],"2. Campo",'2. Status Detalhe Campos FY24'!$U$7:$U$741,"*Novo Plano*",'2. Status Detalhe Campos FY24'!$T$7:$T$741,"*Outros*")</f>
        <v>4</v>
      </c>
      <c r="U176" s="447">
        <f>COUNTIFS(Table4[Status Atual],'1. Status Resumo FY24'!$P173,Table4[Sub-âmbito],'1. Status Resumo FY24'!$G$149,Table4[Tipo de teste],"2. Campo",'2. Status Detalhe Campos FY24'!$U$7:$U$741,"*Novo Plano*",'2. Status Detalhe Campos FY24'!$U$7:$U$741,"*Novo Plano*",'2. Status Detalhe Campos FY24'!$T$7:$T$741,"*Outros*")</f>
        <v>4</v>
      </c>
      <c r="V176" s="447">
        <f t="shared" si="9"/>
        <v>0</v>
      </c>
      <c r="X176" s="522"/>
      <c r="Y176" s="522"/>
      <c r="Z176" s="522"/>
      <c r="AA176" s="522"/>
      <c r="AB176" s="522"/>
      <c r="AC176" s="522"/>
      <c r="AD176" s="522"/>
      <c r="AE176" s="522"/>
      <c r="AF176" s="522"/>
      <c r="AG176" s="162"/>
      <c r="AH176" s="116"/>
    </row>
    <row r="177" spans="1:34" ht="18.75" customHeight="1">
      <c r="A177" s="116"/>
      <c r="B177" s="121"/>
      <c r="D177" s="427"/>
      <c r="E177" s="427"/>
      <c r="P177" s="25" t="s">
        <v>615</v>
      </c>
      <c r="R177" s="25" t="s">
        <v>616</v>
      </c>
      <c r="T177" s="25">
        <f>COUNTIFS(Table4[Status Anterior],'1. Status Resumo FY24'!$P177,Table4[Sub-âmbito],'1. Status Resumo FY24'!$G$149,Table4[Tipo de teste],"2. Campo")</f>
        <v>0</v>
      </c>
      <c r="U177" s="25">
        <f>COUNTIFS(Table4[Status Atual],'1. Status Resumo FY24'!$P177,Table4[Sub-âmbito],'1. Status Resumo FY24'!$G$149,Table4[Tipo de teste],"2. Campo")</f>
        <v>0</v>
      </c>
      <c r="V177" s="25">
        <f t="shared" si="9"/>
        <v>0</v>
      </c>
      <c r="X177" s="522"/>
      <c r="Y177" s="522"/>
      <c r="Z177" s="522"/>
      <c r="AA177" s="522"/>
      <c r="AB177" s="522"/>
      <c r="AC177" s="522"/>
      <c r="AD177" s="522"/>
      <c r="AE177" s="522"/>
      <c r="AF177" s="522"/>
      <c r="AG177" s="162"/>
      <c r="AH177" s="116"/>
    </row>
    <row r="178" spans="1:34" ht="18.75" customHeight="1">
      <c r="A178" s="116"/>
      <c r="B178" s="121"/>
      <c r="D178" s="427"/>
      <c r="E178" s="427"/>
      <c r="P178" s="375" t="s">
        <v>2371</v>
      </c>
      <c r="Q178" s="376"/>
      <c r="R178" s="376"/>
      <c r="S178" s="376"/>
      <c r="T178" s="446">
        <f>COUNTIFS(Table4[Status Anterior],'1. Status Resumo FY24'!$P177,Table4[Sub-âmbito],'1. Status Resumo FY24'!$G$149,Table4[Tipo de teste],"2. Campo",'2. Status Detalhe Campos FY24'!$U$7:$U$741,"*Plano anterior*")</f>
        <v>0</v>
      </c>
      <c r="U178" s="446">
        <f>COUNTIFS(Table4[Status Atual],'1. Status Resumo FY24'!$P177,Table4[Sub-âmbito],'1. Status Resumo FY24'!$G$149,Table4[Tipo de teste],"2. Campo",'2. Status Detalhe Campos FY24'!$U$7:$U$741,"*Plano anterior*")</f>
        <v>0</v>
      </c>
      <c r="V178" s="446">
        <f t="shared" si="9"/>
        <v>0</v>
      </c>
      <c r="X178" s="522"/>
      <c r="Y178" s="522"/>
      <c r="Z178" s="522"/>
      <c r="AA178" s="522"/>
      <c r="AB178" s="522"/>
      <c r="AC178" s="522"/>
      <c r="AD178" s="522"/>
      <c r="AE178" s="522"/>
      <c r="AF178" s="522"/>
      <c r="AG178" s="162"/>
      <c r="AH178" s="116"/>
    </row>
    <row r="179" spans="1:34" ht="18.75" customHeight="1">
      <c r="A179" s="116"/>
      <c r="B179" s="121"/>
      <c r="D179" s="427"/>
      <c r="E179" s="427"/>
      <c r="P179" s="375" t="s">
        <v>2366</v>
      </c>
      <c r="Q179" s="376"/>
      <c r="R179" s="376"/>
      <c r="S179" s="376"/>
      <c r="T179" s="446">
        <f>COUNTIFS(Table4[Status Anterior],'1. Status Resumo FY24'!$P177,Table4[Sub-âmbito],'1. Status Resumo FY24'!$G$149,Table4[Tipo de teste],"2. Campo",'2. Status Detalhe Campos FY24'!$U$7:$U$741,"*Novo Plano*",'2. Status Detalhe Campos FY24'!$T$7:$T$741,"*Âmbito ESTR e (ou) LF*")</f>
        <v>0</v>
      </c>
      <c r="U179" s="446">
        <f>COUNTIFS(Table4[Status Atual],'1. Status Resumo FY24'!$P177,Table4[Sub-âmbito],'1. Status Resumo FY24'!$G$149,Table4[Tipo de teste],"2. Campo",'2. Status Detalhe Campos FY24'!$U$7:$U$741,"*Novo Plano*",'2. Status Detalhe Campos FY24'!$U$7:$U$741,"*Novo Plano*",'2. Status Detalhe Campos FY24'!$T$7:$T$741,"*Âmbito ESTR e (ou) LF*")</f>
        <v>0</v>
      </c>
      <c r="V179" s="446">
        <f t="shared" si="9"/>
        <v>0</v>
      </c>
      <c r="X179" s="522"/>
      <c r="Y179" s="522"/>
      <c r="Z179" s="522"/>
      <c r="AA179" s="522"/>
      <c r="AB179" s="522"/>
      <c r="AC179" s="522"/>
      <c r="AD179" s="522"/>
      <c r="AE179" s="522"/>
      <c r="AF179" s="522"/>
      <c r="AG179" s="162"/>
      <c r="AH179" s="116"/>
    </row>
    <row r="180" spans="1:34" ht="17.850000000000001" customHeight="1">
      <c r="A180" s="116"/>
      <c r="B180" s="121"/>
      <c r="D180" s="427"/>
      <c r="E180" s="427"/>
      <c r="P180" s="377" t="s">
        <v>2367</v>
      </c>
      <c r="Q180" s="378"/>
      <c r="R180" s="378"/>
      <c r="S180" s="378"/>
      <c r="T180" s="447">
        <f>COUNTIFS(Table4[Status Anterior],'1. Status Resumo FY24'!$P177,Table4[Sub-âmbito],'1. Status Resumo FY24'!$G$149,Table4[Tipo de teste],"2. Campo",'2. Status Detalhe Campos FY24'!$U$7:$U$741,"*Novo Plano*",'2. Status Detalhe Campos FY24'!$T$7:$T$741,"*Outros*")</f>
        <v>0</v>
      </c>
      <c r="U180" s="447">
        <f>COUNTIFS(Table4[Status Atual],'1. Status Resumo FY24'!$P177,Table4[Sub-âmbito],'1. Status Resumo FY24'!$G$149,Table4[Tipo de teste],"2. Campo",'2. Status Detalhe Campos FY24'!$U$7:$U$741,"*Novo Plano*",'2. Status Detalhe Campos FY24'!$U$7:$U$741,"*Novo Plano*",'2. Status Detalhe Campos FY24'!$T$7:$T$741,"*Outros*")</f>
        <v>0</v>
      </c>
      <c r="V180" s="447">
        <f t="shared" si="9"/>
        <v>0</v>
      </c>
      <c r="X180" s="522"/>
      <c r="Y180" s="522"/>
      <c r="Z180" s="522"/>
      <c r="AA180" s="522"/>
      <c r="AB180" s="522"/>
      <c r="AC180" s="522"/>
      <c r="AD180" s="522"/>
      <c r="AE180" s="522"/>
      <c r="AF180" s="522"/>
      <c r="AG180" s="162"/>
      <c r="AH180" s="116"/>
    </row>
    <row r="181" spans="1:34" ht="17.850000000000001" customHeight="1">
      <c r="A181" s="116"/>
      <c r="B181" s="121"/>
      <c r="D181" s="427"/>
      <c r="E181" s="427"/>
      <c r="P181" s="25" t="s">
        <v>2325</v>
      </c>
      <c r="T181" s="25">
        <f>COUNTIFS(Table4[Status Anterior],'1. Status Resumo FY24'!$P181,Table4[Sub-âmbito],'1. Status Resumo FY24'!$G$149,Table4[Tipo de teste],"2. Campo")</f>
        <v>74</v>
      </c>
      <c r="U181" s="25">
        <f>COUNTIFS(Table4[Status Atual],'1. Status Resumo FY24'!$P181,Table4[Sub-âmbito],'1. Status Resumo FY24'!$G$149,Table4[Tipo de teste],"2. Campo")</f>
        <v>74</v>
      </c>
      <c r="V181" s="25">
        <f t="shared" si="9"/>
        <v>0</v>
      </c>
      <c r="X181" s="522"/>
      <c r="Y181" s="522"/>
      <c r="Z181" s="522"/>
      <c r="AA181" s="522"/>
      <c r="AB181" s="522"/>
      <c r="AC181" s="522"/>
      <c r="AD181" s="522"/>
      <c r="AE181" s="522"/>
      <c r="AF181" s="522"/>
      <c r="AG181" s="162"/>
      <c r="AH181" s="116"/>
    </row>
    <row r="182" spans="1:34" ht="17.850000000000001" customHeight="1">
      <c r="A182" s="116"/>
      <c r="B182" s="121"/>
      <c r="D182" s="371"/>
      <c r="E182" s="503" t="str">
        <f>+"#"&amp;$U$190</f>
        <v>#135</v>
      </c>
      <c r="P182" s="375" t="s">
        <v>2371</v>
      </c>
      <c r="Q182" s="376"/>
      <c r="R182" s="376"/>
      <c r="S182" s="376"/>
      <c r="T182" s="446">
        <f>COUNTIFS(Table4[Status Anterior],'1. Status Resumo FY24'!$P181,Table4[Sub-âmbito],'1. Status Resumo FY24'!$G$149,Table4[Tipo de teste],"2. Campo",'2. Status Detalhe Campos FY24'!$U$7:$U$741,"*Plano anterior*")</f>
        <v>7</v>
      </c>
      <c r="U182" s="446">
        <f>COUNTIFS(Table4[Status Atual],'1. Status Resumo FY24'!$P181,Table4[Sub-âmbito],'1. Status Resumo FY24'!$G$149,Table4[Tipo de teste],"2. Campo",'2. Status Detalhe Campos FY24'!$U$7:$U$741,"*Plano anterior*")</f>
        <v>7</v>
      </c>
      <c r="V182" s="446">
        <f t="shared" si="9"/>
        <v>0</v>
      </c>
      <c r="X182" s="522"/>
      <c r="Y182" s="522"/>
      <c r="Z182" s="522"/>
      <c r="AA182" s="522"/>
      <c r="AB182" s="522"/>
      <c r="AC182" s="522"/>
      <c r="AD182" s="522"/>
      <c r="AE182" s="522"/>
      <c r="AF182" s="522"/>
      <c r="AG182" s="162"/>
      <c r="AH182" s="116"/>
    </row>
    <row r="183" spans="1:34" ht="17.850000000000001" customHeight="1">
      <c r="A183" s="116"/>
      <c r="B183" s="121"/>
      <c r="D183" s="371"/>
      <c r="E183" s="503"/>
      <c r="P183" s="375" t="s">
        <v>2366</v>
      </c>
      <c r="Q183" s="376"/>
      <c r="R183" s="376"/>
      <c r="S183" s="376"/>
      <c r="T183" s="446">
        <f>COUNTIFS(Table4[Status Anterior],'1. Status Resumo FY24'!$P181,Table4[Sub-âmbito],'1. Status Resumo FY24'!$G$149,Table4[Tipo de teste],"2. Campo",'2. Status Detalhe Campos FY24'!$U$7:$U$741,"*Novo Plano*",'2. Status Detalhe Campos FY24'!$T$7:$T$741,"*Âmbito ESTR e (ou) LF*")</f>
        <v>20</v>
      </c>
      <c r="U183" s="446">
        <f>COUNTIFS(Table4[Status Atual],'1. Status Resumo FY24'!$P181,Table4[Sub-âmbito],'1. Status Resumo FY24'!$G$149,Table4[Tipo de teste],"2. Campo",'2. Status Detalhe Campos FY24'!$U$7:$U$741,"*Novo Plano*",'2. Status Detalhe Campos FY24'!$U$7:$U$741,"*Novo Plano*",'2. Status Detalhe Campos FY24'!$T$7:$T$741,"*Âmbito ESTR e (ou) LF*")</f>
        <v>20</v>
      </c>
      <c r="V183" s="446">
        <f t="shared" si="9"/>
        <v>0</v>
      </c>
      <c r="X183" s="522"/>
      <c r="Y183" s="522"/>
      <c r="Z183" s="522"/>
      <c r="AA183" s="522"/>
      <c r="AB183" s="522"/>
      <c r="AC183" s="522"/>
      <c r="AD183" s="522"/>
      <c r="AE183" s="522"/>
      <c r="AF183" s="522"/>
      <c r="AG183" s="162"/>
      <c r="AH183" s="116"/>
    </row>
    <row r="184" spans="1:34" ht="17.850000000000001" customHeight="1">
      <c r="A184" s="116"/>
      <c r="B184" s="121"/>
      <c r="D184" s="371"/>
      <c r="E184" s="503"/>
      <c r="P184" s="377" t="s">
        <v>2367</v>
      </c>
      <c r="Q184" s="378"/>
      <c r="R184" s="378"/>
      <c r="S184" s="378"/>
      <c r="T184" s="447">
        <f>COUNTIFS(Table4[Status Anterior],'1. Status Resumo FY24'!$P181,Table4[Sub-âmbito],'1. Status Resumo FY24'!$G$149,Table4[Tipo de teste],"2. Campo",'2. Status Detalhe Campos FY24'!$U$7:$U$741,"*Novo Plano*",'2. Status Detalhe Campos FY24'!$T$7:$T$741,"*Outros*")</f>
        <v>47</v>
      </c>
      <c r="U184" s="447">
        <f>COUNTIFS(Table4[Status Atual],'1. Status Resumo FY24'!$P181,Table4[Sub-âmbito],'1. Status Resumo FY24'!$G$149,Table4[Tipo de teste],"2. Campo",'2. Status Detalhe Campos FY24'!$U$7:$U$741,"*Novo Plano*",'2. Status Detalhe Campos FY24'!$U$7:$U$741,"*Novo Plano*",'2. Status Detalhe Campos FY24'!$T$7:$T$741,"*Outros*")</f>
        <v>47</v>
      </c>
      <c r="V184" s="447">
        <f t="shared" si="9"/>
        <v>0</v>
      </c>
      <c r="X184" s="522"/>
      <c r="Y184" s="522"/>
      <c r="Z184" s="522"/>
      <c r="AA184" s="522"/>
      <c r="AB184" s="522"/>
      <c r="AC184" s="522"/>
      <c r="AD184" s="522"/>
      <c r="AE184" s="522"/>
      <c r="AF184" s="522"/>
      <c r="AG184" s="162"/>
      <c r="AH184" s="116"/>
    </row>
    <row r="185" spans="1:34" ht="17.850000000000001" customHeight="1">
      <c r="A185" s="116"/>
      <c r="B185" s="121"/>
      <c r="P185" s="25" t="s">
        <v>28</v>
      </c>
      <c r="T185" s="25">
        <f>COUNTIFS(Table4[Status Anterior],'1. Status Resumo FY24'!$P185,Table4[Sub-âmbito],'1. Status Resumo FY24'!$G$149,Table4[Tipo de teste],"2. Campo")</f>
        <v>0</v>
      </c>
      <c r="U185" s="25">
        <f>COUNTIFS(Table4[Status Atual],'1. Status Resumo FY24'!$P185,Table4[Sub-âmbito],'1. Status Resumo FY24'!$G$149,Table4[Tipo de teste],"2. Campo")</f>
        <v>0</v>
      </c>
      <c r="V185" s="25">
        <f t="shared" si="9"/>
        <v>0</v>
      </c>
      <c r="X185" s="522"/>
      <c r="Y185" s="522"/>
      <c r="Z185" s="522"/>
      <c r="AA185" s="522"/>
      <c r="AB185" s="522"/>
      <c r="AC185" s="522"/>
      <c r="AD185" s="522"/>
      <c r="AE185" s="522"/>
      <c r="AF185" s="522"/>
      <c r="AG185" s="162"/>
      <c r="AH185" s="116"/>
    </row>
    <row r="186" spans="1:34" ht="17.850000000000001" customHeight="1">
      <c r="A186" s="116"/>
      <c r="B186" s="121"/>
      <c r="P186" s="375" t="s">
        <v>2371</v>
      </c>
      <c r="Q186" s="376"/>
      <c r="R186" s="376"/>
      <c r="S186" s="376"/>
      <c r="T186" s="446">
        <f>COUNTIFS(Table4[Status Anterior],'1. Status Resumo FY24'!$P185,Table4[Sub-âmbito],'1. Status Resumo FY24'!$G$149,Table4[Tipo de teste],"2. Campo",'2. Status Detalhe Campos FY24'!$U$7:$U$741,"*Plano anterior*")</f>
        <v>0</v>
      </c>
      <c r="U186" s="446">
        <f>COUNTIFS(Table4[Status Atual],'1. Status Resumo FY24'!$P185,Table4[Sub-âmbito],'1. Status Resumo FY24'!$G$149,Table4[Tipo de teste],"2. Campo",'2. Status Detalhe Campos FY24'!$U$7:$U$741,"*Plano anterior*")</f>
        <v>0</v>
      </c>
      <c r="V186" s="446">
        <f t="shared" si="9"/>
        <v>0</v>
      </c>
      <c r="X186" s="522"/>
      <c r="Y186" s="522"/>
      <c r="Z186" s="522"/>
      <c r="AA186" s="522"/>
      <c r="AB186" s="522"/>
      <c r="AC186" s="522"/>
      <c r="AD186" s="522"/>
      <c r="AE186" s="522"/>
      <c r="AF186" s="522"/>
      <c r="AG186" s="162"/>
      <c r="AH186" s="116"/>
    </row>
    <row r="187" spans="1:34" ht="17.850000000000001" customHeight="1">
      <c r="A187" s="116"/>
      <c r="B187" s="121"/>
      <c r="P187" s="375" t="s">
        <v>2366</v>
      </c>
      <c r="Q187" s="376"/>
      <c r="R187" s="376"/>
      <c r="S187" s="376"/>
      <c r="T187" s="446">
        <f>COUNTIFS(Table4[Status Anterior],'1. Status Resumo FY24'!$P185,Table4[Sub-âmbito],'1. Status Resumo FY24'!$G$149,Table4[Tipo de teste],"2. Campo",'2. Status Detalhe Campos FY24'!$U$7:$U$741,"*Novo Plano*",'2. Status Detalhe Campos FY24'!$T$7:$T$741,"*Âmbito ESTR e (ou) LF*")</f>
        <v>0</v>
      </c>
      <c r="U187" s="446">
        <f>COUNTIFS(Table4[Status Atual],'1. Status Resumo FY24'!$P185,Table4[Sub-âmbito],'1. Status Resumo FY24'!$G$149,Table4[Tipo de teste],"2. Campo",'2. Status Detalhe Campos FY24'!$U$7:$U$741,"*Novo Plano*",'2. Status Detalhe Campos FY24'!$U$7:$U$741,"*Novo Plano*",'2. Status Detalhe Campos FY24'!$T$7:$T$741,"*Âmbito ESTR e (ou) LF*")</f>
        <v>0</v>
      </c>
      <c r="V187" s="446">
        <f t="shared" si="9"/>
        <v>0</v>
      </c>
      <c r="X187" s="522"/>
      <c r="Y187" s="522"/>
      <c r="Z187" s="522"/>
      <c r="AA187" s="522"/>
      <c r="AB187" s="522"/>
      <c r="AC187" s="522"/>
      <c r="AD187" s="522"/>
      <c r="AE187" s="522"/>
      <c r="AF187" s="522"/>
      <c r="AG187" s="162"/>
      <c r="AH187" s="116"/>
    </row>
    <row r="188" spans="1:34" ht="17.850000000000001" customHeight="1">
      <c r="A188" s="116"/>
      <c r="B188" s="121"/>
      <c r="P188" s="379" t="s">
        <v>2367</v>
      </c>
      <c r="Q188" s="380"/>
      <c r="R188" s="380"/>
      <c r="S188" s="380"/>
      <c r="T188" s="448">
        <f>COUNTIFS(Table4[Status Anterior],'1. Status Resumo FY24'!$P185,Table4[Sub-âmbito],'1. Status Resumo FY24'!$G$149,Table4[Tipo de teste],"2. Campo",'2. Status Detalhe Campos FY24'!$U$7:$U$741,"*Novo Plano*",'2. Status Detalhe Campos FY24'!$T$7:$T$741,"*Outros*")</f>
        <v>0</v>
      </c>
      <c r="U188" s="448">
        <f>COUNTIFS(Table4[Status Atual],'1. Status Resumo FY24'!$P185,Table4[Sub-âmbito],'1. Status Resumo FY24'!$G$149,Table4[Tipo de teste],"2. Campo",'2. Status Detalhe Campos FY24'!$U$7:$U$741,"*Novo Plano*",'2. Status Detalhe Campos FY24'!$U$7:$U$741,"*Novo Plano*",'2. Status Detalhe Campos FY24'!$T$7:$T$741,"*Outros*")</f>
        <v>0</v>
      </c>
      <c r="V188" s="448">
        <f t="shared" si="9"/>
        <v>0</v>
      </c>
      <c r="X188" s="522"/>
      <c r="Y188" s="522"/>
      <c r="Z188" s="522"/>
      <c r="AA188" s="522"/>
      <c r="AB188" s="522"/>
      <c r="AC188" s="522"/>
      <c r="AD188" s="522"/>
      <c r="AE188" s="522"/>
      <c r="AF188" s="522"/>
      <c r="AG188" s="162"/>
      <c r="AH188" s="116"/>
    </row>
    <row r="189" spans="1:34" ht="17.850000000000001" customHeight="1">
      <c r="A189" s="116"/>
      <c r="B189" s="121"/>
      <c r="P189" s="127" t="s">
        <v>2331</v>
      </c>
      <c r="T189" s="127">
        <f t="shared" ref="T189:U192" si="10">+SUM(T153,T157,T161,T165,T169,T173,T177,T181,T185)</f>
        <v>206</v>
      </c>
      <c r="U189" s="127">
        <f t="shared" si="10"/>
        <v>206</v>
      </c>
      <c r="V189" s="127">
        <f>+U189-T189</f>
        <v>0</v>
      </c>
      <c r="X189" s="522"/>
      <c r="Y189" s="522"/>
      <c r="Z189" s="522"/>
      <c r="AA189" s="522"/>
      <c r="AB189" s="522"/>
      <c r="AC189" s="522"/>
      <c r="AD189" s="522"/>
      <c r="AE189" s="522"/>
      <c r="AF189" s="522"/>
      <c r="AG189" s="162"/>
      <c r="AH189" s="116"/>
    </row>
    <row r="190" spans="1:34" ht="17.850000000000001" customHeight="1">
      <c r="A190" s="116"/>
      <c r="B190" s="121"/>
      <c r="P190" s="381" t="s">
        <v>2371</v>
      </c>
      <c r="T190" s="449">
        <f t="shared" si="10"/>
        <v>135</v>
      </c>
      <c r="U190" s="449">
        <f t="shared" si="10"/>
        <v>135</v>
      </c>
      <c r="V190" s="449">
        <f>+U190-T190</f>
        <v>0</v>
      </c>
      <c r="X190" s="522"/>
      <c r="Y190" s="522"/>
      <c r="Z190" s="522"/>
      <c r="AA190" s="522"/>
      <c r="AB190" s="522"/>
      <c r="AC190" s="522"/>
      <c r="AD190" s="522"/>
      <c r="AE190" s="522"/>
      <c r="AF190" s="522"/>
      <c r="AG190" s="162"/>
      <c r="AH190" s="116"/>
    </row>
    <row r="191" spans="1:34" ht="17.850000000000001" customHeight="1">
      <c r="A191" s="116"/>
      <c r="B191" s="121"/>
      <c r="P191" s="381" t="s">
        <v>2366</v>
      </c>
      <c r="T191" s="449">
        <f t="shared" si="10"/>
        <v>20</v>
      </c>
      <c r="U191" s="449">
        <f t="shared" si="10"/>
        <v>20</v>
      </c>
      <c r="V191" s="449">
        <f>+U191-T191</f>
        <v>0</v>
      </c>
      <c r="X191" s="522"/>
      <c r="Y191" s="522"/>
      <c r="Z191" s="522"/>
      <c r="AA191" s="522"/>
      <c r="AB191" s="522"/>
      <c r="AC191" s="522"/>
      <c r="AD191" s="522"/>
      <c r="AE191" s="522"/>
      <c r="AF191" s="522"/>
      <c r="AG191" s="162"/>
      <c r="AH191" s="116"/>
    </row>
    <row r="192" spans="1:34" ht="17.850000000000001" customHeight="1">
      <c r="A192" s="116"/>
      <c r="B192" s="121"/>
      <c r="P192" s="382" t="s">
        <v>2367</v>
      </c>
      <c r="Q192" s="130"/>
      <c r="R192" s="130"/>
      <c r="S192" s="130"/>
      <c r="T192" s="450">
        <f t="shared" si="10"/>
        <v>51</v>
      </c>
      <c r="U192" s="450">
        <f t="shared" si="10"/>
        <v>51</v>
      </c>
      <c r="V192" s="450">
        <f>+U192-T192</f>
        <v>0</v>
      </c>
      <c r="X192" s="522"/>
      <c r="Y192" s="522"/>
      <c r="Z192" s="522"/>
      <c r="AA192" s="522"/>
      <c r="AB192" s="522"/>
      <c r="AC192" s="522"/>
      <c r="AD192" s="522"/>
      <c r="AE192" s="522"/>
      <c r="AF192" s="522"/>
      <c r="AG192" s="162"/>
      <c r="AH192" s="116"/>
    </row>
    <row r="193" spans="1:34">
      <c r="A193" s="116"/>
      <c r="B193" s="121"/>
      <c r="T193" s="127"/>
      <c r="U193" s="127"/>
      <c r="X193" s="522"/>
      <c r="Y193" s="522"/>
      <c r="Z193" s="522"/>
      <c r="AA193" s="522"/>
      <c r="AB193" s="522"/>
      <c r="AC193" s="522"/>
      <c r="AD193" s="522"/>
      <c r="AE193" s="522"/>
      <c r="AF193" s="522"/>
      <c r="AG193" s="162"/>
      <c r="AH193" s="116"/>
    </row>
    <row r="194" spans="1:34">
      <c r="A194" s="116"/>
      <c r="B194" s="121"/>
      <c r="P194" s="129" t="s">
        <v>617</v>
      </c>
      <c r="Q194" s="130"/>
      <c r="R194" s="130"/>
      <c r="S194" s="130"/>
      <c r="T194" s="130"/>
      <c r="U194" s="130"/>
      <c r="V194" s="130"/>
      <c r="X194" s="522"/>
      <c r="Y194" s="522"/>
      <c r="Z194" s="522"/>
      <c r="AA194" s="522"/>
      <c r="AB194" s="522"/>
      <c r="AC194" s="522"/>
      <c r="AD194" s="522"/>
      <c r="AE194" s="522"/>
      <c r="AF194" s="522"/>
      <c r="AG194" s="162"/>
      <c r="AH194" s="116"/>
    </row>
    <row r="195" spans="1:34">
      <c r="A195" s="116"/>
      <c r="B195" s="121"/>
      <c r="O195" s="159" t="s">
        <v>619</v>
      </c>
      <c r="P195" s="25" t="s">
        <v>379</v>
      </c>
      <c r="T195" s="200" t="s">
        <v>1846</v>
      </c>
      <c r="X195" s="522"/>
      <c r="Y195" s="522"/>
      <c r="Z195" s="522"/>
      <c r="AA195" s="522"/>
      <c r="AB195" s="522"/>
      <c r="AC195" s="522"/>
      <c r="AD195" s="522"/>
      <c r="AE195" s="522"/>
      <c r="AF195" s="522"/>
      <c r="AG195" s="162"/>
      <c r="AH195" s="116"/>
    </row>
    <row r="196" spans="1:34">
      <c r="A196" s="116"/>
      <c r="B196" s="121"/>
      <c r="O196" s="159" t="s">
        <v>619</v>
      </c>
      <c r="P196" s="25" t="s">
        <v>335</v>
      </c>
      <c r="T196" s="200" t="s">
        <v>1846</v>
      </c>
      <c r="X196" s="522"/>
      <c r="Y196" s="522"/>
      <c r="Z196" s="522"/>
      <c r="AA196" s="522"/>
      <c r="AB196" s="522"/>
      <c r="AC196" s="522"/>
      <c r="AD196" s="522"/>
      <c r="AE196" s="522"/>
      <c r="AF196" s="522"/>
      <c r="AG196" s="162"/>
      <c r="AH196" s="116"/>
    </row>
    <row r="197" spans="1:34">
      <c r="A197" s="116"/>
      <c r="B197" s="121"/>
      <c r="O197" s="159" t="s">
        <v>619</v>
      </c>
      <c r="P197" s="25" t="s">
        <v>368</v>
      </c>
      <c r="T197" s="200" t="s">
        <v>1846</v>
      </c>
      <c r="X197" s="522"/>
      <c r="Y197" s="522"/>
      <c r="Z197" s="522"/>
      <c r="AA197" s="522"/>
      <c r="AB197" s="522"/>
      <c r="AC197" s="522"/>
      <c r="AD197" s="522"/>
      <c r="AE197" s="522"/>
      <c r="AF197" s="522"/>
      <c r="AG197" s="162"/>
      <c r="AH197" s="116"/>
    </row>
    <row r="198" spans="1:34">
      <c r="A198" s="116"/>
      <c r="B198" s="121"/>
      <c r="O198" s="159" t="s">
        <v>619</v>
      </c>
      <c r="P198" s="25" t="s">
        <v>439</v>
      </c>
      <c r="T198" s="161" t="s">
        <v>621</v>
      </c>
      <c r="X198" s="522"/>
      <c r="Y198" s="522"/>
      <c r="Z198" s="522"/>
      <c r="AA198" s="522"/>
      <c r="AB198" s="522"/>
      <c r="AC198" s="522"/>
      <c r="AD198" s="522"/>
      <c r="AE198" s="522"/>
      <c r="AF198" s="522"/>
      <c r="AG198" s="162"/>
      <c r="AH198" s="116"/>
    </row>
    <row r="199" spans="1:34">
      <c r="A199" s="116"/>
      <c r="B199" s="121"/>
      <c r="O199" s="159" t="s">
        <v>619</v>
      </c>
      <c r="P199" s="25" t="s">
        <v>441</v>
      </c>
      <c r="T199" s="488" t="s">
        <v>2437</v>
      </c>
      <c r="X199" s="522"/>
      <c r="Y199" s="522"/>
      <c r="Z199" s="522"/>
      <c r="AA199" s="522"/>
      <c r="AB199" s="522"/>
      <c r="AC199" s="522"/>
      <c r="AD199" s="522"/>
      <c r="AE199" s="522"/>
      <c r="AF199" s="522"/>
      <c r="AG199" s="162"/>
      <c r="AH199" s="116"/>
    </row>
    <row r="200" spans="1:34">
      <c r="A200" s="116"/>
      <c r="B200" s="121"/>
      <c r="O200" s="159" t="s">
        <v>619</v>
      </c>
      <c r="P200" s="25" t="s">
        <v>1865</v>
      </c>
      <c r="T200" s="200" t="s">
        <v>1846</v>
      </c>
      <c r="X200" s="522"/>
      <c r="Y200" s="522"/>
      <c r="Z200" s="522"/>
      <c r="AA200" s="522"/>
      <c r="AB200" s="522"/>
      <c r="AC200" s="522"/>
      <c r="AD200" s="522"/>
      <c r="AE200" s="522"/>
      <c r="AF200" s="522"/>
      <c r="AG200" s="162"/>
      <c r="AH200" s="116"/>
    </row>
    <row r="201" spans="1:34">
      <c r="A201" s="116"/>
      <c r="B201" s="121"/>
      <c r="O201" s="159" t="s">
        <v>619</v>
      </c>
      <c r="P201" s="25" t="s">
        <v>1866</v>
      </c>
      <c r="T201" s="161" t="s">
        <v>621</v>
      </c>
      <c r="X201" s="522"/>
      <c r="Y201" s="522"/>
      <c r="Z201" s="522"/>
      <c r="AA201" s="522"/>
      <c r="AB201" s="522"/>
      <c r="AC201" s="522"/>
      <c r="AD201" s="522"/>
      <c r="AE201" s="522"/>
      <c r="AF201" s="522"/>
      <c r="AG201" s="162"/>
      <c r="AH201" s="116"/>
    </row>
    <row r="202" spans="1:34">
      <c r="A202" s="116"/>
      <c r="B202" s="121"/>
      <c r="O202" s="159" t="s">
        <v>619</v>
      </c>
      <c r="P202" s="25" t="s">
        <v>392</v>
      </c>
      <c r="T202" s="161" t="s">
        <v>621</v>
      </c>
      <c r="X202" s="522"/>
      <c r="Y202" s="522"/>
      <c r="Z202" s="522"/>
      <c r="AA202" s="522"/>
      <c r="AB202" s="522"/>
      <c r="AC202" s="522"/>
      <c r="AD202" s="522"/>
      <c r="AE202" s="522"/>
      <c r="AF202" s="522"/>
      <c r="AG202" s="162"/>
      <c r="AH202" s="116"/>
    </row>
    <row r="203" spans="1:34">
      <c r="A203" s="116"/>
      <c r="B203" s="121"/>
      <c r="O203" s="159"/>
      <c r="T203" s="161"/>
      <c r="X203" s="522"/>
      <c r="Y203" s="522"/>
      <c r="Z203" s="522"/>
      <c r="AA203" s="522"/>
      <c r="AB203" s="522"/>
      <c r="AC203" s="522"/>
      <c r="AD203" s="522"/>
      <c r="AE203" s="522"/>
      <c r="AF203" s="522"/>
      <c r="AG203" s="162"/>
      <c r="AH203" s="116"/>
    </row>
    <row r="204" spans="1:34">
      <c r="A204" s="116"/>
      <c r="B204" s="121"/>
      <c r="O204" s="159"/>
      <c r="T204" s="161"/>
      <c r="X204" s="522"/>
      <c r="Y204" s="522"/>
      <c r="Z204" s="522"/>
      <c r="AA204" s="522"/>
      <c r="AB204" s="522"/>
      <c r="AC204" s="522"/>
      <c r="AD204" s="522"/>
      <c r="AE204" s="522"/>
      <c r="AF204" s="522"/>
      <c r="AG204" s="162"/>
      <c r="AH204" s="116"/>
    </row>
    <row r="205" spans="1:34">
      <c r="A205" s="116"/>
      <c r="B205" s="121"/>
      <c r="O205" s="159"/>
      <c r="T205" s="161"/>
      <c r="X205" s="522"/>
      <c r="Y205" s="522"/>
      <c r="Z205" s="522"/>
      <c r="AA205" s="522"/>
      <c r="AB205" s="522"/>
      <c r="AC205" s="522"/>
      <c r="AD205" s="522"/>
      <c r="AE205" s="522"/>
      <c r="AF205" s="522"/>
      <c r="AG205" s="162"/>
      <c r="AH205" s="116"/>
    </row>
    <row r="206" spans="1:34">
      <c r="A206" s="116"/>
      <c r="B206" s="121"/>
      <c r="X206" s="522"/>
      <c r="Y206" s="522"/>
      <c r="Z206" s="522"/>
      <c r="AA206" s="522"/>
      <c r="AB206" s="522"/>
      <c r="AC206" s="522"/>
      <c r="AD206" s="522"/>
      <c r="AE206" s="522"/>
      <c r="AF206" s="522"/>
      <c r="AG206" s="162"/>
      <c r="AH206" s="116"/>
    </row>
    <row r="207" spans="1:34">
      <c r="A207" s="116"/>
      <c r="B207" s="123"/>
      <c r="C207" s="124"/>
      <c r="D207" s="124"/>
      <c r="E207" s="124"/>
      <c r="F207" s="124"/>
      <c r="G207" s="124"/>
      <c r="H207" s="124"/>
      <c r="I207" s="124"/>
      <c r="J207" s="124"/>
      <c r="K207" s="124"/>
      <c r="L207" s="124"/>
      <c r="M207" s="124"/>
      <c r="N207" s="124"/>
      <c r="O207" s="124"/>
      <c r="P207" s="124"/>
      <c r="Q207" s="124"/>
      <c r="R207" s="124"/>
      <c r="S207" s="124"/>
      <c r="T207" s="124"/>
      <c r="U207" s="124"/>
      <c r="V207" s="124"/>
      <c r="W207" s="124"/>
      <c r="X207" s="124"/>
      <c r="Y207" s="124"/>
      <c r="Z207" s="124"/>
      <c r="AA207" s="124"/>
      <c r="AB207" s="124"/>
      <c r="AC207" s="124"/>
      <c r="AD207" s="124"/>
      <c r="AE207" s="124"/>
      <c r="AF207" s="124"/>
      <c r="AG207" s="125"/>
      <c r="AH207" s="116"/>
    </row>
    <row r="208" spans="1:34" ht="22.35" hidden="1" customHeight="1">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row>
    <row r="209" spans="1:34" ht="5.0999999999999996" hidden="1" customHeight="1">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row>
    <row r="210" spans="1:34" ht="17.850000000000001" hidden="1" customHeight="1">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row>
    <row r="211" spans="1:34" ht="17.850000000000001" hidden="1" customHeight="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row>
    <row r="212" spans="1:34" ht="17.850000000000001" hidden="1" customHeight="1">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row>
    <row r="213" spans="1:34" ht="17.850000000000001" hidden="1" customHeight="1">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row>
    <row r="214" spans="1:34" ht="17.850000000000001" hidden="1" customHeight="1">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row>
    <row r="215" spans="1:34" ht="17.850000000000001" hidden="1" customHeight="1">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row>
    <row r="216" spans="1:34" ht="17.850000000000001" hidden="1" customHeight="1">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row>
    <row r="217" spans="1:34" ht="17.850000000000001" hidden="1"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row>
    <row r="218" spans="1:34" ht="17.850000000000001" hidden="1" customHeight="1">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row>
    <row r="219" spans="1:34" ht="17.850000000000001" hidden="1" customHeight="1">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row>
    <row r="220" spans="1:34" ht="17.850000000000001" hidden="1" customHeight="1">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row>
    <row r="221" spans="1:34" ht="17.850000000000001" hidden="1" customHeight="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row>
    <row r="222" spans="1:34" ht="17.850000000000001" hidden="1" customHeigh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row>
    <row r="223" spans="1:34">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row>
    <row r="224" spans="1:34">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row>
    <row r="225" spans="1:34" ht="17.850000000000001" hidden="1"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row>
    <row r="226" spans="1:34" ht="17.850000000000001" hidden="1"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row>
    <row r="227" spans="1:34" ht="17.850000000000001" hidden="1" customHeigh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row>
    <row r="228" spans="1:34" ht="17.850000000000001" hidden="1" customHeight="1">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row>
    <row r="229" spans="1:34" ht="17.850000000000001" hidden="1" customHeight="1">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row>
    <row r="230" spans="1:34" ht="17.850000000000001" hidden="1" customHeight="1">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row>
    <row r="231" spans="1:34" ht="17.850000000000001" hidden="1" customHeight="1">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row>
    <row r="232" spans="1:34" ht="17.850000000000001" hidden="1" customHeight="1">
      <c r="A232" s="116"/>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c r="AH232" s="116"/>
    </row>
    <row r="233" spans="1:34" ht="17.850000000000001" hidden="1" customHeight="1">
      <c r="A233" s="116"/>
      <c r="B233" s="116"/>
      <c r="C233" s="116"/>
      <c r="D233" s="116"/>
      <c r="E233" s="116"/>
      <c r="F233" s="116"/>
      <c r="G233" s="116"/>
      <c r="H233" s="116"/>
      <c r="I233" s="116"/>
      <c r="J233" s="116"/>
      <c r="K233" s="116"/>
      <c r="L233" s="116"/>
      <c r="M233" s="116"/>
      <c r="N233" s="116"/>
      <c r="O233" s="116"/>
      <c r="P233" s="116"/>
      <c r="Q233" s="116"/>
      <c r="R233" s="116"/>
      <c r="S233" s="116"/>
      <c r="T233" s="116"/>
      <c r="U233" s="116"/>
      <c r="V233" s="116"/>
      <c r="W233" s="116"/>
      <c r="X233" s="116"/>
      <c r="Y233" s="116"/>
      <c r="Z233" s="116"/>
      <c r="AA233" s="116"/>
      <c r="AB233" s="116"/>
      <c r="AC233" s="116"/>
      <c r="AD233" s="116"/>
      <c r="AE233" s="116"/>
      <c r="AF233" s="116"/>
      <c r="AG233" s="116"/>
      <c r="AH233" s="116"/>
    </row>
    <row r="234" spans="1:34" ht="17.850000000000001" hidden="1" customHeight="1">
      <c r="A234" s="116"/>
      <c r="B234" s="116"/>
      <c r="C234" s="116"/>
      <c r="D234" s="116"/>
      <c r="E234" s="116"/>
      <c r="F234" s="116"/>
      <c r="G234" s="116"/>
      <c r="H234" s="116"/>
      <c r="I234" s="116"/>
      <c r="J234" s="116"/>
      <c r="K234" s="116"/>
      <c r="L234" s="116"/>
      <c r="M234" s="116"/>
      <c r="N234" s="116"/>
      <c r="O234" s="116"/>
      <c r="P234" s="116"/>
      <c r="Q234" s="116"/>
      <c r="R234" s="116"/>
      <c r="S234" s="116"/>
      <c r="T234" s="116"/>
      <c r="U234" s="116"/>
      <c r="V234" s="116"/>
      <c r="W234" s="116"/>
      <c r="X234" s="116"/>
      <c r="Y234" s="116"/>
      <c r="Z234" s="116"/>
      <c r="AA234" s="116"/>
      <c r="AB234" s="116"/>
      <c r="AC234" s="116"/>
      <c r="AD234" s="116"/>
      <c r="AE234" s="116"/>
      <c r="AF234" s="116"/>
      <c r="AG234" s="116"/>
      <c r="AH234" s="116"/>
    </row>
    <row r="235" spans="1:34" ht="17.850000000000001" hidden="1" customHeight="1">
      <c r="A235" s="116"/>
      <c r="B235" s="116"/>
      <c r="C235" s="116"/>
      <c r="D235" s="116"/>
      <c r="E235" s="116"/>
      <c r="F235" s="116"/>
      <c r="G235" s="116"/>
      <c r="H235" s="116"/>
      <c r="I235" s="116"/>
      <c r="J235" s="116"/>
      <c r="K235" s="116"/>
      <c r="L235" s="116"/>
      <c r="M235" s="116"/>
      <c r="N235" s="116"/>
      <c r="O235" s="116"/>
      <c r="P235" s="116"/>
      <c r="Q235" s="116"/>
      <c r="R235" s="116"/>
      <c r="S235" s="116"/>
      <c r="T235" s="116"/>
      <c r="U235" s="116"/>
      <c r="V235" s="116"/>
      <c r="W235" s="116"/>
      <c r="X235" s="116"/>
      <c r="Y235" s="116"/>
      <c r="Z235" s="116"/>
      <c r="AA235" s="116"/>
      <c r="AB235" s="116"/>
      <c r="AC235" s="116"/>
      <c r="AD235" s="116"/>
      <c r="AE235" s="116"/>
      <c r="AF235" s="116"/>
      <c r="AG235" s="116"/>
      <c r="AH235" s="116"/>
    </row>
    <row r="236" spans="1:34" s="198" customFormat="1">
      <c r="A236" s="116"/>
      <c r="B236" s="116"/>
      <c r="C236" s="116"/>
      <c r="D236" s="116"/>
      <c r="E236" s="116"/>
      <c r="F236" s="116"/>
      <c r="G236" s="116"/>
      <c r="H236" s="116"/>
      <c r="I236" s="116"/>
      <c r="J236" s="116"/>
      <c r="K236" s="116"/>
      <c r="L236" s="116"/>
      <c r="M236" s="116"/>
      <c r="N236" s="116"/>
      <c r="O236" s="116"/>
      <c r="P236" s="116"/>
      <c r="Q236" s="116"/>
      <c r="R236" s="116"/>
      <c r="S236" s="116"/>
      <c r="T236" s="116"/>
      <c r="U236" s="116"/>
      <c r="V236" s="116"/>
      <c r="W236" s="116"/>
      <c r="X236" s="116"/>
      <c r="Y236" s="116"/>
      <c r="Z236" s="116"/>
      <c r="AA236" s="116"/>
      <c r="AB236" s="116"/>
      <c r="AC236" s="116"/>
      <c r="AD236" s="116"/>
      <c r="AE236" s="116"/>
      <c r="AF236" s="116"/>
      <c r="AG236" s="116"/>
      <c r="AH236" s="116"/>
    </row>
    <row r="237" spans="1:34" s="198" customFormat="1" hidden="1">
      <c r="B237" s="116"/>
      <c r="C237" s="116"/>
      <c r="D237" s="116"/>
      <c r="E237" s="116"/>
      <c r="F237" s="116"/>
      <c r="G237" s="116"/>
      <c r="H237" s="116"/>
      <c r="I237" s="116"/>
      <c r="J237" s="116"/>
      <c r="K237" s="116"/>
      <c r="L237" s="116"/>
      <c r="M237" s="116"/>
      <c r="N237" s="116"/>
      <c r="O237" s="116"/>
      <c r="P237" s="116"/>
      <c r="Q237" s="116"/>
      <c r="R237" s="116"/>
      <c r="S237" s="116"/>
      <c r="T237" s="116"/>
      <c r="U237" s="116"/>
      <c r="V237" s="116"/>
      <c r="W237" s="116"/>
      <c r="X237" s="116"/>
      <c r="Y237" s="116"/>
      <c r="Z237" s="116"/>
      <c r="AA237" s="116"/>
      <c r="AB237" s="116"/>
      <c r="AC237" s="116"/>
      <c r="AD237" s="116"/>
      <c r="AE237" s="116"/>
      <c r="AF237" s="116"/>
      <c r="AG237" s="116"/>
    </row>
    <row r="238" spans="1:34" s="198" customFormat="1" hidden="1"/>
    <row r="239" spans="1:34" s="198" customFormat="1" hidden="1"/>
    <row r="240" spans="1:34" s="198" customFormat="1" hidden="1"/>
    <row r="241" spans="2:33" hidden="1">
      <c r="B241" s="198"/>
      <c r="C241" s="198"/>
      <c r="D241" s="198"/>
      <c r="E241" s="198"/>
      <c r="F241" s="198"/>
      <c r="G241" s="198"/>
      <c r="H241" s="198"/>
      <c r="I241" s="198"/>
      <c r="J241" s="198"/>
      <c r="K241" s="198"/>
      <c r="L241" s="198"/>
      <c r="M241" s="198"/>
      <c r="N241" s="198"/>
      <c r="O241" s="198"/>
      <c r="P241" s="198"/>
      <c r="Q241" s="198"/>
      <c r="R241" s="198"/>
      <c r="S241" s="198"/>
      <c r="T241" s="198"/>
      <c r="U241" s="198"/>
      <c r="V241" s="198"/>
      <c r="W241" s="198"/>
      <c r="X241" s="198"/>
      <c r="Y241" s="198"/>
      <c r="Z241" s="198"/>
      <c r="AA241" s="198"/>
      <c r="AB241" s="198"/>
      <c r="AC241" s="198"/>
      <c r="AD241" s="198"/>
      <c r="AE241" s="198"/>
      <c r="AF241" s="198"/>
      <c r="AG241" s="198"/>
    </row>
  </sheetData>
  <sortState ref="O13:O20">
    <sortCondition ref="O13:O20"/>
  </sortState>
  <mergeCells count="38">
    <mergeCell ref="R15:S15"/>
    <mergeCell ref="R16:S16"/>
    <mergeCell ref="R17:S17"/>
    <mergeCell ref="T17:U17"/>
    <mergeCell ref="T12:U12"/>
    <mergeCell ref="T13:U13"/>
    <mergeCell ref="T14:U14"/>
    <mergeCell ref="T15:U15"/>
    <mergeCell ref="T16:U16"/>
    <mergeCell ref="C13:D13"/>
    <mergeCell ref="C16:D16"/>
    <mergeCell ref="C19:D19"/>
    <mergeCell ref="C22:D22"/>
    <mergeCell ref="L11:N11"/>
    <mergeCell ref="H11:K11"/>
    <mergeCell ref="C11:D12"/>
    <mergeCell ref="E11:G11"/>
    <mergeCell ref="C31:D31"/>
    <mergeCell ref="C34:D34"/>
    <mergeCell ref="C37:D37"/>
    <mergeCell ref="C26:D27"/>
    <mergeCell ref="C28:D28"/>
    <mergeCell ref="X10:AF45"/>
    <mergeCell ref="E162:E164"/>
    <mergeCell ref="E182:E184"/>
    <mergeCell ref="D109:D111"/>
    <mergeCell ref="J26:O26"/>
    <mergeCell ref="E26:I26"/>
    <mergeCell ref="P26:R26"/>
    <mergeCell ref="X52:AF90"/>
    <mergeCell ref="D61:E67"/>
    <mergeCell ref="X153:AF206"/>
    <mergeCell ref="X97:AF146"/>
    <mergeCell ref="T11:U11"/>
    <mergeCell ref="R11:S11"/>
    <mergeCell ref="R12:S12"/>
    <mergeCell ref="R13:S13"/>
    <mergeCell ref="R14:S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3.8"/>
  <cols>
    <col min="1" max="1" width="44.09765625" bestFit="1" customWidth="1"/>
    <col min="2" max="2" width="58.09765625" customWidth="1"/>
    <col min="3" max="3" width="100.59765625" customWidth="1"/>
  </cols>
  <sheetData>
    <row r="2" spans="2:10">
      <c r="D2" t="s">
        <v>1828</v>
      </c>
    </row>
    <row r="3" spans="2:10" ht="17.399999999999999">
      <c r="B3" s="16" t="s">
        <v>1829</v>
      </c>
      <c r="D3" t="s">
        <v>1157</v>
      </c>
    </row>
    <row r="4" spans="2:10" ht="17.399999999999999">
      <c r="B4" s="52" t="s">
        <v>1830</v>
      </c>
      <c r="C4" s="52" t="s">
        <v>1831</v>
      </c>
      <c r="D4" s="51" t="s">
        <v>1178</v>
      </c>
      <c r="E4" s="51" t="s">
        <v>1179</v>
      </c>
      <c r="F4" s="51" t="s">
        <v>1170</v>
      </c>
      <c r="H4" s="30" t="s">
        <v>1178</v>
      </c>
      <c r="I4" s="30" t="s">
        <v>1179</v>
      </c>
      <c r="J4" s="30" t="s">
        <v>1170</v>
      </c>
    </row>
    <row r="5" spans="2:10" ht="34.799999999999997">
      <c r="B5" s="2" t="s">
        <v>1168</v>
      </c>
      <c r="C5" s="4" t="s">
        <v>1832</v>
      </c>
      <c r="D5">
        <v>8</v>
      </c>
      <c r="E5">
        <v>8</v>
      </c>
      <c r="F5">
        <v>8</v>
      </c>
      <c r="H5" s="30">
        <v>1</v>
      </c>
      <c r="I5" s="30">
        <v>3</v>
      </c>
      <c r="J5" s="30">
        <v>8</v>
      </c>
    </row>
    <row r="6" spans="2:10" ht="34.799999999999997">
      <c r="B6" s="2" t="s">
        <v>1171</v>
      </c>
      <c r="C6" s="4" t="s">
        <v>1833</v>
      </c>
      <c r="D6">
        <v>2</v>
      </c>
      <c r="E6">
        <v>4</v>
      </c>
      <c r="F6">
        <v>8</v>
      </c>
      <c r="H6" s="30">
        <v>1</v>
      </c>
      <c r="I6" s="30">
        <v>3</v>
      </c>
      <c r="J6" s="30">
        <v>4</v>
      </c>
    </row>
    <row r="7" spans="2:10" ht="17.399999999999999">
      <c r="B7" s="2" t="s">
        <v>1172</v>
      </c>
      <c r="C7" s="4" t="s">
        <v>1834</v>
      </c>
      <c r="D7">
        <v>2</v>
      </c>
      <c r="E7">
        <v>4</v>
      </c>
      <c r="F7">
        <v>8</v>
      </c>
      <c r="H7" s="30">
        <v>1</v>
      </c>
      <c r="I7" s="30">
        <v>1</v>
      </c>
      <c r="J7" s="30">
        <v>2</v>
      </c>
    </row>
    <row r="8" spans="2:10" ht="17.399999999999999">
      <c r="B8" s="27" t="s">
        <v>1173</v>
      </c>
      <c r="C8" s="4" t="s">
        <v>1835</v>
      </c>
      <c r="D8">
        <v>2</v>
      </c>
      <c r="E8">
        <v>4</v>
      </c>
      <c r="F8">
        <v>8</v>
      </c>
      <c r="H8" s="30">
        <v>2</v>
      </c>
      <c r="I8" s="30">
        <v>4</v>
      </c>
      <c r="J8" s="30">
        <v>4</v>
      </c>
    </row>
    <row r="9" spans="2:10" ht="17.399999999999999">
      <c r="B9" s="28" t="s">
        <v>1176</v>
      </c>
      <c r="C9" s="4" t="s">
        <v>1836</v>
      </c>
      <c r="D9">
        <v>1</v>
      </c>
      <c r="E9">
        <v>1</v>
      </c>
      <c r="F9">
        <v>1</v>
      </c>
      <c r="H9" s="30"/>
      <c r="I9" s="30"/>
      <c r="J9" s="30"/>
    </row>
    <row r="10" spans="2:10" ht="52.2">
      <c r="B10" s="2" t="s">
        <v>1174</v>
      </c>
      <c r="C10" s="4" t="s">
        <v>1837</v>
      </c>
      <c r="D10">
        <v>0.1</v>
      </c>
      <c r="E10">
        <v>0.1</v>
      </c>
      <c r="F10">
        <v>0.1</v>
      </c>
      <c r="H10" s="30">
        <v>0.1</v>
      </c>
      <c r="I10" s="30">
        <v>0.5</v>
      </c>
      <c r="J10" s="30">
        <v>0.5</v>
      </c>
    </row>
    <row r="11" spans="2:10" ht="17.399999999999999">
      <c r="B11" s="28" t="s">
        <v>1175</v>
      </c>
      <c r="C11" s="4" t="s">
        <v>1838</v>
      </c>
      <c r="D11">
        <v>1</v>
      </c>
      <c r="E11">
        <v>2</v>
      </c>
      <c r="F11">
        <v>2</v>
      </c>
      <c r="H11" s="30"/>
      <c r="I11" s="30"/>
      <c r="J11" s="30"/>
    </row>
    <row r="12" spans="2:10" ht="17.399999999999999">
      <c r="B12" s="28" t="s">
        <v>1215</v>
      </c>
      <c r="C12" s="4" t="s">
        <v>1839</v>
      </c>
      <c r="D12">
        <v>0.5</v>
      </c>
      <c r="E12">
        <v>0.5</v>
      </c>
      <c r="F12">
        <v>0.5</v>
      </c>
      <c r="H12" s="30">
        <v>0.5</v>
      </c>
      <c r="I12" s="30">
        <v>0.5</v>
      </c>
      <c r="J12" s="30">
        <v>0.5</v>
      </c>
    </row>
    <row r="13" spans="2:10" ht="34.799999999999997">
      <c r="B13" s="33" t="s">
        <v>1182</v>
      </c>
      <c r="C13" s="4" t="s">
        <v>1840</v>
      </c>
      <c r="D13">
        <v>0.5</v>
      </c>
      <c r="E13">
        <v>0.5</v>
      </c>
      <c r="F13">
        <v>0.5</v>
      </c>
      <c r="H13" s="30">
        <v>0.5</v>
      </c>
      <c r="I13" s="30">
        <v>0.5</v>
      </c>
      <c r="J13" s="30">
        <v>0.5</v>
      </c>
    </row>
    <row r="14" spans="2:10" ht="17.399999999999999">
      <c r="B14" s="34"/>
      <c r="C14" s="26"/>
    </row>
    <row r="15" spans="2:10">
      <c r="B15" s="11" t="s">
        <v>13</v>
      </c>
    </row>
    <row r="16" spans="2:10" ht="17.399999999999999">
      <c r="B16" s="17" t="s">
        <v>612</v>
      </c>
      <c r="C16">
        <f>_xlfn.NUMBERVALUE(LEFT(B16,1))</f>
        <v>1</v>
      </c>
      <c r="D16" s="95">
        <v>1</v>
      </c>
      <c r="E16" s="95">
        <v>1</v>
      </c>
    </row>
    <row r="17" spans="1:5" ht="17.399999999999999">
      <c r="A17" t="s">
        <v>1841</v>
      </c>
      <c r="B17" s="17" t="s">
        <v>613</v>
      </c>
      <c r="C17">
        <v>4</v>
      </c>
      <c r="D17" s="95">
        <v>0.25</v>
      </c>
      <c r="E17" s="95">
        <v>0</v>
      </c>
    </row>
    <row r="18" spans="1:5" ht="17.399999999999999">
      <c r="B18" s="23" t="s">
        <v>28</v>
      </c>
      <c r="C18">
        <v>8</v>
      </c>
      <c r="D18" s="95">
        <v>0</v>
      </c>
      <c r="E18" s="95">
        <v>0</v>
      </c>
    </row>
    <row r="19" spans="1:5" ht="17.399999999999999">
      <c r="B19" s="1" t="s">
        <v>1845</v>
      </c>
      <c r="C19">
        <f>_xlfn.NUMBERVALUE(LEFT(B19,1))</f>
        <v>2</v>
      </c>
      <c r="D19" s="95">
        <v>0.5</v>
      </c>
      <c r="E19" s="95">
        <v>0.25</v>
      </c>
    </row>
    <row r="20" spans="1:5" ht="17.399999999999999">
      <c r="B20" s="1" t="s">
        <v>2324</v>
      </c>
      <c r="C20">
        <v>3</v>
      </c>
      <c r="D20" s="95">
        <v>0.5</v>
      </c>
      <c r="E20" s="95">
        <v>0</v>
      </c>
    </row>
    <row r="21" spans="1:5" ht="17.399999999999999">
      <c r="A21" t="s">
        <v>1842</v>
      </c>
      <c r="B21" s="24" t="s">
        <v>614</v>
      </c>
      <c r="C21">
        <v>5</v>
      </c>
      <c r="D21" s="95">
        <v>0.25</v>
      </c>
      <c r="E21" s="95">
        <v>0.25</v>
      </c>
    </row>
    <row r="22" spans="1:5" ht="17.399999999999999">
      <c r="A22" t="s">
        <v>1843</v>
      </c>
      <c r="B22" s="18" t="s">
        <v>615</v>
      </c>
      <c r="C22">
        <v>6</v>
      </c>
      <c r="D22" s="95">
        <v>0.25</v>
      </c>
      <c r="E22" s="95">
        <v>0</v>
      </c>
    </row>
    <row r="23" spans="1:5" ht="17.399999999999999">
      <c r="A23" t="s">
        <v>1843</v>
      </c>
      <c r="B23" s="18" t="s">
        <v>2325</v>
      </c>
      <c r="C23">
        <v>7</v>
      </c>
      <c r="D23" s="95">
        <v>0.25</v>
      </c>
      <c r="E23" s="95">
        <v>0</v>
      </c>
    </row>
    <row r="24" spans="1:5" ht="17.399999999999999">
      <c r="A24" t="s">
        <v>1844</v>
      </c>
      <c r="B24" s="1" t="s">
        <v>611</v>
      </c>
      <c r="C24">
        <f>_xlfn.NUMBERVALUE(LEFT(B24,1))</f>
        <v>0</v>
      </c>
      <c r="D24" s="95">
        <v>0</v>
      </c>
      <c r="E24" s="95">
        <v>0</v>
      </c>
    </row>
  </sheetData>
  <conditionalFormatting sqref="B16:B24">
    <cfRule type="cellIs" dxfId="260"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11"/>
  <sheetViews>
    <sheetView showGridLines="0" topLeftCell="A128" zoomScale="70" zoomScaleNormal="70" workbookViewId="0">
      <selection activeCell="I171" sqref="I171"/>
    </sheetView>
  </sheetViews>
  <sheetFormatPr defaultRowHeight="13.8"/>
  <cols>
    <col min="1" max="1" width="3.59765625" customWidth="1"/>
    <col min="2" max="2" width="20" customWidth="1"/>
    <col min="3" max="3" width="20.19921875" customWidth="1"/>
    <col min="4" max="4" width="12.19921875" customWidth="1"/>
    <col min="5" max="5" width="12.3984375" customWidth="1"/>
    <col min="6" max="6" width="15.19921875" customWidth="1"/>
    <col min="7" max="7" width="21.69921875" customWidth="1"/>
    <col min="8" max="8" width="20.19921875" customWidth="1"/>
    <col min="9" max="10" width="11.69921875" customWidth="1"/>
    <col min="11" max="11" width="13.09765625" bestFit="1" customWidth="1"/>
    <col min="12" max="12" width="13.09765625" customWidth="1"/>
    <col min="13" max="13" width="11.59765625" customWidth="1"/>
    <col min="14" max="14" width="16.09765625" bestFit="1" customWidth="1"/>
    <col min="15" max="15" width="11.59765625" bestFit="1" customWidth="1"/>
    <col min="16" max="16" width="11.09765625" bestFit="1" customWidth="1"/>
    <col min="17" max="18" width="14.09765625" bestFit="1" customWidth="1"/>
    <col min="19" max="19" width="11" bestFit="1" customWidth="1"/>
    <col min="20" max="20" width="11.59765625" bestFit="1" customWidth="1"/>
    <col min="21" max="21" width="11" bestFit="1" customWidth="1"/>
  </cols>
  <sheetData>
    <row r="2" spans="2:9" ht="22.2">
      <c r="B2" s="126" t="s">
        <v>1936</v>
      </c>
    </row>
    <row r="3" spans="2:9" ht="17.55" customHeight="1">
      <c r="B3" s="138"/>
    </row>
    <row r="6" spans="2:9" ht="18" customHeight="1">
      <c r="B6" s="49" t="s">
        <v>8</v>
      </c>
      <c r="C6" t="s">
        <v>26</v>
      </c>
    </row>
    <row r="7" spans="2:9">
      <c r="B7" s="49" t="s">
        <v>10</v>
      </c>
      <c r="C7" t="s">
        <v>40</v>
      </c>
    </row>
    <row r="9" spans="2:9">
      <c r="C9" s="49" t="s">
        <v>1150</v>
      </c>
    </row>
    <row r="10" spans="2:9">
      <c r="C10" t="s">
        <v>611</v>
      </c>
      <c r="D10" t="s">
        <v>612</v>
      </c>
      <c r="E10" t="s">
        <v>1845</v>
      </c>
      <c r="F10" t="s">
        <v>614</v>
      </c>
      <c r="G10" t="s">
        <v>2325</v>
      </c>
      <c r="H10" t="s">
        <v>2324</v>
      </c>
      <c r="I10" t="s">
        <v>1147</v>
      </c>
    </row>
    <row r="11" spans="2:9">
      <c r="B11" t="s">
        <v>1149</v>
      </c>
      <c r="C11" s="482">
        <v>32</v>
      </c>
      <c r="D11" s="482">
        <v>465</v>
      </c>
      <c r="E11" s="482">
        <v>65</v>
      </c>
      <c r="F11" s="482">
        <v>9</v>
      </c>
      <c r="G11" s="482">
        <v>138</v>
      </c>
      <c r="H11" s="482">
        <v>7</v>
      </c>
      <c r="I11" s="482">
        <v>716</v>
      </c>
    </row>
    <row r="18" spans="2:3">
      <c r="B18" s="50"/>
    </row>
    <row r="20" spans="2:3">
      <c r="B20" s="49" t="s">
        <v>8</v>
      </c>
      <c r="C20" t="s">
        <v>26</v>
      </c>
    </row>
    <row r="21" spans="2:3">
      <c r="B21" s="49" t="s">
        <v>10</v>
      </c>
      <c r="C21" t="s">
        <v>40</v>
      </c>
    </row>
    <row r="23" spans="2:3">
      <c r="B23" s="49" t="s">
        <v>1151</v>
      </c>
      <c r="C23" t="s">
        <v>1149</v>
      </c>
    </row>
    <row r="24" spans="2:3">
      <c r="B24" s="50" t="s">
        <v>611</v>
      </c>
      <c r="C24" s="482">
        <v>32</v>
      </c>
    </row>
    <row r="25" spans="2:3">
      <c r="B25" s="50" t="s">
        <v>612</v>
      </c>
      <c r="C25" s="482">
        <v>465</v>
      </c>
    </row>
    <row r="26" spans="2:3">
      <c r="B26" s="50" t="s">
        <v>1845</v>
      </c>
      <c r="C26" s="482">
        <v>65</v>
      </c>
    </row>
    <row r="27" spans="2:3">
      <c r="B27" s="50" t="s">
        <v>614</v>
      </c>
      <c r="C27" s="482">
        <v>9</v>
      </c>
    </row>
    <row r="28" spans="2:3">
      <c r="B28" s="50" t="s">
        <v>2325</v>
      </c>
      <c r="C28" s="482">
        <v>138</v>
      </c>
    </row>
    <row r="29" spans="2:3">
      <c r="B29" s="50" t="s">
        <v>2324</v>
      </c>
      <c r="C29" s="482">
        <v>7</v>
      </c>
    </row>
    <row r="30" spans="2:3">
      <c r="B30" s="50" t="s">
        <v>1147</v>
      </c>
      <c r="C30" s="482">
        <v>716</v>
      </c>
    </row>
    <row r="42" spans="2:12" ht="22.2">
      <c r="B42" s="126" t="s">
        <v>1937</v>
      </c>
      <c r="C42" s="10"/>
      <c r="D42" s="10"/>
      <c r="E42" s="10"/>
      <c r="F42" s="10"/>
      <c r="G42" s="10"/>
      <c r="H42" s="10"/>
      <c r="I42" s="10"/>
      <c r="J42" s="10"/>
      <c r="K42" s="10"/>
      <c r="L42" s="10"/>
    </row>
    <row r="45" spans="2:12">
      <c r="B45" s="49" t="s">
        <v>8</v>
      </c>
      <c r="C45" t="s" vm="1">
        <v>26</v>
      </c>
    </row>
    <row r="46" spans="2:12">
      <c r="B46" s="49" t="s">
        <v>9</v>
      </c>
      <c r="C46" t="s" vm="2">
        <v>1148</v>
      </c>
    </row>
    <row r="47" spans="2:12">
      <c r="B47" s="49" t="s">
        <v>10</v>
      </c>
      <c r="C47" t="s" vm="3">
        <v>40</v>
      </c>
    </row>
    <row r="49" spans="2:7">
      <c r="B49" s="49" t="s">
        <v>1149</v>
      </c>
      <c r="C49" s="49" t="s">
        <v>1150</v>
      </c>
    </row>
    <row r="50" spans="2:7">
      <c r="B50" s="49" t="s">
        <v>1151</v>
      </c>
      <c r="C50" t="s">
        <v>611</v>
      </c>
      <c r="D50" t="s">
        <v>612</v>
      </c>
      <c r="E50" t="s">
        <v>1845</v>
      </c>
      <c r="F50" t="s">
        <v>614</v>
      </c>
      <c r="G50" t="s">
        <v>1147</v>
      </c>
    </row>
    <row r="51" spans="2:7">
      <c r="B51" s="50" t="s">
        <v>74</v>
      </c>
      <c r="C51" s="482">
        <v>3</v>
      </c>
      <c r="D51" s="482">
        <v>17</v>
      </c>
      <c r="E51" s="482"/>
      <c r="F51" s="482"/>
      <c r="G51" s="482">
        <v>20</v>
      </c>
    </row>
    <row r="52" spans="2:7">
      <c r="B52" s="50" t="s">
        <v>123</v>
      </c>
      <c r="C52" s="482"/>
      <c r="D52" s="482">
        <v>72</v>
      </c>
      <c r="E52" s="482">
        <v>2</v>
      </c>
      <c r="F52" s="482">
        <v>2</v>
      </c>
      <c r="G52" s="482">
        <v>76</v>
      </c>
    </row>
    <row r="53" spans="2:7">
      <c r="B53" s="50" t="s">
        <v>94</v>
      </c>
      <c r="C53" s="482">
        <v>2</v>
      </c>
      <c r="D53" s="482">
        <v>31</v>
      </c>
      <c r="E53" s="482"/>
      <c r="F53" s="482"/>
      <c r="G53" s="482">
        <v>33</v>
      </c>
    </row>
    <row r="54" spans="2:7">
      <c r="B54" s="50" t="s">
        <v>88</v>
      </c>
      <c r="C54" s="482">
        <v>1</v>
      </c>
      <c r="D54" s="482">
        <v>14</v>
      </c>
      <c r="E54" s="482"/>
      <c r="F54" s="482"/>
      <c r="G54" s="482">
        <v>15</v>
      </c>
    </row>
    <row r="55" spans="2:7">
      <c r="B55" s="50" t="s">
        <v>55</v>
      </c>
      <c r="C55" s="482">
        <v>4</v>
      </c>
      <c r="D55" s="482">
        <v>14</v>
      </c>
      <c r="E55" s="482"/>
      <c r="F55" s="482"/>
      <c r="G55" s="482">
        <v>18</v>
      </c>
    </row>
    <row r="56" spans="2:7">
      <c r="B56" s="50" t="s">
        <v>37</v>
      </c>
      <c r="C56" s="482">
        <v>2</v>
      </c>
      <c r="D56" s="482"/>
      <c r="E56" s="482">
        <v>44</v>
      </c>
      <c r="F56" s="482"/>
      <c r="G56" s="482">
        <v>46</v>
      </c>
    </row>
    <row r="57" spans="2:7">
      <c r="B57" s="50" t="s">
        <v>1147</v>
      </c>
      <c r="C57" s="482">
        <v>12</v>
      </c>
      <c r="D57" s="482">
        <v>148</v>
      </c>
      <c r="E57" s="482">
        <v>46</v>
      </c>
      <c r="F57" s="482">
        <v>2</v>
      </c>
      <c r="G57" s="482">
        <v>208</v>
      </c>
    </row>
    <row r="62" spans="2:7">
      <c r="B62" s="49" t="s">
        <v>8</v>
      </c>
      <c r="C62" t="s" vm="1">
        <v>26</v>
      </c>
    </row>
    <row r="63" spans="2:7">
      <c r="B63" s="49" t="s">
        <v>9</v>
      </c>
      <c r="C63" t="s" vm="2">
        <v>1148</v>
      </c>
    </row>
    <row r="64" spans="2:7">
      <c r="B64" s="49" t="s">
        <v>10</v>
      </c>
      <c r="C64" t="s" vm="3">
        <v>40</v>
      </c>
    </row>
    <row r="66" spans="2:3">
      <c r="B66" s="49" t="s">
        <v>1151</v>
      </c>
      <c r="C66" t="s">
        <v>1149</v>
      </c>
    </row>
    <row r="67" spans="2:3">
      <c r="B67" s="50" t="s">
        <v>611</v>
      </c>
      <c r="C67" s="482">
        <v>12</v>
      </c>
    </row>
    <row r="68" spans="2:3">
      <c r="B68" s="50" t="s">
        <v>612</v>
      </c>
      <c r="C68" s="482">
        <v>148</v>
      </c>
    </row>
    <row r="69" spans="2:3">
      <c r="B69" s="50" t="s">
        <v>1845</v>
      </c>
      <c r="C69" s="482">
        <v>46</v>
      </c>
    </row>
    <row r="70" spans="2:3">
      <c r="B70" s="50" t="s">
        <v>614</v>
      </c>
      <c r="C70" s="482">
        <v>2</v>
      </c>
    </row>
    <row r="71" spans="2:3">
      <c r="B71" s="50" t="s">
        <v>1147</v>
      </c>
      <c r="C71" s="482">
        <v>208</v>
      </c>
    </row>
    <row r="81" spans="2:16" ht="22.2">
      <c r="B81" s="126" t="s">
        <v>1938</v>
      </c>
      <c r="C81" s="10"/>
      <c r="D81" s="10"/>
      <c r="E81" s="10"/>
      <c r="F81" s="10"/>
      <c r="G81" s="10"/>
      <c r="H81" s="10"/>
      <c r="I81" s="10"/>
      <c r="J81" s="10"/>
      <c r="K81" s="10"/>
      <c r="L81" s="10"/>
      <c r="M81" s="10"/>
      <c r="N81" s="10"/>
      <c r="O81" s="10"/>
      <c r="P81" s="10"/>
    </row>
    <row r="83" spans="2:16">
      <c r="B83" s="49" t="s">
        <v>8</v>
      </c>
      <c r="C83" t="s" vm="1">
        <v>26</v>
      </c>
    </row>
    <row r="84" spans="2:16">
      <c r="B84" s="49" t="s">
        <v>9</v>
      </c>
      <c r="C84" t="s" vm="4">
        <v>1148</v>
      </c>
    </row>
    <row r="85" spans="2:16">
      <c r="B85" s="49" t="s">
        <v>10</v>
      </c>
      <c r="C85" t="s" vm="3">
        <v>40</v>
      </c>
    </row>
    <row r="87" spans="2:16">
      <c r="B87" s="49" t="s">
        <v>1149</v>
      </c>
      <c r="C87" s="49" t="s">
        <v>1150</v>
      </c>
    </row>
    <row r="88" spans="2:16">
      <c r="B88" s="49" t="s">
        <v>1151</v>
      </c>
      <c r="C88" t="s">
        <v>611</v>
      </c>
      <c r="D88" t="s">
        <v>612</v>
      </c>
      <c r="E88" t="s">
        <v>1845</v>
      </c>
      <c r="F88" t="s">
        <v>2324</v>
      </c>
      <c r="G88" t="s">
        <v>2329</v>
      </c>
      <c r="H88" t="s">
        <v>1147</v>
      </c>
    </row>
    <row r="89" spans="2:16">
      <c r="B89" s="50" t="s">
        <v>2102</v>
      </c>
      <c r="C89" s="482">
        <v>3</v>
      </c>
      <c r="D89" s="482"/>
      <c r="E89" s="482"/>
      <c r="F89" s="482"/>
      <c r="G89" s="482">
        <v>45</v>
      </c>
      <c r="H89" s="482">
        <v>48</v>
      </c>
    </row>
    <row r="90" spans="2:16">
      <c r="B90" s="50" t="s">
        <v>2085</v>
      </c>
      <c r="C90" s="482">
        <v>2</v>
      </c>
      <c r="D90" s="482"/>
      <c r="E90" s="482"/>
      <c r="F90" s="482">
        <v>1</v>
      </c>
      <c r="G90" s="482">
        <v>14</v>
      </c>
      <c r="H90" s="482">
        <v>17</v>
      </c>
    </row>
    <row r="91" spans="2:16">
      <c r="B91" s="50" t="s">
        <v>331</v>
      </c>
      <c r="C91" s="482"/>
      <c r="D91" s="482">
        <v>15</v>
      </c>
      <c r="E91" s="482"/>
      <c r="F91" s="482"/>
      <c r="G91" s="482"/>
      <c r="H91" s="482">
        <v>15</v>
      </c>
    </row>
    <row r="92" spans="2:16">
      <c r="B92" s="50" t="s">
        <v>325</v>
      </c>
      <c r="C92" s="482"/>
      <c r="D92" s="482">
        <v>41</v>
      </c>
      <c r="E92" s="482">
        <v>8</v>
      </c>
      <c r="F92" s="482"/>
      <c r="G92" s="482">
        <v>5</v>
      </c>
      <c r="H92" s="482">
        <v>54</v>
      </c>
    </row>
    <row r="93" spans="2:16">
      <c r="B93" s="50" t="s">
        <v>311</v>
      </c>
      <c r="C93" s="482"/>
      <c r="D93" s="482">
        <v>14</v>
      </c>
      <c r="E93" s="482">
        <v>4</v>
      </c>
      <c r="F93" s="482"/>
      <c r="G93" s="482"/>
      <c r="H93" s="482">
        <v>18</v>
      </c>
    </row>
    <row r="94" spans="2:16">
      <c r="B94" s="50" t="s">
        <v>2160</v>
      </c>
      <c r="C94" s="482"/>
      <c r="D94" s="482"/>
      <c r="E94" s="482">
        <v>5</v>
      </c>
      <c r="F94" s="482"/>
      <c r="G94" s="482"/>
      <c r="H94" s="482">
        <v>5</v>
      </c>
    </row>
    <row r="95" spans="2:16">
      <c r="B95" s="50" t="s">
        <v>216</v>
      </c>
      <c r="C95" s="482"/>
      <c r="D95" s="482">
        <v>6</v>
      </c>
      <c r="E95" s="482"/>
      <c r="F95" s="482"/>
      <c r="G95" s="482"/>
      <c r="H95" s="482">
        <v>6</v>
      </c>
    </row>
    <row r="96" spans="2:16">
      <c r="B96" s="50" t="s">
        <v>2066</v>
      </c>
      <c r="C96" s="482"/>
      <c r="D96" s="482">
        <v>9</v>
      </c>
      <c r="E96" s="482"/>
      <c r="F96" s="482"/>
      <c r="G96" s="482"/>
      <c r="H96" s="482">
        <v>9</v>
      </c>
    </row>
    <row r="97" spans="2:8">
      <c r="B97" s="50" t="s">
        <v>215</v>
      </c>
      <c r="C97" s="482"/>
      <c r="D97" s="482">
        <v>41</v>
      </c>
      <c r="E97" s="482"/>
      <c r="F97" s="482"/>
      <c r="G97" s="482"/>
      <c r="H97" s="482">
        <v>41</v>
      </c>
    </row>
    <row r="98" spans="2:8">
      <c r="B98" s="50" t="s">
        <v>213</v>
      </c>
      <c r="C98" s="482">
        <v>3</v>
      </c>
      <c r="D98" s="482">
        <v>6</v>
      </c>
      <c r="E98" s="482"/>
      <c r="F98" s="482"/>
      <c r="G98" s="482"/>
      <c r="H98" s="482">
        <v>9</v>
      </c>
    </row>
    <row r="99" spans="2:8">
      <c r="B99" s="50" t="s">
        <v>212</v>
      </c>
      <c r="C99" s="482"/>
      <c r="D99" s="482">
        <v>17</v>
      </c>
      <c r="E99" s="482"/>
      <c r="F99" s="482"/>
      <c r="G99" s="482"/>
      <c r="H99" s="482">
        <v>17</v>
      </c>
    </row>
    <row r="100" spans="2:8">
      <c r="B100" s="50" t="s">
        <v>217</v>
      </c>
      <c r="C100" s="482"/>
      <c r="D100" s="482">
        <v>17</v>
      </c>
      <c r="E100" s="482"/>
      <c r="F100" s="482"/>
      <c r="G100" s="482"/>
      <c r="H100" s="482">
        <v>17</v>
      </c>
    </row>
    <row r="101" spans="2:8">
      <c r="B101" s="50" t="s">
        <v>218</v>
      </c>
      <c r="C101" s="482">
        <v>7</v>
      </c>
      <c r="D101" s="482">
        <v>14</v>
      </c>
      <c r="E101" s="482"/>
      <c r="F101" s="482"/>
      <c r="G101" s="482"/>
      <c r="H101" s="482">
        <v>21</v>
      </c>
    </row>
    <row r="102" spans="2:8">
      <c r="B102" s="50" t="s">
        <v>219</v>
      </c>
      <c r="C102" s="482">
        <v>1</v>
      </c>
      <c r="D102" s="482">
        <v>17</v>
      </c>
      <c r="E102" s="482"/>
      <c r="F102" s="482"/>
      <c r="G102" s="482"/>
      <c r="H102" s="482">
        <v>18</v>
      </c>
    </row>
    <row r="103" spans="2:8">
      <c r="B103" s="50" t="s">
        <v>214</v>
      </c>
      <c r="C103" s="482"/>
      <c r="D103" s="482">
        <v>7</v>
      </c>
      <c r="E103" s="482"/>
      <c r="F103" s="482"/>
      <c r="G103" s="482"/>
      <c r="H103" s="482">
        <v>7</v>
      </c>
    </row>
    <row r="104" spans="2:8">
      <c r="B104" s="50" t="s">
        <v>1147</v>
      </c>
      <c r="C104" s="482">
        <v>16</v>
      </c>
      <c r="D104" s="482">
        <v>204</v>
      </c>
      <c r="E104" s="482">
        <v>17</v>
      </c>
      <c r="F104" s="482">
        <v>1</v>
      </c>
      <c r="G104" s="482">
        <v>64</v>
      </c>
      <c r="H104" s="482">
        <v>302</v>
      </c>
    </row>
    <row r="107" spans="2:8">
      <c r="B107" s="49" t="s">
        <v>8</v>
      </c>
      <c r="C107" t="s" vm="6">
        <v>2376</v>
      </c>
    </row>
    <row r="108" spans="2:8">
      <c r="B108" s="49" t="s">
        <v>9</v>
      </c>
      <c r="C108" t="s" vm="5">
        <v>26</v>
      </c>
    </row>
    <row r="109" spans="2:8">
      <c r="B109" s="49" t="s">
        <v>10</v>
      </c>
      <c r="C109" t="s" vm="3">
        <v>40</v>
      </c>
    </row>
    <row r="111" spans="2:8">
      <c r="B111" s="49" t="s">
        <v>1151</v>
      </c>
      <c r="C111" t="s">
        <v>1149</v>
      </c>
    </row>
    <row r="112" spans="2:8">
      <c r="B112" s="50" t="s">
        <v>611</v>
      </c>
      <c r="C112" s="482">
        <v>4</v>
      </c>
    </row>
    <row r="113" spans="2:16">
      <c r="B113" s="50" t="s">
        <v>612</v>
      </c>
      <c r="C113" s="482">
        <v>113</v>
      </c>
    </row>
    <row r="114" spans="2:16">
      <c r="B114" s="50" t="s">
        <v>1845</v>
      </c>
      <c r="C114" s="482">
        <v>2</v>
      </c>
    </row>
    <row r="115" spans="2:16">
      <c r="B115" s="50" t="s">
        <v>2324</v>
      </c>
      <c r="C115" s="482">
        <v>6</v>
      </c>
    </row>
    <row r="116" spans="2:16">
      <c r="B116" s="50" t="s">
        <v>614</v>
      </c>
      <c r="C116" s="482">
        <v>7</v>
      </c>
    </row>
    <row r="117" spans="2:16">
      <c r="B117" s="50" t="s">
        <v>2329</v>
      </c>
      <c r="C117" s="482">
        <v>74</v>
      </c>
    </row>
    <row r="118" spans="2:16">
      <c r="B118" s="50" t="s">
        <v>1147</v>
      </c>
      <c r="C118" s="482">
        <v>206</v>
      </c>
    </row>
    <row r="126" spans="2:16" ht="22.2">
      <c r="B126" s="126" t="s">
        <v>1939</v>
      </c>
      <c r="C126" s="10"/>
      <c r="D126" s="10"/>
      <c r="E126" s="10"/>
      <c r="F126" s="10"/>
      <c r="G126" s="10"/>
      <c r="H126" s="10"/>
      <c r="I126" s="10"/>
      <c r="J126" s="10"/>
      <c r="K126" s="10"/>
      <c r="L126" s="10"/>
      <c r="M126" s="10"/>
      <c r="N126" s="10"/>
      <c r="O126" s="10"/>
      <c r="P126" s="10"/>
    </row>
    <row r="127" spans="2:16" ht="22.2">
      <c r="B127" s="138"/>
    </row>
    <row r="129" spans="2:9">
      <c r="B129" s="49" t="s">
        <v>8</v>
      </c>
      <c r="C129" t="s" vm="1">
        <v>26</v>
      </c>
    </row>
    <row r="130" spans="2:9">
      <c r="B130" s="49" t="s">
        <v>9</v>
      </c>
      <c r="C130" t="s" vm="5">
        <v>26</v>
      </c>
    </row>
    <row r="131" spans="2:9">
      <c r="B131" s="49" t="s">
        <v>10</v>
      </c>
      <c r="C131" t="s" vm="3">
        <v>40</v>
      </c>
    </row>
    <row r="133" spans="2:9">
      <c r="B133" s="49" t="s">
        <v>1149</v>
      </c>
      <c r="C133" s="49" t="s">
        <v>1150</v>
      </c>
    </row>
    <row r="134" spans="2:9">
      <c r="B134" s="49" t="s">
        <v>1151</v>
      </c>
      <c r="C134" t="s">
        <v>611</v>
      </c>
      <c r="D134" t="s">
        <v>612</v>
      </c>
      <c r="E134" t="s">
        <v>1845</v>
      </c>
      <c r="F134" t="s">
        <v>2324</v>
      </c>
      <c r="G134" t="s">
        <v>614</v>
      </c>
      <c r="H134" t="s">
        <v>2329</v>
      </c>
      <c r="I134" t="s">
        <v>1147</v>
      </c>
    </row>
    <row r="135" spans="2:9">
      <c r="B135" s="50" t="s">
        <v>379</v>
      </c>
      <c r="C135" s="482"/>
      <c r="D135" s="482">
        <v>23</v>
      </c>
      <c r="E135" s="482"/>
      <c r="F135" s="482">
        <v>6</v>
      </c>
      <c r="G135" s="482">
        <v>1</v>
      </c>
      <c r="H135" s="482">
        <v>16</v>
      </c>
      <c r="I135" s="482">
        <v>46</v>
      </c>
    </row>
    <row r="136" spans="2:9">
      <c r="B136" s="50" t="s">
        <v>335</v>
      </c>
      <c r="C136" s="482"/>
      <c r="D136" s="482">
        <v>39</v>
      </c>
      <c r="E136" s="482"/>
      <c r="F136" s="482"/>
      <c r="G136" s="482"/>
      <c r="H136" s="482">
        <v>28</v>
      </c>
      <c r="I136" s="482">
        <v>67</v>
      </c>
    </row>
    <row r="137" spans="2:9">
      <c r="B137" s="50" t="s">
        <v>368</v>
      </c>
      <c r="C137" s="482">
        <v>4</v>
      </c>
      <c r="D137" s="482">
        <v>16</v>
      </c>
      <c r="E137" s="482">
        <v>2</v>
      </c>
      <c r="F137" s="482"/>
      <c r="G137" s="482">
        <v>5</v>
      </c>
      <c r="H137" s="482">
        <v>20</v>
      </c>
      <c r="I137" s="482">
        <v>47</v>
      </c>
    </row>
    <row r="138" spans="2:9">
      <c r="B138" s="50" t="s">
        <v>439</v>
      </c>
      <c r="C138" s="482"/>
      <c r="D138" s="482">
        <v>5</v>
      </c>
      <c r="E138" s="482"/>
      <c r="F138" s="482"/>
      <c r="G138" s="482"/>
      <c r="H138" s="482"/>
      <c r="I138" s="482">
        <v>5</v>
      </c>
    </row>
    <row r="139" spans="2:9">
      <c r="B139" s="50" t="s">
        <v>441</v>
      </c>
      <c r="C139" s="482"/>
      <c r="D139" s="482">
        <v>4</v>
      </c>
      <c r="E139" s="482"/>
      <c r="F139" s="482"/>
      <c r="G139" s="482"/>
      <c r="H139" s="482">
        <v>2</v>
      </c>
      <c r="I139" s="482">
        <v>6</v>
      </c>
    </row>
    <row r="140" spans="2:9">
      <c r="B140" s="50" t="s">
        <v>1865</v>
      </c>
      <c r="C140" s="482"/>
      <c r="D140" s="482">
        <v>2</v>
      </c>
      <c r="E140" s="482"/>
      <c r="F140" s="482"/>
      <c r="G140" s="482">
        <v>1</v>
      </c>
      <c r="H140" s="482">
        <v>8</v>
      </c>
      <c r="I140" s="482">
        <v>11</v>
      </c>
    </row>
    <row r="141" spans="2:9">
      <c r="B141" s="50" t="s">
        <v>392</v>
      </c>
      <c r="C141" s="482"/>
      <c r="D141" s="482">
        <v>9</v>
      </c>
      <c r="E141" s="482"/>
      <c r="F141" s="482"/>
      <c r="G141" s="482"/>
      <c r="H141" s="482"/>
      <c r="I141" s="482">
        <v>9</v>
      </c>
    </row>
    <row r="142" spans="2:9">
      <c r="B142" s="50" t="s">
        <v>1866</v>
      </c>
      <c r="C142" s="482"/>
      <c r="D142" s="482">
        <v>15</v>
      </c>
      <c r="E142" s="482"/>
      <c r="F142" s="482"/>
      <c r="G142" s="482"/>
      <c r="H142" s="482"/>
      <c r="I142" s="482">
        <v>15</v>
      </c>
    </row>
    <row r="143" spans="2:9">
      <c r="B143" s="50" t="s">
        <v>1147</v>
      </c>
      <c r="C143" s="482">
        <v>4</v>
      </c>
      <c r="D143" s="482">
        <v>113</v>
      </c>
      <c r="E143" s="482">
        <v>2</v>
      </c>
      <c r="F143" s="482">
        <v>6</v>
      </c>
      <c r="G143" s="482">
        <v>7</v>
      </c>
      <c r="H143" s="482">
        <v>74</v>
      </c>
      <c r="I143" s="482">
        <v>206</v>
      </c>
    </row>
    <row r="147" spans="2:3">
      <c r="B147" s="50"/>
    </row>
    <row r="148" spans="2:3">
      <c r="B148" s="50"/>
    </row>
    <row r="150" spans="2:3">
      <c r="B150" s="49" t="s">
        <v>8</v>
      </c>
      <c r="C150" t="s" vm="1">
        <v>26</v>
      </c>
    </row>
    <row r="151" spans="2:3">
      <c r="B151" s="49" t="s">
        <v>9</v>
      </c>
      <c r="C151" t="s" vm="5">
        <v>26</v>
      </c>
    </row>
    <row r="152" spans="2:3">
      <c r="B152" s="49" t="s">
        <v>10</v>
      </c>
      <c r="C152" t="s" vm="3">
        <v>40</v>
      </c>
    </row>
    <row r="154" spans="2:3">
      <c r="B154" s="49" t="s">
        <v>1151</v>
      </c>
      <c r="C154" t="s">
        <v>1149</v>
      </c>
    </row>
    <row r="155" spans="2:3">
      <c r="B155" s="50" t="s">
        <v>612</v>
      </c>
      <c r="C155" s="482">
        <v>113</v>
      </c>
    </row>
    <row r="156" spans="2:3">
      <c r="B156" s="50" t="s">
        <v>611</v>
      </c>
      <c r="C156" s="482">
        <v>4</v>
      </c>
    </row>
    <row r="157" spans="2:3">
      <c r="B157" s="50" t="s">
        <v>614</v>
      </c>
      <c r="C157" s="482">
        <v>7</v>
      </c>
    </row>
    <row r="158" spans="2:3">
      <c r="B158" s="50" t="s">
        <v>2324</v>
      </c>
      <c r="C158" s="482">
        <v>6</v>
      </c>
    </row>
    <row r="159" spans="2:3">
      <c r="B159" s="50" t="s">
        <v>2329</v>
      </c>
      <c r="C159" s="482">
        <v>74</v>
      </c>
    </row>
    <row r="160" spans="2:3">
      <c r="B160" s="50" t="s">
        <v>1845</v>
      </c>
      <c r="C160" s="482">
        <v>2</v>
      </c>
    </row>
    <row r="161" spans="2:3">
      <c r="B161" s="50" t="s">
        <v>1147</v>
      </c>
      <c r="C161" s="482">
        <v>206</v>
      </c>
    </row>
    <row r="169" spans="2:3">
      <c r="B169" s="49" t="s">
        <v>9</v>
      </c>
      <c r="C169" t="s">
        <v>26</v>
      </c>
    </row>
    <row r="170" spans="2:3">
      <c r="B170" s="49" t="s">
        <v>1940</v>
      </c>
      <c r="C170" t="s">
        <v>2327</v>
      </c>
    </row>
    <row r="172" spans="2:3">
      <c r="B172" s="49" t="s">
        <v>1151</v>
      </c>
      <c r="C172" t="s">
        <v>2377</v>
      </c>
    </row>
    <row r="173" spans="2:3">
      <c r="B173" s="50" t="s">
        <v>614</v>
      </c>
      <c r="C173" s="482">
        <v>4</v>
      </c>
    </row>
    <row r="174" spans="2:3">
      <c r="B174" s="50" t="s">
        <v>2325</v>
      </c>
      <c r="C174" s="482">
        <v>67</v>
      </c>
    </row>
    <row r="175" spans="2:3">
      <c r="B175" s="50" t="s">
        <v>1147</v>
      </c>
      <c r="C175" s="482">
        <v>71</v>
      </c>
    </row>
    <row r="180" spans="2:2">
      <c r="B180" s="50"/>
    </row>
    <row r="181" spans="2:2">
      <c r="B181" s="50"/>
    </row>
    <row r="197" spans="2:3">
      <c r="B197" s="50"/>
    </row>
    <row r="198" spans="2:3">
      <c r="B198" s="50"/>
    </row>
    <row r="199" spans="2:3">
      <c r="B199" s="50"/>
    </row>
    <row r="201" spans="2:3">
      <c r="B201" s="49" t="s">
        <v>9</v>
      </c>
      <c r="C201" t="s">
        <v>26</v>
      </c>
    </row>
    <row r="202" spans="2:3">
      <c r="B202" s="49" t="s">
        <v>1940</v>
      </c>
      <c r="C202" t="s">
        <v>1148</v>
      </c>
    </row>
    <row r="204" spans="2:3">
      <c r="B204" s="49" t="s">
        <v>1151</v>
      </c>
      <c r="C204" t="s">
        <v>2377</v>
      </c>
    </row>
    <row r="205" spans="2:3">
      <c r="B205" s="50" t="s">
        <v>611</v>
      </c>
      <c r="C205" s="482">
        <v>4</v>
      </c>
    </row>
    <row r="206" spans="2:3">
      <c r="B206" s="50" t="s">
        <v>612</v>
      </c>
      <c r="C206" s="482">
        <v>113</v>
      </c>
    </row>
    <row r="207" spans="2:3">
      <c r="B207" s="50" t="s">
        <v>1845</v>
      </c>
      <c r="C207" s="482">
        <v>2</v>
      </c>
    </row>
    <row r="208" spans="2:3">
      <c r="B208" s="50" t="s">
        <v>2324</v>
      </c>
      <c r="C208" s="482">
        <v>6</v>
      </c>
    </row>
    <row r="209" spans="2:3">
      <c r="B209" s="50" t="s">
        <v>614</v>
      </c>
      <c r="C209" s="482">
        <v>3</v>
      </c>
    </row>
    <row r="210" spans="2:3">
      <c r="B210" s="50" t="s">
        <v>2325</v>
      </c>
      <c r="C210" s="482">
        <v>7</v>
      </c>
    </row>
    <row r="211" spans="2:3">
      <c r="B211" s="50" t="s">
        <v>1147</v>
      </c>
      <c r="C211" s="482">
        <v>135</v>
      </c>
    </row>
  </sheetData>
  <pageMargins left="0.7" right="0.7" top="0.75" bottom="0.75" header="0.3" footer="0.3"/>
  <pageSetup paperSize="9" orientation="portrait"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V741"/>
  <sheetViews>
    <sheetView showGridLines="0" zoomScale="70" zoomScaleNormal="70" workbookViewId="0">
      <pane xSplit="3" ySplit="6" topLeftCell="D7" activePane="bottomRight" state="frozen"/>
      <selection pane="topRight" activeCell="D136" sqref="D136"/>
      <selection pane="bottomLeft" activeCell="D136" sqref="D136"/>
      <selection pane="bottomRight" activeCell="F48" sqref="F48"/>
    </sheetView>
  </sheetViews>
  <sheetFormatPr defaultColWidth="8.59765625" defaultRowHeight="13.8"/>
  <cols>
    <col min="1" max="1" width="3.59765625" customWidth="1"/>
    <col min="2" max="2" width="8.09765625" customWidth="1"/>
    <col min="3" max="3" width="19.59765625" bestFit="1" customWidth="1"/>
    <col min="4" max="4" width="12.5" customWidth="1"/>
    <col min="5" max="5" width="35.59765625" bestFit="1" customWidth="1"/>
    <col min="6" max="6" width="30.09765625" bestFit="1" customWidth="1"/>
    <col min="7" max="7" width="30.59765625" bestFit="1" customWidth="1"/>
    <col min="8" max="8" width="30.59765625" customWidth="1"/>
    <col min="9" max="9" width="30.59765625" style="263" customWidth="1"/>
    <col min="10" max="10" width="40.09765625" bestFit="1" customWidth="1"/>
    <col min="11" max="12" width="40.09765625" customWidth="1"/>
    <col min="13" max="13" width="35" hidden="1" customWidth="1"/>
    <col min="14" max="14" width="24" hidden="1" customWidth="1"/>
    <col min="15" max="17" width="22" hidden="1" customWidth="1"/>
    <col min="18" max="18" width="24.19921875" bestFit="1" customWidth="1"/>
    <col min="19" max="19" width="15.796875" customWidth="1"/>
    <col min="20" max="20" width="42.59765625" customWidth="1"/>
    <col min="21" max="21" width="40.796875" style="263" bestFit="1" customWidth="1"/>
    <col min="22" max="22" width="14.296875" bestFit="1" customWidth="1"/>
  </cols>
  <sheetData>
    <row r="1" spans="1:22" ht="17.399999999999999">
      <c r="A1" s="25"/>
      <c r="B1" s="25"/>
      <c r="C1" s="25"/>
      <c r="D1" s="25"/>
      <c r="E1" s="25"/>
      <c r="F1" s="25"/>
      <c r="G1" s="25"/>
      <c r="H1" s="25"/>
      <c r="I1" s="471"/>
      <c r="J1" s="25"/>
      <c r="K1" s="25"/>
      <c r="L1" s="25"/>
      <c r="M1" s="25"/>
      <c r="N1" s="25"/>
      <c r="O1" s="25"/>
      <c r="P1" s="25"/>
      <c r="Q1" s="25"/>
      <c r="R1" s="25"/>
    </row>
    <row r="2" spans="1:22" ht="17.399999999999999">
      <c r="A2" s="25"/>
      <c r="B2" s="25"/>
      <c r="C2" s="25"/>
      <c r="D2" s="25"/>
      <c r="E2" s="25"/>
      <c r="F2" s="25"/>
      <c r="G2" s="25"/>
      <c r="H2" s="25"/>
      <c r="I2" s="471"/>
      <c r="J2" s="25"/>
      <c r="K2" s="25"/>
      <c r="L2" s="25"/>
      <c r="M2" s="25"/>
      <c r="N2" s="25"/>
      <c r="O2" s="25"/>
      <c r="P2" s="25"/>
      <c r="Q2" s="25"/>
      <c r="R2" s="25"/>
    </row>
    <row r="3" spans="1:22" ht="17.399999999999999">
      <c r="A3" s="25"/>
      <c r="B3" s="25"/>
      <c r="C3" s="25"/>
      <c r="D3" s="25"/>
      <c r="E3" s="25"/>
      <c r="F3" s="25"/>
      <c r="G3" s="25"/>
      <c r="H3" s="25"/>
      <c r="I3" s="471"/>
      <c r="J3" s="25"/>
      <c r="K3" s="25"/>
      <c r="L3" s="25"/>
      <c r="M3" s="25"/>
      <c r="N3" s="25"/>
      <c r="O3" s="25"/>
      <c r="P3" s="25"/>
      <c r="Q3" s="25"/>
      <c r="R3" s="25"/>
    </row>
    <row r="4" spans="1:22" ht="5.0999999999999996" customHeight="1">
      <c r="A4" s="114"/>
      <c r="B4" s="114"/>
      <c r="C4" s="114"/>
      <c r="D4" s="114"/>
      <c r="E4" s="114"/>
      <c r="F4" s="114"/>
      <c r="G4" s="114"/>
      <c r="H4" s="114"/>
      <c r="I4" s="472"/>
      <c r="J4" s="114"/>
      <c r="K4" s="114"/>
      <c r="L4" s="114"/>
      <c r="M4" s="114"/>
      <c r="N4" s="114"/>
      <c r="O4" s="114"/>
      <c r="P4" s="114"/>
      <c r="Q4" s="114"/>
      <c r="R4" s="114"/>
      <c r="S4" s="114"/>
      <c r="T4" s="114"/>
      <c r="U4" s="114"/>
      <c r="V4" s="114"/>
    </row>
    <row r="5" spans="1:22">
      <c r="J5" s="104" t="s">
        <v>2370</v>
      </c>
      <c r="K5" s="104" t="s">
        <v>2370</v>
      </c>
      <c r="L5" s="104" t="s">
        <v>2370</v>
      </c>
      <c r="M5" s="29"/>
      <c r="N5" s="29"/>
      <c r="O5" s="29"/>
      <c r="P5" s="29"/>
      <c r="Q5" s="29"/>
      <c r="R5" s="104" t="s">
        <v>2370</v>
      </c>
      <c r="S5" s="104" t="s">
        <v>2370</v>
      </c>
      <c r="T5" s="104" t="s">
        <v>2370</v>
      </c>
      <c r="U5" s="104" t="s">
        <v>2370</v>
      </c>
      <c r="V5" s="104" t="s">
        <v>2370</v>
      </c>
    </row>
    <row r="6" spans="1:22" ht="17.399999999999999">
      <c r="B6" s="216" t="s">
        <v>8</v>
      </c>
      <c r="C6" s="217" t="s">
        <v>9</v>
      </c>
      <c r="D6" s="217" t="s">
        <v>10</v>
      </c>
      <c r="E6" s="217" t="s">
        <v>11</v>
      </c>
      <c r="F6" s="217" t="s">
        <v>12</v>
      </c>
      <c r="G6" s="217" t="s">
        <v>636</v>
      </c>
      <c r="H6" s="217" t="s">
        <v>637</v>
      </c>
      <c r="I6" s="362" t="s">
        <v>2420</v>
      </c>
      <c r="J6" s="362" t="s">
        <v>2346</v>
      </c>
      <c r="K6" s="362" t="s">
        <v>2347</v>
      </c>
      <c r="L6" s="362" t="s">
        <v>2369</v>
      </c>
      <c r="M6" s="363" t="s">
        <v>638</v>
      </c>
      <c r="N6" s="363" t="s">
        <v>639</v>
      </c>
      <c r="O6" s="364" t="s">
        <v>640</v>
      </c>
      <c r="P6" s="365" t="s">
        <v>1848</v>
      </c>
      <c r="Q6" s="366" t="s">
        <v>1849</v>
      </c>
      <c r="R6" s="366" t="s">
        <v>2387</v>
      </c>
      <c r="S6" s="369" t="s">
        <v>2330</v>
      </c>
      <c r="T6" s="366" t="s">
        <v>2380</v>
      </c>
      <c r="U6" s="369" t="s">
        <v>1940</v>
      </c>
      <c r="V6" s="367" t="s">
        <v>1161</v>
      </c>
    </row>
    <row r="7" spans="1:22" ht="16.350000000000001" hidden="1" customHeight="1">
      <c r="A7" s="29" t="str">
        <f>E7&amp;F7</f>
        <v>PROPERTY_ENERGY_CERTIFICATECURRENT_ENERGY_RATING_PERCENTAGE</v>
      </c>
      <c r="B7" s="141" t="s">
        <v>26</v>
      </c>
      <c r="C7" s="137" t="s">
        <v>54</v>
      </c>
      <c r="D7" s="133" t="s">
        <v>40</v>
      </c>
      <c r="E7" s="134" t="s">
        <v>123</v>
      </c>
      <c r="F7" s="476" t="s">
        <v>1963</v>
      </c>
      <c r="G7" s="135" t="str">
        <f>VLOOKUP(A7,Plano_V3!$A$26:$G$769,7,0)</f>
        <v>1. Concluído</v>
      </c>
      <c r="H7" s="135" t="s">
        <v>612</v>
      </c>
      <c r="I7" s="473"/>
      <c r="J7" s="359" t="s">
        <v>2248</v>
      </c>
      <c r="K7" s="359" t="s">
        <v>2248</v>
      </c>
      <c r="L7" s="359"/>
      <c r="M7" s="152" t="str">
        <f>IF(VLOOKUP(A7,'Aux - pivots1'!$A:$E,3,0)=0, "",VLOOKUP(A7,'Aux - pivots1'!$A:$E,3,0))</f>
        <v/>
      </c>
      <c r="N7" s="152" t="str">
        <f>IF(VLOOKUP(A7,'Aux - pivots1'!$A:$E,4,0)=0, "",VLOOKUP(A7,'Aux - pivots1'!$A:$E,4,0))</f>
        <v/>
      </c>
      <c r="O7" s="152" t="str">
        <f>IF(VLOOKUP(A7,'Aux - pivots1'!$A:$E,5,0)=0, "",VLOOKUP(A7,'Aux - pivots1'!$A:$E,5,0))</f>
        <v/>
      </c>
      <c r="P7" s="203"/>
      <c r="Q7" s="203"/>
      <c r="R7" s="203"/>
      <c r="S7" s="324"/>
      <c r="T7" s="324"/>
      <c r="U7" s="372" t="s">
        <v>2326</v>
      </c>
      <c r="V7" s="324" t="s">
        <v>1862</v>
      </c>
    </row>
    <row r="8" spans="1:22" ht="16.350000000000001" hidden="1" customHeight="1">
      <c r="A8" s="29" t="str">
        <f t="shared" ref="A8:A72" si="0">E8&amp;F8</f>
        <v>lt002_instrumentOFF_BLNC_SHT_AMNT_INSTRMNT</v>
      </c>
      <c r="B8" s="141" t="s">
        <v>26</v>
      </c>
      <c r="C8" s="137" t="s">
        <v>26</v>
      </c>
      <c r="D8" s="133" t="s">
        <v>40</v>
      </c>
      <c r="E8" s="136" t="s">
        <v>379</v>
      </c>
      <c r="F8" s="480" t="s">
        <v>1417</v>
      </c>
      <c r="G8" s="135" t="str">
        <f>VLOOKUP(A8,Plano_V3!$A$26:$G$769,7,0)</f>
        <v xml:space="preserve">6. Em implementação </v>
      </c>
      <c r="H8" s="135" t="s">
        <v>2325</v>
      </c>
      <c r="I8" s="473"/>
      <c r="J8" s="142" t="s">
        <v>2311</v>
      </c>
      <c r="K8" s="359" t="s">
        <v>2450</v>
      </c>
      <c r="L8" s="142"/>
      <c r="M8" s="152" t="str">
        <f>IF(VLOOKUP(A8,'Aux - pivots1'!$A:$E,3,0)=0, "",VLOOKUP(A8,'Aux - pivots1'!$A:$E,3,0))</f>
        <v/>
      </c>
      <c r="N8" s="152" t="str">
        <f>IF(VLOOKUP(A8,'Aux - pivots1'!$A:$E,4,0)=0, "",VLOOKUP(A8,'Aux - pivots1'!$A:$E,4,0))</f>
        <v/>
      </c>
      <c r="O8" s="152" t="str">
        <f>IF(VLOOKUP(A8,'Aux - pivots1'!$A:$E,5,0)=0, "",VLOOKUP(A8,'Aux - pivots1'!$A:$E,5,0))</f>
        <v/>
      </c>
      <c r="P8" s="202"/>
      <c r="Q8" s="202"/>
      <c r="R8" s="372" t="s">
        <v>2319</v>
      </c>
      <c r="S8" s="324" t="s">
        <v>2394</v>
      </c>
      <c r="T8" s="372" t="s">
        <v>2366</v>
      </c>
      <c r="U8" s="372" t="s">
        <v>2327</v>
      </c>
      <c r="V8" s="324" t="s">
        <v>1862</v>
      </c>
    </row>
    <row r="9" spans="1:22" ht="16.350000000000001" hidden="1" customHeight="1">
      <c r="A9" s="29" t="str">
        <f t="shared" si="0"/>
        <v>lt003_entityec_grp_id</v>
      </c>
      <c r="B9" s="141" t="s">
        <v>26</v>
      </c>
      <c r="C9" s="137" t="s">
        <v>26</v>
      </c>
      <c r="D9" s="133" t="s">
        <v>40</v>
      </c>
      <c r="E9" s="136" t="s">
        <v>335</v>
      </c>
      <c r="F9" s="480" t="s">
        <v>2198</v>
      </c>
      <c r="G9" s="135" t="str">
        <f>VLOOKUP(A9,Plano_V3!$A$26:$G$769,7,0)</f>
        <v xml:space="preserve">6. Em implementação </v>
      </c>
      <c r="H9" s="135" t="s">
        <v>2325</v>
      </c>
      <c r="I9" s="473"/>
      <c r="J9" s="359" t="s">
        <v>2246</v>
      </c>
      <c r="K9" s="359" t="s">
        <v>2450</v>
      </c>
      <c r="L9" s="359"/>
      <c r="M9" s="152" t="str">
        <f>IF(VLOOKUP(A9,'Aux - pivots1'!$A:$E,3,0)=0, "",VLOOKUP(A9,'Aux - pivots1'!$A:$E,3,0))</f>
        <v/>
      </c>
      <c r="N9" s="152" t="str">
        <f>IF(VLOOKUP(A9,'Aux - pivots1'!$A:$E,4,0)=0, "",VLOOKUP(A9,'Aux - pivots1'!$A:$E,4,0))</f>
        <v/>
      </c>
      <c r="O9" s="152" t="str">
        <f>IF(VLOOKUP(A9,'Aux - pivots1'!$A:$E,5,0)=0, "",VLOOKUP(A9,'Aux - pivots1'!$A:$E,5,0))</f>
        <v/>
      </c>
      <c r="P9" s="202"/>
      <c r="Q9" s="202"/>
      <c r="R9" s="372" t="s">
        <v>2319</v>
      </c>
      <c r="S9" s="324" t="s">
        <v>2392</v>
      </c>
      <c r="T9" s="372" t="s">
        <v>2366</v>
      </c>
      <c r="U9" s="372" t="s">
        <v>2327</v>
      </c>
      <c r="V9" s="324" t="s">
        <v>1861</v>
      </c>
    </row>
    <row r="10" spans="1:22" ht="16.350000000000001" hidden="1" customHeight="1">
      <c r="A10" s="29" t="str">
        <f t="shared" si="0"/>
        <v>lt003_entityec_grp_nm</v>
      </c>
      <c r="B10" s="141" t="s">
        <v>26</v>
      </c>
      <c r="C10" s="137" t="s">
        <v>26</v>
      </c>
      <c r="D10" s="133" t="s">
        <v>40</v>
      </c>
      <c r="E10" s="136" t="s">
        <v>335</v>
      </c>
      <c r="F10" s="480" t="s">
        <v>2199</v>
      </c>
      <c r="G10" s="135" t="str">
        <f>VLOOKUP(A10,Plano_V3!$A$26:$G$769,7,0)</f>
        <v xml:space="preserve">6. Em implementação </v>
      </c>
      <c r="H10" s="135" t="s">
        <v>2325</v>
      </c>
      <c r="I10" s="473"/>
      <c r="J10" s="359" t="s">
        <v>2246</v>
      </c>
      <c r="K10" s="359" t="s">
        <v>2450</v>
      </c>
      <c r="L10" s="359"/>
      <c r="M10" s="152" t="str">
        <f>IF(VLOOKUP(A10,'Aux - pivots1'!$A:$E,3,0)=0, "",VLOOKUP(A10,'Aux - pivots1'!$A:$E,3,0))</f>
        <v/>
      </c>
      <c r="N10" s="152" t="str">
        <f>IF(VLOOKUP(A10,'Aux - pivots1'!$A:$E,4,0)=0, "",VLOOKUP(A10,'Aux - pivots1'!$A:$E,4,0))</f>
        <v/>
      </c>
      <c r="O10" s="152" t="str">
        <f>IF(VLOOKUP(A10,'Aux - pivots1'!$A:$E,5,0)=0, "",VLOOKUP(A10,'Aux - pivots1'!$A:$E,5,0))</f>
        <v/>
      </c>
      <c r="P10" s="202"/>
      <c r="Q10" s="202"/>
      <c r="R10" s="372" t="s">
        <v>2319</v>
      </c>
      <c r="S10" s="324" t="s">
        <v>2392</v>
      </c>
      <c r="T10" s="372" t="s">
        <v>2366</v>
      </c>
      <c r="U10" s="372" t="s">
        <v>2327</v>
      </c>
      <c r="V10" s="324" t="s">
        <v>1861</v>
      </c>
    </row>
    <row r="11" spans="1:22" ht="16.350000000000001" hidden="1" customHeight="1">
      <c r="A11" s="29" t="str">
        <f t="shared" si="0"/>
        <v>lt004_protectionRL_ESTT_ADDRSS</v>
      </c>
      <c r="B11" s="141" t="s">
        <v>26</v>
      </c>
      <c r="C11" s="137" t="s">
        <v>26</v>
      </c>
      <c r="D11" s="133" t="s">
        <v>40</v>
      </c>
      <c r="E11" s="136" t="s">
        <v>368</v>
      </c>
      <c r="F11" s="480" t="s">
        <v>2249</v>
      </c>
      <c r="G11" s="135" t="str">
        <f>VLOOKUP(A11,Plano_V3!$A$26:$G$769,7,0)</f>
        <v xml:space="preserve">6. Em implementação </v>
      </c>
      <c r="H11" s="135" t="s">
        <v>2325</v>
      </c>
      <c r="I11" s="473"/>
      <c r="J11" s="359" t="s">
        <v>2246</v>
      </c>
      <c r="K11" s="359" t="s">
        <v>2450</v>
      </c>
      <c r="L11" s="359"/>
      <c r="M11" s="152" t="str">
        <f>IF(VLOOKUP(A11,'Aux - pivots1'!$A:$E,3,0)=0, "",VLOOKUP(A11,'Aux - pivots1'!$A:$E,3,0))</f>
        <v/>
      </c>
      <c r="N11" s="152" t="str">
        <f>IF(VLOOKUP(A11,'Aux - pivots1'!$A:$E,4,0)=0, "",VLOOKUP(A11,'Aux - pivots1'!$A:$E,4,0))</f>
        <v/>
      </c>
      <c r="O11" s="152" t="str">
        <f>IF(VLOOKUP(A11,'Aux - pivots1'!$A:$E,5,0)=0, "",VLOOKUP(A11,'Aux - pivots1'!$A:$E,5,0))</f>
        <v/>
      </c>
      <c r="P11" s="202"/>
      <c r="Q11" s="202"/>
      <c r="R11" s="372" t="s">
        <v>2319</v>
      </c>
      <c r="S11" s="324" t="s">
        <v>2397</v>
      </c>
      <c r="T11" s="372" t="s">
        <v>2366</v>
      </c>
      <c r="U11" s="372" t="s">
        <v>2327</v>
      </c>
      <c r="V11" s="324" t="s">
        <v>1861</v>
      </c>
    </row>
    <row r="12" spans="1:22" ht="16.350000000000001" hidden="1" customHeight="1">
      <c r="A12" s="29" t="str">
        <f t="shared" si="0"/>
        <v>lt004_protectionRL_ESTT_CLLTRL_LCTN_INT</v>
      </c>
      <c r="B12" s="141" t="s">
        <v>26</v>
      </c>
      <c r="C12" s="137" t="s">
        <v>26</v>
      </c>
      <c r="D12" s="133" t="s">
        <v>40</v>
      </c>
      <c r="E12" s="136" t="s">
        <v>368</v>
      </c>
      <c r="F12" s="480" t="s">
        <v>2250</v>
      </c>
      <c r="G12" s="135" t="str">
        <f>VLOOKUP(A12,Plano_V3!$A$26:$G$769,7,0)</f>
        <v xml:space="preserve">6. Em implementação </v>
      </c>
      <c r="H12" s="135" t="s">
        <v>2325</v>
      </c>
      <c r="I12" s="473"/>
      <c r="J12" s="359" t="s">
        <v>2247</v>
      </c>
      <c r="K12" s="359" t="s">
        <v>2450</v>
      </c>
      <c r="L12" s="359"/>
      <c r="M12" s="152" t="str">
        <f>IF(VLOOKUP(A12,'Aux - pivots1'!$A:$E,3,0)=0, "",VLOOKUP(A12,'Aux - pivots1'!$A:$E,3,0))</f>
        <v/>
      </c>
      <c r="N12" s="152" t="str">
        <f>IF(VLOOKUP(A12,'Aux - pivots1'!$A:$E,4,0)=0, "",VLOOKUP(A12,'Aux - pivots1'!$A:$E,4,0))</f>
        <v/>
      </c>
      <c r="O12" s="152" t="str">
        <f>IF(VLOOKUP(A12,'Aux - pivots1'!$A:$E,5,0)=0, "",VLOOKUP(A12,'Aux - pivots1'!$A:$E,5,0))</f>
        <v/>
      </c>
      <c r="P12" s="202"/>
      <c r="Q12" s="202"/>
      <c r="R12" s="372" t="s">
        <v>2319</v>
      </c>
      <c r="S12" s="324" t="s">
        <v>2397</v>
      </c>
      <c r="T12" s="372" t="s">
        <v>2366</v>
      </c>
      <c r="U12" s="372" t="s">
        <v>2327</v>
      </c>
      <c r="V12" s="324" t="s">
        <v>1861</v>
      </c>
    </row>
    <row r="13" spans="1:22" ht="16.350000000000001" hidden="1" customHeight="1">
      <c r="A13" s="29" t="str">
        <f t="shared" si="0"/>
        <v>lt004_protectionRL_ESTT_CTY</v>
      </c>
      <c r="B13" s="141" t="s">
        <v>26</v>
      </c>
      <c r="C13" s="137" t="s">
        <v>26</v>
      </c>
      <c r="D13" s="133" t="s">
        <v>40</v>
      </c>
      <c r="E13" s="136" t="s">
        <v>368</v>
      </c>
      <c r="F13" s="480" t="s">
        <v>2251</v>
      </c>
      <c r="G13" s="135" t="str">
        <f>VLOOKUP(A13,Plano_V3!$A$26:$G$769,7,0)</f>
        <v xml:space="preserve">6. Em implementação </v>
      </c>
      <c r="H13" s="135" t="s">
        <v>2325</v>
      </c>
      <c r="I13" s="473"/>
      <c r="J13" s="359" t="s">
        <v>2245</v>
      </c>
      <c r="K13" s="359" t="s">
        <v>2450</v>
      </c>
      <c r="L13" s="359"/>
      <c r="M13" s="152" t="str">
        <f>IF(VLOOKUP(A13,'Aux - pivots1'!$A:$E,3,0)=0, "",VLOOKUP(A13,'Aux - pivots1'!$A:$E,3,0))</f>
        <v/>
      </c>
      <c r="N13" s="152" t="str">
        <f>IF(VLOOKUP(A13,'Aux - pivots1'!$A:$E,4,0)=0, "",VLOOKUP(A13,'Aux - pivots1'!$A:$E,4,0))</f>
        <v/>
      </c>
      <c r="O13" s="152" t="str">
        <f>IF(VLOOKUP(A13,'Aux - pivots1'!$A:$E,5,0)=0, "",VLOOKUP(A13,'Aux - pivots1'!$A:$E,5,0))</f>
        <v/>
      </c>
      <c r="P13" s="202"/>
      <c r="Q13" s="202"/>
      <c r="R13" s="372" t="s">
        <v>2319</v>
      </c>
      <c r="S13" s="324" t="s">
        <v>2397</v>
      </c>
      <c r="T13" s="372" t="s">
        <v>2366</v>
      </c>
      <c r="U13" s="372" t="s">
        <v>2327</v>
      </c>
      <c r="V13" s="324" t="s">
        <v>1861</v>
      </c>
    </row>
    <row r="14" spans="1:22" ht="16.350000000000001" hidden="1" customHeight="1">
      <c r="A14" s="29" t="str">
        <f t="shared" si="0"/>
        <v>lt004_protectionYR_CNSTRCTN</v>
      </c>
      <c r="B14" s="141" t="s">
        <v>26</v>
      </c>
      <c r="C14" s="137" t="s">
        <v>26</v>
      </c>
      <c r="D14" s="133" t="s">
        <v>40</v>
      </c>
      <c r="E14" s="136" t="s">
        <v>368</v>
      </c>
      <c r="F14" s="480" t="s">
        <v>2263</v>
      </c>
      <c r="G14" s="135" t="str">
        <f>VLOOKUP(A14,Plano_V3!$A$26:$G$769,7,0)</f>
        <v xml:space="preserve">6. Em implementação </v>
      </c>
      <c r="H14" s="135" t="s">
        <v>2325</v>
      </c>
      <c r="I14" s="473"/>
      <c r="J14" s="359" t="s">
        <v>2245</v>
      </c>
      <c r="K14" s="359" t="s">
        <v>2450</v>
      </c>
      <c r="L14" s="359"/>
      <c r="M14" s="152" t="str">
        <f>IF(VLOOKUP(A14,'Aux - pivots1'!$A:$E,3,0)=0, "",VLOOKUP(A14,'Aux - pivots1'!$A:$E,3,0))</f>
        <v/>
      </c>
      <c r="N14" s="152" t="str">
        <f>IF(VLOOKUP(A14,'Aux - pivots1'!$A:$E,4,0)=0, "",VLOOKUP(A14,'Aux - pivots1'!$A:$E,4,0))</f>
        <v/>
      </c>
      <c r="O14" s="152" t="str">
        <f>IF(VLOOKUP(A14,'Aux - pivots1'!$A:$E,5,0)=0, "",VLOOKUP(A14,'Aux - pivots1'!$A:$E,5,0))</f>
        <v/>
      </c>
      <c r="P14" s="202"/>
      <c r="Q14" s="202"/>
      <c r="R14" s="372" t="s">
        <v>2319</v>
      </c>
      <c r="S14" s="324" t="s">
        <v>2403</v>
      </c>
      <c r="T14" s="372" t="s">
        <v>2366</v>
      </c>
      <c r="U14" s="372" t="s">
        <v>2327</v>
      </c>
      <c r="V14" s="324" t="s">
        <v>1861</v>
      </c>
    </row>
    <row r="15" spans="1:22" ht="16.350000000000001" hidden="1" customHeight="1">
      <c r="A15" s="29" t="str">
        <f t="shared" si="0"/>
        <v>lt004_protectionBLDNG_AR</v>
      </c>
      <c r="B15" s="141" t="s">
        <v>26</v>
      </c>
      <c r="C15" s="137" t="s">
        <v>26</v>
      </c>
      <c r="D15" s="133" t="s">
        <v>40</v>
      </c>
      <c r="E15" s="136" t="s">
        <v>368</v>
      </c>
      <c r="F15" s="480" t="s">
        <v>2264</v>
      </c>
      <c r="G15" s="135" t="str">
        <f>VLOOKUP(A15,Plano_V3!$A$26:$G$769,7,0)</f>
        <v xml:space="preserve">6. Em implementação </v>
      </c>
      <c r="H15" s="135" t="s">
        <v>2325</v>
      </c>
      <c r="I15" s="473"/>
      <c r="J15" s="359" t="s">
        <v>2245</v>
      </c>
      <c r="K15" s="359" t="s">
        <v>2450</v>
      </c>
      <c r="L15" s="359"/>
      <c r="M15" s="152" t="str">
        <f>IF(VLOOKUP(A15,'Aux - pivots1'!$A:$E,3,0)=0, "",VLOOKUP(A15,'Aux - pivots1'!$A:$E,3,0))</f>
        <v/>
      </c>
      <c r="N15" s="152" t="str">
        <f>IF(VLOOKUP(A15,'Aux - pivots1'!$A:$E,4,0)=0, "",VLOOKUP(A15,'Aux - pivots1'!$A:$E,4,0))</f>
        <v/>
      </c>
      <c r="O15" s="152" t="str">
        <f>IF(VLOOKUP(A15,'Aux - pivots1'!$A:$E,5,0)=0, "",VLOOKUP(A15,'Aux - pivots1'!$A:$E,5,0))</f>
        <v/>
      </c>
      <c r="P15" s="202"/>
      <c r="Q15" s="202"/>
      <c r="R15" s="372" t="s">
        <v>2319</v>
      </c>
      <c r="S15" s="324" t="s">
        <v>2399</v>
      </c>
      <c r="T15" s="372" t="s">
        <v>2367</v>
      </c>
      <c r="U15" s="372" t="s">
        <v>2327</v>
      </c>
      <c r="V15" s="324" t="s">
        <v>1861</v>
      </c>
    </row>
    <row r="16" spans="1:22" ht="16.350000000000001" hidden="1" customHeight="1">
      <c r="A16" s="29" t="str">
        <f t="shared" si="0"/>
        <v>lt002_instrumentNW_BSNSS</v>
      </c>
      <c r="B16" s="141" t="s">
        <v>26</v>
      </c>
      <c r="C16" s="137" t="s">
        <v>26</v>
      </c>
      <c r="D16" s="133" t="s">
        <v>40</v>
      </c>
      <c r="E16" s="136" t="s">
        <v>379</v>
      </c>
      <c r="F16" s="480" t="s">
        <v>1339</v>
      </c>
      <c r="G16" s="135" t="str">
        <f>VLOOKUP(A16,Plano_V3!$A$26:$G$769,7,0)</f>
        <v xml:space="preserve">6. Em implementação </v>
      </c>
      <c r="H16" s="135" t="s">
        <v>2325</v>
      </c>
      <c r="I16" s="473"/>
      <c r="J16" s="142" t="s">
        <v>2308</v>
      </c>
      <c r="K16" s="359" t="s">
        <v>2451</v>
      </c>
      <c r="L16" s="142"/>
      <c r="M16" s="152" t="str">
        <f>IF(VLOOKUP(A16,'Aux - pivots1'!$A:$E,3,0)=0, "",VLOOKUP(A16,'Aux - pivots1'!$A:$E,3,0))</f>
        <v/>
      </c>
      <c r="N16" s="152" t="str">
        <f>IF(VLOOKUP(A16,'Aux - pivots1'!$A:$E,4,0)=0, "",VLOOKUP(A16,'Aux - pivots1'!$A:$E,4,0))</f>
        <v/>
      </c>
      <c r="O16" s="152" t="str">
        <f>IF(VLOOKUP(A16,'Aux - pivots1'!$A:$E,5,0)=0, "",VLOOKUP(A16,'Aux - pivots1'!$A:$E,5,0))</f>
        <v/>
      </c>
      <c r="P16" s="202"/>
      <c r="Q16" s="202"/>
      <c r="R16" s="372" t="s">
        <v>2319</v>
      </c>
      <c r="S16" s="324" t="s">
        <v>2388</v>
      </c>
      <c r="T16" s="372" t="s">
        <v>2367</v>
      </c>
      <c r="U16" s="372" t="s">
        <v>2327</v>
      </c>
      <c r="V16" s="324" t="s">
        <v>2314</v>
      </c>
    </row>
    <row r="17" spans="1:22" ht="16.350000000000001" hidden="1" customHeight="1">
      <c r="A17" s="29" t="str">
        <f t="shared" si="0"/>
        <v>lt002_instrumentCNCLLD_INSTRMNT_STTS</v>
      </c>
      <c r="B17" s="141" t="s">
        <v>26</v>
      </c>
      <c r="C17" s="137" t="s">
        <v>26</v>
      </c>
      <c r="D17" s="133" t="s">
        <v>40</v>
      </c>
      <c r="E17" s="136" t="s">
        <v>379</v>
      </c>
      <c r="F17" s="480" t="s">
        <v>1349</v>
      </c>
      <c r="G17" s="135" t="str">
        <f>VLOOKUP(A17,Plano_V3!$A$26:$G$769,7,0)</f>
        <v>4. Validação EF</v>
      </c>
      <c r="H17" s="135" t="s">
        <v>614</v>
      </c>
      <c r="I17" s="473"/>
      <c r="J17" s="142" t="s">
        <v>2308</v>
      </c>
      <c r="K17" s="359" t="s">
        <v>2451</v>
      </c>
      <c r="L17" s="142"/>
      <c r="M17" s="152" t="str">
        <f>IF(VLOOKUP(A17,'Aux - pivots1'!$A:$E,3,0)=0, "",VLOOKUP(A17,'Aux - pivots1'!$A:$E,3,0))</f>
        <v/>
      </c>
      <c r="N17" s="152" t="str">
        <f>IF(VLOOKUP(A17,'Aux - pivots1'!$A:$E,4,0)=0, "",VLOOKUP(A17,'Aux - pivots1'!$A:$E,4,0))</f>
        <v/>
      </c>
      <c r="O17" s="152" t="str">
        <f>IF(VLOOKUP(A17,'Aux - pivots1'!$A:$E,5,0)=0, "",VLOOKUP(A17,'Aux - pivots1'!$A:$E,5,0))</f>
        <v/>
      </c>
      <c r="P17" s="202"/>
      <c r="Q17" s="202"/>
      <c r="R17" s="372" t="s">
        <v>2319</v>
      </c>
      <c r="S17" s="324" t="s">
        <v>2388</v>
      </c>
      <c r="T17" s="372" t="s">
        <v>2367</v>
      </c>
      <c r="U17" s="372" t="s">
        <v>2327</v>
      </c>
      <c r="V17" s="324" t="s">
        <v>2314</v>
      </c>
    </row>
    <row r="18" spans="1:22" ht="16.350000000000001" hidden="1" customHeight="1">
      <c r="A18" s="29" t="str">
        <f t="shared" si="0"/>
        <v>lt002_instrumentTYP_OFF_BLNC_PRDCT</v>
      </c>
      <c r="B18" s="141" t="s">
        <v>26</v>
      </c>
      <c r="C18" s="137" t="s">
        <v>26</v>
      </c>
      <c r="D18" s="133" t="s">
        <v>40</v>
      </c>
      <c r="E18" s="136" t="s">
        <v>379</v>
      </c>
      <c r="F18" s="480" t="s">
        <v>2179</v>
      </c>
      <c r="G18" s="135" t="str">
        <f>VLOOKUP(A18,Plano_V3!$A$26:$G$769,7,0)</f>
        <v xml:space="preserve">6. Em implementação </v>
      </c>
      <c r="H18" s="135" t="s">
        <v>2325</v>
      </c>
      <c r="I18" s="473"/>
      <c r="J18" s="361" t="s">
        <v>2406</v>
      </c>
      <c r="K18" s="359" t="s">
        <v>2451</v>
      </c>
      <c r="L18" s="361"/>
      <c r="M18" s="152" t="str">
        <f>IF(VLOOKUP(A18,'Aux - pivots1'!$A:$E,3,0)=0, "",VLOOKUP(A18,'Aux - pivots1'!$A:$E,3,0))</f>
        <v/>
      </c>
      <c r="N18" s="152" t="str">
        <f>IF(VLOOKUP(A18,'Aux - pivots1'!$A:$E,4,0)=0, "",VLOOKUP(A18,'Aux - pivots1'!$A:$E,4,0))</f>
        <v/>
      </c>
      <c r="O18" s="152" t="str">
        <f>IF(VLOOKUP(A18,'Aux - pivots1'!$A:$E,5,0)=0, "",VLOOKUP(A18,'Aux - pivots1'!$A:$E,5,0))</f>
        <v/>
      </c>
      <c r="P18" s="202"/>
      <c r="Q18" s="202"/>
      <c r="R18" s="372" t="s">
        <v>2319</v>
      </c>
      <c r="S18" s="324" t="s">
        <v>2398</v>
      </c>
      <c r="T18" s="372" t="s">
        <v>2366</v>
      </c>
      <c r="U18" s="372" t="s">
        <v>2327</v>
      </c>
      <c r="V18" s="324" t="s">
        <v>1861</v>
      </c>
    </row>
    <row r="19" spans="1:22" ht="16.350000000000001" hidden="1" customHeight="1">
      <c r="A19" s="29" t="str">
        <f t="shared" si="0"/>
        <v>modesg_out_empr_info_nfinppc_trnvr_ttl_elgbl</v>
      </c>
      <c r="B19" s="141" t="s">
        <v>26</v>
      </c>
      <c r="C19" s="137" t="s">
        <v>310</v>
      </c>
      <c r="D19" s="133" t="s">
        <v>40</v>
      </c>
      <c r="E19" s="134" t="s">
        <v>325</v>
      </c>
      <c r="F19" s="476" t="s">
        <v>259</v>
      </c>
      <c r="G19" s="135" t="str">
        <f>VLOOKUP(A19,Plano_V3!$A$26:$G$769,7,0)</f>
        <v>1. Concluído</v>
      </c>
      <c r="H19" s="135" t="s">
        <v>612</v>
      </c>
      <c r="I19" s="473"/>
      <c r="J19" s="368" t="s">
        <v>2248</v>
      </c>
      <c r="K19" s="359" t="s">
        <v>2312</v>
      </c>
      <c r="L19" s="153"/>
      <c r="M19" s="152" t="str">
        <f>IF(VLOOKUP(A19,'Aux - pivots1'!$A:$E,3,0)=0, "",VLOOKUP(A19,'Aux - pivots1'!$A:$E,3,0))</f>
        <v/>
      </c>
      <c r="N19" s="152" t="str">
        <f>IF(VLOOKUP(A19,'Aux - pivots1'!$A:$E,4,0)=0, "",VLOOKUP(A19,'Aux - pivots1'!$A:$E,4,0))</f>
        <v/>
      </c>
      <c r="O19" s="152" t="str">
        <f>IF(VLOOKUP(A19,'Aux - pivots1'!$A:$E,5,0)=0, "",VLOOKUP(A19,'Aux - pivots1'!$A:$E,5,0))</f>
        <v/>
      </c>
      <c r="P19" s="202"/>
      <c r="Q19" s="202"/>
      <c r="R19" s="203"/>
      <c r="S19" s="372"/>
      <c r="T19" s="372"/>
      <c r="U19" s="372" t="s">
        <v>2327</v>
      </c>
      <c r="V19" s="324"/>
    </row>
    <row r="20" spans="1:22" ht="16.350000000000001" hidden="1" customHeight="1">
      <c r="A20" s="29" t="str">
        <f t="shared" si="0"/>
        <v>modesg_out_empr_info_nfinppc_turnover_own_prfrmnce_algnd</v>
      </c>
      <c r="B20" s="141" t="s">
        <v>26</v>
      </c>
      <c r="C20" s="137" t="s">
        <v>310</v>
      </c>
      <c r="D20" s="133" t="s">
        <v>40</v>
      </c>
      <c r="E20" s="134" t="s">
        <v>325</v>
      </c>
      <c r="F20" s="476" t="s">
        <v>260</v>
      </c>
      <c r="G20" s="135" t="str">
        <f>VLOOKUP(A20,Plano_V3!$A$26:$G$769,7,0)</f>
        <v>1. Concluído</v>
      </c>
      <c r="H20" s="135" t="s">
        <v>612</v>
      </c>
      <c r="I20" s="473"/>
      <c r="J20" s="368" t="s">
        <v>2248</v>
      </c>
      <c r="K20" s="359" t="s">
        <v>2312</v>
      </c>
      <c r="L20" s="153"/>
      <c r="M20" s="152" t="str">
        <f>IF(VLOOKUP(A20,'Aux - pivots1'!$A:$E,3,0)=0, "",VLOOKUP(A20,'Aux - pivots1'!$A:$E,3,0))</f>
        <v/>
      </c>
      <c r="N20" s="152" t="str">
        <f>IF(VLOOKUP(A20,'Aux - pivots1'!$A:$E,4,0)=0, "",VLOOKUP(A20,'Aux - pivots1'!$A:$E,4,0))</f>
        <v/>
      </c>
      <c r="O20" s="152" t="str">
        <f>IF(VLOOKUP(A20,'Aux - pivots1'!$A:$E,5,0)=0, "",VLOOKUP(A20,'Aux - pivots1'!$A:$E,5,0))</f>
        <v/>
      </c>
      <c r="P20" s="202"/>
      <c r="Q20" s="202"/>
      <c r="R20" s="203"/>
      <c r="S20" s="372"/>
      <c r="T20" s="372"/>
      <c r="U20" s="372" t="s">
        <v>2327</v>
      </c>
      <c r="V20" s="324"/>
    </row>
    <row r="21" spans="1:22" ht="16.350000000000001" hidden="1" customHeight="1">
      <c r="A21" s="29" t="str">
        <f t="shared" si="0"/>
        <v>modesg_out_empr_info_nfinppc_capex_ttl_elgbl</v>
      </c>
      <c r="B21" s="141" t="s">
        <v>26</v>
      </c>
      <c r="C21" s="137" t="s">
        <v>310</v>
      </c>
      <c r="D21" s="133" t="s">
        <v>40</v>
      </c>
      <c r="E21" s="134" t="s">
        <v>325</v>
      </c>
      <c r="F21" s="476" t="s">
        <v>261</v>
      </c>
      <c r="G21" s="135" t="str">
        <f>VLOOKUP(A21,Plano_V3!$A$26:$G$769,7,0)</f>
        <v>1. Concluído</v>
      </c>
      <c r="H21" s="135" t="s">
        <v>612</v>
      </c>
      <c r="I21" s="473"/>
      <c r="J21" s="368" t="s">
        <v>2248</v>
      </c>
      <c r="K21" s="359" t="s">
        <v>2312</v>
      </c>
      <c r="L21" s="153"/>
      <c r="M21" s="152" t="str">
        <f>IF(VLOOKUP(A21,'Aux - pivots1'!$A:$E,3,0)=0, "",VLOOKUP(A21,'Aux - pivots1'!$A:$E,3,0))</f>
        <v/>
      </c>
      <c r="N21" s="152" t="str">
        <f>IF(VLOOKUP(A21,'Aux - pivots1'!$A:$E,4,0)=0, "",VLOOKUP(A21,'Aux - pivots1'!$A:$E,4,0))</f>
        <v/>
      </c>
      <c r="O21" s="152" t="str">
        <f>IF(VLOOKUP(A21,'Aux - pivots1'!$A:$E,5,0)=0, "",VLOOKUP(A21,'Aux - pivots1'!$A:$E,5,0))</f>
        <v/>
      </c>
      <c r="P21" s="202"/>
      <c r="Q21" s="202"/>
      <c r="R21" s="203"/>
      <c r="S21" s="372"/>
      <c r="T21" s="372"/>
      <c r="U21" s="372" t="s">
        <v>2327</v>
      </c>
      <c r="V21" s="324"/>
    </row>
    <row r="22" spans="1:22" ht="16.350000000000001" hidden="1" customHeight="1">
      <c r="A22" s="29" t="str">
        <f t="shared" si="0"/>
        <v>modesg_out_empr_info_nfinppc_capex_own_prfrmnce_algnd</v>
      </c>
      <c r="B22" s="141" t="s">
        <v>26</v>
      </c>
      <c r="C22" s="137" t="s">
        <v>310</v>
      </c>
      <c r="D22" s="133" t="s">
        <v>40</v>
      </c>
      <c r="E22" s="134" t="s">
        <v>325</v>
      </c>
      <c r="F22" s="476" t="s">
        <v>262</v>
      </c>
      <c r="G22" s="135" t="str">
        <f>VLOOKUP(A22,Plano_V3!$A$26:$G$769,7,0)</f>
        <v>1. Concluído</v>
      </c>
      <c r="H22" s="135" t="s">
        <v>612</v>
      </c>
      <c r="I22" s="473"/>
      <c r="J22" s="368" t="s">
        <v>2248</v>
      </c>
      <c r="K22" s="359" t="s">
        <v>2312</v>
      </c>
      <c r="L22" s="153"/>
      <c r="M22" s="152" t="str">
        <f>IF(VLOOKUP(A22,'Aux - pivots1'!$A:$E,3,0)=0, "",VLOOKUP(A22,'Aux - pivots1'!$A:$E,3,0))</f>
        <v/>
      </c>
      <c r="N22" s="152" t="str">
        <f>IF(VLOOKUP(A22,'Aux - pivots1'!$A:$E,4,0)=0, "",VLOOKUP(A22,'Aux - pivots1'!$A:$E,4,0))</f>
        <v/>
      </c>
      <c r="O22" s="152" t="str">
        <f>IF(VLOOKUP(A22,'Aux - pivots1'!$A:$E,5,0)=0, "",VLOOKUP(A22,'Aux - pivots1'!$A:$E,5,0))</f>
        <v/>
      </c>
      <c r="P22" s="202"/>
      <c r="Q22" s="202"/>
      <c r="R22" s="203"/>
      <c r="S22" s="372"/>
      <c r="T22" s="372"/>
      <c r="U22" s="372" t="s">
        <v>2327</v>
      </c>
      <c r="V22" s="324"/>
    </row>
    <row r="23" spans="1:22" ht="16.350000000000001" hidden="1" customHeight="1">
      <c r="A23" s="29" t="str">
        <f t="shared" si="0"/>
        <v>modesg_out_empr_info_nfinbio_trnvr_ttl_elgbl</v>
      </c>
      <c r="B23" s="141" t="s">
        <v>26</v>
      </c>
      <c r="C23" s="137" t="s">
        <v>310</v>
      </c>
      <c r="D23" s="133" t="s">
        <v>40</v>
      </c>
      <c r="E23" s="134" t="s">
        <v>325</v>
      </c>
      <c r="F23" s="476" t="s">
        <v>263</v>
      </c>
      <c r="G23" s="135" t="str">
        <f>VLOOKUP(A23,Plano_V3!$A$26:$G$769,7,0)</f>
        <v>1. Concluído</v>
      </c>
      <c r="H23" s="135" t="s">
        <v>612</v>
      </c>
      <c r="I23" s="473"/>
      <c r="J23" s="368" t="s">
        <v>2248</v>
      </c>
      <c r="K23" s="359" t="s">
        <v>2312</v>
      </c>
      <c r="L23" s="153"/>
      <c r="M23" s="152" t="str">
        <f>IF(VLOOKUP(A23,'Aux - pivots1'!$A:$E,3,0)=0, "",VLOOKUP(A23,'Aux - pivots1'!$A:$E,3,0))</f>
        <v/>
      </c>
      <c r="N23" s="152" t="str">
        <f>IF(VLOOKUP(A23,'Aux - pivots1'!$A:$E,4,0)=0, "",VLOOKUP(A23,'Aux - pivots1'!$A:$E,4,0))</f>
        <v/>
      </c>
      <c r="O23" s="152" t="str">
        <f>IF(VLOOKUP(A23,'Aux - pivots1'!$A:$E,5,0)=0, "",VLOOKUP(A23,'Aux - pivots1'!$A:$E,5,0))</f>
        <v/>
      </c>
      <c r="P23" s="202"/>
      <c r="Q23" s="202"/>
      <c r="R23" s="203"/>
      <c r="S23" s="372"/>
      <c r="T23" s="372"/>
      <c r="U23" s="372" t="s">
        <v>2327</v>
      </c>
      <c r="V23" s="324"/>
    </row>
    <row r="24" spans="1:22" ht="16.350000000000001" hidden="1" customHeight="1">
      <c r="A24" s="29" t="str">
        <f t="shared" si="0"/>
        <v>modesg_out_empr_info_nfinbio_turnover_own_prfrmnce_algnd</v>
      </c>
      <c r="B24" s="141" t="s">
        <v>26</v>
      </c>
      <c r="C24" s="137" t="s">
        <v>310</v>
      </c>
      <c r="D24" s="133" t="s">
        <v>40</v>
      </c>
      <c r="E24" s="134" t="s">
        <v>325</v>
      </c>
      <c r="F24" s="476" t="s">
        <v>264</v>
      </c>
      <c r="G24" s="135" t="str">
        <f>VLOOKUP(A24,Plano_V3!$A$26:$G$769,7,0)</f>
        <v>1. Concluído</v>
      </c>
      <c r="H24" s="135" t="s">
        <v>612</v>
      </c>
      <c r="I24" s="473"/>
      <c r="J24" s="368" t="s">
        <v>2248</v>
      </c>
      <c r="K24" s="359" t="s">
        <v>2312</v>
      </c>
      <c r="L24" s="153"/>
      <c r="M24" s="152" t="str">
        <f>IF(VLOOKUP(A24,'Aux - pivots1'!$A:$E,3,0)=0, "",VLOOKUP(A24,'Aux - pivots1'!$A:$E,3,0))</f>
        <v/>
      </c>
      <c r="N24" s="152" t="str">
        <f>IF(VLOOKUP(A24,'Aux - pivots1'!$A:$E,4,0)=0, "",VLOOKUP(A24,'Aux - pivots1'!$A:$E,4,0))</f>
        <v/>
      </c>
      <c r="O24" s="152" t="str">
        <f>IF(VLOOKUP(A24,'Aux - pivots1'!$A:$E,5,0)=0, "",VLOOKUP(A24,'Aux - pivots1'!$A:$E,5,0))</f>
        <v/>
      </c>
      <c r="P24" s="202"/>
      <c r="Q24" s="202"/>
      <c r="R24" s="203"/>
      <c r="S24" s="372"/>
      <c r="T24" s="372"/>
      <c r="U24" s="372" t="s">
        <v>2327</v>
      </c>
      <c r="V24" s="324"/>
    </row>
    <row r="25" spans="1:22" ht="16.350000000000001" hidden="1" customHeight="1">
      <c r="A25" s="29" t="str">
        <f t="shared" si="0"/>
        <v>modesg_out_empr_info_nfinbio_capex_ttl_elgbl</v>
      </c>
      <c r="B25" s="141" t="s">
        <v>26</v>
      </c>
      <c r="C25" s="137" t="s">
        <v>310</v>
      </c>
      <c r="D25" s="133" t="s">
        <v>40</v>
      </c>
      <c r="E25" s="134" t="s">
        <v>325</v>
      </c>
      <c r="F25" s="476" t="s">
        <v>265</v>
      </c>
      <c r="G25" s="135" t="str">
        <f>VLOOKUP(A25,Plano_V3!$A$26:$G$769,7,0)</f>
        <v>1. Concluído</v>
      </c>
      <c r="H25" s="135" t="s">
        <v>612</v>
      </c>
      <c r="I25" s="473"/>
      <c r="J25" s="368" t="s">
        <v>2248</v>
      </c>
      <c r="K25" s="359" t="s">
        <v>2312</v>
      </c>
      <c r="L25" s="153"/>
      <c r="M25" s="152" t="str">
        <f>IF(VLOOKUP(A25,'Aux - pivots1'!$A:$E,3,0)=0, "",VLOOKUP(A25,'Aux - pivots1'!$A:$E,3,0))</f>
        <v/>
      </c>
      <c r="N25" s="152" t="str">
        <f>IF(VLOOKUP(A25,'Aux - pivots1'!$A:$E,4,0)=0, "",VLOOKUP(A25,'Aux - pivots1'!$A:$E,4,0))</f>
        <v/>
      </c>
      <c r="O25" s="152" t="str">
        <f>IF(VLOOKUP(A25,'Aux - pivots1'!$A:$E,5,0)=0, "",VLOOKUP(A25,'Aux - pivots1'!$A:$E,5,0))</f>
        <v/>
      </c>
      <c r="P25" s="202"/>
      <c r="Q25" s="202"/>
      <c r="R25" s="203"/>
      <c r="S25" s="372"/>
      <c r="T25" s="372"/>
      <c r="U25" s="372" t="s">
        <v>2327</v>
      </c>
      <c r="V25" s="324"/>
    </row>
    <row r="26" spans="1:22" ht="16.350000000000001" hidden="1" customHeight="1">
      <c r="A26" s="29" t="str">
        <f t="shared" si="0"/>
        <v>modesg_out_empr_info_nfinbio_capex_own_prfrmnce_algnd</v>
      </c>
      <c r="B26" s="141" t="s">
        <v>26</v>
      </c>
      <c r="C26" s="137" t="s">
        <v>310</v>
      </c>
      <c r="D26" s="133" t="s">
        <v>40</v>
      </c>
      <c r="E26" s="134" t="s">
        <v>325</v>
      </c>
      <c r="F26" s="476" t="s">
        <v>266</v>
      </c>
      <c r="G26" s="135" t="str">
        <f>VLOOKUP(A26,Plano_V3!$A$26:$G$769,7,0)</f>
        <v>1. Concluído</v>
      </c>
      <c r="H26" s="135" t="s">
        <v>612</v>
      </c>
      <c r="I26" s="473"/>
      <c r="J26" s="368" t="s">
        <v>2248</v>
      </c>
      <c r="K26" s="359" t="s">
        <v>2312</v>
      </c>
      <c r="L26" s="153"/>
      <c r="M26" s="152" t="str">
        <f>IF(VLOOKUP(A26,'Aux - pivots1'!$A:$E,3,0)=0, "",VLOOKUP(A26,'Aux - pivots1'!$A:$E,3,0))</f>
        <v/>
      </c>
      <c r="N26" s="152" t="str">
        <f>IF(VLOOKUP(A26,'Aux - pivots1'!$A:$E,4,0)=0, "",VLOOKUP(A26,'Aux - pivots1'!$A:$E,4,0))</f>
        <v/>
      </c>
      <c r="O26" s="152" t="str">
        <f>IF(VLOOKUP(A26,'Aux - pivots1'!$A:$E,5,0)=0, "",VLOOKUP(A26,'Aux - pivots1'!$A:$E,5,0))</f>
        <v/>
      </c>
      <c r="P26" s="202"/>
      <c r="Q26" s="202"/>
      <c r="R26" s="203"/>
      <c r="S26" s="372"/>
      <c r="T26" s="372"/>
      <c r="U26" s="372" t="s">
        <v>2327</v>
      </c>
      <c r="V26" s="324"/>
    </row>
    <row r="27" spans="1:22" ht="16.350000000000001" hidden="1" customHeight="1">
      <c r="A27" s="29" t="str">
        <f t="shared" si="0"/>
        <v>modesg_out_empr_info_nfinwtr_trnvr_ttl_elgbl</v>
      </c>
      <c r="B27" s="141" t="s">
        <v>26</v>
      </c>
      <c r="C27" s="137" t="s">
        <v>310</v>
      </c>
      <c r="D27" s="133" t="s">
        <v>40</v>
      </c>
      <c r="E27" s="134" t="s">
        <v>325</v>
      </c>
      <c r="F27" s="476" t="s">
        <v>267</v>
      </c>
      <c r="G27" s="135" t="str">
        <f>VLOOKUP(A27,Plano_V3!$A$26:$G$769,7,0)</f>
        <v>1. Concluído</v>
      </c>
      <c r="H27" s="135" t="s">
        <v>612</v>
      </c>
      <c r="I27" s="473"/>
      <c r="J27" s="368" t="s">
        <v>2248</v>
      </c>
      <c r="K27" s="359" t="s">
        <v>2312</v>
      </c>
      <c r="L27" s="153"/>
      <c r="M27" s="152" t="str">
        <f>IF(VLOOKUP(A27,'Aux - pivots1'!$A:$E,3,0)=0, "",VLOOKUP(A27,'Aux - pivots1'!$A:$E,3,0))</f>
        <v/>
      </c>
      <c r="N27" s="152" t="str">
        <f>IF(VLOOKUP(A27,'Aux - pivots1'!$A:$E,4,0)=0, "",VLOOKUP(A27,'Aux - pivots1'!$A:$E,4,0))</f>
        <v/>
      </c>
      <c r="O27" s="152" t="str">
        <f>IF(VLOOKUP(A27,'Aux - pivots1'!$A:$E,5,0)=0, "",VLOOKUP(A27,'Aux - pivots1'!$A:$E,5,0))</f>
        <v/>
      </c>
      <c r="P27" s="202"/>
      <c r="Q27" s="202"/>
      <c r="R27" s="203"/>
      <c r="S27" s="372"/>
      <c r="T27" s="372"/>
      <c r="U27" s="372" t="s">
        <v>2327</v>
      </c>
      <c r="V27" s="324"/>
    </row>
    <row r="28" spans="1:22" ht="16.350000000000001" hidden="1" customHeight="1">
      <c r="A28" s="29" t="str">
        <f t="shared" si="0"/>
        <v>modesg_out_empr_info_nfinwtr_trnvr_enblng_alignd</v>
      </c>
      <c r="B28" s="141" t="s">
        <v>26</v>
      </c>
      <c r="C28" s="137" t="s">
        <v>310</v>
      </c>
      <c r="D28" s="133" t="s">
        <v>40</v>
      </c>
      <c r="E28" s="134" t="s">
        <v>325</v>
      </c>
      <c r="F28" s="476" t="s">
        <v>268</v>
      </c>
      <c r="G28" s="135" t="str">
        <f>VLOOKUP(A28,Plano_V3!$A$26:$G$769,7,0)</f>
        <v>1. Concluído</v>
      </c>
      <c r="H28" s="135" t="s">
        <v>612</v>
      </c>
      <c r="I28" s="473"/>
      <c r="J28" s="368" t="s">
        <v>2248</v>
      </c>
      <c r="K28" s="359" t="s">
        <v>2312</v>
      </c>
      <c r="L28" s="153"/>
      <c r="M28" s="152" t="str">
        <f>IF(VLOOKUP(A28,'Aux - pivots1'!$A:$E,3,0)=0, "",VLOOKUP(A28,'Aux - pivots1'!$A:$E,3,0))</f>
        <v/>
      </c>
      <c r="N28" s="152" t="str">
        <f>IF(VLOOKUP(A28,'Aux - pivots1'!$A:$E,4,0)=0, "",VLOOKUP(A28,'Aux - pivots1'!$A:$E,4,0))</f>
        <v/>
      </c>
      <c r="O28" s="152" t="str">
        <f>IF(VLOOKUP(A28,'Aux - pivots1'!$A:$E,5,0)=0, "",VLOOKUP(A28,'Aux - pivots1'!$A:$E,5,0))</f>
        <v/>
      </c>
      <c r="P28" s="202"/>
      <c r="Q28" s="202"/>
      <c r="R28" s="203"/>
      <c r="S28" s="372"/>
      <c r="T28" s="372"/>
      <c r="U28" s="372" t="s">
        <v>2327</v>
      </c>
      <c r="V28" s="324"/>
    </row>
    <row r="29" spans="1:22" ht="16.350000000000001" hidden="1" customHeight="1">
      <c r="A29" s="29" t="str">
        <f t="shared" si="0"/>
        <v>modesg_out_empr_info_nfinwtr_turnover_own_prfrmnce_algnd</v>
      </c>
      <c r="B29" s="141" t="s">
        <v>26</v>
      </c>
      <c r="C29" s="137" t="s">
        <v>310</v>
      </c>
      <c r="D29" s="133" t="s">
        <v>40</v>
      </c>
      <c r="E29" s="134" t="s">
        <v>325</v>
      </c>
      <c r="F29" s="476" t="s">
        <v>269</v>
      </c>
      <c r="G29" s="135" t="str">
        <f>VLOOKUP(A29,Plano_V3!$A$26:$G$769,7,0)</f>
        <v>1. Concluído</v>
      </c>
      <c r="H29" s="135" t="s">
        <v>612</v>
      </c>
      <c r="I29" s="473"/>
      <c r="J29" s="368" t="s">
        <v>2248</v>
      </c>
      <c r="K29" s="359" t="s">
        <v>2312</v>
      </c>
      <c r="L29" s="153"/>
      <c r="M29" s="152" t="str">
        <f>IF(VLOOKUP(A29,'Aux - pivots1'!$A:$E,3,0)=0, "",VLOOKUP(A29,'Aux - pivots1'!$A:$E,3,0))</f>
        <v/>
      </c>
      <c r="N29" s="152" t="str">
        <f>IF(VLOOKUP(A29,'Aux - pivots1'!$A:$E,4,0)=0, "",VLOOKUP(A29,'Aux - pivots1'!$A:$E,4,0))</f>
        <v/>
      </c>
      <c r="O29" s="152" t="str">
        <f>IF(VLOOKUP(A29,'Aux - pivots1'!$A:$E,5,0)=0, "",VLOOKUP(A29,'Aux - pivots1'!$A:$E,5,0))</f>
        <v/>
      </c>
      <c r="P29" s="202"/>
      <c r="Q29" s="202"/>
      <c r="R29" s="203"/>
      <c r="S29" s="372"/>
      <c r="T29" s="372"/>
      <c r="U29" s="372" t="s">
        <v>2327</v>
      </c>
      <c r="V29" s="324"/>
    </row>
    <row r="30" spans="1:22" ht="16.350000000000001" hidden="1" customHeight="1">
      <c r="A30" s="29" t="str">
        <f t="shared" si="0"/>
        <v>modesg_out_empr_info_nfinwtr_capex_ttl_elgbl</v>
      </c>
      <c r="B30" s="141" t="s">
        <v>26</v>
      </c>
      <c r="C30" s="137" t="s">
        <v>310</v>
      </c>
      <c r="D30" s="133" t="s">
        <v>40</v>
      </c>
      <c r="E30" s="134" t="s">
        <v>325</v>
      </c>
      <c r="F30" s="476" t="s">
        <v>270</v>
      </c>
      <c r="G30" s="135" t="str">
        <f>VLOOKUP(A30,Plano_V3!$A$26:$G$769,7,0)</f>
        <v>1. Concluído</v>
      </c>
      <c r="H30" s="135" t="s">
        <v>612</v>
      </c>
      <c r="I30" s="473"/>
      <c r="J30" s="368" t="s">
        <v>2248</v>
      </c>
      <c r="K30" s="359" t="s">
        <v>2312</v>
      </c>
      <c r="L30" s="153"/>
      <c r="M30" s="152" t="str">
        <f>IF(VLOOKUP(A30,'Aux - pivots1'!$A:$E,3,0)=0, "",VLOOKUP(A30,'Aux - pivots1'!$A:$E,3,0))</f>
        <v/>
      </c>
      <c r="N30" s="152" t="str">
        <f>IF(VLOOKUP(A30,'Aux - pivots1'!$A:$E,4,0)=0, "",VLOOKUP(A30,'Aux - pivots1'!$A:$E,4,0))</f>
        <v/>
      </c>
      <c r="O30" s="152" t="str">
        <f>IF(VLOOKUP(A30,'Aux - pivots1'!$A:$E,5,0)=0, "",VLOOKUP(A30,'Aux - pivots1'!$A:$E,5,0))</f>
        <v/>
      </c>
      <c r="P30" s="202"/>
      <c r="Q30" s="202"/>
      <c r="R30" s="203"/>
      <c r="S30" s="372"/>
      <c r="T30" s="372"/>
      <c r="U30" s="372" t="s">
        <v>2327</v>
      </c>
      <c r="V30" s="324"/>
    </row>
    <row r="31" spans="1:22" ht="16.350000000000001" hidden="1" customHeight="1">
      <c r="A31" s="29" t="str">
        <f t="shared" si="0"/>
        <v>modesg_out_empr_info_nfinwtr_capex_enblng_algnd</v>
      </c>
      <c r="B31" s="141" t="s">
        <v>26</v>
      </c>
      <c r="C31" s="137" t="s">
        <v>310</v>
      </c>
      <c r="D31" s="133" t="s">
        <v>40</v>
      </c>
      <c r="E31" s="134" t="s">
        <v>325</v>
      </c>
      <c r="F31" s="476" t="s">
        <v>271</v>
      </c>
      <c r="G31" s="135" t="str">
        <f>VLOOKUP(A31,Plano_V3!$A$26:$G$769,7,0)</f>
        <v>1. Concluído</v>
      </c>
      <c r="H31" s="135" t="s">
        <v>612</v>
      </c>
      <c r="I31" s="473"/>
      <c r="J31" s="368" t="s">
        <v>2248</v>
      </c>
      <c r="K31" s="359" t="s">
        <v>2312</v>
      </c>
      <c r="L31" s="153"/>
      <c r="M31" s="152" t="str">
        <f>IF(VLOOKUP(A31,'Aux - pivots1'!$A:$E,3,0)=0, "",VLOOKUP(A31,'Aux - pivots1'!$A:$E,3,0))</f>
        <v/>
      </c>
      <c r="N31" s="152" t="str">
        <f>IF(VLOOKUP(A31,'Aux - pivots1'!$A:$E,4,0)=0, "",VLOOKUP(A31,'Aux - pivots1'!$A:$E,4,0))</f>
        <v/>
      </c>
      <c r="O31" s="152" t="str">
        <f>IF(VLOOKUP(A31,'Aux - pivots1'!$A:$E,5,0)=0, "",VLOOKUP(A31,'Aux - pivots1'!$A:$E,5,0))</f>
        <v/>
      </c>
      <c r="P31" s="202"/>
      <c r="Q31" s="202"/>
      <c r="R31" s="203"/>
      <c r="S31" s="372"/>
      <c r="T31" s="372"/>
      <c r="U31" s="372" t="s">
        <v>2327</v>
      </c>
      <c r="V31" s="324"/>
    </row>
    <row r="32" spans="1:22" ht="16.350000000000001" hidden="1" customHeight="1">
      <c r="A32" s="29" t="str">
        <f t="shared" si="0"/>
        <v>modesg_out_empr_info_nfinwtr_capex_own_prfrmnce_algnd</v>
      </c>
      <c r="B32" s="141" t="s">
        <v>26</v>
      </c>
      <c r="C32" s="137" t="s">
        <v>310</v>
      </c>
      <c r="D32" s="133" t="s">
        <v>40</v>
      </c>
      <c r="E32" s="134" t="s">
        <v>325</v>
      </c>
      <c r="F32" s="476" t="s">
        <v>272</v>
      </c>
      <c r="G32" s="135" t="str">
        <f>VLOOKUP(A32,Plano_V3!$A$26:$G$769,7,0)</f>
        <v>1. Concluído</v>
      </c>
      <c r="H32" s="135" t="s">
        <v>612</v>
      </c>
      <c r="I32" s="473"/>
      <c r="J32" s="368" t="s">
        <v>2248</v>
      </c>
      <c r="K32" s="359" t="s">
        <v>2312</v>
      </c>
      <c r="L32" s="153"/>
      <c r="M32" s="152" t="str">
        <f>IF(VLOOKUP(A32,'Aux - pivots1'!$A:$E,3,0)=0, "",VLOOKUP(A32,'Aux - pivots1'!$A:$E,3,0))</f>
        <v/>
      </c>
      <c r="N32" s="152" t="str">
        <f>IF(VLOOKUP(A32,'Aux - pivots1'!$A:$E,4,0)=0, "",VLOOKUP(A32,'Aux - pivots1'!$A:$E,4,0))</f>
        <v/>
      </c>
      <c r="O32" s="152" t="str">
        <f>IF(VLOOKUP(A32,'Aux - pivots1'!$A:$E,5,0)=0, "",VLOOKUP(A32,'Aux - pivots1'!$A:$E,5,0))</f>
        <v/>
      </c>
      <c r="P32" s="202"/>
      <c r="Q32" s="202"/>
      <c r="R32" s="203"/>
      <c r="S32" s="372"/>
      <c r="T32" s="372"/>
      <c r="U32" s="372" t="s">
        <v>2327</v>
      </c>
      <c r="V32" s="324"/>
    </row>
    <row r="33" spans="1:22" ht="16.350000000000001" hidden="1" customHeight="1">
      <c r="A33" s="29" t="str">
        <f t="shared" si="0"/>
        <v>modesg_out_empr_info_nfince_trnvr_ttl_elgbl</v>
      </c>
      <c r="B33" s="141" t="s">
        <v>26</v>
      </c>
      <c r="C33" s="137" t="s">
        <v>310</v>
      </c>
      <c r="D33" s="133" t="s">
        <v>40</v>
      </c>
      <c r="E33" s="134" t="s">
        <v>325</v>
      </c>
      <c r="F33" s="476" t="s">
        <v>273</v>
      </c>
      <c r="G33" s="135" t="str">
        <f>VLOOKUP(A33,Plano_V3!$A$26:$G$769,7,0)</f>
        <v>1. Concluído</v>
      </c>
      <c r="H33" s="135" t="s">
        <v>612</v>
      </c>
      <c r="I33" s="473"/>
      <c r="J33" s="368" t="s">
        <v>2248</v>
      </c>
      <c r="K33" s="359" t="s">
        <v>2312</v>
      </c>
      <c r="L33" s="153"/>
      <c r="M33" s="152" t="str">
        <f>IF(VLOOKUP(A33,'Aux - pivots1'!$A:$E,3,0)=0, "",VLOOKUP(A33,'Aux - pivots1'!$A:$E,3,0))</f>
        <v/>
      </c>
      <c r="N33" s="152" t="str">
        <f>IF(VLOOKUP(A33,'Aux - pivots1'!$A:$E,4,0)=0, "",VLOOKUP(A33,'Aux - pivots1'!$A:$E,4,0))</f>
        <v/>
      </c>
      <c r="O33" s="152" t="str">
        <f>IF(VLOOKUP(A33,'Aux - pivots1'!$A:$E,5,0)=0, "",VLOOKUP(A33,'Aux - pivots1'!$A:$E,5,0))</f>
        <v/>
      </c>
      <c r="P33" s="202"/>
      <c r="Q33" s="202"/>
      <c r="R33" s="203"/>
      <c r="S33" s="372"/>
      <c r="T33" s="372"/>
      <c r="U33" s="372" t="s">
        <v>2327</v>
      </c>
      <c r="V33" s="324"/>
    </row>
    <row r="34" spans="1:22" ht="16.350000000000001" hidden="1" customHeight="1">
      <c r="A34" s="29" t="str">
        <f t="shared" si="0"/>
        <v>modesg_out_empr_info_nfince_trnvr_enblng_alignd</v>
      </c>
      <c r="B34" s="141" t="s">
        <v>26</v>
      </c>
      <c r="C34" s="137" t="s">
        <v>310</v>
      </c>
      <c r="D34" s="133" t="s">
        <v>40</v>
      </c>
      <c r="E34" s="134" t="s">
        <v>325</v>
      </c>
      <c r="F34" s="476" t="s">
        <v>274</v>
      </c>
      <c r="G34" s="135" t="str">
        <f>VLOOKUP(A34,Plano_V3!$A$26:$G$769,7,0)</f>
        <v>1. Concluído</v>
      </c>
      <c r="H34" s="135" t="s">
        <v>612</v>
      </c>
      <c r="I34" s="473"/>
      <c r="J34" s="368" t="s">
        <v>2248</v>
      </c>
      <c r="K34" s="359" t="s">
        <v>2312</v>
      </c>
      <c r="L34" s="153"/>
      <c r="M34" s="152" t="str">
        <f>IF(VLOOKUP(A34,'Aux - pivots1'!$A:$E,3,0)=0, "",VLOOKUP(A34,'Aux - pivots1'!$A:$E,3,0))</f>
        <v/>
      </c>
      <c r="N34" s="152" t="str">
        <f>IF(VLOOKUP(A34,'Aux - pivots1'!$A:$E,4,0)=0, "",VLOOKUP(A34,'Aux - pivots1'!$A:$E,4,0))</f>
        <v/>
      </c>
      <c r="O34" s="152" t="str">
        <f>IF(VLOOKUP(A34,'Aux - pivots1'!$A:$E,5,0)=0, "",VLOOKUP(A34,'Aux - pivots1'!$A:$E,5,0))</f>
        <v/>
      </c>
      <c r="P34" s="202"/>
      <c r="Q34" s="202"/>
      <c r="R34" s="203"/>
      <c r="S34" s="372"/>
      <c r="T34" s="372"/>
      <c r="U34" s="372" t="s">
        <v>2327</v>
      </c>
      <c r="V34" s="324"/>
    </row>
    <row r="35" spans="1:22" ht="16.350000000000001" hidden="1" customHeight="1">
      <c r="A35" s="29" t="str">
        <f t="shared" si="0"/>
        <v>modesg_out_empr_info_nfince_turnover_own_prfrmnce_algnd</v>
      </c>
      <c r="B35" s="141" t="s">
        <v>26</v>
      </c>
      <c r="C35" s="137" t="s">
        <v>310</v>
      </c>
      <c r="D35" s="133" t="s">
        <v>40</v>
      </c>
      <c r="E35" s="134" t="s">
        <v>325</v>
      </c>
      <c r="F35" s="476" t="s">
        <v>275</v>
      </c>
      <c r="G35" s="135" t="str">
        <f>VLOOKUP(A35,Plano_V3!$A$26:$G$769,7,0)</f>
        <v>1. Concluído</v>
      </c>
      <c r="H35" s="135" t="s">
        <v>612</v>
      </c>
      <c r="I35" s="473"/>
      <c r="J35" s="368" t="s">
        <v>2248</v>
      </c>
      <c r="K35" s="359" t="s">
        <v>2312</v>
      </c>
      <c r="L35" s="153"/>
      <c r="M35" s="152" t="str">
        <f>IF(VLOOKUP(A35,'Aux - pivots1'!$A:$E,3,0)=0, "",VLOOKUP(A35,'Aux - pivots1'!$A:$E,3,0))</f>
        <v/>
      </c>
      <c r="N35" s="152" t="str">
        <f>IF(VLOOKUP(A35,'Aux - pivots1'!$A:$E,4,0)=0, "",VLOOKUP(A35,'Aux - pivots1'!$A:$E,4,0))</f>
        <v/>
      </c>
      <c r="O35" s="152" t="str">
        <f>IF(VLOOKUP(A35,'Aux - pivots1'!$A:$E,5,0)=0, "",VLOOKUP(A35,'Aux - pivots1'!$A:$E,5,0))</f>
        <v/>
      </c>
      <c r="P35" s="202"/>
      <c r="Q35" s="202"/>
      <c r="R35" s="203"/>
      <c r="S35" s="372"/>
      <c r="T35" s="372"/>
      <c r="U35" s="372" t="s">
        <v>2327</v>
      </c>
      <c r="V35" s="324"/>
    </row>
    <row r="36" spans="1:22" ht="16.350000000000001" hidden="1" customHeight="1">
      <c r="A36" s="29" t="str">
        <f t="shared" si="0"/>
        <v>modesg_out_empr_info_nfince_capex_ttl_elgbl</v>
      </c>
      <c r="B36" s="141" t="s">
        <v>26</v>
      </c>
      <c r="C36" s="137" t="s">
        <v>310</v>
      </c>
      <c r="D36" s="133" t="s">
        <v>40</v>
      </c>
      <c r="E36" s="134" t="s">
        <v>325</v>
      </c>
      <c r="F36" s="476" t="s">
        <v>276</v>
      </c>
      <c r="G36" s="135" t="str">
        <f>VLOOKUP(A36,Plano_V3!$A$26:$G$769,7,0)</f>
        <v>1. Concluído</v>
      </c>
      <c r="H36" s="135" t="s">
        <v>612</v>
      </c>
      <c r="I36" s="473"/>
      <c r="J36" s="368" t="s">
        <v>2248</v>
      </c>
      <c r="K36" s="359" t="s">
        <v>2312</v>
      </c>
      <c r="L36" s="153"/>
      <c r="M36" s="152" t="str">
        <f>IF(VLOOKUP(A36,'Aux - pivots1'!$A:$E,3,0)=0, "",VLOOKUP(A36,'Aux - pivots1'!$A:$E,3,0))</f>
        <v/>
      </c>
      <c r="N36" s="152" t="str">
        <f>IF(VLOOKUP(A36,'Aux - pivots1'!$A:$E,4,0)=0, "",VLOOKUP(A36,'Aux - pivots1'!$A:$E,4,0))</f>
        <v/>
      </c>
      <c r="O36" s="152" t="str">
        <f>IF(VLOOKUP(A36,'Aux - pivots1'!$A:$E,5,0)=0, "",VLOOKUP(A36,'Aux - pivots1'!$A:$E,5,0))</f>
        <v/>
      </c>
      <c r="P36" s="202"/>
      <c r="Q36" s="202"/>
      <c r="R36" s="203"/>
      <c r="S36" s="372"/>
      <c r="T36" s="372"/>
      <c r="U36" s="372" t="s">
        <v>2327</v>
      </c>
      <c r="V36" s="324"/>
    </row>
    <row r="37" spans="1:22" ht="16.350000000000001" hidden="1" customHeight="1">
      <c r="A37" s="29" t="str">
        <f t="shared" si="0"/>
        <v>modesg_out_empr_info_nfince_capex_enblng_algnd</v>
      </c>
      <c r="B37" s="141" t="s">
        <v>26</v>
      </c>
      <c r="C37" s="137" t="s">
        <v>310</v>
      </c>
      <c r="D37" s="133" t="s">
        <v>40</v>
      </c>
      <c r="E37" s="134" t="s">
        <v>325</v>
      </c>
      <c r="F37" s="476" t="s">
        <v>277</v>
      </c>
      <c r="G37" s="135" t="str">
        <f>VLOOKUP(A37,Plano_V3!$A$26:$G$769,7,0)</f>
        <v>1. Concluído</v>
      </c>
      <c r="H37" s="135" t="s">
        <v>612</v>
      </c>
      <c r="I37" s="473"/>
      <c r="J37" s="368" t="s">
        <v>2248</v>
      </c>
      <c r="K37" s="359" t="s">
        <v>2312</v>
      </c>
      <c r="L37" s="153"/>
      <c r="M37" s="152" t="str">
        <f>IF(VLOOKUP(A37,'Aux - pivots1'!$A:$E,3,0)=0, "",VLOOKUP(A37,'Aux - pivots1'!$A:$E,3,0))</f>
        <v/>
      </c>
      <c r="N37" s="152" t="str">
        <f>IF(VLOOKUP(A37,'Aux - pivots1'!$A:$E,4,0)=0, "",VLOOKUP(A37,'Aux - pivots1'!$A:$E,4,0))</f>
        <v/>
      </c>
      <c r="O37" s="152" t="str">
        <f>IF(VLOOKUP(A37,'Aux - pivots1'!$A:$E,5,0)=0, "",VLOOKUP(A37,'Aux - pivots1'!$A:$E,5,0))</f>
        <v/>
      </c>
      <c r="P37" s="202"/>
      <c r="Q37" s="202"/>
      <c r="R37" s="203"/>
      <c r="S37" s="372"/>
      <c r="T37" s="372"/>
      <c r="U37" s="372" t="s">
        <v>2327</v>
      </c>
      <c r="V37" s="324"/>
    </row>
    <row r="38" spans="1:22" ht="16.350000000000001" hidden="1" customHeight="1">
      <c r="A38" s="29" t="str">
        <f t="shared" si="0"/>
        <v>modesg_out_empr_info_nfince_capex_own_prfrmnce_algnd</v>
      </c>
      <c r="B38" s="141" t="s">
        <v>26</v>
      </c>
      <c r="C38" s="137" t="s">
        <v>310</v>
      </c>
      <c r="D38" s="133" t="s">
        <v>40</v>
      </c>
      <c r="E38" s="134" t="s">
        <v>325</v>
      </c>
      <c r="F38" s="476" t="s">
        <v>278</v>
      </c>
      <c r="G38" s="135" t="str">
        <f>VLOOKUP(A38,Plano_V3!$A$26:$G$769,7,0)</f>
        <v>1. Concluído</v>
      </c>
      <c r="H38" s="135" t="s">
        <v>612</v>
      </c>
      <c r="I38" s="473"/>
      <c r="J38" s="368" t="s">
        <v>2248</v>
      </c>
      <c r="K38" s="359" t="s">
        <v>2312</v>
      </c>
      <c r="L38" s="153"/>
      <c r="M38" s="152" t="str">
        <f>IF(VLOOKUP(A38,'Aux - pivots1'!$A:$E,3,0)=0, "",VLOOKUP(A38,'Aux - pivots1'!$A:$E,3,0))</f>
        <v/>
      </c>
      <c r="N38" s="152" t="str">
        <f>IF(VLOOKUP(A38,'Aux - pivots1'!$A:$E,4,0)=0, "",VLOOKUP(A38,'Aux - pivots1'!$A:$E,4,0))</f>
        <v/>
      </c>
      <c r="O38" s="152" t="str">
        <f>IF(VLOOKUP(A38,'Aux - pivots1'!$A:$E,5,0)=0, "",VLOOKUP(A38,'Aux - pivots1'!$A:$E,5,0))</f>
        <v/>
      </c>
      <c r="P38" s="152"/>
      <c r="Q38" s="152"/>
      <c r="R38" s="372"/>
      <c r="S38" s="372"/>
      <c r="T38" s="372"/>
      <c r="U38" s="372" t="s">
        <v>2327</v>
      </c>
      <c r="V38" s="372"/>
    </row>
    <row r="39" spans="1:22" ht="16.350000000000001" hidden="1" customHeight="1">
      <c r="A39" s="29" t="str">
        <f t="shared" si="0"/>
        <v>lt007_instr_activityPRCNTG_ACTVTY</v>
      </c>
      <c r="B39" s="141" t="s">
        <v>26</v>
      </c>
      <c r="C39" s="137" t="s">
        <v>26</v>
      </c>
      <c r="D39" s="133" t="s">
        <v>40</v>
      </c>
      <c r="E39" s="136" t="s">
        <v>1865</v>
      </c>
      <c r="F39" s="480" t="s">
        <v>2297</v>
      </c>
      <c r="G39" s="135" t="str">
        <f>VLOOKUP(A39,Plano_V3!$A$26:$G$769,7,0)</f>
        <v xml:space="preserve">6. Em implementação </v>
      </c>
      <c r="H39" s="135" t="s">
        <v>2325</v>
      </c>
      <c r="I39" s="473"/>
      <c r="J39" s="359" t="s">
        <v>2247</v>
      </c>
      <c r="K39" s="359" t="s">
        <v>2452</v>
      </c>
      <c r="L39" s="359"/>
      <c r="M39" s="152" t="str">
        <f>IF(VLOOKUP(A39,'Aux - pivots1'!$A:$E,3,0)=0, "",VLOOKUP(A39,'Aux - pivots1'!$A:$E,3,0))</f>
        <v/>
      </c>
      <c r="N39" s="152" t="str">
        <f>IF(VLOOKUP(A39,'Aux - pivots1'!$A:$E,4,0)=0, "",VLOOKUP(A39,'Aux - pivots1'!$A:$E,4,0))</f>
        <v/>
      </c>
      <c r="O39" s="152" t="str">
        <f>IF(VLOOKUP(A39,'Aux - pivots1'!$A:$E,5,0)=0, "",VLOOKUP(A39,'Aux - pivots1'!$A:$E,5,0))</f>
        <v/>
      </c>
      <c r="P39" s="202"/>
      <c r="Q39" s="202"/>
      <c r="R39" s="372" t="s">
        <v>2319</v>
      </c>
      <c r="S39" s="324" t="s">
        <v>2388</v>
      </c>
      <c r="T39" s="372" t="s">
        <v>2367</v>
      </c>
      <c r="U39" s="372" t="s">
        <v>2327</v>
      </c>
      <c r="V39" s="324" t="s">
        <v>2314</v>
      </c>
    </row>
    <row r="40" spans="1:22" ht="16.350000000000001" hidden="1" customHeight="1">
      <c r="A40" s="29" t="str">
        <f t="shared" si="0"/>
        <v>lt007_instr_activityFLG_SBSTNTL_CNTRBTN</v>
      </c>
      <c r="B40" s="141" t="s">
        <v>26</v>
      </c>
      <c r="C40" s="137" t="s">
        <v>26</v>
      </c>
      <c r="D40" s="133" t="s">
        <v>40</v>
      </c>
      <c r="E40" s="136" t="s">
        <v>1865</v>
      </c>
      <c r="F40" s="480" t="s">
        <v>2298</v>
      </c>
      <c r="G40" s="135" t="str">
        <f>VLOOKUP(A40,Plano_V3!$A$26:$G$769,7,0)</f>
        <v xml:space="preserve">6. Em implementação </v>
      </c>
      <c r="H40" s="135" t="s">
        <v>2325</v>
      </c>
      <c r="I40" s="473"/>
      <c r="J40" s="359" t="s">
        <v>2247</v>
      </c>
      <c r="K40" s="359" t="s">
        <v>2452</v>
      </c>
      <c r="L40" s="359"/>
      <c r="M40" s="152" t="str">
        <f>IF(VLOOKUP(A40,'Aux - pivots1'!$A:$E,3,0)=0, "",VLOOKUP(A40,'Aux - pivots1'!$A:$E,3,0))</f>
        <v/>
      </c>
      <c r="N40" s="152" t="str">
        <f>IF(VLOOKUP(A40,'Aux - pivots1'!$A:$E,4,0)=0, "",VLOOKUP(A40,'Aux - pivots1'!$A:$E,4,0))</f>
        <v/>
      </c>
      <c r="O40" s="152" t="str">
        <f>IF(VLOOKUP(A40,'Aux - pivots1'!$A:$E,5,0)=0, "",VLOOKUP(A40,'Aux - pivots1'!$A:$E,5,0))</f>
        <v/>
      </c>
      <c r="P40" s="202"/>
      <c r="Q40" s="202"/>
      <c r="R40" s="372" t="s">
        <v>2319</v>
      </c>
      <c r="S40" s="324" t="s">
        <v>2389</v>
      </c>
      <c r="T40" s="372" t="s">
        <v>2367</v>
      </c>
      <c r="U40" s="372" t="s">
        <v>2327</v>
      </c>
      <c r="V40" s="324" t="s">
        <v>2314</v>
      </c>
    </row>
    <row r="41" spans="1:22" ht="16.350000000000001" hidden="1" customHeight="1">
      <c r="A41" s="29" t="str">
        <f t="shared" si="0"/>
        <v>lt003_entitygrp_ecnmc_actvty</v>
      </c>
      <c r="B41" s="141" t="s">
        <v>26</v>
      </c>
      <c r="C41" s="137" t="s">
        <v>26</v>
      </c>
      <c r="D41" s="133" t="s">
        <v>40</v>
      </c>
      <c r="E41" s="136" t="s">
        <v>335</v>
      </c>
      <c r="F41" s="480" t="s">
        <v>2200</v>
      </c>
      <c r="G41" s="135" t="str">
        <f>VLOOKUP(A41,Plano_V3!$A$26:$G$769,7,0)</f>
        <v xml:space="preserve">6. Em implementação </v>
      </c>
      <c r="H41" s="135" t="s">
        <v>2325</v>
      </c>
      <c r="I41" s="473"/>
      <c r="J41" s="359" t="s">
        <v>2247</v>
      </c>
      <c r="K41" s="359" t="s">
        <v>2452</v>
      </c>
      <c r="L41" s="359"/>
      <c r="M41" s="152" t="str">
        <f>IF(VLOOKUP(A41,'Aux - pivots1'!$A:$E,3,0)=0, "",VLOOKUP(A41,'Aux - pivots1'!$A:$E,3,0))</f>
        <v/>
      </c>
      <c r="N41" s="152" t="str">
        <f>IF(VLOOKUP(A41,'Aux - pivots1'!$A:$E,4,0)=0, "",VLOOKUP(A41,'Aux - pivots1'!$A:$E,4,0))</f>
        <v/>
      </c>
      <c r="O41" s="152" t="str">
        <f>IF(VLOOKUP(A41,'Aux - pivots1'!$A:$E,5,0)=0, "",VLOOKUP(A41,'Aux - pivots1'!$A:$E,5,0))</f>
        <v/>
      </c>
      <c r="P41" s="202"/>
      <c r="Q41" s="202"/>
      <c r="R41" s="372" t="s">
        <v>2319</v>
      </c>
      <c r="S41" s="324" t="s">
        <v>2400</v>
      </c>
      <c r="T41" s="372" t="s">
        <v>2367</v>
      </c>
      <c r="U41" s="372" t="s">
        <v>2327</v>
      </c>
      <c r="V41" s="324" t="s">
        <v>1861</v>
      </c>
    </row>
    <row r="42" spans="1:22" ht="16.350000000000001" hidden="1" customHeight="1">
      <c r="A42" s="29" t="str">
        <f t="shared" si="0"/>
        <v>lt006_instr_protTYP_RLTN</v>
      </c>
      <c r="B42" s="141" t="s">
        <v>26</v>
      </c>
      <c r="C42" s="137" t="s">
        <v>26</v>
      </c>
      <c r="D42" s="133" t="s">
        <v>40</v>
      </c>
      <c r="E42" s="136" t="s">
        <v>441</v>
      </c>
      <c r="F42" s="480" t="s">
        <v>2295</v>
      </c>
      <c r="G42" s="135" t="str">
        <f>VLOOKUP(A42,Plano_V3!$A$26:$G$769,7,0)</f>
        <v xml:space="preserve">6. Em implementação </v>
      </c>
      <c r="H42" s="135" t="s">
        <v>2325</v>
      </c>
      <c r="I42" s="473"/>
      <c r="J42" s="359" t="s">
        <v>2247</v>
      </c>
      <c r="K42" s="359" t="s">
        <v>2452</v>
      </c>
      <c r="L42" s="359"/>
      <c r="M42" s="152" t="str">
        <f>IF(VLOOKUP(A33,'Aux - pivots1'!$A:$E,3,0)=0, "",VLOOKUP(A33,'Aux - pivots1'!$A:$E,3,0))</f>
        <v/>
      </c>
      <c r="N42" s="152" t="str">
        <f>IF(VLOOKUP(A33,'Aux - pivots1'!$A:$E,4,0)=0, "",VLOOKUP(A33,'Aux - pivots1'!$A:$E,4,0))</f>
        <v/>
      </c>
      <c r="O42" s="152" t="str">
        <f>IF(VLOOKUP(A33,'Aux - pivots1'!$A:$E,5,0)=0, "",VLOOKUP(A33,'Aux - pivots1'!$A:$E,5,0))</f>
        <v/>
      </c>
      <c r="P42" s="202"/>
      <c r="Q42" s="202"/>
      <c r="R42" s="372" t="s">
        <v>2319</v>
      </c>
      <c r="S42" s="324" t="s">
        <v>2401</v>
      </c>
      <c r="T42" s="372" t="s">
        <v>2367</v>
      </c>
      <c r="U42" s="372" t="s">
        <v>2327</v>
      </c>
      <c r="V42" s="324" t="s">
        <v>1861</v>
      </c>
    </row>
    <row r="43" spans="1:22" ht="16.350000000000001" hidden="1" customHeight="1">
      <c r="A43" s="29" t="str">
        <f t="shared" si="0"/>
        <v>lt004_protectionEPC_EMSSNS_LBL</v>
      </c>
      <c r="B43" s="141" t="s">
        <v>26</v>
      </c>
      <c r="C43" s="137" t="s">
        <v>26</v>
      </c>
      <c r="D43" s="133" t="s">
        <v>40</v>
      </c>
      <c r="E43" s="136" t="s">
        <v>368</v>
      </c>
      <c r="F43" s="480" t="s">
        <v>2253</v>
      </c>
      <c r="G43" s="135" t="str">
        <f>VLOOKUP(A43,Plano_V3!$A$26:$G$769,7,0)</f>
        <v>4. Validação EF</v>
      </c>
      <c r="H43" s="135" t="s">
        <v>614</v>
      </c>
      <c r="I43" s="473"/>
      <c r="J43" s="359" t="s">
        <v>2246</v>
      </c>
      <c r="K43" s="359" t="s">
        <v>2452</v>
      </c>
      <c r="L43" s="359"/>
      <c r="M43" s="152" t="str">
        <f>IF(VLOOKUP(A43,'Aux - pivots1'!$A:$E,3,0)=0, "",VLOOKUP(A43,'Aux - pivots1'!$A:$E,3,0))</f>
        <v/>
      </c>
      <c r="N43" s="152" t="str">
        <f>IF(VLOOKUP(A43,'Aux - pivots1'!$A:$E,4,0)=0, "",VLOOKUP(A43,'Aux - pivots1'!$A:$E,4,0))</f>
        <v/>
      </c>
      <c r="O43" s="152" t="str">
        <f>IF(VLOOKUP(A43,'Aux - pivots1'!$A:$E,5,0)=0, "",VLOOKUP(A43,'Aux - pivots1'!$A:$E,5,0))</f>
        <v/>
      </c>
      <c r="P43" s="202"/>
      <c r="Q43" s="202"/>
      <c r="R43" s="372" t="s">
        <v>2319</v>
      </c>
      <c r="S43" s="324" t="s">
        <v>2402</v>
      </c>
      <c r="T43" s="372" t="s">
        <v>2367</v>
      </c>
      <c r="U43" s="372" t="s">
        <v>2327</v>
      </c>
      <c r="V43" s="324" t="s">
        <v>1861</v>
      </c>
    </row>
    <row r="44" spans="1:22" ht="16.350000000000001" hidden="1" customHeight="1">
      <c r="A44" s="29" t="str">
        <f t="shared" si="0"/>
        <v>lt004_protectionTYP_EMSSNS_SCR</v>
      </c>
      <c r="B44" s="141" t="s">
        <v>26</v>
      </c>
      <c r="C44" s="137" t="s">
        <v>26</v>
      </c>
      <c r="D44" s="133" t="s">
        <v>40</v>
      </c>
      <c r="E44" s="136" t="s">
        <v>368</v>
      </c>
      <c r="F44" s="480" t="s">
        <v>2255</v>
      </c>
      <c r="G44" s="135" t="str">
        <f>VLOOKUP(A44,Plano_V3!$A$26:$G$769,7,0)</f>
        <v>4. Validação EF</v>
      </c>
      <c r="H44" s="135" t="s">
        <v>614</v>
      </c>
      <c r="I44" s="473"/>
      <c r="J44" s="359" t="s">
        <v>2246</v>
      </c>
      <c r="K44" s="359" t="s">
        <v>2452</v>
      </c>
      <c r="L44" s="359"/>
      <c r="M44" s="152" t="str">
        <f>IF(VLOOKUP(A44,'Aux - pivots1'!$A:$E,3,0)=0, "",VLOOKUP(A44,'Aux - pivots1'!$A:$E,3,0))</f>
        <v/>
      </c>
      <c r="N44" s="152" t="str">
        <f>IF(VLOOKUP(A44,'Aux - pivots1'!$A:$E,4,0)=0, "",VLOOKUP(A44,'Aux - pivots1'!$A:$E,4,0))</f>
        <v/>
      </c>
      <c r="O44" s="152" t="str">
        <f>IF(VLOOKUP(A44,'Aux - pivots1'!$A:$E,5,0)=0, "",VLOOKUP(A44,'Aux - pivots1'!$A:$E,5,0))</f>
        <v/>
      </c>
      <c r="P44" s="202"/>
      <c r="Q44" s="202"/>
      <c r="R44" s="372" t="s">
        <v>2319</v>
      </c>
      <c r="S44" s="324" t="s">
        <v>2402</v>
      </c>
      <c r="T44" s="372" t="s">
        <v>2367</v>
      </c>
      <c r="U44" s="372" t="s">
        <v>2327</v>
      </c>
      <c r="V44" s="324" t="s">
        <v>1861</v>
      </c>
    </row>
    <row r="45" spans="1:22" ht="16.350000000000001" hidden="1" customHeight="1">
      <c r="A45" s="29" t="str">
        <f t="shared" si="0"/>
        <v>lt004_protectionEPC_EMSSNS_SCR</v>
      </c>
      <c r="B45" s="141" t="s">
        <v>26</v>
      </c>
      <c r="C45" s="137" t="s">
        <v>26</v>
      </c>
      <c r="D45" s="133" t="s">
        <v>40</v>
      </c>
      <c r="E45" s="136" t="s">
        <v>368</v>
      </c>
      <c r="F45" s="480" t="s">
        <v>2256</v>
      </c>
      <c r="G45" s="135" t="str">
        <f>VLOOKUP(A45,Plano_V3!$A$26:$G$769,7,0)</f>
        <v>4. Validação EF</v>
      </c>
      <c r="H45" s="135" t="s">
        <v>614</v>
      </c>
      <c r="I45" s="473"/>
      <c r="J45" s="359" t="s">
        <v>2246</v>
      </c>
      <c r="K45" s="359" t="s">
        <v>2452</v>
      </c>
      <c r="L45" s="359"/>
      <c r="M45" s="152" t="str">
        <f>IF(VLOOKUP(A45,'Aux - pivots1'!$A:$E,3,0)=0, "",VLOOKUP(A45,'Aux - pivots1'!$A:$E,3,0))</f>
        <v/>
      </c>
      <c r="N45" s="152" t="str">
        <f>IF(VLOOKUP(A45,'Aux - pivots1'!$A:$E,4,0)=0, "",VLOOKUP(A45,'Aux - pivots1'!$A:$E,4,0))</f>
        <v/>
      </c>
      <c r="O45" s="152" t="str">
        <f>IF(VLOOKUP(A45,'Aux - pivots1'!$A:$E,5,0)=0, "",VLOOKUP(A45,'Aux - pivots1'!$A:$E,5,0))</f>
        <v/>
      </c>
      <c r="P45" s="202"/>
      <c r="Q45" s="202"/>
      <c r="R45" s="372" t="s">
        <v>2319</v>
      </c>
      <c r="S45" s="324" t="s">
        <v>2402</v>
      </c>
      <c r="T45" s="372" t="s">
        <v>2367</v>
      </c>
      <c r="U45" s="372" t="s">
        <v>2327</v>
      </c>
      <c r="V45" s="324" t="s">
        <v>1861</v>
      </c>
    </row>
    <row r="46" spans="1:22" ht="16.350000000000001" hidden="1" customHeight="1">
      <c r="A46" s="29" t="str">
        <f t="shared" si="0"/>
        <v>lt004_protectionTYP_VHCL</v>
      </c>
      <c r="B46" s="141" t="s">
        <v>26</v>
      </c>
      <c r="C46" s="137" t="s">
        <v>26</v>
      </c>
      <c r="D46" s="133" t="s">
        <v>40</v>
      </c>
      <c r="E46" s="136" t="s">
        <v>368</v>
      </c>
      <c r="F46" s="480" t="s">
        <v>2266</v>
      </c>
      <c r="G46" s="135" t="str">
        <f>VLOOKUP(A46,Plano_V3!$A$26:$G$769,7,0)</f>
        <v xml:space="preserve">6. Em implementação </v>
      </c>
      <c r="H46" s="135" t="s">
        <v>2325</v>
      </c>
      <c r="I46" s="473"/>
      <c r="J46" s="359" t="s">
        <v>2246</v>
      </c>
      <c r="K46" s="359" t="s">
        <v>2452</v>
      </c>
      <c r="L46" s="359"/>
      <c r="M46" s="152" t="str">
        <f>IF(VLOOKUP(A46,'Aux - pivots1'!$A:$E,3,0)=0, "",VLOOKUP(A46,'Aux - pivots1'!$A:$E,3,0))</f>
        <v/>
      </c>
      <c r="N46" s="152" t="str">
        <f>IF(VLOOKUP(A46,'Aux - pivots1'!$A:$E,4,0)=0, "",VLOOKUP(A46,'Aux - pivots1'!$A:$E,4,0))</f>
        <v/>
      </c>
      <c r="O46" s="152" t="str">
        <f>IF(VLOOKUP(A46,'Aux - pivots1'!$A:$E,5,0)=0, "",VLOOKUP(A46,'Aux - pivots1'!$A:$E,5,0))</f>
        <v/>
      </c>
      <c r="P46" s="202"/>
      <c r="Q46" s="202"/>
      <c r="R46" s="372" t="s">
        <v>2319</v>
      </c>
      <c r="S46" s="324" t="s">
        <v>2404</v>
      </c>
      <c r="T46" s="372" t="s">
        <v>2367</v>
      </c>
      <c r="U46" s="372" t="s">
        <v>2327</v>
      </c>
      <c r="V46" s="324" t="s">
        <v>1861</v>
      </c>
    </row>
    <row r="47" spans="1:22" ht="16.350000000000001" hidden="1" customHeight="1">
      <c r="A47" s="29" t="str">
        <f t="shared" si="0"/>
        <v>lt004_protectionPRMRY_ENRGY_DMND_TTL</v>
      </c>
      <c r="B47" s="141" t="s">
        <v>26</v>
      </c>
      <c r="C47" s="137" t="s">
        <v>26</v>
      </c>
      <c r="D47" s="133" t="s">
        <v>40</v>
      </c>
      <c r="E47" s="136" t="s">
        <v>368</v>
      </c>
      <c r="F47" s="480" t="s">
        <v>2269</v>
      </c>
      <c r="G47" s="135" t="str">
        <f>VLOOKUP(A47,Plano_V3!$A$26:$G$769,7,0)</f>
        <v xml:space="preserve">6. Em implementação </v>
      </c>
      <c r="H47" s="135" t="s">
        <v>2325</v>
      </c>
      <c r="I47" s="473"/>
      <c r="J47" s="359" t="s">
        <v>2246</v>
      </c>
      <c r="K47" s="359" t="s">
        <v>2452</v>
      </c>
      <c r="L47" s="359"/>
      <c r="M47" s="152" t="str">
        <f>IF(VLOOKUP(A47,'Aux - pivots1'!$A:$E,3,0)=0, "",VLOOKUP(A47,'Aux - pivots1'!$A:$E,3,0))</f>
        <v/>
      </c>
      <c r="N47" s="152" t="str">
        <f>IF(VLOOKUP(A47,'Aux - pivots1'!$A:$E,4,0)=0, "",VLOOKUP(A47,'Aux - pivots1'!$A:$E,4,0))</f>
        <v/>
      </c>
      <c r="O47" s="152" t="str">
        <f>IF(VLOOKUP(A47,'Aux - pivots1'!$A:$E,5,0)=0, "",VLOOKUP(A47,'Aux - pivots1'!$A:$E,5,0))</f>
        <v/>
      </c>
      <c r="P47" s="202"/>
      <c r="Q47" s="202"/>
      <c r="R47" s="372" t="s">
        <v>2319</v>
      </c>
      <c r="S47" s="324" t="s">
        <v>2399</v>
      </c>
      <c r="T47" s="372" t="s">
        <v>2367</v>
      </c>
      <c r="U47" s="372" t="s">
        <v>2327</v>
      </c>
      <c r="V47" s="324" t="s">
        <v>1862</v>
      </c>
    </row>
    <row r="48" spans="1:22" ht="16.350000000000001" customHeight="1">
      <c r="A48" s="29" t="str">
        <f t="shared" si="0"/>
        <v>lt004_protectionPRMRY_ENRGY_DMND_RFRNC_VL</v>
      </c>
      <c r="B48" s="141" t="s">
        <v>26</v>
      </c>
      <c r="C48" s="137" t="s">
        <v>26</v>
      </c>
      <c r="D48" s="133" t="s">
        <v>40</v>
      </c>
      <c r="E48" s="136" t="s">
        <v>368</v>
      </c>
      <c r="F48" s="480" t="s">
        <v>2270</v>
      </c>
      <c r="G48" s="135" t="str">
        <f>VLOOKUP(A48,Plano_V3!$A$26:$G$769,7,0)</f>
        <v xml:space="preserve">6. Em implementação </v>
      </c>
      <c r="H48" s="135" t="s">
        <v>2325</v>
      </c>
      <c r="I48" s="473"/>
      <c r="J48" s="359" t="s">
        <v>2246</v>
      </c>
      <c r="K48" s="359" t="s">
        <v>2452</v>
      </c>
      <c r="L48" s="359"/>
      <c r="M48" s="152" t="str">
        <f>IF(VLOOKUP(A48,'Aux - pivots1'!$A:$E,3,0)=0, "",VLOOKUP(A48,'Aux - pivots1'!$A:$E,3,0))</f>
        <v/>
      </c>
      <c r="N48" s="152" t="str">
        <f>IF(VLOOKUP(A48,'Aux - pivots1'!$A:$E,4,0)=0, "",VLOOKUP(A48,'Aux - pivots1'!$A:$E,4,0))</f>
        <v/>
      </c>
      <c r="O48" s="152" t="str">
        <f>IF(VLOOKUP(A48,'Aux - pivots1'!$A:$E,5,0)=0, "",VLOOKUP(A48,'Aux - pivots1'!$A:$E,5,0))</f>
        <v/>
      </c>
      <c r="P48" s="202"/>
      <c r="Q48" s="202"/>
      <c r="R48" s="372" t="s">
        <v>2319</v>
      </c>
      <c r="S48" s="324" t="s">
        <v>2399</v>
      </c>
      <c r="T48" s="372" t="s">
        <v>2367</v>
      </c>
      <c r="U48" s="372" t="s">
        <v>2327</v>
      </c>
      <c r="V48" s="324" t="s">
        <v>1862</v>
      </c>
    </row>
    <row r="49" spans="1:22" ht="16.350000000000001" hidden="1" customHeight="1">
      <c r="A49" s="29" t="str">
        <f t="shared" si="0"/>
        <v>lt004_protectionRL_ESTT_CLMT_ZN</v>
      </c>
      <c r="B49" s="141" t="s">
        <v>26</v>
      </c>
      <c r="C49" s="137" t="s">
        <v>26</v>
      </c>
      <c r="D49" s="133" t="s">
        <v>40</v>
      </c>
      <c r="E49" s="136" t="s">
        <v>368</v>
      </c>
      <c r="F49" s="480" t="s">
        <v>2271</v>
      </c>
      <c r="G49" s="135" t="str">
        <f>VLOOKUP(A49,Plano_V3!$A$26:$G$769,7,0)</f>
        <v xml:space="preserve">6. Em implementação </v>
      </c>
      <c r="H49" s="135" t="s">
        <v>2325</v>
      </c>
      <c r="I49" s="473"/>
      <c r="J49" s="359" t="s">
        <v>2246</v>
      </c>
      <c r="K49" s="359" t="s">
        <v>2452</v>
      </c>
      <c r="L49" s="359"/>
      <c r="M49" s="152" t="str">
        <f>IF(VLOOKUP(A49,'Aux - pivots1'!$A:$E,3,0)=0, "",VLOOKUP(A49,'Aux - pivots1'!$A:$E,3,0))</f>
        <v/>
      </c>
      <c r="N49" s="152" t="str">
        <f>IF(VLOOKUP(A49,'Aux - pivots1'!$A:$E,4,0)=0, "",VLOOKUP(A49,'Aux - pivots1'!$A:$E,4,0))</f>
        <v/>
      </c>
      <c r="O49" s="152" t="str">
        <f>IF(VLOOKUP(A49,'Aux - pivots1'!$A:$E,5,0)=0, "",VLOOKUP(A49,'Aux - pivots1'!$A:$E,5,0))</f>
        <v/>
      </c>
      <c r="P49" s="202"/>
      <c r="Q49" s="202"/>
      <c r="R49" s="372" t="s">
        <v>2319</v>
      </c>
      <c r="S49" s="324" t="s">
        <v>2399</v>
      </c>
      <c r="T49" s="372" t="s">
        <v>2367</v>
      </c>
      <c r="U49" s="372" t="s">
        <v>2327</v>
      </c>
      <c r="V49" s="324" t="s">
        <v>1861</v>
      </c>
    </row>
    <row r="50" spans="1:22" ht="16.350000000000001" hidden="1" customHeight="1">
      <c r="A50" s="29" t="str">
        <f t="shared" si="0"/>
        <v>ENERGY_CERTIFICATE_EST_INPUTCHAVE_GLOVAL</v>
      </c>
      <c r="B50" s="141" t="s">
        <v>26</v>
      </c>
      <c r="C50" s="137" t="s">
        <v>34</v>
      </c>
      <c r="D50" s="133" t="s">
        <v>40</v>
      </c>
      <c r="E50" s="134" t="s">
        <v>37</v>
      </c>
      <c r="F50" s="477" t="s">
        <v>1973</v>
      </c>
      <c r="G50" s="135" t="str">
        <f>VLOOKUP(A50,Plano_V3!$A$26:$G$769,7,0)</f>
        <v>2.1 Em Teste</v>
      </c>
      <c r="H50" s="135" t="s">
        <v>1845</v>
      </c>
      <c r="I50" s="473" t="s">
        <v>2421</v>
      </c>
      <c r="J50" s="359" t="s">
        <v>2248</v>
      </c>
      <c r="K50" s="359" t="s">
        <v>2245</v>
      </c>
      <c r="L50" s="359"/>
      <c r="M50" s="347" t="str">
        <f>IF(VLOOKUP(A50,'Aux - pivots1'!$A:$E,3,0)=0, "",VLOOKUP(A50,'Aux - pivots1'!$A:$E,3,0))</f>
        <v/>
      </c>
      <c r="N50" s="347" t="str">
        <f>IF(VLOOKUP(A50,'Aux - pivots1'!$A:$E,4,0)=0, "",VLOOKUP(A50,'Aux - pivots1'!$A:$E,4,0))</f>
        <v/>
      </c>
      <c r="O50" s="152" t="str">
        <f>IF(VLOOKUP(A50,'Aux - pivots1'!$A:$E,5,0)=0, "",VLOOKUP(A50,'Aux - pivots1'!$A:$E,5,0))</f>
        <v/>
      </c>
      <c r="P50" s="202"/>
      <c r="Q50" s="202"/>
      <c r="R50" s="203"/>
      <c r="S50" s="372"/>
      <c r="T50" s="372"/>
      <c r="U50" s="372" t="s">
        <v>2384</v>
      </c>
      <c r="V50" s="372"/>
    </row>
    <row r="51" spans="1:22" ht="16.350000000000001" hidden="1" customHeight="1">
      <c r="A51" s="29" t="str">
        <f t="shared" si="0"/>
        <v>ENERGY_CERTIFICATE_EST_INPUTPROPERTY_BANK_ID</v>
      </c>
      <c r="B51" s="141" t="s">
        <v>26</v>
      </c>
      <c r="C51" s="137" t="s">
        <v>34</v>
      </c>
      <c r="D51" s="133" t="s">
        <v>40</v>
      </c>
      <c r="E51" s="134" t="s">
        <v>37</v>
      </c>
      <c r="F51" s="477" t="s">
        <v>41</v>
      </c>
      <c r="G51" s="135" t="str">
        <f>VLOOKUP(A51,Plano_V3!$A$26:$G$769,7,0)</f>
        <v>2.1 Em Teste</v>
      </c>
      <c r="H51" s="135" t="s">
        <v>1845</v>
      </c>
      <c r="I51" s="473" t="s">
        <v>2421</v>
      </c>
      <c r="J51" s="359" t="s">
        <v>2248</v>
      </c>
      <c r="K51" s="359" t="s">
        <v>2245</v>
      </c>
      <c r="L51" s="359"/>
      <c r="M51" s="347" t="str">
        <f>IF(VLOOKUP(A51,'Aux - pivots1'!$A:$E,3,0)=0, "",VLOOKUP(A51,'Aux - pivots1'!$A:$E,3,0))</f>
        <v/>
      </c>
      <c r="N51" s="347" t="str">
        <f>IF(VLOOKUP(A51,'Aux - pivots1'!$A:$E,4,0)=0, "",VLOOKUP(A51,'Aux - pivots1'!$A:$E,4,0))</f>
        <v/>
      </c>
      <c r="O51" s="152" t="str">
        <f>IF(VLOOKUP(A51,'Aux - pivots1'!$A:$E,5,0)=0, "",VLOOKUP(A51,'Aux - pivots1'!$A:$E,5,0))</f>
        <v/>
      </c>
      <c r="P51" s="202"/>
      <c r="Q51" s="202"/>
      <c r="R51" s="203"/>
      <c r="S51" s="324"/>
      <c r="T51" s="324"/>
      <c r="U51" s="372" t="s">
        <v>2326</v>
      </c>
      <c r="V51" s="372"/>
    </row>
    <row r="52" spans="1:22" ht="16.350000000000001" hidden="1" customHeight="1">
      <c r="A52" s="29" t="str">
        <f t="shared" si="0"/>
        <v>ENERGY_CERTIFICATE_EST_INPUTPROPERTY_BRANCH_CODE</v>
      </c>
      <c r="B52" s="141" t="s">
        <v>26</v>
      </c>
      <c r="C52" s="137" t="s">
        <v>34</v>
      </c>
      <c r="D52" s="133" t="s">
        <v>40</v>
      </c>
      <c r="E52" s="134" t="s">
        <v>37</v>
      </c>
      <c r="F52" s="477" t="s">
        <v>43</v>
      </c>
      <c r="G52" s="135" t="str">
        <f>VLOOKUP(A52,Plano_V3!$A$26:$G$769,7,0)</f>
        <v>2.1 Em Teste</v>
      </c>
      <c r="H52" s="135" t="s">
        <v>1845</v>
      </c>
      <c r="I52" s="473" t="s">
        <v>2421</v>
      </c>
      <c r="J52" s="359" t="s">
        <v>2248</v>
      </c>
      <c r="K52" s="359" t="s">
        <v>2245</v>
      </c>
      <c r="L52" s="359"/>
      <c r="M52" s="347" t="str">
        <f>IF(VLOOKUP(A52,'Aux - pivots1'!$A:$E,3,0)=0, "",VLOOKUP(A52,'Aux - pivots1'!$A:$E,3,0))</f>
        <v/>
      </c>
      <c r="N52" s="347" t="str">
        <f>IF(VLOOKUP(A52,'Aux - pivots1'!$A:$E,4,0)=0, "",VLOOKUP(A52,'Aux - pivots1'!$A:$E,4,0))</f>
        <v/>
      </c>
      <c r="O52" s="152" t="str">
        <f>IF(VLOOKUP(A52,'Aux - pivots1'!$A:$E,5,0)=0, "",VLOOKUP(A52,'Aux - pivots1'!$A:$E,5,0))</f>
        <v/>
      </c>
      <c r="P52" s="202"/>
      <c r="Q52" s="202"/>
      <c r="R52" s="203"/>
      <c r="S52" s="324"/>
      <c r="T52" s="324"/>
      <c r="U52" s="372" t="s">
        <v>2326</v>
      </c>
      <c r="V52" s="372"/>
    </row>
    <row r="53" spans="1:22" ht="16.350000000000001" hidden="1" customHeight="1">
      <c r="A53" s="29" t="str">
        <f t="shared" si="0"/>
        <v>ENERGY_CERTIFICATE_EST_INPUTPROPERTY_CONTRACT_ID</v>
      </c>
      <c r="B53" s="141" t="s">
        <v>26</v>
      </c>
      <c r="C53" s="137" t="s">
        <v>34</v>
      </c>
      <c r="D53" s="133" t="s">
        <v>40</v>
      </c>
      <c r="E53" s="134" t="s">
        <v>37</v>
      </c>
      <c r="F53" s="477" t="s">
        <v>44</v>
      </c>
      <c r="G53" s="135" t="str">
        <f>VLOOKUP(A53,Plano_V3!$A$26:$G$769,7,0)</f>
        <v>2.1 Em Teste</v>
      </c>
      <c r="H53" s="135" t="s">
        <v>1845</v>
      </c>
      <c r="I53" s="473" t="s">
        <v>2421</v>
      </c>
      <c r="J53" s="359" t="s">
        <v>2248</v>
      </c>
      <c r="K53" s="359" t="s">
        <v>2245</v>
      </c>
      <c r="L53" s="359"/>
      <c r="M53" s="347" t="str">
        <f>IF(VLOOKUP(A53,'Aux - pivots1'!$A:$E,3,0)=0, "",VLOOKUP(A53,'Aux - pivots1'!$A:$E,3,0))</f>
        <v/>
      </c>
      <c r="N53" s="347" t="str">
        <f>IF(VLOOKUP(A53,'Aux - pivots1'!$A:$E,4,0)=0, "",VLOOKUP(A53,'Aux - pivots1'!$A:$E,4,0))</f>
        <v/>
      </c>
      <c r="O53" s="152" t="str">
        <f>IF(VLOOKUP(A53,'Aux - pivots1'!$A:$E,5,0)=0, "",VLOOKUP(A53,'Aux - pivots1'!$A:$E,5,0))</f>
        <v/>
      </c>
      <c r="P53" s="202"/>
      <c r="Q53" s="202"/>
      <c r="R53" s="203"/>
      <c r="S53" s="324"/>
      <c r="T53" s="324"/>
      <c r="U53" s="372" t="s">
        <v>2326</v>
      </c>
      <c r="V53" s="372"/>
    </row>
    <row r="54" spans="1:22" ht="16.350000000000001" hidden="1" customHeight="1">
      <c r="A54" s="29" t="str">
        <f t="shared" si="0"/>
        <v>ENERGY_CERTIFICATE_EST_INPUTPROPERTY_REFERENCE_CODE</v>
      </c>
      <c r="B54" s="141" t="s">
        <v>26</v>
      </c>
      <c r="C54" s="137" t="s">
        <v>34</v>
      </c>
      <c r="D54" s="133" t="s">
        <v>40</v>
      </c>
      <c r="E54" s="134" t="s">
        <v>37</v>
      </c>
      <c r="F54" s="477" t="s">
        <v>45</v>
      </c>
      <c r="G54" s="135" t="str">
        <f>VLOOKUP(A54,Plano_V3!$A$26:$G$769,7,0)</f>
        <v>2.1 Em Teste</v>
      </c>
      <c r="H54" s="135" t="s">
        <v>1845</v>
      </c>
      <c r="I54" s="473" t="s">
        <v>2421</v>
      </c>
      <c r="J54" s="359" t="s">
        <v>2248</v>
      </c>
      <c r="K54" s="359" t="s">
        <v>2245</v>
      </c>
      <c r="L54" s="359"/>
      <c r="M54" s="347" t="str">
        <f>IF(VLOOKUP(A54,'Aux - pivots1'!$A:$E,3,0)=0, "",VLOOKUP(A54,'Aux - pivots1'!$A:$E,3,0))</f>
        <v/>
      </c>
      <c r="N54" s="347" t="str">
        <f>IF(VLOOKUP(A54,'Aux - pivots1'!$A:$E,4,0)=0, "",VLOOKUP(A54,'Aux - pivots1'!$A:$E,4,0))</f>
        <v/>
      </c>
      <c r="O54" s="152" t="str">
        <f>IF(VLOOKUP(A54,'Aux - pivots1'!$A:$E,5,0)=0, "",VLOOKUP(A54,'Aux - pivots1'!$A:$E,5,0))</f>
        <v/>
      </c>
      <c r="P54" s="202"/>
      <c r="Q54" s="202"/>
      <c r="R54" s="203"/>
      <c r="S54" s="324"/>
      <c r="T54" s="324"/>
      <c r="U54" s="372" t="s">
        <v>2326</v>
      </c>
      <c r="V54" s="372"/>
    </row>
    <row r="55" spans="1:22" ht="16.350000000000001" hidden="1" customHeight="1">
      <c r="A55" s="29" t="str">
        <f t="shared" si="0"/>
        <v>ENERGY_CERTIFICATE_EST_INPUTCÓDIGO_DISTRITO</v>
      </c>
      <c r="B55" s="141" t="s">
        <v>26</v>
      </c>
      <c r="C55" s="137" t="s">
        <v>34</v>
      </c>
      <c r="D55" s="133" t="s">
        <v>40</v>
      </c>
      <c r="E55" s="134" t="s">
        <v>37</v>
      </c>
      <c r="F55" s="477" t="s">
        <v>1974</v>
      </c>
      <c r="G55" s="135" t="str">
        <f>VLOOKUP(A55,Plano_V3!$A$26:$G$769,7,0)</f>
        <v>2.1 Em Teste</v>
      </c>
      <c r="H55" s="135" t="s">
        <v>1845</v>
      </c>
      <c r="I55" s="473" t="s">
        <v>2421</v>
      </c>
      <c r="J55" s="359" t="s">
        <v>2248</v>
      </c>
      <c r="K55" s="359" t="s">
        <v>2245</v>
      </c>
      <c r="L55" s="359"/>
      <c r="M55" s="347" t="str">
        <f>IF(VLOOKUP(A55,'Aux - pivots1'!$A:$E,3,0)=0, "",VLOOKUP(A55,'Aux - pivots1'!$A:$E,3,0))</f>
        <v/>
      </c>
      <c r="N55" s="347" t="str">
        <f>IF(VLOOKUP(A55,'Aux - pivots1'!$A:$E,4,0)=0, "",VLOOKUP(A55,'Aux - pivots1'!$A:$E,4,0))</f>
        <v/>
      </c>
      <c r="O55" s="152" t="str">
        <f>IF(VLOOKUP(A55,'Aux - pivots1'!$A:$E,5,0)=0, "",VLOOKUP(A55,'Aux - pivots1'!$A:$E,5,0))</f>
        <v/>
      </c>
      <c r="P55" s="202"/>
      <c r="Q55" s="202"/>
      <c r="R55" s="203"/>
      <c r="S55" s="372"/>
      <c r="T55" s="372"/>
      <c r="U55" s="372" t="s">
        <v>2328</v>
      </c>
      <c r="V55" s="372"/>
    </row>
    <row r="56" spans="1:22" ht="16.350000000000001" hidden="1" customHeight="1">
      <c r="A56" s="29" t="str">
        <f t="shared" si="0"/>
        <v>ENERGY_CERTIFICATE_EST_INPUTNOMBRE_DISTRITO</v>
      </c>
      <c r="B56" s="141" t="s">
        <v>26</v>
      </c>
      <c r="C56" s="137" t="s">
        <v>34</v>
      </c>
      <c r="D56" s="133" t="s">
        <v>40</v>
      </c>
      <c r="E56" s="134" t="s">
        <v>37</v>
      </c>
      <c r="F56" s="477" t="s">
        <v>1975</v>
      </c>
      <c r="G56" s="135" t="str">
        <f>VLOOKUP(A56,Plano_V3!$A$26:$G$769,7,0)</f>
        <v>2.1 Em Teste</v>
      </c>
      <c r="H56" s="135" t="s">
        <v>1845</v>
      </c>
      <c r="I56" s="473" t="s">
        <v>2421</v>
      </c>
      <c r="J56" s="359" t="s">
        <v>2248</v>
      </c>
      <c r="K56" s="359" t="s">
        <v>2245</v>
      </c>
      <c r="L56" s="359"/>
      <c r="M56" s="347" t="str">
        <f>IF(VLOOKUP(A56,'Aux - pivots1'!$A:$E,3,0)=0, "",VLOOKUP(A56,'Aux - pivots1'!$A:$E,3,0))</f>
        <v/>
      </c>
      <c r="N56" s="347" t="str">
        <f>IF(VLOOKUP(A56,'Aux - pivots1'!$A:$E,4,0)=0, "",VLOOKUP(A56,'Aux - pivots1'!$A:$E,4,0))</f>
        <v/>
      </c>
      <c r="O56" s="152" t="str">
        <f>IF(VLOOKUP(A56,'Aux - pivots1'!$A:$E,5,0)=0, "",VLOOKUP(A56,'Aux - pivots1'!$A:$E,5,0))</f>
        <v/>
      </c>
      <c r="P56" s="202"/>
      <c r="Q56" s="202"/>
      <c r="R56" s="203"/>
      <c r="S56" s="372"/>
      <c r="T56" s="372"/>
      <c r="U56" s="372" t="s">
        <v>2328</v>
      </c>
      <c r="V56" s="372"/>
    </row>
    <row r="57" spans="1:22" ht="16.350000000000001" hidden="1" customHeight="1">
      <c r="A57" s="29" t="str">
        <f t="shared" si="0"/>
        <v>ENERGY_CERTIFICATE_EST_INPUTCÓDIGO_CONCEJO</v>
      </c>
      <c r="B57" s="141" t="s">
        <v>26</v>
      </c>
      <c r="C57" s="137" t="s">
        <v>34</v>
      </c>
      <c r="D57" s="133" t="s">
        <v>40</v>
      </c>
      <c r="E57" s="134" t="s">
        <v>37</v>
      </c>
      <c r="F57" s="477" t="s">
        <v>1976</v>
      </c>
      <c r="G57" s="135" t="str">
        <f>VLOOKUP(A57,Plano_V3!$A$26:$G$769,7,0)</f>
        <v>2.1 Em Teste</v>
      </c>
      <c r="H57" s="135" t="s">
        <v>1845</v>
      </c>
      <c r="I57" s="473" t="s">
        <v>2421</v>
      </c>
      <c r="J57" s="359" t="s">
        <v>2248</v>
      </c>
      <c r="K57" s="359" t="s">
        <v>2245</v>
      </c>
      <c r="L57" s="359"/>
      <c r="M57" s="347" t="str">
        <f>IF(VLOOKUP(A57,'Aux - pivots1'!$A:$E,3,0)=0, "",VLOOKUP(A57,'Aux - pivots1'!$A:$E,3,0))</f>
        <v/>
      </c>
      <c r="N57" s="347" t="str">
        <f>IF(VLOOKUP(A57,'Aux - pivots1'!$A:$E,4,0)=0, "",VLOOKUP(A57,'Aux - pivots1'!$A:$E,4,0))</f>
        <v/>
      </c>
      <c r="O57" s="152" t="str">
        <f>IF(VLOOKUP(A57,'Aux - pivots1'!$A:$E,5,0)=0, "",VLOOKUP(A57,'Aux - pivots1'!$A:$E,5,0))</f>
        <v/>
      </c>
      <c r="P57" s="202"/>
      <c r="Q57" s="202"/>
      <c r="R57" s="203"/>
      <c r="S57" s="372"/>
      <c r="T57" s="372"/>
      <c r="U57" s="372" t="s">
        <v>2328</v>
      </c>
      <c r="V57" s="372"/>
    </row>
    <row r="58" spans="1:22" ht="16.350000000000001" hidden="1" customHeight="1">
      <c r="A58" s="29" t="str">
        <f t="shared" si="0"/>
        <v>ENERGY_CERTIFICATE_EST_INPUTNOMBRE_CONCEJO</v>
      </c>
      <c r="B58" s="141" t="s">
        <v>26</v>
      </c>
      <c r="C58" s="137" t="s">
        <v>34</v>
      </c>
      <c r="D58" s="133" t="s">
        <v>40</v>
      </c>
      <c r="E58" s="134" t="s">
        <v>37</v>
      </c>
      <c r="F58" s="477" t="s">
        <v>1977</v>
      </c>
      <c r="G58" s="135" t="str">
        <f>VLOOKUP(A58,Plano_V3!$A$26:$G$769,7,0)</f>
        <v>2.1 Em Teste</v>
      </c>
      <c r="H58" s="135" t="s">
        <v>1845</v>
      </c>
      <c r="I58" s="473" t="s">
        <v>2421</v>
      </c>
      <c r="J58" s="359" t="s">
        <v>2248</v>
      </c>
      <c r="K58" s="359" t="s">
        <v>2245</v>
      </c>
      <c r="L58" s="359"/>
      <c r="M58" s="347" t="str">
        <f>IF(VLOOKUP(A58,'Aux - pivots1'!$A:$E,3,0)=0, "",VLOOKUP(A58,'Aux - pivots1'!$A:$E,3,0))</f>
        <v/>
      </c>
      <c r="N58" s="347" t="str">
        <f>IF(VLOOKUP(A58,'Aux - pivots1'!$A:$E,4,0)=0, "",VLOOKUP(A58,'Aux - pivots1'!$A:$E,4,0))</f>
        <v/>
      </c>
      <c r="O58" s="152" t="str">
        <f>IF(VLOOKUP(A58,'Aux - pivots1'!$A:$E,5,0)=0, "",VLOOKUP(A58,'Aux - pivots1'!$A:$E,5,0))</f>
        <v/>
      </c>
      <c r="P58" s="202"/>
      <c r="Q58" s="202"/>
      <c r="R58" s="203"/>
      <c r="S58" s="372"/>
      <c r="T58" s="372"/>
      <c r="U58" s="372" t="s">
        <v>2328</v>
      </c>
      <c r="V58" s="372"/>
    </row>
    <row r="59" spans="1:22" ht="16.350000000000001" hidden="1" customHeight="1">
      <c r="A59" s="29" t="str">
        <f t="shared" si="0"/>
        <v>ENERGY_CERTIFICATE_EST_INPUTCÓDIGO_FREGUESIA</v>
      </c>
      <c r="B59" s="141" t="s">
        <v>26</v>
      </c>
      <c r="C59" s="137" t="s">
        <v>34</v>
      </c>
      <c r="D59" s="133" t="s">
        <v>40</v>
      </c>
      <c r="E59" s="134" t="s">
        <v>37</v>
      </c>
      <c r="F59" s="477" t="s">
        <v>1978</v>
      </c>
      <c r="G59" s="135" t="str">
        <f>VLOOKUP(A59,Plano_V3!$A$26:$G$769,7,0)</f>
        <v>2.1 Em Teste</v>
      </c>
      <c r="H59" s="135" t="s">
        <v>1845</v>
      </c>
      <c r="I59" s="473" t="s">
        <v>2421</v>
      </c>
      <c r="J59" s="359" t="s">
        <v>2248</v>
      </c>
      <c r="K59" s="359" t="s">
        <v>2245</v>
      </c>
      <c r="L59" s="359"/>
      <c r="M59" s="347" t="str">
        <f>IF(VLOOKUP(A59,'Aux - pivots1'!$A:$E,3,0)=0, "",VLOOKUP(A59,'Aux - pivots1'!$A:$E,3,0))</f>
        <v/>
      </c>
      <c r="N59" s="347" t="str">
        <f>IF(VLOOKUP(A59,'Aux - pivots1'!$A:$E,4,0)=0, "",VLOOKUP(A59,'Aux - pivots1'!$A:$E,4,0))</f>
        <v/>
      </c>
      <c r="O59" s="152" t="str">
        <f>IF(VLOOKUP(A59,'Aux - pivots1'!$A:$E,5,0)=0, "",VLOOKUP(A59,'Aux - pivots1'!$A:$E,5,0))</f>
        <v/>
      </c>
      <c r="P59" s="202"/>
      <c r="Q59" s="202"/>
      <c r="R59" s="203"/>
      <c r="S59" s="372"/>
      <c r="T59" s="372"/>
      <c r="U59" s="372" t="s">
        <v>2328</v>
      </c>
      <c r="V59" s="372"/>
    </row>
    <row r="60" spans="1:22" ht="16.350000000000001" hidden="1" customHeight="1">
      <c r="A60" s="29" t="str">
        <f t="shared" si="0"/>
        <v>ENERGY_CERTIFICATE_EST_INPUTNOMBRE_FREGUESIA</v>
      </c>
      <c r="B60" s="141" t="s">
        <v>26</v>
      </c>
      <c r="C60" s="137" t="s">
        <v>34</v>
      </c>
      <c r="D60" s="133" t="s">
        <v>40</v>
      </c>
      <c r="E60" s="134" t="s">
        <v>37</v>
      </c>
      <c r="F60" s="477" t="s">
        <v>1979</v>
      </c>
      <c r="G60" s="135" t="str">
        <f>VLOOKUP(A60,Plano_V3!$A$26:$G$769,7,0)</f>
        <v>2.1 Em Teste</v>
      </c>
      <c r="H60" s="135" t="s">
        <v>1845</v>
      </c>
      <c r="I60" s="473" t="s">
        <v>2421</v>
      </c>
      <c r="J60" s="359" t="s">
        <v>2248</v>
      </c>
      <c r="K60" s="359" t="s">
        <v>2245</v>
      </c>
      <c r="L60" s="359"/>
      <c r="M60" s="347" t="str">
        <f>IF(VLOOKUP(A60,'Aux - pivots1'!$A:$E,3,0)=0, "",VLOOKUP(A60,'Aux - pivots1'!$A:$E,3,0))</f>
        <v/>
      </c>
      <c r="N60" s="347" t="str">
        <f>IF(VLOOKUP(A60,'Aux - pivots1'!$A:$E,4,0)=0, "",VLOOKUP(A60,'Aux - pivots1'!$A:$E,4,0))</f>
        <v/>
      </c>
      <c r="O60" s="152" t="str">
        <f>IF(VLOOKUP(A60,'Aux - pivots1'!$A:$E,5,0)=0, "",VLOOKUP(A60,'Aux - pivots1'!$A:$E,5,0))</f>
        <v/>
      </c>
      <c r="P60" s="202"/>
      <c r="Q60" s="202"/>
      <c r="R60" s="203"/>
      <c r="S60" s="372"/>
      <c r="T60" s="372"/>
      <c r="U60" s="372" t="s">
        <v>2328</v>
      </c>
      <c r="V60" s="372"/>
    </row>
    <row r="61" spans="1:22" ht="16.350000000000001" hidden="1" customHeight="1">
      <c r="A61" s="29" t="str">
        <f t="shared" si="0"/>
        <v>ENERGY_CERTIFICATE_EST_INPUTLOCALIDADE</v>
      </c>
      <c r="B61" s="141" t="s">
        <v>26</v>
      </c>
      <c r="C61" s="137" t="s">
        <v>34</v>
      </c>
      <c r="D61" s="133" t="s">
        <v>40</v>
      </c>
      <c r="E61" s="134" t="s">
        <v>37</v>
      </c>
      <c r="F61" s="477" t="s">
        <v>1980</v>
      </c>
      <c r="G61" s="135" t="str">
        <f>VLOOKUP(A61,Plano_V3!$A$26:$G$769,7,0)</f>
        <v>2.1 Em Teste</v>
      </c>
      <c r="H61" s="135" t="s">
        <v>1845</v>
      </c>
      <c r="I61" s="473" t="s">
        <v>2421</v>
      </c>
      <c r="J61" s="359" t="s">
        <v>2248</v>
      </c>
      <c r="K61" s="359" t="s">
        <v>2245</v>
      </c>
      <c r="L61" s="359"/>
      <c r="M61" s="347" t="str">
        <f>IF(VLOOKUP(A61,'Aux - pivots1'!$A:$E,3,0)=0, "",VLOOKUP(A61,'Aux - pivots1'!$A:$E,3,0))</f>
        <v/>
      </c>
      <c r="N61" s="347" t="str">
        <f>IF(VLOOKUP(A61,'Aux - pivots1'!$A:$E,4,0)=0, "",VLOOKUP(A61,'Aux - pivots1'!$A:$E,4,0))</f>
        <v/>
      </c>
      <c r="O61" s="152" t="str">
        <f>IF(VLOOKUP(A61,'Aux - pivots1'!$A:$E,5,0)=0, "",VLOOKUP(A61,'Aux - pivots1'!$A:$E,5,0))</f>
        <v/>
      </c>
      <c r="P61" s="202"/>
      <c r="Q61" s="202"/>
      <c r="R61" s="203"/>
      <c r="S61" s="372"/>
      <c r="T61" s="372"/>
      <c r="U61" s="372" t="s">
        <v>2328</v>
      </c>
      <c r="V61" s="372"/>
    </row>
    <row r="62" spans="1:22" ht="16.350000000000001" hidden="1" customHeight="1">
      <c r="A62" s="29" t="str">
        <f t="shared" si="0"/>
        <v>ENERGY_CERTIFICATE_EST_INPUTTIPO_VIA</v>
      </c>
      <c r="B62" s="141" t="s">
        <v>26</v>
      </c>
      <c r="C62" s="137" t="s">
        <v>34</v>
      </c>
      <c r="D62" s="133" t="s">
        <v>40</v>
      </c>
      <c r="E62" s="134" t="s">
        <v>37</v>
      </c>
      <c r="F62" s="477" t="s">
        <v>1981</v>
      </c>
      <c r="G62" s="135" t="str">
        <f>VLOOKUP(A62,Plano_V3!$A$26:$G$769,7,0)</f>
        <v>2.1 Em Teste</v>
      </c>
      <c r="H62" s="135" t="s">
        <v>1845</v>
      </c>
      <c r="I62" s="473" t="s">
        <v>2421</v>
      </c>
      <c r="J62" s="359" t="s">
        <v>2248</v>
      </c>
      <c r="K62" s="359" t="s">
        <v>2245</v>
      </c>
      <c r="L62" s="359"/>
      <c r="M62" s="347" t="str">
        <f>IF(VLOOKUP(A62,'Aux - pivots1'!$A:$E,3,0)=0, "",VLOOKUP(A62,'Aux - pivots1'!$A:$E,3,0))</f>
        <v/>
      </c>
      <c r="N62" s="347" t="str">
        <f>IF(VLOOKUP(A62,'Aux - pivots1'!$A:$E,4,0)=0, "",VLOOKUP(A62,'Aux - pivots1'!$A:$E,4,0))</f>
        <v/>
      </c>
      <c r="O62" s="152" t="str">
        <f>IF(VLOOKUP(A62,'Aux - pivots1'!$A:$E,5,0)=0, "",VLOOKUP(A62,'Aux - pivots1'!$A:$E,5,0))</f>
        <v/>
      </c>
      <c r="P62" s="202"/>
      <c r="Q62" s="202"/>
      <c r="R62" s="203"/>
      <c r="S62" s="372"/>
      <c r="T62" s="372"/>
      <c r="U62" s="372" t="s">
        <v>2328</v>
      </c>
      <c r="V62" s="372"/>
    </row>
    <row r="63" spans="1:22" ht="16.350000000000001" hidden="1" customHeight="1">
      <c r="A63" s="29" t="str">
        <f t="shared" si="0"/>
        <v>ENERGY_CERTIFICATE_EST_INPUTNOMBRE_TIPO_VIA</v>
      </c>
      <c r="B63" s="141" t="s">
        <v>26</v>
      </c>
      <c r="C63" s="137" t="s">
        <v>34</v>
      </c>
      <c r="D63" s="133" t="s">
        <v>40</v>
      </c>
      <c r="E63" s="134" t="s">
        <v>37</v>
      </c>
      <c r="F63" s="477" t="s">
        <v>1982</v>
      </c>
      <c r="G63" s="135" t="str">
        <f>VLOOKUP(A63,Plano_V3!$A$26:$G$769,7,0)</f>
        <v>2.1 Em Teste</v>
      </c>
      <c r="H63" s="135" t="s">
        <v>1845</v>
      </c>
      <c r="I63" s="473" t="s">
        <v>2421</v>
      </c>
      <c r="J63" s="359" t="s">
        <v>2248</v>
      </c>
      <c r="K63" s="359" t="s">
        <v>2245</v>
      </c>
      <c r="L63" s="359"/>
      <c r="M63" s="347" t="str">
        <f>IF(VLOOKUP(A63,'Aux - pivots1'!$A:$E,3,0)=0, "",VLOOKUP(A63,'Aux - pivots1'!$A:$E,3,0))</f>
        <v/>
      </c>
      <c r="N63" s="347" t="str">
        <f>IF(VLOOKUP(A63,'Aux - pivots1'!$A:$E,4,0)=0, "",VLOOKUP(A63,'Aux - pivots1'!$A:$E,4,0))</f>
        <v/>
      </c>
      <c r="O63" s="152" t="str">
        <f>IF(VLOOKUP(A63,'Aux - pivots1'!$A:$E,5,0)=0, "",VLOOKUP(A63,'Aux - pivots1'!$A:$E,5,0))</f>
        <v/>
      </c>
      <c r="P63" s="202"/>
      <c r="Q63" s="202"/>
      <c r="R63" s="203"/>
      <c r="S63" s="372"/>
      <c r="T63" s="372"/>
      <c r="U63" s="372" t="s">
        <v>2328</v>
      </c>
      <c r="V63" s="372"/>
    </row>
    <row r="64" spans="1:22" ht="16.350000000000001" hidden="1" customHeight="1">
      <c r="A64" s="29" t="str">
        <f t="shared" si="0"/>
        <v>ENERGY_CERTIFICATE_EST_INPUTNOMBRE_VIA</v>
      </c>
      <c r="B64" s="141" t="s">
        <v>26</v>
      </c>
      <c r="C64" s="137" t="s">
        <v>34</v>
      </c>
      <c r="D64" s="133" t="s">
        <v>40</v>
      </c>
      <c r="E64" s="134" t="s">
        <v>37</v>
      </c>
      <c r="F64" s="477" t="s">
        <v>1983</v>
      </c>
      <c r="G64" s="135" t="str">
        <f>VLOOKUP(A64,Plano_V3!$A$26:$G$769,7,0)</f>
        <v>2.1 Em Teste</v>
      </c>
      <c r="H64" s="135" t="s">
        <v>1845</v>
      </c>
      <c r="I64" s="473" t="s">
        <v>2421</v>
      </c>
      <c r="J64" s="359" t="s">
        <v>2248</v>
      </c>
      <c r="K64" s="359" t="s">
        <v>2245</v>
      </c>
      <c r="L64" s="359"/>
      <c r="M64" s="347" t="str">
        <f>IF(VLOOKUP(A64,'Aux - pivots1'!$A:$E,3,0)=0, "",VLOOKUP(A64,'Aux - pivots1'!$A:$E,3,0))</f>
        <v/>
      </c>
      <c r="N64" s="347" t="str">
        <f>IF(VLOOKUP(A64,'Aux - pivots1'!$A:$E,4,0)=0, "",VLOOKUP(A64,'Aux - pivots1'!$A:$E,4,0))</f>
        <v/>
      </c>
      <c r="O64" s="152" t="str">
        <f>IF(VLOOKUP(A64,'Aux - pivots1'!$A:$E,5,0)=0, "",VLOOKUP(A64,'Aux - pivots1'!$A:$E,5,0))</f>
        <v/>
      </c>
      <c r="P64" s="202"/>
      <c r="Q64" s="202"/>
      <c r="R64" s="203"/>
      <c r="S64" s="372"/>
      <c r="T64" s="372"/>
      <c r="U64" s="372" t="s">
        <v>2328</v>
      </c>
      <c r="V64" s="372"/>
    </row>
    <row r="65" spans="1:22" ht="16.350000000000001" hidden="1" customHeight="1">
      <c r="A65" s="29" t="str">
        <f t="shared" si="0"/>
        <v>ENERGY_CERTIFICATE_EST_INPUTNUMERO_VIA</v>
      </c>
      <c r="B65" s="141" t="s">
        <v>26</v>
      </c>
      <c r="C65" s="137" t="s">
        <v>34</v>
      </c>
      <c r="D65" s="133" t="s">
        <v>40</v>
      </c>
      <c r="E65" s="134" t="s">
        <v>37</v>
      </c>
      <c r="F65" s="477" t="s">
        <v>1984</v>
      </c>
      <c r="G65" s="135" t="str">
        <f>VLOOKUP(A65,Plano_V3!$A$26:$G$769,7,0)</f>
        <v>2.1 Em Teste</v>
      </c>
      <c r="H65" s="135" t="s">
        <v>1845</v>
      </c>
      <c r="I65" s="473" t="s">
        <v>2421</v>
      </c>
      <c r="J65" s="359" t="s">
        <v>2248</v>
      </c>
      <c r="K65" s="359" t="s">
        <v>2245</v>
      </c>
      <c r="L65" s="359"/>
      <c r="M65" s="347" t="str">
        <f>IF(VLOOKUP(A65,'Aux - pivots1'!$A:$E,3,0)=0, "",VLOOKUP(A65,'Aux - pivots1'!$A:$E,3,0))</f>
        <v/>
      </c>
      <c r="N65" s="347" t="str">
        <f>IF(VLOOKUP(A65,'Aux - pivots1'!$A:$E,4,0)=0, "",VLOOKUP(A65,'Aux - pivots1'!$A:$E,4,0))</f>
        <v/>
      </c>
      <c r="O65" s="152" t="str">
        <f>IF(VLOOKUP(A65,'Aux - pivots1'!$A:$E,5,0)=0, "",VLOOKUP(A65,'Aux - pivots1'!$A:$E,5,0))</f>
        <v/>
      </c>
      <c r="P65" s="202"/>
      <c r="Q65" s="202"/>
      <c r="R65" s="203"/>
      <c r="S65" s="372"/>
      <c r="T65" s="372"/>
      <c r="U65" s="372" t="s">
        <v>2328</v>
      </c>
      <c r="V65" s="372"/>
    </row>
    <row r="66" spans="1:22" ht="16.350000000000001" hidden="1" customHeight="1">
      <c r="A66" s="29" t="str">
        <f t="shared" si="0"/>
        <v>ENERGY_CERTIFICATE_EST_INPUTLOTE</v>
      </c>
      <c r="B66" s="141" t="s">
        <v>26</v>
      </c>
      <c r="C66" s="137" t="s">
        <v>34</v>
      </c>
      <c r="D66" s="133" t="s">
        <v>40</v>
      </c>
      <c r="E66" s="134" t="s">
        <v>37</v>
      </c>
      <c r="F66" s="477" t="s">
        <v>1985</v>
      </c>
      <c r="G66" s="135" t="str">
        <f>VLOOKUP(A66,Plano_V3!$A$26:$G$769,7,0)</f>
        <v>2.1 Em Teste</v>
      </c>
      <c r="H66" s="135" t="s">
        <v>1845</v>
      </c>
      <c r="I66" s="473" t="s">
        <v>2421</v>
      </c>
      <c r="J66" s="359" t="s">
        <v>2248</v>
      </c>
      <c r="K66" s="359" t="s">
        <v>2245</v>
      </c>
      <c r="L66" s="359"/>
      <c r="M66" s="347" t="str">
        <f>IF(VLOOKUP(A66,'Aux - pivots1'!$A:$E,3,0)=0, "",VLOOKUP(A66,'Aux - pivots1'!$A:$E,3,0))</f>
        <v/>
      </c>
      <c r="N66" s="347" t="str">
        <f>IF(VLOOKUP(A66,'Aux - pivots1'!$A:$E,4,0)=0, "",VLOOKUP(A66,'Aux - pivots1'!$A:$E,4,0))</f>
        <v/>
      </c>
      <c r="O66" s="152" t="str">
        <f>IF(VLOOKUP(A66,'Aux - pivots1'!$A:$E,5,0)=0, "",VLOOKUP(A66,'Aux - pivots1'!$A:$E,5,0))</f>
        <v/>
      </c>
      <c r="P66" s="202"/>
      <c r="Q66" s="202"/>
      <c r="R66" s="203"/>
      <c r="S66" s="372"/>
      <c r="T66" s="372"/>
      <c r="U66" s="372" t="s">
        <v>2328</v>
      </c>
      <c r="V66" s="372"/>
    </row>
    <row r="67" spans="1:22" ht="16.350000000000001" hidden="1" customHeight="1">
      <c r="A67" s="29" t="str">
        <f t="shared" si="0"/>
        <v>ENERGY_CERTIFICATE_EST_INPUTURBANIZACION</v>
      </c>
      <c r="B67" s="141" t="s">
        <v>26</v>
      </c>
      <c r="C67" s="137" t="s">
        <v>34</v>
      </c>
      <c r="D67" s="133" t="s">
        <v>40</v>
      </c>
      <c r="E67" s="134" t="s">
        <v>37</v>
      </c>
      <c r="F67" s="477" t="s">
        <v>1986</v>
      </c>
      <c r="G67" s="135" t="str">
        <f>VLOOKUP(A67,Plano_V3!$A$26:$G$769,7,0)</f>
        <v>2.1 Em Teste</v>
      </c>
      <c r="H67" s="135" t="s">
        <v>1845</v>
      </c>
      <c r="I67" s="473" t="s">
        <v>2421</v>
      </c>
      <c r="J67" s="359" t="s">
        <v>2248</v>
      </c>
      <c r="K67" s="359" t="s">
        <v>2245</v>
      </c>
      <c r="L67" s="359"/>
      <c r="M67" s="347" t="str">
        <f>IF(VLOOKUP(A67,'Aux - pivots1'!$A:$E,3,0)=0, "",VLOOKUP(A67,'Aux - pivots1'!$A:$E,3,0))</f>
        <v/>
      </c>
      <c r="N67" s="347" t="str">
        <f>IF(VLOOKUP(A67,'Aux - pivots1'!$A:$E,4,0)=0, "",VLOOKUP(A67,'Aux - pivots1'!$A:$E,4,0))</f>
        <v/>
      </c>
      <c r="O67" s="152" t="str">
        <f>IF(VLOOKUP(A67,'Aux - pivots1'!$A:$E,5,0)=0, "",VLOOKUP(A67,'Aux - pivots1'!$A:$E,5,0))</f>
        <v/>
      </c>
      <c r="P67" s="202"/>
      <c r="Q67" s="202"/>
      <c r="R67" s="203"/>
      <c r="S67" s="372"/>
      <c r="T67" s="372"/>
      <c r="U67" s="372" t="s">
        <v>2328</v>
      </c>
      <c r="V67" s="372"/>
    </row>
    <row r="68" spans="1:22" ht="16.350000000000001" hidden="1" customHeight="1">
      <c r="A68" s="29" t="str">
        <f t="shared" si="0"/>
        <v>ENERGY_CERTIFICATE_EST_INPUTCAGLURB</v>
      </c>
      <c r="B68" s="141" t="s">
        <v>26</v>
      </c>
      <c r="C68" s="137" t="s">
        <v>34</v>
      </c>
      <c r="D68" s="133" t="s">
        <v>40</v>
      </c>
      <c r="E68" s="134" t="s">
        <v>37</v>
      </c>
      <c r="F68" s="477" t="s">
        <v>1987</v>
      </c>
      <c r="G68" s="135" t="str">
        <f>VLOOKUP(A68,Plano_V3!$A$26:$G$769,7,0)</f>
        <v>2.1 Em Teste</v>
      </c>
      <c r="H68" s="135" t="s">
        <v>1845</v>
      </c>
      <c r="I68" s="473" t="s">
        <v>2421</v>
      </c>
      <c r="J68" s="359" t="s">
        <v>2248</v>
      </c>
      <c r="K68" s="359" t="s">
        <v>2245</v>
      </c>
      <c r="L68" s="359"/>
      <c r="M68" s="347" t="str">
        <f>IF(VLOOKUP(A68,'Aux - pivots1'!$A:$E,3,0)=0, "",VLOOKUP(A68,'Aux - pivots1'!$A:$E,3,0))</f>
        <v/>
      </c>
      <c r="N68" s="347" t="str">
        <f>IF(VLOOKUP(A68,'Aux - pivots1'!$A:$E,4,0)=0, "",VLOOKUP(A68,'Aux - pivots1'!$A:$E,4,0))</f>
        <v/>
      </c>
      <c r="O68" s="152" t="str">
        <f>IF(VLOOKUP(A68,'Aux - pivots1'!$A:$E,5,0)=0, "",VLOOKUP(A68,'Aux - pivots1'!$A:$E,5,0))</f>
        <v/>
      </c>
      <c r="P68" s="202"/>
      <c r="Q68" s="202"/>
      <c r="R68" s="203"/>
      <c r="S68" s="372"/>
      <c r="T68" s="372"/>
      <c r="U68" s="372" t="s">
        <v>2328</v>
      </c>
      <c r="V68" s="372"/>
    </row>
    <row r="69" spans="1:22" ht="16.350000000000001" hidden="1" customHeight="1">
      <c r="A69" s="29" t="str">
        <f t="shared" si="0"/>
        <v>ENERGY_CERTIFICATE_EST_INPUTRESTO_DIRECCION</v>
      </c>
      <c r="B69" s="141" t="s">
        <v>26</v>
      </c>
      <c r="C69" s="137" t="s">
        <v>34</v>
      </c>
      <c r="D69" s="133" t="s">
        <v>40</v>
      </c>
      <c r="E69" s="134" t="s">
        <v>37</v>
      </c>
      <c r="F69" s="477" t="s">
        <v>1988</v>
      </c>
      <c r="G69" s="135" t="str">
        <f>VLOOKUP(A69,Plano_V3!$A$26:$G$769,7,0)</f>
        <v>2.1 Em Teste</v>
      </c>
      <c r="H69" s="135" t="s">
        <v>1845</v>
      </c>
      <c r="I69" s="473" t="s">
        <v>2421</v>
      </c>
      <c r="J69" s="359" t="s">
        <v>2248</v>
      </c>
      <c r="K69" s="359" t="s">
        <v>2245</v>
      </c>
      <c r="L69" s="359"/>
      <c r="M69" s="347" t="str">
        <f>IF(VLOOKUP(A69,'Aux - pivots1'!$A:$E,3,0)=0, "",VLOOKUP(A69,'Aux - pivots1'!$A:$E,3,0))</f>
        <v/>
      </c>
      <c r="N69" s="347" t="str">
        <f>IF(VLOOKUP(A69,'Aux - pivots1'!$A:$E,4,0)=0, "",VLOOKUP(A69,'Aux - pivots1'!$A:$E,4,0))</f>
        <v/>
      </c>
      <c r="O69" s="152" t="str">
        <f>IF(VLOOKUP(A69,'Aux - pivots1'!$A:$E,5,0)=0, "",VLOOKUP(A69,'Aux - pivots1'!$A:$E,5,0))</f>
        <v/>
      </c>
      <c r="P69" s="202"/>
      <c r="Q69" s="202"/>
      <c r="R69" s="203"/>
      <c r="S69" s="372"/>
      <c r="T69" s="372"/>
      <c r="U69" s="372" t="s">
        <v>2328</v>
      </c>
      <c r="V69" s="372"/>
    </row>
    <row r="70" spans="1:22" ht="16.350000000000001" hidden="1" customHeight="1">
      <c r="A70" s="29" t="str">
        <f t="shared" si="0"/>
        <v>ENERGY_CERTIFICATE_EST_INPUTLATITUDE</v>
      </c>
      <c r="B70" s="141" t="s">
        <v>26</v>
      </c>
      <c r="C70" s="137" t="s">
        <v>34</v>
      </c>
      <c r="D70" s="133" t="s">
        <v>40</v>
      </c>
      <c r="E70" s="134" t="s">
        <v>37</v>
      </c>
      <c r="F70" s="477" t="s">
        <v>1989</v>
      </c>
      <c r="G70" s="135" t="str">
        <f>VLOOKUP(A70,Plano_V3!$A$26:$G$769,7,0)</f>
        <v>2.1 Em Teste</v>
      </c>
      <c r="H70" s="135" t="s">
        <v>1845</v>
      </c>
      <c r="I70" s="473" t="s">
        <v>2421</v>
      </c>
      <c r="J70" s="359" t="s">
        <v>2248</v>
      </c>
      <c r="K70" s="359" t="s">
        <v>2245</v>
      </c>
      <c r="L70" s="359"/>
      <c r="M70" s="347" t="str">
        <f>IF(VLOOKUP(A70,'Aux - pivots1'!$A:$E,3,0)=0, "",VLOOKUP(A70,'Aux - pivots1'!$A:$E,3,0))</f>
        <v/>
      </c>
      <c r="N70" s="347" t="str">
        <f>IF(VLOOKUP(A70,'Aux - pivots1'!$A:$E,4,0)=0, "",VLOOKUP(A70,'Aux - pivots1'!$A:$E,4,0))</f>
        <v/>
      </c>
      <c r="O70" s="152" t="str">
        <f>IF(VLOOKUP(A70,'Aux - pivots1'!$A:$E,5,0)=0, "",VLOOKUP(A70,'Aux - pivots1'!$A:$E,5,0))</f>
        <v/>
      </c>
      <c r="P70" s="202"/>
      <c r="Q70" s="202"/>
      <c r="R70" s="203"/>
      <c r="S70" s="372"/>
      <c r="T70" s="372"/>
      <c r="U70" s="372" t="s">
        <v>2328</v>
      </c>
      <c r="V70" s="372"/>
    </row>
    <row r="71" spans="1:22" ht="16.350000000000001" hidden="1" customHeight="1">
      <c r="A71" s="29" t="str">
        <f t="shared" ref="A71" si="1">E71&amp;F71</f>
        <v>ENERGY_CERTIFICATE_EST_INPUTLONGITUDE</v>
      </c>
      <c r="B71" s="141" t="s">
        <v>26</v>
      </c>
      <c r="C71" s="137" t="s">
        <v>34</v>
      </c>
      <c r="D71" s="133" t="s">
        <v>40</v>
      </c>
      <c r="E71" s="134" t="s">
        <v>37</v>
      </c>
      <c r="F71" s="477" t="s">
        <v>1990</v>
      </c>
      <c r="G71" s="135" t="str">
        <f>VLOOKUP(A71,Plano_V3!$A$26:$G$769,7,0)</f>
        <v>2.1 Em Teste</v>
      </c>
      <c r="H71" s="135" t="s">
        <v>1845</v>
      </c>
      <c r="I71" s="473" t="s">
        <v>2421</v>
      </c>
      <c r="J71" s="359" t="s">
        <v>2248</v>
      </c>
      <c r="K71" s="359" t="s">
        <v>2245</v>
      </c>
      <c r="L71" s="359"/>
      <c r="M71" s="347" t="str">
        <f>IF(VLOOKUP(A71,'Aux - pivots1'!$A:$E,3,0)=0, "",VLOOKUP(A71,'Aux - pivots1'!$A:$E,3,0))</f>
        <v/>
      </c>
      <c r="N71" s="347" t="str">
        <f>IF(VLOOKUP(A71,'Aux - pivots1'!$A:$E,4,0)=0, "",VLOOKUP(A71,'Aux - pivots1'!$A:$E,4,0))</f>
        <v/>
      </c>
      <c r="O71" s="152" t="str">
        <f>IF(VLOOKUP(A71,'Aux - pivots1'!$A:$E,5,0)=0, "",VLOOKUP(A71,'Aux - pivots1'!$A:$E,5,0))</f>
        <v/>
      </c>
      <c r="P71" s="202"/>
      <c r="Q71" s="202"/>
      <c r="R71" s="203"/>
      <c r="S71" s="372"/>
      <c r="T71" s="372"/>
      <c r="U71" s="372" t="s">
        <v>2328</v>
      </c>
      <c r="V71" s="372"/>
    </row>
    <row r="72" spans="1:22" ht="16.350000000000001" hidden="1" customHeight="1">
      <c r="A72" s="29" t="str">
        <f t="shared" si="0"/>
        <v>ENERGY_CERTIFICATE_EST_INPUTCODIGO_POSTAL</v>
      </c>
      <c r="B72" s="141" t="s">
        <v>26</v>
      </c>
      <c r="C72" s="137" t="s">
        <v>34</v>
      </c>
      <c r="D72" s="133" t="s">
        <v>40</v>
      </c>
      <c r="E72" s="134" t="s">
        <v>37</v>
      </c>
      <c r="F72" s="477" t="s">
        <v>1991</v>
      </c>
      <c r="G72" s="135" t="str">
        <f>VLOOKUP(A72,Plano_V3!$A$26:$G$769,7,0)</f>
        <v>2.1 Em Teste</v>
      </c>
      <c r="H72" s="135" t="s">
        <v>1845</v>
      </c>
      <c r="I72" s="473" t="s">
        <v>2421</v>
      </c>
      <c r="J72" s="359" t="s">
        <v>2248</v>
      </c>
      <c r="K72" s="359" t="s">
        <v>2245</v>
      </c>
      <c r="L72" s="359"/>
      <c r="M72" s="347" t="str">
        <f>IF(VLOOKUP(A72,'Aux - pivots1'!$A:$E,3,0)=0, "",VLOOKUP(A72,'Aux - pivots1'!$A:$E,3,0))</f>
        <v/>
      </c>
      <c r="N72" s="347" t="str">
        <f>IF(VLOOKUP(A72,'Aux - pivots1'!$A:$E,4,0)=0, "",VLOOKUP(A72,'Aux - pivots1'!$A:$E,4,0))</f>
        <v/>
      </c>
      <c r="O72" s="152" t="str">
        <f>IF(VLOOKUP(A72,'Aux - pivots1'!$A:$E,5,0)=0, "",VLOOKUP(A72,'Aux - pivots1'!$A:$E,5,0))</f>
        <v/>
      </c>
      <c r="P72" s="202"/>
      <c r="Q72" s="202"/>
      <c r="R72" s="203"/>
      <c r="S72" s="372"/>
      <c r="T72" s="372"/>
      <c r="U72" s="372" t="s">
        <v>2328</v>
      </c>
      <c r="V72" s="372"/>
    </row>
    <row r="73" spans="1:22" ht="16.350000000000001" hidden="1" customHeight="1">
      <c r="A73" s="29" t="str">
        <f t="shared" ref="A73:A136" si="2">E73&amp;F73</f>
        <v>ENERGY_CERTIFICATE_EST_INPUTSUBCODIGO_POSTAL</v>
      </c>
      <c r="B73" s="141" t="s">
        <v>26</v>
      </c>
      <c r="C73" s="137" t="s">
        <v>34</v>
      </c>
      <c r="D73" s="133" t="s">
        <v>40</v>
      </c>
      <c r="E73" s="134" t="s">
        <v>37</v>
      </c>
      <c r="F73" s="477" t="s">
        <v>1992</v>
      </c>
      <c r="G73" s="135" t="str">
        <f>VLOOKUP(A73,Plano_V3!$A$26:$G$769,7,0)</f>
        <v>2.1 Em Teste</v>
      </c>
      <c r="H73" s="135" t="s">
        <v>1845</v>
      </c>
      <c r="I73" s="473" t="s">
        <v>2421</v>
      </c>
      <c r="J73" s="359" t="s">
        <v>2248</v>
      </c>
      <c r="K73" s="359" t="s">
        <v>2245</v>
      </c>
      <c r="L73" s="359"/>
      <c r="M73" s="347" t="str">
        <f>IF(VLOOKUP(A73,'Aux - pivots1'!$A:$E,3,0)=0, "",VLOOKUP(A73,'Aux - pivots1'!$A:$E,3,0))</f>
        <v/>
      </c>
      <c r="N73" s="347" t="str">
        <f>IF(VLOOKUP(A73,'Aux - pivots1'!$A:$E,4,0)=0, "",VLOOKUP(A73,'Aux - pivots1'!$A:$E,4,0))</f>
        <v/>
      </c>
      <c r="O73" s="152" t="str">
        <f>IF(VLOOKUP(A73,'Aux - pivots1'!$A:$E,5,0)=0, "",VLOOKUP(A73,'Aux - pivots1'!$A:$E,5,0))</f>
        <v/>
      </c>
      <c r="P73" s="202"/>
      <c r="Q73" s="202"/>
      <c r="R73" s="203"/>
      <c r="S73" s="372"/>
      <c r="T73" s="372"/>
      <c r="U73" s="372" t="s">
        <v>2328</v>
      </c>
      <c r="V73" s="372"/>
    </row>
    <row r="74" spans="1:22" ht="16.350000000000001" hidden="1" customHeight="1">
      <c r="A74" s="29" t="str">
        <f t="shared" si="2"/>
        <v>ENERGY_CERTIFICATE_EST_INPUTASSUPERFICIE_UTIL</v>
      </c>
      <c r="B74" s="141" t="s">
        <v>26</v>
      </c>
      <c r="C74" s="137" t="s">
        <v>34</v>
      </c>
      <c r="D74" s="133" t="s">
        <v>40</v>
      </c>
      <c r="E74" s="134" t="s">
        <v>37</v>
      </c>
      <c r="F74" s="477" t="s">
        <v>1993</v>
      </c>
      <c r="G74" s="135" t="str">
        <f>VLOOKUP(A74,Plano_V3!$A$26:$G$769,7,0)</f>
        <v>2.1 Em Teste</v>
      </c>
      <c r="H74" s="135" t="s">
        <v>1845</v>
      </c>
      <c r="I74" s="473" t="s">
        <v>2421</v>
      </c>
      <c r="J74" s="359" t="s">
        <v>2248</v>
      </c>
      <c r="K74" s="359" t="s">
        <v>2245</v>
      </c>
      <c r="L74" s="359"/>
      <c r="M74" s="347" t="str">
        <f>IF(VLOOKUP(A74,'Aux - pivots1'!$A:$E,3,0)=0, "",VLOOKUP(A74,'Aux - pivots1'!$A:$E,3,0))</f>
        <v/>
      </c>
      <c r="N74" s="347" t="str">
        <f>IF(VLOOKUP(A74,'Aux - pivots1'!$A:$E,4,0)=0, "",VLOOKUP(A74,'Aux - pivots1'!$A:$E,4,0))</f>
        <v/>
      </c>
      <c r="O74" s="152" t="str">
        <f>IF(VLOOKUP(A74,'Aux - pivots1'!$A:$E,5,0)=0, "",VLOOKUP(A74,'Aux - pivots1'!$A:$E,5,0))</f>
        <v/>
      </c>
      <c r="P74" s="202"/>
      <c r="Q74" s="202"/>
      <c r="R74" s="203"/>
      <c r="S74" s="372"/>
      <c r="T74" s="372"/>
      <c r="U74" s="372" t="s">
        <v>2328</v>
      </c>
      <c r="V74" s="372"/>
    </row>
    <row r="75" spans="1:22" ht="16.350000000000001" hidden="1" customHeight="1">
      <c r="A75" s="29" t="str">
        <f t="shared" si="2"/>
        <v>ENERGY_CERTIFICATE_EST_INPUTANIO_CONSTRUCCION</v>
      </c>
      <c r="B75" s="141" t="s">
        <v>26</v>
      </c>
      <c r="C75" s="137" t="s">
        <v>34</v>
      </c>
      <c r="D75" s="133" t="s">
        <v>40</v>
      </c>
      <c r="E75" s="134" t="s">
        <v>37</v>
      </c>
      <c r="F75" s="477" t="s">
        <v>1994</v>
      </c>
      <c r="G75" s="135" t="str">
        <f>VLOOKUP(A75,Plano_V3!$A$26:$G$769,7,0)</f>
        <v>2.1 Em Teste</v>
      </c>
      <c r="H75" s="135" t="s">
        <v>1845</v>
      </c>
      <c r="I75" s="473" t="s">
        <v>2421</v>
      </c>
      <c r="J75" s="359" t="s">
        <v>2248</v>
      </c>
      <c r="K75" s="359" t="s">
        <v>2245</v>
      </c>
      <c r="L75" s="359"/>
      <c r="M75" s="347" t="str">
        <f>IF(VLOOKUP(A75,'Aux - pivots1'!$A:$E,3,0)=0, "",VLOOKUP(A75,'Aux - pivots1'!$A:$E,3,0))</f>
        <v/>
      </c>
      <c r="N75" s="347" t="str">
        <f>IF(VLOOKUP(A75,'Aux - pivots1'!$A:$E,4,0)=0, "",VLOOKUP(A75,'Aux - pivots1'!$A:$E,4,0))</f>
        <v/>
      </c>
      <c r="O75" s="152" t="str">
        <f>IF(VLOOKUP(A75,'Aux - pivots1'!$A:$E,5,0)=0, "",VLOOKUP(A75,'Aux - pivots1'!$A:$E,5,0))</f>
        <v/>
      </c>
      <c r="P75" s="202"/>
      <c r="Q75" s="202"/>
      <c r="R75" s="203"/>
      <c r="S75" s="372"/>
      <c r="T75" s="372"/>
      <c r="U75" s="372" t="s">
        <v>2328</v>
      </c>
      <c r="V75" s="372"/>
    </row>
    <row r="76" spans="1:22" ht="16.350000000000001" hidden="1" customHeight="1">
      <c r="A76" s="29" t="str">
        <f t="shared" si="2"/>
        <v>ENERGY_CERTIFICATE_EST_INPUTTIPO_INMUEBLE_HABITACAO</v>
      </c>
      <c r="B76" s="141" t="s">
        <v>26</v>
      </c>
      <c r="C76" s="137" t="s">
        <v>34</v>
      </c>
      <c r="D76" s="133" t="s">
        <v>40</v>
      </c>
      <c r="E76" s="134" t="s">
        <v>37</v>
      </c>
      <c r="F76" s="477" t="s">
        <v>1995</v>
      </c>
      <c r="G76" s="135" t="str">
        <f>VLOOKUP(A76,Plano_V3!$A$26:$G$769,7,0)</f>
        <v>2.1 Em Teste</v>
      </c>
      <c r="H76" s="135" t="s">
        <v>1845</v>
      </c>
      <c r="I76" s="473" t="s">
        <v>2421</v>
      </c>
      <c r="J76" s="359" t="s">
        <v>2248</v>
      </c>
      <c r="K76" s="359" t="s">
        <v>2245</v>
      </c>
      <c r="L76" s="359"/>
      <c r="M76" s="347" t="str">
        <f>IF(VLOOKUP(A76,'Aux - pivots1'!$A:$E,3,0)=0, "",VLOOKUP(A76,'Aux - pivots1'!$A:$E,3,0))</f>
        <v/>
      </c>
      <c r="N76" s="347" t="str">
        <f>IF(VLOOKUP(A76,'Aux - pivots1'!$A:$E,4,0)=0, "",VLOOKUP(A76,'Aux - pivots1'!$A:$E,4,0))</f>
        <v/>
      </c>
      <c r="O76" s="152" t="str">
        <f>IF(VLOOKUP(A76,'Aux - pivots1'!$A:$E,5,0)=0, "",VLOOKUP(A76,'Aux - pivots1'!$A:$E,5,0))</f>
        <v/>
      </c>
      <c r="P76" s="202"/>
      <c r="Q76" s="202"/>
      <c r="R76" s="203"/>
      <c r="S76" s="372"/>
      <c r="T76" s="372"/>
      <c r="U76" s="372" t="s">
        <v>2328</v>
      </c>
      <c r="V76" s="372"/>
    </row>
    <row r="77" spans="1:22" ht="16.350000000000001" hidden="1" customHeight="1">
      <c r="A77" s="29" t="str">
        <f t="shared" si="2"/>
        <v>ENERGY_CERTIFICATE_EST_INPUTPISO_APARTAMENTO</v>
      </c>
      <c r="B77" s="141" t="s">
        <v>26</v>
      </c>
      <c r="C77" s="137" t="s">
        <v>34</v>
      </c>
      <c r="D77" s="133" t="s">
        <v>40</v>
      </c>
      <c r="E77" s="134" t="s">
        <v>37</v>
      </c>
      <c r="F77" s="477" t="s">
        <v>1996</v>
      </c>
      <c r="G77" s="135" t="str">
        <f>VLOOKUP(A77,Plano_V3!$A$26:$G$769,7,0)</f>
        <v>2.1 Em Teste</v>
      </c>
      <c r="H77" s="135" t="s">
        <v>1845</v>
      </c>
      <c r="I77" s="473" t="s">
        <v>2421</v>
      </c>
      <c r="J77" s="359" t="s">
        <v>2248</v>
      </c>
      <c r="K77" s="359" t="s">
        <v>2245</v>
      </c>
      <c r="L77" s="359"/>
      <c r="M77" s="347" t="str">
        <f>IF(VLOOKUP(A77,'Aux - pivots1'!$A:$E,3,0)=0, "",VLOOKUP(A77,'Aux - pivots1'!$A:$E,3,0))</f>
        <v/>
      </c>
      <c r="N77" s="347" t="str">
        <f>IF(VLOOKUP(A77,'Aux - pivots1'!$A:$E,4,0)=0, "",VLOOKUP(A77,'Aux - pivots1'!$A:$E,4,0))</f>
        <v/>
      </c>
      <c r="O77" s="152" t="str">
        <f>IF(VLOOKUP(A77,'Aux - pivots1'!$A:$E,5,0)=0, "",VLOOKUP(A77,'Aux - pivots1'!$A:$E,5,0))</f>
        <v/>
      </c>
      <c r="P77" s="202"/>
      <c r="Q77" s="202"/>
      <c r="R77" s="203"/>
      <c r="S77" s="372"/>
      <c r="T77" s="372"/>
      <c r="U77" s="372" t="s">
        <v>2328</v>
      </c>
      <c r="V77" s="372"/>
    </row>
    <row r="78" spans="1:22" ht="16.350000000000001" hidden="1" customHeight="1">
      <c r="A78" s="29" t="str">
        <f t="shared" si="2"/>
        <v>ENERGY_CERTIFICATE_EST_INPUTCASA_UNIFAMILIAR</v>
      </c>
      <c r="B78" s="141" t="s">
        <v>26</v>
      </c>
      <c r="C78" s="137" t="s">
        <v>34</v>
      </c>
      <c r="D78" s="133" t="s">
        <v>40</v>
      </c>
      <c r="E78" s="134" t="s">
        <v>37</v>
      </c>
      <c r="F78" s="477" t="s">
        <v>1997</v>
      </c>
      <c r="G78" s="135" t="str">
        <f>VLOOKUP(A78,Plano_V3!$A$26:$G$769,7,0)</f>
        <v>2.1 Em Teste</v>
      </c>
      <c r="H78" s="135" t="s">
        <v>1845</v>
      </c>
      <c r="I78" s="473" t="s">
        <v>2421</v>
      </c>
      <c r="J78" s="359" t="s">
        <v>2248</v>
      </c>
      <c r="K78" s="359" t="s">
        <v>2245</v>
      </c>
      <c r="L78" s="359"/>
      <c r="M78" s="347" t="str">
        <f>IF(VLOOKUP(A78,'Aux - pivots1'!$A:$E,3,0)=0, "",VLOOKUP(A78,'Aux - pivots1'!$A:$E,3,0))</f>
        <v/>
      </c>
      <c r="N78" s="347" t="str">
        <f>IF(VLOOKUP(A78,'Aux - pivots1'!$A:$E,4,0)=0, "",VLOOKUP(A78,'Aux - pivots1'!$A:$E,4,0))</f>
        <v/>
      </c>
      <c r="O78" s="152" t="str">
        <f>IF(VLOOKUP(A78,'Aux - pivots1'!$A:$E,5,0)=0, "",VLOOKUP(A78,'Aux - pivots1'!$A:$E,5,0))</f>
        <v/>
      </c>
      <c r="P78" s="202"/>
      <c r="Q78" s="202"/>
      <c r="R78" s="203"/>
      <c r="S78" s="372"/>
      <c r="T78" s="372"/>
      <c r="U78" s="372" t="s">
        <v>2328</v>
      </c>
      <c r="V78" s="372"/>
    </row>
    <row r="79" spans="1:22" ht="16.350000000000001" hidden="1" customHeight="1">
      <c r="A79" s="29" t="str">
        <f t="shared" si="2"/>
        <v>ENERGY_CERTIFICATE_EST_INPUTTIPO_INMUEBLE_COMERCIO_SERVICOS</v>
      </c>
      <c r="B79" s="141" t="s">
        <v>26</v>
      </c>
      <c r="C79" s="137" t="s">
        <v>34</v>
      </c>
      <c r="D79" s="133" t="s">
        <v>40</v>
      </c>
      <c r="E79" s="134" t="s">
        <v>37</v>
      </c>
      <c r="F79" s="477" t="s">
        <v>1998</v>
      </c>
      <c r="G79" s="135" t="str">
        <f>VLOOKUP(A79,Plano_V3!$A$26:$G$769,7,0)</f>
        <v>2.1 Em Teste</v>
      </c>
      <c r="H79" s="135" t="s">
        <v>1845</v>
      </c>
      <c r="I79" s="473" t="s">
        <v>2421</v>
      </c>
      <c r="J79" s="359" t="s">
        <v>2248</v>
      </c>
      <c r="K79" s="359" t="s">
        <v>2245</v>
      </c>
      <c r="L79" s="359"/>
      <c r="M79" s="347" t="str">
        <f>IF(VLOOKUP(A79,'Aux - pivots1'!$A:$E,3,0)=0, "",VLOOKUP(A79,'Aux - pivots1'!$A:$E,3,0))</f>
        <v/>
      </c>
      <c r="N79" s="347" t="str">
        <f>IF(VLOOKUP(A79,'Aux - pivots1'!$A:$E,4,0)=0, "",VLOOKUP(A79,'Aux - pivots1'!$A:$E,4,0))</f>
        <v/>
      </c>
      <c r="O79" s="152" t="str">
        <f>IF(VLOOKUP(A79,'Aux - pivots1'!$A:$E,5,0)=0, "",VLOOKUP(A79,'Aux - pivots1'!$A:$E,5,0))</f>
        <v/>
      </c>
      <c r="P79" s="202"/>
      <c r="Q79" s="202"/>
      <c r="R79" s="203"/>
      <c r="S79" s="372"/>
      <c r="T79" s="372"/>
      <c r="U79" s="372" t="s">
        <v>2328</v>
      </c>
      <c r="V79" s="372"/>
    </row>
    <row r="80" spans="1:22" ht="16.350000000000001" hidden="1" customHeight="1">
      <c r="A80" s="29" t="str">
        <f t="shared" si="2"/>
        <v>ENERGY_CERTIFICATE_EST_INPUTNOME_CONSERVATORIA</v>
      </c>
      <c r="B80" s="141" t="s">
        <v>26</v>
      </c>
      <c r="C80" s="137" t="s">
        <v>34</v>
      </c>
      <c r="D80" s="133" t="s">
        <v>40</v>
      </c>
      <c r="E80" s="134" t="s">
        <v>37</v>
      </c>
      <c r="F80" s="477" t="s">
        <v>1999</v>
      </c>
      <c r="G80" s="135" t="str">
        <f>VLOOKUP(A80,Plano_V3!$A$26:$G$769,7,0)</f>
        <v>2.1 Em Teste</v>
      </c>
      <c r="H80" s="135" t="s">
        <v>1845</v>
      </c>
      <c r="I80" s="473" t="s">
        <v>2421</v>
      </c>
      <c r="J80" s="359" t="s">
        <v>2248</v>
      </c>
      <c r="K80" s="359" t="s">
        <v>2245</v>
      </c>
      <c r="L80" s="359"/>
      <c r="M80" s="347" t="str">
        <f>IF(VLOOKUP(A80,'Aux - pivots1'!$A:$E,3,0)=0, "",VLOOKUP(A80,'Aux - pivots1'!$A:$E,3,0))</f>
        <v/>
      </c>
      <c r="N80" s="347" t="str">
        <f>IF(VLOOKUP(A80,'Aux - pivots1'!$A:$E,4,0)=0, "",VLOOKUP(A80,'Aux - pivots1'!$A:$E,4,0))</f>
        <v/>
      </c>
      <c r="O80" s="152" t="str">
        <f>IF(VLOOKUP(A80,'Aux - pivots1'!$A:$E,5,0)=0, "",VLOOKUP(A80,'Aux - pivots1'!$A:$E,5,0))</f>
        <v/>
      </c>
      <c r="P80" s="202"/>
      <c r="Q80" s="202"/>
      <c r="R80" s="203"/>
      <c r="S80" s="372"/>
      <c r="T80" s="372"/>
      <c r="U80" s="372" t="s">
        <v>2328</v>
      </c>
      <c r="V80" s="372"/>
    </row>
    <row r="81" spans="1:22" ht="16.350000000000001" hidden="1" customHeight="1">
      <c r="A81" s="29" t="str">
        <f t="shared" si="2"/>
        <v>ENERGY_CERTIFICATE_EST_INPUTCOD_CONSERVATORIA</v>
      </c>
      <c r="B81" s="141" t="s">
        <v>26</v>
      </c>
      <c r="C81" s="137" t="s">
        <v>34</v>
      </c>
      <c r="D81" s="133" t="s">
        <v>40</v>
      </c>
      <c r="E81" s="134" t="s">
        <v>37</v>
      </c>
      <c r="F81" s="477" t="s">
        <v>2000</v>
      </c>
      <c r="G81" s="135" t="str">
        <f>VLOOKUP(A81,Plano_V3!$A$26:$G$769,7,0)</f>
        <v>2.1 Em Teste</v>
      </c>
      <c r="H81" s="135" t="s">
        <v>1845</v>
      </c>
      <c r="I81" s="473" t="s">
        <v>2421</v>
      </c>
      <c r="J81" s="359" t="s">
        <v>2248</v>
      </c>
      <c r="K81" s="359" t="s">
        <v>2245</v>
      </c>
      <c r="L81" s="359"/>
      <c r="M81" s="347" t="str">
        <f>IF(VLOOKUP(A81,'Aux - pivots1'!$A:$E,3,0)=0, "",VLOOKUP(A81,'Aux - pivots1'!$A:$E,3,0))</f>
        <v/>
      </c>
      <c r="N81" s="347" t="str">
        <f>IF(VLOOKUP(A81,'Aux - pivots1'!$A:$E,4,0)=0, "",VLOOKUP(A81,'Aux - pivots1'!$A:$E,4,0))</f>
        <v/>
      </c>
      <c r="O81" s="152" t="str">
        <f>IF(VLOOKUP(A81,'Aux - pivots1'!$A:$E,5,0)=0, "",VLOOKUP(A81,'Aux - pivots1'!$A:$E,5,0))</f>
        <v/>
      </c>
      <c r="P81" s="202"/>
      <c r="Q81" s="202"/>
      <c r="R81" s="203"/>
      <c r="S81" s="372"/>
      <c r="T81" s="372"/>
      <c r="U81" s="372" t="s">
        <v>2328</v>
      </c>
      <c r="V81" s="372"/>
    </row>
    <row r="82" spans="1:22" ht="16.350000000000001" hidden="1" customHeight="1">
      <c r="A82" s="29" t="str">
        <f t="shared" si="2"/>
        <v>ENERGY_CERTIFICATE_EST_INPUTREGISTRO_CONSERVATORIA</v>
      </c>
      <c r="B82" s="141" t="s">
        <v>26</v>
      </c>
      <c r="C82" s="137" t="s">
        <v>34</v>
      </c>
      <c r="D82" s="133" t="s">
        <v>40</v>
      </c>
      <c r="E82" s="134" t="s">
        <v>37</v>
      </c>
      <c r="F82" s="477" t="s">
        <v>2001</v>
      </c>
      <c r="G82" s="135" t="str">
        <f>VLOOKUP(A82,Plano_V3!$A$26:$G$769,7,0)</f>
        <v>2.1 Em Teste</v>
      </c>
      <c r="H82" s="135" t="s">
        <v>1845</v>
      </c>
      <c r="I82" s="473" t="s">
        <v>2421</v>
      </c>
      <c r="J82" s="359" t="s">
        <v>2248</v>
      </c>
      <c r="K82" s="359" t="s">
        <v>2245</v>
      </c>
      <c r="L82" s="359"/>
      <c r="M82" s="347" t="str">
        <f>IF(VLOOKUP(A82,'Aux - pivots1'!$A:$E,3,0)=0, "",VLOOKUP(A82,'Aux - pivots1'!$A:$E,3,0))</f>
        <v/>
      </c>
      <c r="N82" s="347" t="str">
        <f>IF(VLOOKUP(A82,'Aux - pivots1'!$A:$E,4,0)=0, "",VLOOKUP(A82,'Aux - pivots1'!$A:$E,4,0))</f>
        <v/>
      </c>
      <c r="O82" s="152" t="str">
        <f>IF(VLOOKUP(A82,'Aux - pivots1'!$A:$E,5,0)=0, "",VLOOKUP(A82,'Aux - pivots1'!$A:$E,5,0))</f>
        <v/>
      </c>
      <c r="P82" s="202"/>
      <c r="Q82" s="202"/>
      <c r="R82" s="203"/>
      <c r="S82" s="372"/>
      <c r="T82" s="372"/>
      <c r="U82" s="372" t="s">
        <v>2328</v>
      </c>
      <c r="V82" s="372"/>
    </row>
    <row r="83" spans="1:22" ht="16.350000000000001" hidden="1" customHeight="1">
      <c r="A83" s="29" t="str">
        <f t="shared" si="2"/>
        <v>ENERGY_CERTIFICATE_EST_INPUTART_MATRICIAIS</v>
      </c>
      <c r="B83" s="141" t="s">
        <v>26</v>
      </c>
      <c r="C83" s="137" t="s">
        <v>34</v>
      </c>
      <c r="D83" s="133" t="s">
        <v>40</v>
      </c>
      <c r="E83" s="134" t="s">
        <v>37</v>
      </c>
      <c r="F83" s="477" t="s">
        <v>2002</v>
      </c>
      <c r="G83" s="135" t="str">
        <f>VLOOKUP(A83,Plano_V3!$A$26:$G$769,7,0)</f>
        <v>2.1 Em Teste</v>
      </c>
      <c r="H83" s="135" t="s">
        <v>1845</v>
      </c>
      <c r="I83" s="473" t="s">
        <v>2421</v>
      </c>
      <c r="J83" s="359" t="s">
        <v>2248</v>
      </c>
      <c r="K83" s="359" t="s">
        <v>2245</v>
      </c>
      <c r="L83" s="359"/>
      <c r="M83" s="347" t="str">
        <f>IF(VLOOKUP(A83,'Aux - pivots1'!$A:$E,3,0)=0, "",VLOOKUP(A83,'Aux - pivots1'!$A:$E,3,0))</f>
        <v/>
      </c>
      <c r="N83" s="347" t="str">
        <f>IF(VLOOKUP(A83,'Aux - pivots1'!$A:$E,4,0)=0, "",VLOOKUP(A83,'Aux - pivots1'!$A:$E,4,0))</f>
        <v/>
      </c>
      <c r="O83" s="152" t="str">
        <f>IF(VLOOKUP(A83,'Aux - pivots1'!$A:$E,5,0)=0, "",VLOOKUP(A83,'Aux - pivots1'!$A:$E,5,0))</f>
        <v/>
      </c>
      <c r="P83" s="202"/>
      <c r="Q83" s="202"/>
      <c r="R83" s="203"/>
      <c r="S83" s="372"/>
      <c r="T83" s="372"/>
      <c r="U83" s="372" t="s">
        <v>2328</v>
      </c>
      <c r="V83" s="372"/>
    </row>
    <row r="84" spans="1:22" ht="16.350000000000001" hidden="1" customHeight="1">
      <c r="A84" s="29" t="str">
        <f t="shared" si="2"/>
        <v>ENERGY_CERTIFICATE_EST_INPUTFRACCAO_AUTONOMA</v>
      </c>
      <c r="B84" s="141" t="s">
        <v>26</v>
      </c>
      <c r="C84" s="137" t="s">
        <v>34</v>
      </c>
      <c r="D84" s="133" t="s">
        <v>40</v>
      </c>
      <c r="E84" s="134" t="s">
        <v>37</v>
      </c>
      <c r="F84" s="477" t="s">
        <v>2003</v>
      </c>
      <c r="G84" s="135" t="str">
        <f>VLOOKUP(A84,Plano_V3!$A$26:$G$769,7,0)</f>
        <v>2.1 Em Teste</v>
      </c>
      <c r="H84" s="135" t="s">
        <v>1845</v>
      </c>
      <c r="I84" s="473" t="s">
        <v>2421</v>
      </c>
      <c r="J84" s="359" t="s">
        <v>2248</v>
      </c>
      <c r="K84" s="359" t="s">
        <v>2245</v>
      </c>
      <c r="L84" s="359"/>
      <c r="M84" s="347" t="str">
        <f>IF(VLOOKUP(A84,'Aux - pivots1'!$A:$E,3,0)=0, "",VLOOKUP(A84,'Aux - pivots1'!$A:$E,3,0))</f>
        <v/>
      </c>
      <c r="N84" s="347" t="str">
        <f>IF(VLOOKUP(A84,'Aux - pivots1'!$A:$E,4,0)=0, "",VLOOKUP(A84,'Aux - pivots1'!$A:$E,4,0))</f>
        <v/>
      </c>
      <c r="O84" s="152" t="str">
        <f>IF(VLOOKUP(A84,'Aux - pivots1'!$A:$E,5,0)=0, "",VLOOKUP(A84,'Aux - pivots1'!$A:$E,5,0))</f>
        <v/>
      </c>
      <c r="P84" s="202"/>
      <c r="Q84" s="202"/>
      <c r="R84" s="203"/>
      <c r="S84" s="372"/>
      <c r="T84" s="372"/>
      <c r="U84" s="372" t="s">
        <v>2328</v>
      </c>
      <c r="V84" s="372"/>
    </row>
    <row r="85" spans="1:22" ht="16.350000000000001" hidden="1" customHeight="1">
      <c r="A85" s="29" t="str">
        <f t="shared" si="2"/>
        <v>ENERGY_CERTIFICATE_EST_INPUTFINALIDADE_BEM</v>
      </c>
      <c r="B85" s="141" t="s">
        <v>26</v>
      </c>
      <c r="C85" s="137" t="s">
        <v>34</v>
      </c>
      <c r="D85" s="133" t="s">
        <v>40</v>
      </c>
      <c r="E85" s="134" t="s">
        <v>37</v>
      </c>
      <c r="F85" s="477" t="s">
        <v>2004</v>
      </c>
      <c r="G85" s="135" t="str">
        <f>VLOOKUP(A85,Plano_V3!$A$26:$G$769,7,0)</f>
        <v>2.1 Em Teste</v>
      </c>
      <c r="H85" s="135" t="s">
        <v>1845</v>
      </c>
      <c r="I85" s="473" t="s">
        <v>2421</v>
      </c>
      <c r="J85" s="359" t="s">
        <v>2248</v>
      </c>
      <c r="K85" s="359" t="s">
        <v>2245</v>
      </c>
      <c r="L85" s="359"/>
      <c r="M85" s="347" t="str">
        <f>IF(VLOOKUP(A85,'Aux - pivots1'!$A:$E,3,0)=0, "",VLOOKUP(A85,'Aux - pivots1'!$A:$E,3,0))</f>
        <v/>
      </c>
      <c r="N85" s="347" t="str">
        <f>IF(VLOOKUP(A85,'Aux - pivots1'!$A:$E,4,0)=0, "",VLOOKUP(A85,'Aux - pivots1'!$A:$E,4,0))</f>
        <v/>
      </c>
      <c r="O85" s="152" t="str">
        <f>IF(VLOOKUP(A85,'Aux - pivots1'!$A:$E,5,0)=0, "",VLOOKUP(A85,'Aux - pivots1'!$A:$E,5,0))</f>
        <v/>
      </c>
      <c r="P85" s="202"/>
      <c r="Q85" s="202"/>
      <c r="R85" s="203"/>
      <c r="S85" s="372"/>
      <c r="T85" s="372"/>
      <c r="U85" s="372" t="s">
        <v>2328</v>
      </c>
      <c r="V85" s="372"/>
    </row>
    <row r="86" spans="1:22" ht="16.350000000000001" hidden="1" customHeight="1">
      <c r="A86" s="29" t="str">
        <f t="shared" si="2"/>
        <v>ENERGY_CERTIFICATE_EST_INPUTCLASS_GPT31</v>
      </c>
      <c r="B86" s="141" t="s">
        <v>26</v>
      </c>
      <c r="C86" s="137" t="s">
        <v>34</v>
      </c>
      <c r="D86" s="133" t="s">
        <v>40</v>
      </c>
      <c r="E86" s="134" t="s">
        <v>37</v>
      </c>
      <c r="F86" s="477" t="s">
        <v>2005</v>
      </c>
      <c r="G86" s="135" t="str">
        <f>VLOOKUP(A86,Plano_V3!$A$26:$G$769,7,0)</f>
        <v>2.1 Em Teste</v>
      </c>
      <c r="H86" s="135" t="s">
        <v>1845</v>
      </c>
      <c r="I86" s="473" t="s">
        <v>2421</v>
      </c>
      <c r="J86" s="359" t="s">
        <v>2248</v>
      </c>
      <c r="K86" s="359" t="s">
        <v>2245</v>
      </c>
      <c r="L86" s="359"/>
      <c r="M86" s="347" t="str">
        <f>IF(VLOOKUP(A86,'Aux - pivots1'!$A:$E,3,0)=0, "",VLOOKUP(A86,'Aux - pivots1'!$A:$E,3,0))</f>
        <v/>
      </c>
      <c r="N86" s="347" t="str">
        <f>IF(VLOOKUP(A86,'Aux - pivots1'!$A:$E,4,0)=0, "",VLOOKUP(A86,'Aux - pivots1'!$A:$E,4,0))</f>
        <v/>
      </c>
      <c r="O86" s="152" t="str">
        <f>IF(VLOOKUP(A86,'Aux - pivots1'!$A:$E,5,0)=0, "",VLOOKUP(A86,'Aux - pivots1'!$A:$E,5,0))</f>
        <v/>
      </c>
      <c r="P86" s="202"/>
      <c r="Q86" s="202"/>
      <c r="R86" s="203"/>
      <c r="S86" s="372"/>
      <c r="T86" s="372"/>
      <c r="U86" s="372" t="s">
        <v>2328</v>
      </c>
      <c r="V86" s="372"/>
    </row>
    <row r="87" spans="1:22" ht="16.350000000000001" hidden="1" customHeight="1">
      <c r="A87" s="29" t="str">
        <f t="shared" si="2"/>
        <v>ENERGY_CERTIFICATE_EST_INPUTCLASS_STCLIM</v>
      </c>
      <c r="B87" s="141" t="s">
        <v>26</v>
      </c>
      <c r="C87" s="137" t="s">
        <v>34</v>
      </c>
      <c r="D87" s="133" t="s">
        <v>40</v>
      </c>
      <c r="E87" s="134" t="s">
        <v>37</v>
      </c>
      <c r="F87" s="477" t="s">
        <v>2006</v>
      </c>
      <c r="G87" s="135" t="str">
        <f>VLOOKUP(A87,Plano_V3!$A$26:$G$769,7,0)</f>
        <v>2.1 Em Teste</v>
      </c>
      <c r="H87" s="135" t="s">
        <v>1845</v>
      </c>
      <c r="I87" s="473" t="s">
        <v>2421</v>
      </c>
      <c r="J87" s="359" t="s">
        <v>2248</v>
      </c>
      <c r="K87" s="359" t="s">
        <v>2245</v>
      </c>
      <c r="L87" s="359"/>
      <c r="M87" s="347" t="str">
        <f>IF(VLOOKUP(A87,'Aux - pivots1'!$A:$E,3,0)=0, "",VLOOKUP(A87,'Aux - pivots1'!$A:$E,3,0))</f>
        <v/>
      </c>
      <c r="N87" s="347" t="str">
        <f>IF(VLOOKUP(A87,'Aux - pivots1'!$A:$E,4,0)=0, "",VLOOKUP(A87,'Aux - pivots1'!$A:$E,4,0))</f>
        <v/>
      </c>
      <c r="O87" s="152" t="str">
        <f>IF(VLOOKUP(A87,'Aux - pivots1'!$A:$E,5,0)=0, "",VLOOKUP(A87,'Aux - pivots1'!$A:$E,5,0))</f>
        <v/>
      </c>
      <c r="P87" s="202"/>
      <c r="Q87" s="202"/>
      <c r="R87" s="203"/>
      <c r="S87" s="372"/>
      <c r="T87" s="372"/>
      <c r="U87" s="372" t="s">
        <v>2328</v>
      </c>
      <c r="V87" s="372"/>
    </row>
    <row r="88" spans="1:22" ht="16.350000000000001" hidden="1" customHeight="1">
      <c r="A88" s="29" t="str">
        <f t="shared" si="2"/>
        <v>ENERGY_CERTIFICATE_EST_INPUTCONF_STCLIM</v>
      </c>
      <c r="B88" s="141" t="s">
        <v>26</v>
      </c>
      <c r="C88" s="137" t="s">
        <v>34</v>
      </c>
      <c r="D88" s="133" t="s">
        <v>40</v>
      </c>
      <c r="E88" s="134" t="s">
        <v>37</v>
      </c>
      <c r="F88" s="477" t="s">
        <v>2007</v>
      </c>
      <c r="G88" s="135" t="str">
        <f>VLOOKUP(A88,Plano_V3!$A$26:$G$769,7,0)</f>
        <v>2.1 Em Teste</v>
      </c>
      <c r="H88" s="135" t="s">
        <v>1845</v>
      </c>
      <c r="I88" s="473" t="s">
        <v>2421</v>
      </c>
      <c r="J88" s="359" t="s">
        <v>2248</v>
      </c>
      <c r="K88" s="359" t="s">
        <v>2245</v>
      </c>
      <c r="L88" s="359"/>
      <c r="M88" s="347" t="str">
        <f>IF(VLOOKUP(A88,'Aux - pivots1'!$A:$E,3,0)=0, "",VLOOKUP(A88,'Aux - pivots1'!$A:$E,3,0))</f>
        <v/>
      </c>
      <c r="N88" s="347" t="str">
        <f>IF(VLOOKUP(A88,'Aux - pivots1'!$A:$E,4,0)=0, "",VLOOKUP(A88,'Aux - pivots1'!$A:$E,4,0))</f>
        <v/>
      </c>
      <c r="O88" s="152" t="str">
        <f>IF(VLOOKUP(A88,'Aux - pivots1'!$A:$E,5,0)=0, "",VLOOKUP(A88,'Aux - pivots1'!$A:$E,5,0))</f>
        <v/>
      </c>
      <c r="P88" s="202"/>
      <c r="Q88" s="202"/>
      <c r="R88" s="203"/>
      <c r="S88" s="372"/>
      <c r="T88" s="372"/>
      <c r="U88" s="372" t="s">
        <v>2328</v>
      </c>
      <c r="V88" s="372"/>
    </row>
    <row r="89" spans="1:22" ht="16.350000000000001" hidden="1" customHeight="1">
      <c r="A89" s="29" t="str">
        <f t="shared" si="2"/>
        <v>ENERGY_CERTIFICATE_EST_INPUTCLASSE_ENERGETICA</v>
      </c>
      <c r="B89" s="141" t="s">
        <v>26</v>
      </c>
      <c r="C89" s="137" t="s">
        <v>34</v>
      </c>
      <c r="D89" s="133" t="s">
        <v>40</v>
      </c>
      <c r="E89" s="134" t="s">
        <v>37</v>
      </c>
      <c r="F89" s="477" t="s">
        <v>2008</v>
      </c>
      <c r="G89" s="135" t="str">
        <f>VLOOKUP(A89,Plano_V3!$A$26:$G$769,7,0)</f>
        <v>2.1 Em Teste</v>
      </c>
      <c r="H89" s="135" t="s">
        <v>1845</v>
      </c>
      <c r="I89" s="473" t="s">
        <v>2421</v>
      </c>
      <c r="J89" s="359" t="s">
        <v>2248</v>
      </c>
      <c r="K89" s="359" t="s">
        <v>2245</v>
      </c>
      <c r="L89" s="359"/>
      <c r="M89" s="347" t="str">
        <f>IF(VLOOKUP(A89,'Aux - pivots1'!$A:$E,3,0)=0, "",VLOOKUP(A89,'Aux - pivots1'!$A:$E,3,0))</f>
        <v/>
      </c>
      <c r="N89" s="347" t="str">
        <f>IF(VLOOKUP(A89,'Aux - pivots1'!$A:$E,4,0)=0, "",VLOOKUP(A89,'Aux - pivots1'!$A:$E,4,0))</f>
        <v/>
      </c>
      <c r="O89" s="152" t="str">
        <f>IF(VLOOKUP(A89,'Aux - pivots1'!$A:$E,5,0)=0, "",VLOOKUP(A89,'Aux - pivots1'!$A:$E,5,0))</f>
        <v/>
      </c>
      <c r="P89" s="202"/>
      <c r="Q89" s="202"/>
      <c r="R89" s="203"/>
      <c r="S89" s="372"/>
      <c r="T89" s="372"/>
      <c r="U89" s="372" t="s">
        <v>2384</v>
      </c>
      <c r="V89" s="372"/>
    </row>
    <row r="90" spans="1:22" ht="16.350000000000001" hidden="1" customHeight="1">
      <c r="A90" s="29" t="str">
        <f t="shared" si="2"/>
        <v>ENERGY_CERTIFICATE_EST_INPUTFIABILIDAD</v>
      </c>
      <c r="B90" s="141" t="s">
        <v>26</v>
      </c>
      <c r="C90" s="137" t="s">
        <v>34</v>
      </c>
      <c r="D90" s="133" t="s">
        <v>40</v>
      </c>
      <c r="E90" s="134" t="s">
        <v>37</v>
      </c>
      <c r="F90" s="477" t="s">
        <v>2009</v>
      </c>
      <c r="G90" s="135" t="str">
        <f>VLOOKUP(A90,Plano_V3!$A$26:$G$769,7,0)</f>
        <v>2.1 Em Teste</v>
      </c>
      <c r="H90" s="135" t="s">
        <v>1845</v>
      </c>
      <c r="I90" s="473" t="s">
        <v>2421</v>
      </c>
      <c r="J90" s="359" t="s">
        <v>2248</v>
      </c>
      <c r="K90" s="359" t="s">
        <v>2245</v>
      </c>
      <c r="L90" s="359"/>
      <c r="M90" s="347" t="str">
        <f>IF(VLOOKUP(A90,'Aux - pivots1'!$A:$E,3,0)=0, "",VLOOKUP(A90,'Aux - pivots1'!$A:$E,3,0))</f>
        <v/>
      </c>
      <c r="N90" s="347" t="str">
        <f>IF(VLOOKUP(A90,'Aux - pivots1'!$A:$E,4,0)=0, "",VLOOKUP(A90,'Aux - pivots1'!$A:$E,4,0))</f>
        <v/>
      </c>
      <c r="O90" s="152" t="str">
        <f>IF(VLOOKUP(A90,'Aux - pivots1'!$A:$E,5,0)=0, "",VLOOKUP(A90,'Aux - pivots1'!$A:$E,5,0))</f>
        <v/>
      </c>
      <c r="P90" s="202"/>
      <c r="Q90" s="202"/>
      <c r="R90" s="203"/>
      <c r="S90" s="372"/>
      <c r="T90" s="372"/>
      <c r="U90" s="372" t="s">
        <v>2384</v>
      </c>
      <c r="V90" s="372"/>
    </row>
    <row r="91" spans="1:22" ht="16.350000000000001" hidden="1" customHeight="1">
      <c r="A91" s="29" t="str">
        <f t="shared" si="2"/>
        <v>ENERGY_CERTIFICATE_EST_INPUTEMISSIONES</v>
      </c>
      <c r="B91" s="141" t="s">
        <v>26</v>
      </c>
      <c r="C91" s="137" t="s">
        <v>34</v>
      </c>
      <c r="D91" s="133" t="s">
        <v>40</v>
      </c>
      <c r="E91" s="134" t="s">
        <v>37</v>
      </c>
      <c r="F91" s="477" t="s">
        <v>2010</v>
      </c>
      <c r="G91" s="135" t="str">
        <f>VLOOKUP(A91,Plano_V3!$A$26:$G$769,7,0)</f>
        <v>2.1 Em Teste</v>
      </c>
      <c r="H91" s="135" t="s">
        <v>1845</v>
      </c>
      <c r="I91" s="473" t="s">
        <v>2421</v>
      </c>
      <c r="J91" s="359" t="s">
        <v>2248</v>
      </c>
      <c r="K91" s="359" t="s">
        <v>2245</v>
      </c>
      <c r="L91" s="359"/>
      <c r="M91" s="347" t="str">
        <f>IF(VLOOKUP(A91,'Aux - pivots1'!$A:$E,3,0)=0, "",VLOOKUP(A91,'Aux - pivots1'!$A:$E,3,0))</f>
        <v/>
      </c>
      <c r="N91" s="347" t="str">
        <f>IF(VLOOKUP(A91,'Aux - pivots1'!$A:$E,4,0)=0, "",VLOOKUP(A91,'Aux - pivots1'!$A:$E,4,0))</f>
        <v/>
      </c>
      <c r="O91" s="152" t="str">
        <f>IF(VLOOKUP(A91,'Aux - pivots1'!$A:$E,5,0)=0, "",VLOOKUP(A91,'Aux - pivots1'!$A:$E,5,0))</f>
        <v/>
      </c>
      <c r="P91" s="202"/>
      <c r="Q91" s="202"/>
      <c r="R91" s="203"/>
      <c r="S91" s="372"/>
      <c r="T91" s="372"/>
      <c r="U91" s="372" t="s">
        <v>2384</v>
      </c>
      <c r="V91" s="372"/>
    </row>
    <row r="92" spans="1:22" ht="16.350000000000001" hidden="1" customHeight="1">
      <c r="A92" s="29" t="str">
        <f t="shared" si="2"/>
        <v>ENERGY_CERTIFICATE_EST_INPUTCONSUMOS</v>
      </c>
      <c r="B92" s="141" t="s">
        <v>26</v>
      </c>
      <c r="C92" s="137" t="s">
        <v>34</v>
      </c>
      <c r="D92" s="133" t="s">
        <v>40</v>
      </c>
      <c r="E92" s="134" t="s">
        <v>37</v>
      </c>
      <c r="F92" s="477" t="s">
        <v>2011</v>
      </c>
      <c r="G92" s="135" t="str">
        <f>VLOOKUP(A92,Plano_V3!$A$26:$G$769,7,0)</f>
        <v>2.1 Em Teste</v>
      </c>
      <c r="H92" s="135" t="s">
        <v>1845</v>
      </c>
      <c r="I92" s="473" t="s">
        <v>2421</v>
      </c>
      <c r="J92" s="359" t="s">
        <v>2248</v>
      </c>
      <c r="K92" s="359" t="s">
        <v>2245</v>
      </c>
      <c r="L92" s="359"/>
      <c r="M92" s="347" t="str">
        <f>IF(VLOOKUP(A92,'Aux - pivots1'!$A:$E,3,0)=0, "",VLOOKUP(A92,'Aux - pivots1'!$A:$E,3,0))</f>
        <v/>
      </c>
      <c r="N92" s="347" t="str">
        <f>IF(VLOOKUP(A92,'Aux - pivots1'!$A:$E,4,0)=0, "",VLOOKUP(A92,'Aux - pivots1'!$A:$E,4,0))</f>
        <v/>
      </c>
      <c r="O92" s="152" t="str">
        <f>IF(VLOOKUP(A92,'Aux - pivots1'!$A:$E,5,0)=0, "",VLOOKUP(A92,'Aux - pivots1'!$A:$E,5,0))</f>
        <v/>
      </c>
      <c r="P92" s="202"/>
      <c r="Q92" s="202"/>
      <c r="R92" s="203"/>
      <c r="S92" s="372"/>
      <c r="T92" s="372"/>
      <c r="U92" s="372" t="s">
        <v>2384</v>
      </c>
      <c r="V92" s="372"/>
    </row>
    <row r="93" spans="1:22" ht="16.350000000000001" hidden="1" customHeight="1">
      <c r="A93" s="29" t="str">
        <f t="shared" si="2"/>
        <v>ENERGY_CERTIFICATE_EST_INPUTDATA_ENVIO</v>
      </c>
      <c r="B93" s="141" t="s">
        <v>26</v>
      </c>
      <c r="C93" s="137" t="s">
        <v>34</v>
      </c>
      <c r="D93" s="133" t="s">
        <v>40</v>
      </c>
      <c r="E93" s="134" t="s">
        <v>37</v>
      </c>
      <c r="F93" s="477" t="s">
        <v>2012</v>
      </c>
      <c r="G93" s="135" t="str">
        <f>VLOOKUP(A93,Plano_V3!$A$26:$G$769,7,0)</f>
        <v>2.1 Em Teste</v>
      </c>
      <c r="H93" s="135" t="s">
        <v>1845</v>
      </c>
      <c r="I93" s="473" t="s">
        <v>2421</v>
      </c>
      <c r="J93" s="359" t="s">
        <v>2248</v>
      </c>
      <c r="K93" s="359" t="s">
        <v>2245</v>
      </c>
      <c r="L93" s="359"/>
      <c r="M93" s="347" t="str">
        <f>IF(VLOOKUP(A93,'Aux - pivots1'!$A:$E,3,0)=0, "",VLOOKUP(A93,'Aux - pivots1'!$A:$E,3,0))</f>
        <v/>
      </c>
      <c r="N93" s="347" t="str">
        <f>IF(VLOOKUP(A93,'Aux - pivots1'!$A:$E,4,0)=0, "",VLOOKUP(A93,'Aux - pivots1'!$A:$E,4,0))</f>
        <v/>
      </c>
      <c r="O93" s="152" t="str">
        <f>IF(VLOOKUP(A93,'Aux - pivots1'!$A:$E,5,0)=0, "",VLOOKUP(A93,'Aux - pivots1'!$A:$E,5,0))</f>
        <v/>
      </c>
      <c r="P93" s="202"/>
      <c r="Q93" s="202"/>
      <c r="R93" s="203"/>
      <c r="S93" s="372"/>
      <c r="T93" s="372"/>
      <c r="U93" s="372" t="s">
        <v>2384</v>
      </c>
      <c r="V93" s="372"/>
    </row>
    <row r="94" spans="1:22" ht="16.350000000000001" hidden="1" customHeight="1">
      <c r="A94" s="29" t="str">
        <f t="shared" si="2"/>
        <v>PROPERTY_ENERGY_CERTIFICATEEPC</v>
      </c>
      <c r="B94" s="141" t="s">
        <v>26</v>
      </c>
      <c r="C94" s="137" t="s">
        <v>54</v>
      </c>
      <c r="D94" s="133" t="s">
        <v>40</v>
      </c>
      <c r="E94" s="134" t="s">
        <v>123</v>
      </c>
      <c r="F94" s="476" t="s">
        <v>47</v>
      </c>
      <c r="G94" s="135" t="str">
        <f>VLOOKUP(A94,Plano_V3!$A$26:$G$769,7,0)</f>
        <v>2.1 Em Teste</v>
      </c>
      <c r="H94" s="135" t="s">
        <v>1845</v>
      </c>
      <c r="I94" s="473"/>
      <c r="J94" s="359" t="s">
        <v>2248</v>
      </c>
      <c r="K94" s="359" t="s">
        <v>2245</v>
      </c>
      <c r="L94" s="359"/>
      <c r="M94" s="152" t="str">
        <f>IF(VLOOKUP(A94,'Aux - pivots1'!$A:$E,3,0)=0, "",VLOOKUP(A94,'Aux - pivots1'!$A:$E,3,0))</f>
        <v/>
      </c>
      <c r="N94" s="152" t="str">
        <f>IF(VLOOKUP(A94,'Aux - pivots1'!$A:$E,4,0)=0, "",VLOOKUP(A94,'Aux - pivots1'!$A:$E,4,0))</f>
        <v/>
      </c>
      <c r="O94" s="152" t="str">
        <f>IF(VLOOKUP(A94,'Aux - pivots1'!$A:$E,5,0)=0, "",VLOOKUP(A94,'Aux - pivots1'!$A:$E,5,0))</f>
        <v/>
      </c>
      <c r="P94" s="202"/>
      <c r="Q94" s="202"/>
      <c r="R94" s="203"/>
      <c r="S94" s="324"/>
      <c r="T94" s="324"/>
      <c r="U94" s="372" t="s">
        <v>2326</v>
      </c>
      <c r="V94" s="372"/>
    </row>
    <row r="95" spans="1:22" ht="16.350000000000001" customHeight="1">
      <c r="A95" s="29" t="str">
        <f t="shared" si="2"/>
        <v>PROPERTY_ENERGY_CERTIFICATEPRMRY_ENRGY_DMND_RFRNC_VL</v>
      </c>
      <c r="B95" s="141" t="s">
        <v>26</v>
      </c>
      <c r="C95" s="137" t="s">
        <v>54</v>
      </c>
      <c r="D95" s="133" t="s">
        <v>40</v>
      </c>
      <c r="E95" s="134" t="s">
        <v>123</v>
      </c>
      <c r="F95" s="476" t="s">
        <v>2270</v>
      </c>
      <c r="G95" s="135" t="str">
        <f>VLOOKUP(A95,Plano_V3!$A$26:$G$769,7,0)</f>
        <v>1. Concluído</v>
      </c>
      <c r="H95" s="135" t="s">
        <v>2325</v>
      </c>
      <c r="I95" s="473"/>
      <c r="J95" s="359"/>
      <c r="K95" s="359" t="s">
        <v>2245</v>
      </c>
      <c r="L95" s="359"/>
      <c r="M95" s="152" t="str">
        <f>IF(VLOOKUP(A95,'Aux - pivots1'!$A:$E,3,0)=0, "",VLOOKUP(A95,'Aux - pivots1'!$A:$E,3,0))</f>
        <v/>
      </c>
      <c r="N95" s="152" t="str">
        <f>IF(VLOOKUP(A95,'Aux - pivots1'!$A:$E,4,0)=0, "",VLOOKUP(A95,'Aux - pivots1'!$A:$E,4,0))</f>
        <v/>
      </c>
      <c r="O95" s="152" t="str">
        <f>IF(VLOOKUP(A95,'Aux - pivots1'!$A:$E,5,0)=0, "",VLOOKUP(A95,'Aux - pivots1'!$A:$E,5,0))</f>
        <v/>
      </c>
      <c r="P95" s="202"/>
      <c r="Q95" s="202"/>
      <c r="R95" s="203"/>
      <c r="S95" s="324"/>
      <c r="T95" s="324"/>
      <c r="U95" s="372" t="s">
        <v>2326</v>
      </c>
      <c r="V95" s="372"/>
    </row>
    <row r="96" spans="1:22" ht="16.350000000000001" hidden="1" customHeight="1">
      <c r="A96" s="29" t="str">
        <f t="shared" si="2"/>
        <v>PROPERTY_ENERGY_CERTIFICATECARBON_EMISSION_VALUE_YEAR</v>
      </c>
      <c r="B96" s="141" t="s">
        <v>26</v>
      </c>
      <c r="C96" s="137" t="s">
        <v>54</v>
      </c>
      <c r="D96" s="133" t="s">
        <v>40</v>
      </c>
      <c r="E96" s="134" t="s">
        <v>123</v>
      </c>
      <c r="F96" s="476" t="s">
        <v>52</v>
      </c>
      <c r="G96" s="135" t="str">
        <f>VLOOKUP(A96,Plano_V3!$A$26:$G$769,7,0)</f>
        <v>2.1 Em Teste</v>
      </c>
      <c r="H96" s="135" t="s">
        <v>1845</v>
      </c>
      <c r="I96" s="473"/>
      <c r="J96" s="359" t="s">
        <v>2248</v>
      </c>
      <c r="K96" s="359" t="s">
        <v>2245</v>
      </c>
      <c r="L96" s="359"/>
      <c r="M96" s="152" t="str">
        <f>IF(VLOOKUP(A96,'Aux - pivots1'!$A:$E,3,0)=0, "",VLOOKUP(A96,'Aux - pivots1'!$A:$E,3,0))</f>
        <v/>
      </c>
      <c r="N96" s="152" t="str">
        <f>IF(VLOOKUP(A96,'Aux - pivots1'!$A:$E,4,0)=0, "",VLOOKUP(A96,'Aux - pivots1'!$A:$E,4,0))</f>
        <v/>
      </c>
      <c r="O96" s="152" t="str">
        <f>IF(VLOOKUP(A96,'Aux - pivots1'!$A:$E,5,0)=0, "",VLOOKUP(A96,'Aux - pivots1'!$A:$E,5,0))</f>
        <v/>
      </c>
      <c r="P96" s="202"/>
      <c r="Q96" s="202"/>
      <c r="R96" s="203"/>
      <c r="S96" s="324"/>
      <c r="T96" s="324"/>
      <c r="U96" s="372" t="s">
        <v>2326</v>
      </c>
      <c r="V96" s="372"/>
    </row>
    <row r="97" spans="1:22" ht="16.350000000000001" hidden="1" customHeight="1">
      <c r="A97" s="29" t="str">
        <f t="shared" si="2"/>
        <v>modesg_inp_risco_fisico_zipcodecod_pais</v>
      </c>
      <c r="B97" s="141" t="s">
        <v>26</v>
      </c>
      <c r="C97" s="137" t="s">
        <v>181</v>
      </c>
      <c r="D97" s="133" t="s">
        <v>40</v>
      </c>
      <c r="E97" s="134" t="s">
        <v>2160</v>
      </c>
      <c r="F97" s="476" t="s">
        <v>279</v>
      </c>
      <c r="G97" s="135" t="str">
        <f>VLOOKUP(A97,Plano_V3!$A$26:$G$769,7,0)</f>
        <v>2.1 Em Teste</v>
      </c>
      <c r="H97" s="135" t="s">
        <v>1845</v>
      </c>
      <c r="I97" s="473"/>
      <c r="J97" s="368" t="s">
        <v>2312</v>
      </c>
      <c r="K97" s="359" t="s">
        <v>2245</v>
      </c>
      <c r="L97" s="368"/>
      <c r="M97" s="152" t="str">
        <f>IF(VLOOKUP(A97,'Aux - pivots1'!$A:$E,3,0)=0, "",VLOOKUP(A97,'Aux - pivots1'!$A:$E,3,0))</f>
        <v/>
      </c>
      <c r="N97" s="152" t="str">
        <f>IF(VLOOKUP(A97,'Aux - pivots1'!$A:$E,4,0)=0, "",VLOOKUP(A97,'Aux - pivots1'!$A:$E,4,0))</f>
        <v/>
      </c>
      <c r="O97" s="152" t="str">
        <f>IF(VLOOKUP(A97,'Aux - pivots1'!$A:$E,5,0)=0, "",VLOOKUP(A97,'Aux - pivots1'!$A:$E,5,0))</f>
        <v/>
      </c>
      <c r="P97" s="202"/>
      <c r="Q97" s="202"/>
      <c r="R97" s="372" t="s">
        <v>2319</v>
      </c>
      <c r="S97" s="372"/>
      <c r="T97" s="372"/>
      <c r="U97" s="372" t="s">
        <v>2327</v>
      </c>
      <c r="V97" s="324" t="s">
        <v>1862</v>
      </c>
    </row>
    <row r="98" spans="1:22" ht="16.350000000000001" hidden="1" customHeight="1">
      <c r="A98" s="29" t="str">
        <f t="shared" si="2"/>
        <v>modesg_inp_risco_fisico_zipcodelocalizacao</v>
      </c>
      <c r="B98" s="141" t="s">
        <v>26</v>
      </c>
      <c r="C98" s="137" t="s">
        <v>181</v>
      </c>
      <c r="D98" s="133" t="s">
        <v>40</v>
      </c>
      <c r="E98" s="134" t="s">
        <v>2160</v>
      </c>
      <c r="F98" s="476" t="s">
        <v>2161</v>
      </c>
      <c r="G98" s="135" t="str">
        <f>VLOOKUP(A98,Plano_V3!$A$26:$G$769,7,0)</f>
        <v>2.1 Em Teste</v>
      </c>
      <c r="H98" s="135" t="s">
        <v>1845</v>
      </c>
      <c r="I98" s="473"/>
      <c r="J98" s="368" t="s">
        <v>2312</v>
      </c>
      <c r="K98" s="359" t="s">
        <v>2245</v>
      </c>
      <c r="L98" s="368"/>
      <c r="M98" s="152" t="str">
        <f>IF(VLOOKUP(A98,'Aux - pivots1'!$A:$E,3,0)=0, "",VLOOKUP(A98,'Aux - pivots1'!$A:$E,3,0))</f>
        <v/>
      </c>
      <c r="N98" s="152" t="str">
        <f>IF(VLOOKUP(A98,'Aux - pivots1'!$A:$E,4,0)=0, "",VLOOKUP(A98,'Aux - pivots1'!$A:$E,4,0))</f>
        <v/>
      </c>
      <c r="O98" s="152" t="str">
        <f>IF(VLOOKUP(A98,'Aux - pivots1'!$A:$E,5,0)=0, "",VLOOKUP(A98,'Aux - pivots1'!$A:$E,5,0))</f>
        <v/>
      </c>
      <c r="P98" s="202"/>
      <c r="Q98" s="202"/>
      <c r="R98" s="372" t="s">
        <v>2319</v>
      </c>
      <c r="S98" s="372"/>
      <c r="T98" s="372"/>
      <c r="U98" s="372" t="s">
        <v>2327</v>
      </c>
      <c r="V98" s="324" t="s">
        <v>1862</v>
      </c>
    </row>
    <row r="99" spans="1:22" ht="16.350000000000001" hidden="1" customHeight="1">
      <c r="A99" s="29" t="str">
        <f t="shared" si="2"/>
        <v>modesg_inp_risco_fisico_zipcodecod_nace_esg</v>
      </c>
      <c r="B99" s="141" t="s">
        <v>26</v>
      </c>
      <c r="C99" s="137" t="s">
        <v>181</v>
      </c>
      <c r="D99" s="133" t="s">
        <v>40</v>
      </c>
      <c r="E99" s="134" t="s">
        <v>2160</v>
      </c>
      <c r="F99" s="476" t="s">
        <v>281</v>
      </c>
      <c r="G99" s="135" t="str">
        <f>VLOOKUP(A99,Plano_V3!$A$26:$G$769,7,0)</f>
        <v>2.1 Em Teste</v>
      </c>
      <c r="H99" s="135" t="s">
        <v>1845</v>
      </c>
      <c r="I99" s="473"/>
      <c r="J99" s="368" t="s">
        <v>2312</v>
      </c>
      <c r="K99" s="359" t="s">
        <v>2245</v>
      </c>
      <c r="L99" s="368"/>
      <c r="M99" s="152" t="str">
        <f>IF(VLOOKUP(A99,'Aux - pivots1'!$A:$E,3,0)=0, "",VLOOKUP(A99,'Aux - pivots1'!$A:$E,3,0))</f>
        <v/>
      </c>
      <c r="N99" s="152" t="str">
        <f>IF(VLOOKUP(A99,'Aux - pivots1'!$A:$E,4,0)=0, "",VLOOKUP(A99,'Aux - pivots1'!$A:$E,4,0))</f>
        <v/>
      </c>
      <c r="O99" s="152" t="str">
        <f>IF(VLOOKUP(A99,'Aux - pivots1'!$A:$E,5,0)=0, "",VLOOKUP(A99,'Aux - pivots1'!$A:$E,5,0))</f>
        <v/>
      </c>
      <c r="P99" s="202"/>
      <c r="Q99" s="202"/>
      <c r="R99" s="372" t="s">
        <v>2319</v>
      </c>
      <c r="S99" s="372"/>
      <c r="T99" s="372"/>
      <c r="U99" s="372" t="s">
        <v>2327</v>
      </c>
      <c r="V99" s="324" t="s">
        <v>1862</v>
      </c>
    </row>
    <row r="100" spans="1:22" ht="16.350000000000001" hidden="1" customHeight="1">
      <c r="A100" s="29" t="str">
        <f t="shared" si="2"/>
        <v>modesg_inp_risco_fisico_zipcodeflg_rsc_fsc_agd</v>
      </c>
      <c r="B100" s="141" t="s">
        <v>26</v>
      </c>
      <c r="C100" s="137" t="s">
        <v>181</v>
      </c>
      <c r="D100" s="133" t="s">
        <v>40</v>
      </c>
      <c r="E100" s="134" t="s">
        <v>2160</v>
      </c>
      <c r="F100" s="476" t="s">
        <v>282</v>
      </c>
      <c r="G100" s="135" t="str">
        <f>VLOOKUP(A100,Plano_V3!$A$26:$G$769,7,0)</f>
        <v>2.1 Em Teste</v>
      </c>
      <c r="H100" s="135" t="s">
        <v>1845</v>
      </c>
      <c r="I100" s="473"/>
      <c r="J100" s="368" t="s">
        <v>2312</v>
      </c>
      <c r="K100" s="359" t="s">
        <v>2245</v>
      </c>
      <c r="L100" s="368"/>
      <c r="M100" s="152" t="str">
        <f>IF(VLOOKUP(A100,'Aux - pivots1'!$A:$E,3,0)=0, "",VLOOKUP(A100,'Aux - pivots1'!$A:$E,3,0))</f>
        <v/>
      </c>
      <c r="N100" s="152" t="str">
        <f>IF(VLOOKUP(A100,'Aux - pivots1'!$A:$E,4,0)=0, "",VLOOKUP(A100,'Aux - pivots1'!$A:$E,4,0))</f>
        <v/>
      </c>
      <c r="O100" s="152" t="str">
        <f>IF(VLOOKUP(A100,'Aux - pivots1'!$A:$E,5,0)=0, "",VLOOKUP(A100,'Aux - pivots1'!$A:$E,5,0))</f>
        <v/>
      </c>
      <c r="P100" s="202"/>
      <c r="Q100" s="202"/>
      <c r="R100" s="372" t="s">
        <v>2319</v>
      </c>
      <c r="S100" s="372"/>
      <c r="T100" s="372"/>
      <c r="U100" s="372" t="s">
        <v>2327</v>
      </c>
      <c r="V100" s="324" t="s">
        <v>1862</v>
      </c>
    </row>
    <row r="101" spans="1:22" ht="16.350000000000001" hidden="1" customHeight="1">
      <c r="A101" s="29" t="str">
        <f t="shared" si="2"/>
        <v>modesg_inp_risco_fisico_zipcodeflg_rsc_fsc_crnc</v>
      </c>
      <c r="B101" s="141" t="s">
        <v>26</v>
      </c>
      <c r="C101" s="137" t="s">
        <v>181</v>
      </c>
      <c r="D101" s="133" t="s">
        <v>40</v>
      </c>
      <c r="E101" s="134" t="s">
        <v>2160</v>
      </c>
      <c r="F101" s="476" t="s">
        <v>283</v>
      </c>
      <c r="G101" s="135" t="str">
        <f>VLOOKUP(A101,Plano_V3!$A$26:$G$769,7,0)</f>
        <v>2.1 Em Teste</v>
      </c>
      <c r="H101" s="135" t="s">
        <v>1845</v>
      </c>
      <c r="I101" s="473"/>
      <c r="J101" s="368" t="s">
        <v>2312</v>
      </c>
      <c r="K101" s="359" t="s">
        <v>2245</v>
      </c>
      <c r="L101" s="368"/>
      <c r="M101" s="152" t="str">
        <f>IF(VLOOKUP(A101,'Aux - pivots1'!$A:$E,3,0)=0, "",VLOOKUP(A101,'Aux - pivots1'!$A:$E,3,0))</f>
        <v/>
      </c>
      <c r="N101" s="152" t="str">
        <f>IF(VLOOKUP(A101,'Aux - pivots1'!$A:$E,4,0)=0, "",VLOOKUP(A101,'Aux - pivots1'!$A:$E,4,0))</f>
        <v/>
      </c>
      <c r="O101" s="152" t="str">
        <f>IF(VLOOKUP(A101,'Aux - pivots1'!$A:$E,5,0)=0, "",VLOOKUP(A101,'Aux - pivots1'!$A:$E,5,0))</f>
        <v/>
      </c>
      <c r="P101" s="202"/>
      <c r="Q101" s="202"/>
      <c r="R101" s="372" t="s">
        <v>2319</v>
      </c>
      <c r="S101" s="372"/>
      <c r="T101" s="372"/>
      <c r="U101" s="372" t="s">
        <v>2327</v>
      </c>
      <c r="V101" s="324" t="s">
        <v>1862</v>
      </c>
    </row>
    <row r="102" spans="1:22" ht="16.350000000000001" hidden="1" customHeight="1">
      <c r="A102" s="29" t="str">
        <f t="shared" si="2"/>
        <v>modesg_out_bens_imoveisflg_rsc_fsc_agd</v>
      </c>
      <c r="B102" s="141" t="s">
        <v>26</v>
      </c>
      <c r="C102" s="137" t="s">
        <v>310</v>
      </c>
      <c r="D102" s="133" t="s">
        <v>40</v>
      </c>
      <c r="E102" s="134" t="s">
        <v>311</v>
      </c>
      <c r="F102" s="476" t="s">
        <v>282</v>
      </c>
      <c r="G102" s="135" t="str">
        <f>VLOOKUP(A102,Plano_V3!$A$26:$G$769,7,0)</f>
        <v>2.1 Em Teste</v>
      </c>
      <c r="H102" s="135" t="s">
        <v>1845</v>
      </c>
      <c r="I102" s="473"/>
      <c r="J102" s="368" t="s">
        <v>2312</v>
      </c>
      <c r="K102" s="359" t="s">
        <v>2245</v>
      </c>
      <c r="L102" s="368"/>
      <c r="M102" s="152" t="str">
        <f>IF(VLOOKUP(A93,'Aux - pivots1'!$A:$E,3,0)=0, "",VLOOKUP(A93,'Aux - pivots1'!$A:$E,3,0))</f>
        <v/>
      </c>
      <c r="N102" s="152" t="str">
        <f>IF(VLOOKUP(A93,'Aux - pivots1'!$A:$E,4,0)=0, "",VLOOKUP(A93,'Aux - pivots1'!$A:$E,4,0))</f>
        <v/>
      </c>
      <c r="O102" s="152" t="str">
        <f>IF(VLOOKUP(A93,'Aux - pivots1'!$A:$E,5,0)=0, "",VLOOKUP(A93,'Aux - pivots1'!$A:$E,5,0))</f>
        <v/>
      </c>
      <c r="P102" s="202"/>
      <c r="Q102" s="202"/>
      <c r="R102" s="372" t="s">
        <v>2319</v>
      </c>
      <c r="S102" s="324"/>
      <c r="T102" s="324"/>
      <c r="U102" s="372" t="s">
        <v>2326</v>
      </c>
      <c r="V102" s="324" t="s">
        <v>1862</v>
      </c>
    </row>
    <row r="103" spans="1:22" ht="16.350000000000001" hidden="1" customHeight="1">
      <c r="A103" s="29" t="str">
        <f t="shared" si="2"/>
        <v>modesg_out_bens_imoveisflg_rsc_fsc_crnc</v>
      </c>
      <c r="B103" s="141" t="s">
        <v>26</v>
      </c>
      <c r="C103" s="137" t="s">
        <v>310</v>
      </c>
      <c r="D103" s="133" t="s">
        <v>40</v>
      </c>
      <c r="E103" s="134" t="s">
        <v>311</v>
      </c>
      <c r="F103" s="476" t="s">
        <v>283</v>
      </c>
      <c r="G103" s="135" t="str">
        <f>VLOOKUP(A103,Plano_V3!$A$26:$G$769,7,0)</f>
        <v>2.1 Em Teste</v>
      </c>
      <c r="H103" s="135" t="s">
        <v>1845</v>
      </c>
      <c r="I103" s="473"/>
      <c r="J103" s="368" t="s">
        <v>2312</v>
      </c>
      <c r="K103" s="359" t="s">
        <v>2245</v>
      </c>
      <c r="L103" s="368"/>
      <c r="M103" s="152" t="str">
        <f>IF(VLOOKUP(A94,'Aux - pivots1'!$A:$E,3,0)=0, "",VLOOKUP(A94,'Aux - pivots1'!$A:$E,3,0))</f>
        <v/>
      </c>
      <c r="N103" s="152" t="str">
        <f>IF(VLOOKUP(A94,'Aux - pivots1'!$A:$E,4,0)=0, "",VLOOKUP(A94,'Aux - pivots1'!$A:$E,4,0))</f>
        <v/>
      </c>
      <c r="O103" s="152" t="str">
        <f>IF(VLOOKUP(A94,'Aux - pivots1'!$A:$E,5,0)=0, "",VLOOKUP(A94,'Aux - pivots1'!$A:$E,5,0))</f>
        <v/>
      </c>
      <c r="P103" s="202"/>
      <c r="Q103" s="202"/>
      <c r="R103" s="372" t="s">
        <v>2319</v>
      </c>
      <c r="S103" s="324"/>
      <c r="T103" s="324"/>
      <c r="U103" s="372" t="s">
        <v>2326</v>
      </c>
      <c r="V103" s="324" t="s">
        <v>1862</v>
      </c>
    </row>
    <row r="104" spans="1:22" ht="16.350000000000001" hidden="1" customHeight="1">
      <c r="A104" s="29" t="str">
        <f t="shared" si="2"/>
        <v>modesg_out_bens_imoveisorigem_flg_rsc_fsc_agd</v>
      </c>
      <c r="B104" s="141" t="s">
        <v>26</v>
      </c>
      <c r="C104" s="137" t="s">
        <v>310</v>
      </c>
      <c r="D104" s="133" t="s">
        <v>40</v>
      </c>
      <c r="E104" s="134" t="s">
        <v>311</v>
      </c>
      <c r="F104" s="476" t="s">
        <v>317</v>
      </c>
      <c r="G104" s="135" t="str">
        <f>VLOOKUP(A104,Plano_V3!$A$26:$G$769,7,0)</f>
        <v>2.1 Em Teste</v>
      </c>
      <c r="H104" s="135" t="s">
        <v>1845</v>
      </c>
      <c r="I104" s="473"/>
      <c r="J104" s="368" t="s">
        <v>2312</v>
      </c>
      <c r="K104" s="359" t="s">
        <v>2245</v>
      </c>
      <c r="L104" s="368"/>
      <c r="M104" s="152" t="str">
        <f>IF(VLOOKUP(A95,'Aux - pivots1'!$A:$E,3,0)=0, "",VLOOKUP(A95,'Aux - pivots1'!$A:$E,3,0))</f>
        <v/>
      </c>
      <c r="N104" s="152" t="str">
        <f>IF(VLOOKUP(A95,'Aux - pivots1'!$A:$E,4,0)=0, "",VLOOKUP(A95,'Aux - pivots1'!$A:$E,4,0))</f>
        <v/>
      </c>
      <c r="O104" s="152" t="str">
        <f>IF(VLOOKUP(A95,'Aux - pivots1'!$A:$E,5,0)=0, "",VLOOKUP(A95,'Aux - pivots1'!$A:$E,5,0))</f>
        <v/>
      </c>
      <c r="P104" s="202"/>
      <c r="Q104" s="202"/>
      <c r="R104" s="372" t="s">
        <v>2319</v>
      </c>
      <c r="S104" s="324"/>
      <c r="T104" s="324"/>
      <c r="U104" s="372" t="s">
        <v>2326</v>
      </c>
      <c r="V104" s="324"/>
    </row>
    <row r="105" spans="1:22" ht="16.350000000000001" hidden="1" customHeight="1">
      <c r="A105" s="29" t="str">
        <f t="shared" si="2"/>
        <v>modesg_out_bens_imoveisorigem_flg_rsc_fsc_crnc</v>
      </c>
      <c r="B105" s="141" t="s">
        <v>26</v>
      </c>
      <c r="C105" s="137" t="s">
        <v>310</v>
      </c>
      <c r="D105" s="133" t="s">
        <v>40</v>
      </c>
      <c r="E105" s="134" t="s">
        <v>311</v>
      </c>
      <c r="F105" s="476" t="s">
        <v>318</v>
      </c>
      <c r="G105" s="135" t="str">
        <f>VLOOKUP(A105,Plano_V3!$A$26:$G$769,7,0)</f>
        <v>2.1 Em Teste</v>
      </c>
      <c r="H105" s="135" t="s">
        <v>1845</v>
      </c>
      <c r="I105" s="473"/>
      <c r="J105" s="368" t="s">
        <v>2312</v>
      </c>
      <c r="K105" s="359" t="s">
        <v>2245</v>
      </c>
      <c r="L105" s="368"/>
      <c r="M105" s="152" t="str">
        <f>IF(VLOOKUP(A96,'Aux - pivots1'!$A:$E,3,0)=0, "",VLOOKUP(A96,'Aux - pivots1'!$A:$E,3,0))</f>
        <v/>
      </c>
      <c r="N105" s="152" t="str">
        <f>IF(VLOOKUP(A96,'Aux - pivots1'!$A:$E,4,0)=0, "",VLOOKUP(A96,'Aux - pivots1'!$A:$E,4,0))</f>
        <v/>
      </c>
      <c r="O105" s="152" t="str">
        <f>IF(VLOOKUP(A96,'Aux - pivots1'!$A:$E,5,0)=0, "",VLOOKUP(A96,'Aux - pivots1'!$A:$E,5,0))</f>
        <v/>
      </c>
      <c r="P105" s="202"/>
      <c r="Q105" s="202"/>
      <c r="R105" s="372" t="s">
        <v>2319</v>
      </c>
      <c r="S105" s="324"/>
      <c r="T105" s="324"/>
      <c r="U105" s="372" t="s">
        <v>2326</v>
      </c>
      <c r="V105" s="324"/>
    </row>
    <row r="106" spans="1:22" ht="16.350000000000001" hidden="1" customHeight="1">
      <c r="A106" s="29" t="str">
        <f t="shared" si="2"/>
        <v>modesg_out_empr_info_nfinorigem_scp1_emss</v>
      </c>
      <c r="B106" s="141" t="s">
        <v>26</v>
      </c>
      <c r="C106" s="137" t="s">
        <v>310</v>
      </c>
      <c r="D106" s="133" t="s">
        <v>40</v>
      </c>
      <c r="E106" s="134" t="s">
        <v>325</v>
      </c>
      <c r="F106" s="476" t="s">
        <v>319</v>
      </c>
      <c r="G106" s="135" t="str">
        <f>VLOOKUP(A106,Plano_V3!$A$26:$G$769,7,0)</f>
        <v>2.1 Em Teste</v>
      </c>
      <c r="H106" s="135" t="s">
        <v>1845</v>
      </c>
      <c r="I106" s="473"/>
      <c r="J106" s="153"/>
      <c r="K106" s="359" t="s">
        <v>2245</v>
      </c>
      <c r="L106" s="153"/>
      <c r="M106" s="152" t="str">
        <f>IF(VLOOKUP(A97,'Aux - pivots1'!$A:$E,3,0)=0, "",VLOOKUP(A97,'Aux - pivots1'!$A:$E,3,0))</f>
        <v/>
      </c>
      <c r="N106" s="152" t="str">
        <f>IF(VLOOKUP(A97,'Aux - pivots1'!$A:$E,4,0)=0, "",VLOOKUP(A97,'Aux - pivots1'!$A:$E,4,0))</f>
        <v/>
      </c>
      <c r="O106" s="152" t="str">
        <f>IF(VLOOKUP(A97,'Aux - pivots1'!$A:$E,5,0)=0, "",VLOOKUP(A97,'Aux - pivots1'!$A:$E,5,0))</f>
        <v/>
      </c>
      <c r="P106" s="202"/>
      <c r="Q106" s="202"/>
      <c r="R106" s="203"/>
      <c r="S106" s="324"/>
      <c r="T106" s="324"/>
      <c r="U106" s="372" t="s">
        <v>2326</v>
      </c>
      <c r="V106" s="324" t="s">
        <v>1862</v>
      </c>
    </row>
    <row r="107" spans="1:22" ht="16.350000000000001" hidden="1" customHeight="1">
      <c r="A107" s="29" t="str">
        <f t="shared" si="2"/>
        <v>modesg_out_empr_info_nfinorigem_scp2_emss</v>
      </c>
      <c r="B107" s="141" t="s">
        <v>26</v>
      </c>
      <c r="C107" s="137" t="s">
        <v>310</v>
      </c>
      <c r="D107" s="133" t="s">
        <v>40</v>
      </c>
      <c r="E107" s="134" t="s">
        <v>325</v>
      </c>
      <c r="F107" s="476" t="s">
        <v>320</v>
      </c>
      <c r="G107" s="135" t="str">
        <f>VLOOKUP(A107,Plano_V3!$A$26:$G$769,7,0)</f>
        <v>2.1 Em Teste</v>
      </c>
      <c r="H107" s="135" t="s">
        <v>1845</v>
      </c>
      <c r="I107" s="473"/>
      <c r="J107" s="153"/>
      <c r="K107" s="359" t="s">
        <v>2245</v>
      </c>
      <c r="L107" s="153"/>
      <c r="M107" s="152" t="str">
        <f>IF(VLOOKUP(A98,'Aux - pivots1'!$A:$E,3,0)=0, "",VLOOKUP(A98,'Aux - pivots1'!$A:$E,3,0))</f>
        <v/>
      </c>
      <c r="N107" s="152" t="str">
        <f>IF(VLOOKUP(A98,'Aux - pivots1'!$A:$E,4,0)=0, "",VLOOKUP(A98,'Aux - pivots1'!$A:$E,4,0))</f>
        <v/>
      </c>
      <c r="O107" s="152" t="str">
        <f>IF(VLOOKUP(A98,'Aux - pivots1'!$A:$E,5,0)=0, "",VLOOKUP(A98,'Aux - pivots1'!$A:$E,5,0))</f>
        <v/>
      </c>
      <c r="P107" s="202"/>
      <c r="Q107" s="202"/>
      <c r="R107" s="203"/>
      <c r="S107" s="324"/>
      <c r="T107" s="324"/>
      <c r="U107" s="372" t="s">
        <v>2326</v>
      </c>
      <c r="V107" s="324" t="s">
        <v>1862</v>
      </c>
    </row>
    <row r="108" spans="1:22" ht="16.350000000000001" hidden="1" customHeight="1">
      <c r="A108" s="29" t="str">
        <f t="shared" si="2"/>
        <v>modesg_out_empr_info_nfinorigem_scp3_emss</v>
      </c>
      <c r="B108" s="141" t="s">
        <v>26</v>
      </c>
      <c r="C108" s="137" t="s">
        <v>310</v>
      </c>
      <c r="D108" s="133" t="s">
        <v>40</v>
      </c>
      <c r="E108" s="134" t="s">
        <v>325</v>
      </c>
      <c r="F108" s="476" t="s">
        <v>321</v>
      </c>
      <c r="G108" s="135" t="str">
        <f>VLOOKUP(A108,Plano_V3!$A$26:$G$769,7,0)</f>
        <v>2.1 Em Teste</v>
      </c>
      <c r="H108" s="135" t="s">
        <v>1845</v>
      </c>
      <c r="I108" s="473"/>
      <c r="J108" s="153"/>
      <c r="K108" s="359" t="s">
        <v>2245</v>
      </c>
      <c r="L108" s="153"/>
      <c r="M108" s="152" t="str">
        <f>IF(VLOOKUP(A99,'Aux - pivots1'!$A:$E,3,0)=0, "",VLOOKUP(A99,'Aux - pivots1'!$A:$E,3,0))</f>
        <v/>
      </c>
      <c r="N108" s="152" t="str">
        <f>IF(VLOOKUP(A99,'Aux - pivots1'!$A:$E,4,0)=0, "",VLOOKUP(A99,'Aux - pivots1'!$A:$E,4,0))</f>
        <v/>
      </c>
      <c r="O108" s="152" t="str">
        <f>IF(VLOOKUP(A99,'Aux - pivots1'!$A:$E,5,0)=0, "",VLOOKUP(A99,'Aux - pivots1'!$A:$E,5,0))</f>
        <v/>
      </c>
      <c r="P108" s="202"/>
      <c r="Q108" s="202"/>
      <c r="R108" s="203"/>
      <c r="S108" s="324"/>
      <c r="T108" s="324"/>
      <c r="U108" s="372" t="s">
        <v>2326</v>
      </c>
      <c r="V108" s="324" t="s">
        <v>1862</v>
      </c>
    </row>
    <row r="109" spans="1:22" ht="16.350000000000001" hidden="1" customHeight="1">
      <c r="A109" s="29" t="str">
        <f t="shared" si="2"/>
        <v>modesg_out_empr_info_nfinscp1_emss</v>
      </c>
      <c r="B109" s="141" t="s">
        <v>26</v>
      </c>
      <c r="C109" s="137" t="s">
        <v>310</v>
      </c>
      <c r="D109" s="133" t="s">
        <v>40</v>
      </c>
      <c r="E109" s="134" t="s">
        <v>325</v>
      </c>
      <c r="F109" s="476" t="s">
        <v>285</v>
      </c>
      <c r="G109" s="135" t="str">
        <f>VLOOKUP(A109,Plano_V3!$A$26:$G$769,7,0)</f>
        <v>2.1 Em Teste</v>
      </c>
      <c r="H109" s="135" t="s">
        <v>1845</v>
      </c>
      <c r="I109" s="473"/>
      <c r="J109" s="153"/>
      <c r="K109" s="359" t="s">
        <v>2245</v>
      </c>
      <c r="L109" s="153"/>
      <c r="M109" s="152" t="str">
        <f>IF(VLOOKUP(A100,'Aux - pivots1'!$A:$E,3,0)=0, "",VLOOKUP(A100,'Aux - pivots1'!$A:$E,3,0))</f>
        <v/>
      </c>
      <c r="N109" s="152" t="str">
        <f>IF(VLOOKUP(A100,'Aux - pivots1'!$A:$E,4,0)=0, "",VLOOKUP(A100,'Aux - pivots1'!$A:$E,4,0))</f>
        <v/>
      </c>
      <c r="O109" s="152" t="str">
        <f>IF(VLOOKUP(A100,'Aux - pivots1'!$A:$E,5,0)=0, "",VLOOKUP(A100,'Aux - pivots1'!$A:$E,5,0))</f>
        <v/>
      </c>
      <c r="P109" s="202"/>
      <c r="Q109" s="202"/>
      <c r="R109" s="203"/>
      <c r="S109" s="324"/>
      <c r="T109" s="324"/>
      <c r="U109" s="372" t="s">
        <v>2326</v>
      </c>
      <c r="V109" s="324" t="s">
        <v>1862</v>
      </c>
    </row>
    <row r="110" spans="1:22" ht="16.350000000000001" hidden="1" customHeight="1">
      <c r="A110" s="29" t="str">
        <f t="shared" si="2"/>
        <v>modesg_out_empr_info_nfinscp2_emss</v>
      </c>
      <c r="B110" s="141" t="s">
        <v>26</v>
      </c>
      <c r="C110" s="137" t="s">
        <v>310</v>
      </c>
      <c r="D110" s="133" t="s">
        <v>40</v>
      </c>
      <c r="E110" s="134" t="s">
        <v>325</v>
      </c>
      <c r="F110" s="476" t="s">
        <v>286</v>
      </c>
      <c r="G110" s="135" t="str">
        <f>VLOOKUP(A110,Plano_V3!$A$26:$G$769,7,0)</f>
        <v>2.1 Em Teste</v>
      </c>
      <c r="H110" s="135" t="s">
        <v>1845</v>
      </c>
      <c r="I110" s="473"/>
      <c r="J110" s="153"/>
      <c r="K110" s="359" t="s">
        <v>2245</v>
      </c>
      <c r="L110" s="153"/>
      <c r="M110" s="152" t="str">
        <f>IF(VLOOKUP(A101,'Aux - pivots1'!$A:$E,3,0)=0, "",VLOOKUP(A101,'Aux - pivots1'!$A:$E,3,0))</f>
        <v/>
      </c>
      <c r="N110" s="152" t="str">
        <f>IF(VLOOKUP(A101,'Aux - pivots1'!$A:$E,4,0)=0, "",VLOOKUP(A101,'Aux - pivots1'!$A:$E,4,0))</f>
        <v/>
      </c>
      <c r="O110" s="152" t="str">
        <f>IF(VLOOKUP(A101,'Aux - pivots1'!$A:$E,5,0)=0, "",VLOOKUP(A101,'Aux - pivots1'!$A:$E,5,0))</f>
        <v/>
      </c>
      <c r="P110" s="202"/>
      <c r="Q110" s="202"/>
      <c r="R110" s="203"/>
      <c r="S110" s="324"/>
      <c r="T110" s="324"/>
      <c r="U110" s="372" t="s">
        <v>2326</v>
      </c>
      <c r="V110" s="324" t="s">
        <v>1862</v>
      </c>
    </row>
    <row r="111" spans="1:22" ht="16.350000000000001" hidden="1" customHeight="1">
      <c r="A111" s="29" t="str">
        <f t="shared" si="2"/>
        <v>modesg_out_empr_info_nfinscp3_emss</v>
      </c>
      <c r="B111" s="141" t="s">
        <v>26</v>
      </c>
      <c r="C111" s="137" t="s">
        <v>310</v>
      </c>
      <c r="D111" s="133" t="s">
        <v>40</v>
      </c>
      <c r="E111" s="134" t="s">
        <v>325</v>
      </c>
      <c r="F111" s="476" t="s">
        <v>287</v>
      </c>
      <c r="G111" s="135" t="str">
        <f>VLOOKUP(A111,Plano_V3!$A$26:$G$769,7,0)</f>
        <v>2.1 Em Teste</v>
      </c>
      <c r="H111" s="135" t="s">
        <v>1845</v>
      </c>
      <c r="I111" s="473"/>
      <c r="J111" s="153"/>
      <c r="K111" s="359" t="s">
        <v>2245</v>
      </c>
      <c r="L111" s="153"/>
      <c r="M111" s="152" t="str">
        <f>IF(VLOOKUP(A101,'Aux - pivots1'!$A:$E,3,0)=0, "",VLOOKUP(A101,'Aux - pivots1'!$A:$E,3,0))</f>
        <v/>
      </c>
      <c r="N111" s="152" t="str">
        <f>IF(VLOOKUP(A101,'Aux - pivots1'!$A:$E,4,0)=0, "",VLOOKUP(A101,'Aux - pivots1'!$A:$E,4,0))</f>
        <v/>
      </c>
      <c r="O111" s="152" t="str">
        <f>IF(VLOOKUP(A101,'Aux - pivots1'!$A:$E,5,0)=0, "",VLOOKUP(A101,'Aux - pivots1'!$A:$E,5,0))</f>
        <v/>
      </c>
      <c r="P111" s="202"/>
      <c r="Q111" s="202"/>
      <c r="R111" s="203"/>
      <c r="S111" s="324"/>
      <c r="T111" s="324"/>
      <c r="U111" s="372" t="s">
        <v>2326</v>
      </c>
      <c r="V111" s="324" t="s">
        <v>1862</v>
      </c>
    </row>
    <row r="112" spans="1:22" ht="16.350000000000001" hidden="1" customHeight="1">
      <c r="A112" s="29" t="str">
        <f t="shared" si="2"/>
        <v>modesg_out_empr_info_nfindivida_total</v>
      </c>
      <c r="B112" s="141" t="s">
        <v>26</v>
      </c>
      <c r="C112" s="137" t="s">
        <v>310</v>
      </c>
      <c r="D112" s="133" t="s">
        <v>40</v>
      </c>
      <c r="E112" s="134" t="s">
        <v>325</v>
      </c>
      <c r="F112" s="476" t="s">
        <v>295</v>
      </c>
      <c r="G112" s="135" t="str">
        <f>VLOOKUP(A112,Plano_V3!$A$26:$G$769,7,0)</f>
        <v>2.1 Em Teste</v>
      </c>
      <c r="H112" s="135" t="s">
        <v>1845</v>
      </c>
      <c r="I112" s="473"/>
      <c r="J112" s="153"/>
      <c r="K112" s="359" t="s">
        <v>2245</v>
      </c>
      <c r="L112" s="153"/>
      <c r="M112" s="152" t="str">
        <f>IF(VLOOKUP(A101,'Aux - pivots1'!$A:$E,3,0)=0, "",VLOOKUP(A101,'Aux - pivots1'!$A:$E,3,0))</f>
        <v/>
      </c>
      <c r="N112" s="152" t="str">
        <f>IF(VLOOKUP(A101,'Aux - pivots1'!$A:$E,4,0)=0, "",VLOOKUP(A101,'Aux - pivots1'!$A:$E,4,0))</f>
        <v/>
      </c>
      <c r="O112" s="152" t="str">
        <f>IF(VLOOKUP(A101,'Aux - pivots1'!$A:$E,5,0)=0, "",VLOOKUP(A101,'Aux - pivots1'!$A:$E,5,0))</f>
        <v/>
      </c>
      <c r="P112" s="202"/>
      <c r="Q112" s="202"/>
      <c r="R112" s="203"/>
      <c r="S112" s="324"/>
      <c r="T112" s="324"/>
      <c r="U112" s="372" t="s">
        <v>2326</v>
      </c>
      <c r="V112" s="324" t="s">
        <v>1862</v>
      </c>
    </row>
    <row r="113" spans="1:22" ht="16.350000000000001" hidden="1" customHeight="1">
      <c r="A113" s="29" t="str">
        <f t="shared" si="2"/>
        <v>modesg_out_empr_info_nfincapital_proprio</v>
      </c>
      <c r="B113" s="141" t="s">
        <v>26</v>
      </c>
      <c r="C113" s="137" t="s">
        <v>310</v>
      </c>
      <c r="D113" s="133" t="s">
        <v>40</v>
      </c>
      <c r="E113" s="134" t="s">
        <v>325</v>
      </c>
      <c r="F113" s="476" t="s">
        <v>296</v>
      </c>
      <c r="G113" s="135" t="str">
        <f>VLOOKUP(A113,Plano_V3!$A$26:$G$769,7,0)</f>
        <v>2.1 Em Teste</v>
      </c>
      <c r="H113" s="135" t="s">
        <v>1845</v>
      </c>
      <c r="I113" s="473"/>
      <c r="J113" s="153"/>
      <c r="K113" s="359" t="s">
        <v>2245</v>
      </c>
      <c r="L113" s="153"/>
      <c r="M113" s="152" t="str">
        <f>IF(VLOOKUP(A102,'Aux - pivots1'!$A:$E,3,0)=0, "",VLOOKUP(A102,'Aux - pivots1'!$A:$E,3,0))</f>
        <v/>
      </c>
      <c r="N113" s="152" t="str">
        <f>IF(VLOOKUP(A102,'Aux - pivots1'!$A:$E,4,0)=0, "",VLOOKUP(A102,'Aux - pivots1'!$A:$E,4,0))</f>
        <v/>
      </c>
      <c r="O113" s="152" t="str">
        <f>IF(VLOOKUP(A102,'Aux - pivots1'!$A:$E,5,0)=0, "",VLOOKUP(A102,'Aux - pivots1'!$A:$E,5,0))</f>
        <v/>
      </c>
      <c r="P113" s="202"/>
      <c r="Q113" s="202"/>
      <c r="R113" s="203"/>
      <c r="S113" s="324"/>
      <c r="T113" s="324"/>
      <c r="U113" s="372" t="s">
        <v>2326</v>
      </c>
      <c r="V113" s="324" t="s">
        <v>1862</v>
      </c>
    </row>
    <row r="114" spans="1:22" ht="16.350000000000001" hidden="1" customHeight="1">
      <c r="A114" s="29" t="str">
        <f t="shared" si="2"/>
        <v>lt004_protectionflg_act_physcl_rsk</v>
      </c>
      <c r="B114" s="141" t="s">
        <v>26</v>
      </c>
      <c r="C114" s="137" t="s">
        <v>26</v>
      </c>
      <c r="D114" s="133" t="s">
        <v>40</v>
      </c>
      <c r="E114" s="136" t="s">
        <v>368</v>
      </c>
      <c r="F114" s="480" t="s">
        <v>357</v>
      </c>
      <c r="G114" s="489" t="str">
        <f>VLOOKUP(A114,Plano_V3!$A$26:$G$769,7,0)</f>
        <v>2.1 Em Teste</v>
      </c>
      <c r="H114" s="135" t="s">
        <v>1845</v>
      </c>
      <c r="I114" s="473"/>
      <c r="J114" s="142"/>
      <c r="K114" s="142" t="s">
        <v>2245</v>
      </c>
      <c r="L114" s="142"/>
      <c r="M114" s="152" t="str">
        <f>IF(VLOOKUP(A105,'Aux - pivots1'!$A:$E,3,0)=0, "",VLOOKUP(A105,'Aux - pivots1'!$A:$E,3,0))</f>
        <v/>
      </c>
      <c r="N114" s="152" t="str">
        <f>IF(VLOOKUP(A105,'Aux - pivots1'!$A:$E,4,0)=0, "",VLOOKUP(A105,'Aux - pivots1'!$A:$E,4,0))</f>
        <v/>
      </c>
      <c r="O114" s="152" t="str">
        <f>IF(VLOOKUP(A105,'Aux - pivots1'!$A:$E,5,0)=0, "",VLOOKUP(A105,'Aux - pivots1'!$A:$E,5,0))</f>
        <v/>
      </c>
      <c r="P114" s="202"/>
      <c r="Q114" s="202"/>
      <c r="R114" s="203"/>
      <c r="S114" s="324"/>
      <c r="T114" s="324"/>
      <c r="U114" s="372" t="s">
        <v>2326</v>
      </c>
      <c r="V114" s="324"/>
    </row>
    <row r="115" spans="1:22" ht="16.350000000000001" hidden="1" customHeight="1">
      <c r="A115" s="29" t="str">
        <f t="shared" si="2"/>
        <v>lt004_protectionflg_chrnc_physcl_rsk</v>
      </c>
      <c r="B115" s="141" t="s">
        <v>26</v>
      </c>
      <c r="C115" s="137" t="s">
        <v>26</v>
      </c>
      <c r="D115" s="133" t="s">
        <v>40</v>
      </c>
      <c r="E115" s="136" t="s">
        <v>368</v>
      </c>
      <c r="F115" s="480" t="s">
        <v>358</v>
      </c>
      <c r="G115" s="489" t="str">
        <f>VLOOKUP(A115,Plano_V3!$A$26:$G$769,7,0)</f>
        <v>2.1 Em Teste</v>
      </c>
      <c r="H115" s="135" t="s">
        <v>1845</v>
      </c>
      <c r="I115" s="473"/>
      <c r="J115" s="142"/>
      <c r="K115" s="142" t="s">
        <v>2245</v>
      </c>
      <c r="L115" s="142"/>
      <c r="M115" s="152" t="str">
        <f>IF(VLOOKUP(A106,'Aux - pivots1'!$A:$E,3,0)=0, "",VLOOKUP(A106,'Aux - pivots1'!$A:$E,3,0))</f>
        <v/>
      </c>
      <c r="N115" s="152" t="str">
        <f>IF(VLOOKUP(A106,'Aux - pivots1'!$A:$E,4,0)=0, "",VLOOKUP(A106,'Aux - pivots1'!$A:$E,4,0))</f>
        <v/>
      </c>
      <c r="O115" s="152" t="str">
        <f>IF(VLOOKUP(A106,'Aux - pivots1'!$A:$E,5,0)=0, "",VLOOKUP(A106,'Aux - pivots1'!$A:$E,5,0))</f>
        <v/>
      </c>
      <c r="P115" s="202"/>
      <c r="Q115" s="202"/>
      <c r="R115" s="203"/>
      <c r="S115" s="324"/>
      <c r="T115" s="324"/>
      <c r="U115" s="372" t="s">
        <v>2326</v>
      </c>
      <c r="V115" s="324"/>
    </row>
    <row r="116" spans="1:22" ht="16.350000000000001" hidden="1" customHeight="1">
      <c r="A116" s="29" t="str">
        <f t="shared" si="2"/>
        <v>modesg_out_empr_info_nfincod_nace_esg</v>
      </c>
      <c r="B116" s="141" t="s">
        <v>26</v>
      </c>
      <c r="C116" s="137" t="s">
        <v>310</v>
      </c>
      <c r="D116" s="133" t="s">
        <v>40</v>
      </c>
      <c r="E116" s="134" t="s">
        <v>325</v>
      </c>
      <c r="F116" s="479" t="s">
        <v>281</v>
      </c>
      <c r="G116" s="210" t="str">
        <f>VLOOKUP(A116,Plano_V3!$A$26:$G$769,7,0)</f>
        <v xml:space="preserve">6. Em implementação </v>
      </c>
      <c r="H116" s="135" t="s">
        <v>2325</v>
      </c>
      <c r="I116" s="473"/>
      <c r="J116" s="368" t="s">
        <v>2248</v>
      </c>
      <c r="K116" s="359" t="s">
        <v>2246</v>
      </c>
      <c r="L116" s="368"/>
      <c r="M116" s="152" t="str">
        <f>IF(VLOOKUP(A87,'Aux - pivots1'!$A:$E,3,0)=0, "",VLOOKUP(A87,'Aux - pivots1'!$A:$E,3,0))</f>
        <v/>
      </c>
      <c r="N116" s="152" t="str">
        <f>IF(VLOOKUP(A87,'Aux - pivots1'!$A:$E,4,0)=0, "",VLOOKUP(A87,'Aux - pivots1'!$A:$E,4,0))</f>
        <v/>
      </c>
      <c r="O116" s="152" t="str">
        <f>IF(VLOOKUP(A87,'Aux - pivots1'!$A:$E,5,0)=0, "",VLOOKUP(A87,'Aux - pivots1'!$A:$E,5,0))</f>
        <v/>
      </c>
      <c r="P116" s="202"/>
      <c r="Q116" s="202"/>
      <c r="R116" s="203"/>
      <c r="S116" s="324"/>
      <c r="T116" s="324"/>
      <c r="U116" s="372" t="s">
        <v>2326</v>
      </c>
      <c r="V116" s="324" t="s">
        <v>1861</v>
      </c>
    </row>
    <row r="117" spans="1:22" ht="16.350000000000001" hidden="1" customHeight="1">
      <c r="A117" s="29" t="str">
        <f t="shared" si="2"/>
        <v>modesg_out_empr_info_nfinflg_rsc_fsc_agd</v>
      </c>
      <c r="B117" s="141" t="s">
        <v>26</v>
      </c>
      <c r="C117" s="137" t="s">
        <v>310</v>
      </c>
      <c r="D117" s="133" t="s">
        <v>40</v>
      </c>
      <c r="E117" s="134" t="s">
        <v>325</v>
      </c>
      <c r="F117" s="476" t="s">
        <v>282</v>
      </c>
      <c r="G117" s="135" t="str">
        <f>VLOOKUP(A117,Plano_V3!$A$26:$G$769,7,0)</f>
        <v xml:space="preserve">6. Em implementação </v>
      </c>
      <c r="H117" s="135" t="s">
        <v>2325</v>
      </c>
      <c r="I117" s="473"/>
      <c r="J117" s="368" t="s">
        <v>2312</v>
      </c>
      <c r="K117" s="359" t="s">
        <v>2246</v>
      </c>
      <c r="L117" s="368"/>
      <c r="M117" s="152" t="str">
        <f>IF(VLOOKUP(A88,'Aux - pivots1'!$A:$E,3,0)=0, "",VLOOKUP(A88,'Aux - pivots1'!$A:$E,3,0))</f>
        <v/>
      </c>
      <c r="N117" s="152" t="str">
        <f>IF(VLOOKUP(A88,'Aux - pivots1'!$A:$E,4,0)=0, "",VLOOKUP(A88,'Aux - pivots1'!$A:$E,4,0))</f>
        <v/>
      </c>
      <c r="O117" s="152" t="str">
        <f>IF(VLOOKUP(A88,'Aux - pivots1'!$A:$E,5,0)=0, "",VLOOKUP(A88,'Aux - pivots1'!$A:$E,5,0))</f>
        <v/>
      </c>
      <c r="P117" s="202"/>
      <c r="Q117" s="202"/>
      <c r="R117" s="372" t="s">
        <v>2319</v>
      </c>
      <c r="S117" s="324"/>
      <c r="T117" s="324"/>
      <c r="U117" s="372" t="s">
        <v>2368</v>
      </c>
      <c r="V117" s="324" t="s">
        <v>1862</v>
      </c>
    </row>
    <row r="118" spans="1:22" ht="16.350000000000001" hidden="1" customHeight="1">
      <c r="A118" s="29" t="str">
        <f t="shared" si="2"/>
        <v>modesg_out_empr_info_nfinflg_rsc_fsc_crnc</v>
      </c>
      <c r="B118" s="141" t="s">
        <v>26</v>
      </c>
      <c r="C118" s="137" t="s">
        <v>310</v>
      </c>
      <c r="D118" s="133" t="s">
        <v>40</v>
      </c>
      <c r="E118" s="134" t="s">
        <v>325</v>
      </c>
      <c r="F118" s="476" t="s">
        <v>283</v>
      </c>
      <c r="G118" s="135" t="str">
        <f>VLOOKUP(A118,Plano_V3!$A$26:$G$769,7,0)</f>
        <v xml:space="preserve">6. Em implementação </v>
      </c>
      <c r="H118" s="135" t="s">
        <v>2325</v>
      </c>
      <c r="I118" s="473"/>
      <c r="J118" s="368" t="s">
        <v>2312</v>
      </c>
      <c r="K118" s="359" t="s">
        <v>2246</v>
      </c>
      <c r="L118" s="368"/>
      <c r="M118" s="152" t="str">
        <f>IF(VLOOKUP(A89,'Aux - pivots1'!$A:$E,3,0)=0, "",VLOOKUP(A89,'Aux - pivots1'!$A:$E,3,0))</f>
        <v/>
      </c>
      <c r="N118" s="152" t="str">
        <f>IF(VLOOKUP(A89,'Aux - pivots1'!$A:$E,4,0)=0, "",VLOOKUP(A89,'Aux - pivots1'!$A:$E,4,0))</f>
        <v/>
      </c>
      <c r="O118" s="152" t="str">
        <f>IF(VLOOKUP(A89,'Aux - pivots1'!$A:$E,5,0)=0, "",VLOOKUP(A89,'Aux - pivots1'!$A:$E,5,0))</f>
        <v/>
      </c>
      <c r="P118" s="202"/>
      <c r="Q118" s="202"/>
      <c r="R118" s="372" t="s">
        <v>2319</v>
      </c>
      <c r="S118" s="324"/>
      <c r="T118" s="324"/>
      <c r="U118" s="372" t="s">
        <v>2368</v>
      </c>
      <c r="V118" s="324" t="s">
        <v>1862</v>
      </c>
    </row>
    <row r="119" spans="1:22" ht="16.350000000000001" hidden="1" customHeight="1">
      <c r="A119" s="29" t="str">
        <f t="shared" si="2"/>
        <v>modesg_out_empr_info_nfinorigem_flg_rsc_fsc_agd</v>
      </c>
      <c r="B119" s="141" t="s">
        <v>26</v>
      </c>
      <c r="C119" s="137" t="s">
        <v>310</v>
      </c>
      <c r="D119" s="133" t="s">
        <v>40</v>
      </c>
      <c r="E119" s="134" t="s">
        <v>325</v>
      </c>
      <c r="F119" s="476" t="s">
        <v>317</v>
      </c>
      <c r="G119" s="135" t="str">
        <f>VLOOKUP(A119,Plano_V3!$A$26:$G$769,7,0)</f>
        <v xml:space="preserve">6. Em implementação </v>
      </c>
      <c r="H119" s="135" t="s">
        <v>2325</v>
      </c>
      <c r="I119" s="473"/>
      <c r="J119" s="368" t="s">
        <v>2312</v>
      </c>
      <c r="K119" s="359" t="s">
        <v>2246</v>
      </c>
      <c r="L119" s="368"/>
      <c r="M119" s="152" t="str">
        <f>IF(VLOOKUP(A90,'Aux - pivots1'!$A:$E,3,0)=0, "",VLOOKUP(A90,'Aux - pivots1'!$A:$E,3,0))</f>
        <v/>
      </c>
      <c r="N119" s="152" t="str">
        <f>IF(VLOOKUP(A90,'Aux - pivots1'!$A:$E,4,0)=0, "",VLOOKUP(A90,'Aux - pivots1'!$A:$E,4,0))</f>
        <v/>
      </c>
      <c r="O119" s="152" t="str">
        <f>IF(VLOOKUP(A90,'Aux - pivots1'!$A:$E,5,0)=0, "",VLOOKUP(A90,'Aux - pivots1'!$A:$E,5,0))</f>
        <v/>
      </c>
      <c r="P119" s="202"/>
      <c r="Q119" s="202"/>
      <c r="R119" s="372" t="s">
        <v>2319</v>
      </c>
      <c r="S119" s="324"/>
      <c r="T119" s="324"/>
      <c r="U119" s="372" t="s">
        <v>2368</v>
      </c>
      <c r="V119" s="324" t="s">
        <v>1862</v>
      </c>
    </row>
    <row r="120" spans="1:22" ht="16.350000000000001" hidden="1" customHeight="1">
      <c r="A120" s="29" t="str">
        <f t="shared" si="2"/>
        <v>modesg_out_empr_info_nfinorigem_flg_rsc_fsc_crnc</v>
      </c>
      <c r="B120" s="141" t="s">
        <v>26</v>
      </c>
      <c r="C120" s="137" t="s">
        <v>310</v>
      </c>
      <c r="D120" s="133" t="s">
        <v>40</v>
      </c>
      <c r="E120" s="134" t="s">
        <v>325</v>
      </c>
      <c r="F120" s="476" t="s">
        <v>318</v>
      </c>
      <c r="G120" s="135" t="str">
        <f>VLOOKUP(A120,Plano_V3!$A$26:$G$769,7,0)</f>
        <v xml:space="preserve">6. Em implementação </v>
      </c>
      <c r="H120" s="135" t="s">
        <v>2325</v>
      </c>
      <c r="I120" s="473"/>
      <c r="J120" s="368" t="s">
        <v>2312</v>
      </c>
      <c r="K120" s="359" t="s">
        <v>2246</v>
      </c>
      <c r="L120" s="368"/>
      <c r="M120" s="152" t="str">
        <f>IF(VLOOKUP(A111,'Aux - pivots1'!$A:$E,3,0)=0, "",VLOOKUP(A111,'Aux - pivots1'!$A:$E,3,0))</f>
        <v/>
      </c>
      <c r="N120" s="152" t="str">
        <f>IF(VLOOKUP(A111,'Aux - pivots1'!$A:$E,4,0)=0, "",VLOOKUP(A111,'Aux - pivots1'!$A:$E,4,0))</f>
        <v/>
      </c>
      <c r="O120" s="152" t="str">
        <f>IF(VLOOKUP(A111,'Aux - pivots1'!$A:$E,5,0)=0, "",VLOOKUP(A111,'Aux - pivots1'!$A:$E,5,0))</f>
        <v/>
      </c>
      <c r="P120" s="202"/>
      <c r="Q120" s="202"/>
      <c r="R120" s="372" t="s">
        <v>2319</v>
      </c>
      <c r="S120" s="324"/>
      <c r="T120" s="324"/>
      <c r="U120" s="372" t="s">
        <v>2368</v>
      </c>
      <c r="V120" s="324" t="s">
        <v>1862</v>
      </c>
    </row>
    <row r="121" spans="1:22" ht="16.350000000000001" hidden="1" customHeight="1">
      <c r="A121" s="29" t="str">
        <f t="shared" si="2"/>
        <v>PROPERTY_ENERGY_CERTIFICATEEP_SCORE</v>
      </c>
      <c r="B121" s="141" t="s">
        <v>26</v>
      </c>
      <c r="C121" s="137" t="s">
        <v>54</v>
      </c>
      <c r="D121" s="133" t="s">
        <v>40</v>
      </c>
      <c r="E121" s="134" t="s">
        <v>123</v>
      </c>
      <c r="F121" s="476" t="s">
        <v>135</v>
      </c>
      <c r="G121" s="135" t="str">
        <f>VLOOKUP(A121,Plano_V3!$A$26:$G$769,7,0)</f>
        <v>4. Validação EF</v>
      </c>
      <c r="H121" s="135" t="s">
        <v>614</v>
      </c>
      <c r="I121" s="473"/>
      <c r="J121" s="359" t="s">
        <v>2431</v>
      </c>
      <c r="K121" s="359" t="s">
        <v>2247</v>
      </c>
      <c r="L121" s="359"/>
      <c r="M121" s="152" t="str">
        <f>IF(VLOOKUP(A121,'Aux - pivots1'!$A:$E,3,0)=0, "",VLOOKUP(A121,'Aux - pivots1'!$A:$E,3,0))</f>
        <v/>
      </c>
      <c r="N121" s="152" t="str">
        <f>IF(VLOOKUP(A121,'Aux - pivots1'!$A:$E,4,0)=0, "",VLOOKUP(A121,'Aux - pivots1'!$A:$E,4,0))</f>
        <v/>
      </c>
      <c r="O121" s="152" t="str">
        <f>IF(VLOOKUP(A121,'Aux - pivots1'!$A:$E,5,0)=0, "",VLOOKUP(A121,'Aux - pivots1'!$A:$E,5,0))</f>
        <v/>
      </c>
      <c r="P121" s="202"/>
      <c r="Q121" s="202"/>
      <c r="R121" s="203"/>
      <c r="S121" s="324"/>
      <c r="T121" s="324"/>
      <c r="U121" s="372" t="s">
        <v>2326</v>
      </c>
      <c r="V121" s="372"/>
    </row>
    <row r="122" spans="1:22" ht="16.350000000000001" hidden="1" customHeight="1">
      <c r="A122" s="29" t="str">
        <f t="shared" si="2"/>
        <v>PROPERTY_ENERGY_CERTIFICATEENERGY_CONSUMPTION_VALUE_YEAR</v>
      </c>
      <c r="B122" s="141" t="s">
        <v>26</v>
      </c>
      <c r="C122" s="137" t="s">
        <v>54</v>
      </c>
      <c r="D122" s="133" t="s">
        <v>40</v>
      </c>
      <c r="E122" s="134" t="s">
        <v>123</v>
      </c>
      <c r="F122" s="476" t="s">
        <v>51</v>
      </c>
      <c r="G122" s="135" t="str">
        <f>VLOOKUP(A122,Plano_V3!$A$26:$G$769,7,0)</f>
        <v>4. Validação EF</v>
      </c>
      <c r="H122" s="135" t="s">
        <v>614</v>
      </c>
      <c r="I122" s="473"/>
      <c r="J122" s="359" t="s">
        <v>2431</v>
      </c>
      <c r="K122" s="359" t="s">
        <v>2247</v>
      </c>
      <c r="L122" s="359"/>
      <c r="M122" s="152" t="str">
        <f>IF(VLOOKUP(A122,'Aux - pivots1'!$A:$E,3,0)=0, "",VLOOKUP(A122,'Aux - pivots1'!$A:$E,3,0))</f>
        <v/>
      </c>
      <c r="N122" s="152" t="str">
        <f>IF(VLOOKUP(A122,'Aux - pivots1'!$A:$E,4,0)=0, "",VLOOKUP(A122,'Aux - pivots1'!$A:$E,4,0))</f>
        <v/>
      </c>
      <c r="O122" s="152" t="str">
        <f>IF(VLOOKUP(A122,'Aux - pivots1'!$A:$E,5,0)=0, "",VLOOKUP(A122,'Aux - pivots1'!$A:$E,5,0))</f>
        <v/>
      </c>
      <c r="P122" s="202"/>
      <c r="Q122" s="202"/>
      <c r="R122" s="203"/>
      <c r="S122" s="324"/>
      <c r="T122" s="324"/>
      <c r="U122" s="372" t="s">
        <v>2326</v>
      </c>
      <c r="V122" s="372"/>
    </row>
    <row r="123" spans="1:22" ht="16.350000000000001" hidden="1" customHeight="1">
      <c r="A123" s="29" t="str">
        <f t="shared" si="2"/>
        <v>modesg_param_sfics_taxon_europeiacod_regra</v>
      </c>
      <c r="B123" s="141" t="s">
        <v>26</v>
      </c>
      <c r="C123" s="137" t="s">
        <v>181</v>
      </c>
      <c r="D123" s="133" t="s">
        <v>40</v>
      </c>
      <c r="E123" s="134" t="s">
        <v>2102</v>
      </c>
      <c r="F123" s="476" t="s">
        <v>191</v>
      </c>
      <c r="G123" s="135" t="str">
        <f>VLOOKUP(A123,Plano_V3!$A$26:$G$769,7,0)</f>
        <v xml:space="preserve">6. Em implementação </v>
      </c>
      <c r="H123" s="135" t="s">
        <v>2325</v>
      </c>
      <c r="I123" s="473"/>
      <c r="J123" s="153"/>
      <c r="K123" s="359" t="s">
        <v>2247</v>
      </c>
      <c r="L123" s="153"/>
      <c r="M123" s="152" t="str">
        <f>IF(VLOOKUP(A123,'Aux - pivots1'!$A:$E,3,0)=0, "",VLOOKUP(A123,'Aux - pivots1'!$A:$E,3,0))</f>
        <v/>
      </c>
      <c r="N123" s="152" t="str">
        <f>IF(VLOOKUP(A123,'Aux - pivots1'!$A:$E,4,0)=0, "",VLOOKUP(A123,'Aux - pivots1'!$A:$E,4,0))</f>
        <v/>
      </c>
      <c r="O123" s="152" t="str">
        <f>IF(VLOOKUP(A123,'Aux - pivots1'!$A:$E,5,0)=0, "",VLOOKUP(A123,'Aux - pivots1'!$A:$E,5,0))</f>
        <v/>
      </c>
      <c r="P123" s="202"/>
      <c r="Q123" s="202"/>
      <c r="R123" s="203"/>
      <c r="S123" s="324"/>
      <c r="T123" s="324"/>
      <c r="U123" s="372" t="s">
        <v>2326</v>
      </c>
      <c r="V123" s="324" t="s">
        <v>2314</v>
      </c>
    </row>
    <row r="124" spans="1:22" ht="16.350000000000001" hidden="1" customHeight="1">
      <c r="A124" s="29" t="str">
        <f t="shared" si="2"/>
        <v>modesg_param_sfics_taxon_europeianivel</v>
      </c>
      <c r="B124" s="141" t="s">
        <v>26</v>
      </c>
      <c r="C124" s="137" t="s">
        <v>181</v>
      </c>
      <c r="D124" s="133" t="s">
        <v>40</v>
      </c>
      <c r="E124" s="134" t="s">
        <v>2102</v>
      </c>
      <c r="F124" s="476" t="s">
        <v>2414</v>
      </c>
      <c r="G124" s="135" t="str">
        <f>VLOOKUP(A124,Plano_V3!$A$26:$G$769,7,0)</f>
        <v xml:space="preserve">6. Em implementação </v>
      </c>
      <c r="H124" s="135" t="s">
        <v>2325</v>
      </c>
      <c r="I124" s="473"/>
      <c r="J124" s="153"/>
      <c r="K124" s="359" t="s">
        <v>2247</v>
      </c>
      <c r="L124" s="153"/>
      <c r="M124" s="152" t="str">
        <f>IF(VLOOKUP(A124,'Aux - pivots1'!$A:$E,3,0)=0, "",VLOOKUP(A124,'Aux - pivots1'!$A:$E,3,0))</f>
        <v/>
      </c>
      <c r="N124" s="152" t="str">
        <f>IF(VLOOKUP(A124,'Aux - pivots1'!$A:$E,4,0)=0, "",VLOOKUP(A124,'Aux - pivots1'!$A:$E,4,0))</f>
        <v/>
      </c>
      <c r="O124" s="152" t="str">
        <f>IF(VLOOKUP(A124,'Aux - pivots1'!$A:$E,5,0)=0, "",VLOOKUP(A124,'Aux - pivots1'!$A:$E,5,0))</f>
        <v/>
      </c>
      <c r="P124" s="202"/>
      <c r="Q124" s="202"/>
      <c r="R124" s="203"/>
      <c r="S124" s="324"/>
      <c r="T124" s="324"/>
      <c r="U124" s="372" t="s">
        <v>2326</v>
      </c>
      <c r="V124" s="324" t="s">
        <v>2314</v>
      </c>
    </row>
    <row r="125" spans="1:22" ht="16.350000000000001" hidden="1" customHeight="1">
      <c r="A125" s="29" t="str">
        <f t="shared" si="2"/>
        <v>modesg_param_sfics_taxon_europeiagrupo_regra</v>
      </c>
      <c r="B125" s="141" t="s">
        <v>26</v>
      </c>
      <c r="C125" s="137" t="s">
        <v>181</v>
      </c>
      <c r="D125" s="133" t="s">
        <v>40</v>
      </c>
      <c r="E125" s="134" t="s">
        <v>2102</v>
      </c>
      <c r="F125" s="476" t="s">
        <v>2422</v>
      </c>
      <c r="G125" s="135" t="str">
        <f>VLOOKUP(A125,Plano_V3!$A$26:$G$769,7,0)</f>
        <v xml:space="preserve">6. Em implementação </v>
      </c>
      <c r="H125" s="135" t="s">
        <v>2325</v>
      </c>
      <c r="I125" s="473"/>
      <c r="J125" s="153"/>
      <c r="K125" s="359" t="s">
        <v>2247</v>
      </c>
      <c r="L125" s="153"/>
      <c r="M125" s="152" t="str">
        <f>IF(VLOOKUP(A125,'Aux - pivots1'!$A:$E,3,0)=0, "",VLOOKUP(A125,'Aux - pivots1'!$A:$E,3,0))</f>
        <v/>
      </c>
      <c r="N125" s="152" t="str">
        <f>IF(VLOOKUP(A125,'Aux - pivots1'!$A:$E,4,0)=0, "",VLOOKUP(A125,'Aux - pivots1'!$A:$E,4,0))</f>
        <v/>
      </c>
      <c r="O125" s="152" t="str">
        <f>IF(VLOOKUP(A125,'Aux - pivots1'!$A:$E,5,0)=0, "",VLOOKUP(A125,'Aux - pivots1'!$A:$E,5,0))</f>
        <v/>
      </c>
      <c r="P125" s="202"/>
      <c r="Q125" s="202"/>
      <c r="R125" s="203"/>
      <c r="S125" s="324"/>
      <c r="T125" s="324"/>
      <c r="U125" s="372" t="s">
        <v>2433</v>
      </c>
      <c r="V125" s="324"/>
    </row>
    <row r="126" spans="1:22" ht="16.350000000000001" hidden="1" customHeight="1">
      <c r="A126" s="29" t="str">
        <f t="shared" si="2"/>
        <v>modesg_param_sfics_taxon_europeiadscrc</v>
      </c>
      <c r="B126" s="141" t="s">
        <v>26</v>
      </c>
      <c r="C126" s="137" t="s">
        <v>181</v>
      </c>
      <c r="D126" s="133" t="s">
        <v>40</v>
      </c>
      <c r="E126" s="134" t="s">
        <v>2102</v>
      </c>
      <c r="F126" s="476" t="s">
        <v>197</v>
      </c>
      <c r="G126" s="135" t="str">
        <f>VLOOKUP(A126,Plano_V3!$A$26:$G$769,7,0)</f>
        <v xml:space="preserve">6. Em implementação </v>
      </c>
      <c r="H126" s="135" t="s">
        <v>2325</v>
      </c>
      <c r="I126" s="473"/>
      <c r="J126" s="153"/>
      <c r="K126" s="359" t="s">
        <v>2247</v>
      </c>
      <c r="L126" s="153"/>
      <c r="M126" s="152" t="str">
        <f>IF(VLOOKUP(A126,'Aux - pivots1'!$A:$E,3,0)=0, "",VLOOKUP(A126,'Aux - pivots1'!$A:$E,3,0))</f>
        <v/>
      </c>
      <c r="N126" s="152" t="str">
        <f>IF(VLOOKUP(A126,'Aux - pivots1'!$A:$E,4,0)=0, "",VLOOKUP(A126,'Aux - pivots1'!$A:$E,4,0))</f>
        <v/>
      </c>
      <c r="O126" s="152" t="str">
        <f>IF(VLOOKUP(A126,'Aux - pivots1'!$A:$E,5,0)=0, "",VLOOKUP(A126,'Aux - pivots1'!$A:$E,5,0))</f>
        <v/>
      </c>
      <c r="P126" s="202"/>
      <c r="Q126" s="202"/>
      <c r="R126" s="203"/>
      <c r="S126" s="324"/>
      <c r="T126" s="324"/>
      <c r="U126" s="372" t="s">
        <v>2326</v>
      </c>
      <c r="V126" s="324" t="s">
        <v>2314</v>
      </c>
    </row>
    <row r="127" spans="1:22" ht="16.350000000000001" hidden="1" customHeight="1">
      <c r="A127" s="29" t="str">
        <f t="shared" si="2"/>
        <v>modesg_param_sfics_taxon_europeiacomite</v>
      </c>
      <c r="B127" s="141" t="s">
        <v>26</v>
      </c>
      <c r="C127" s="137" t="s">
        <v>181</v>
      </c>
      <c r="D127" s="133" t="s">
        <v>40</v>
      </c>
      <c r="E127" s="134" t="s">
        <v>2102</v>
      </c>
      <c r="F127" s="476" t="s">
        <v>192</v>
      </c>
      <c r="G127" s="135" t="str">
        <f>VLOOKUP(A127,Plano_V3!$A$26:$G$769,7,0)</f>
        <v xml:space="preserve">6. Em implementação </v>
      </c>
      <c r="H127" s="135" t="s">
        <v>2325</v>
      </c>
      <c r="I127" s="473"/>
      <c r="J127" s="153"/>
      <c r="K127" s="359" t="s">
        <v>2247</v>
      </c>
      <c r="L127" s="153"/>
      <c r="M127" s="152" t="str">
        <f>IF(VLOOKUP(A127,'Aux - pivots1'!$A:$E,3,0)=0, "",VLOOKUP(A127,'Aux - pivots1'!$A:$E,3,0))</f>
        <v/>
      </c>
      <c r="N127" s="152" t="str">
        <f>IF(VLOOKUP(A127,'Aux - pivots1'!$A:$E,4,0)=0, "",VLOOKUP(A127,'Aux - pivots1'!$A:$E,4,0))</f>
        <v/>
      </c>
      <c r="O127" s="152" t="str">
        <f>IF(VLOOKUP(A127,'Aux - pivots1'!$A:$E,5,0)=0, "",VLOOKUP(A127,'Aux - pivots1'!$A:$E,5,0))</f>
        <v/>
      </c>
      <c r="P127" s="202"/>
      <c r="Q127" s="202"/>
      <c r="R127" s="203"/>
      <c r="S127" s="324"/>
      <c r="T127" s="324"/>
      <c r="U127" s="372" t="s">
        <v>2326</v>
      </c>
      <c r="V127" s="324" t="s">
        <v>2314</v>
      </c>
    </row>
    <row r="128" spans="1:22" ht="16.350000000000001" hidden="1" customHeight="1">
      <c r="A128" s="29" t="str">
        <f t="shared" si="2"/>
        <v>modesg_param_sfics_taxon_europeiadata_aprvc</v>
      </c>
      <c r="B128" s="141" t="s">
        <v>26</v>
      </c>
      <c r="C128" s="137" t="s">
        <v>181</v>
      </c>
      <c r="D128" s="133" t="s">
        <v>40</v>
      </c>
      <c r="E128" s="134" t="s">
        <v>2102</v>
      </c>
      <c r="F128" s="476" t="s">
        <v>193</v>
      </c>
      <c r="G128" s="135" t="str">
        <f>VLOOKUP(A128,Plano_V3!$A$26:$G$769,7,0)</f>
        <v xml:space="preserve">6. Em implementação </v>
      </c>
      <c r="H128" s="135" t="s">
        <v>2325</v>
      </c>
      <c r="I128" s="473"/>
      <c r="J128" s="153"/>
      <c r="K128" s="359" t="s">
        <v>2247</v>
      </c>
      <c r="L128" s="153"/>
      <c r="M128" s="152" t="str">
        <f>IF(VLOOKUP(A128,'Aux - pivots1'!$A:$E,3,0)=0, "",VLOOKUP(A128,'Aux - pivots1'!$A:$E,3,0))</f>
        <v/>
      </c>
      <c r="N128" s="152" t="str">
        <f>IF(VLOOKUP(A128,'Aux - pivots1'!$A:$E,4,0)=0, "",VLOOKUP(A128,'Aux - pivots1'!$A:$E,4,0))</f>
        <v/>
      </c>
      <c r="O128" s="152" t="str">
        <f>IF(VLOOKUP(A128,'Aux - pivots1'!$A:$E,5,0)=0, "",VLOOKUP(A128,'Aux - pivots1'!$A:$E,5,0))</f>
        <v/>
      </c>
      <c r="P128" s="202"/>
      <c r="Q128" s="202"/>
      <c r="R128" s="203"/>
      <c r="S128" s="324"/>
      <c r="T128" s="324"/>
      <c r="U128" s="372" t="s">
        <v>2326</v>
      </c>
      <c r="V128" s="324" t="s">
        <v>2314</v>
      </c>
    </row>
    <row r="129" spans="1:22" ht="16.350000000000001" hidden="1" customHeight="1">
      <c r="A129" s="29" t="str">
        <f t="shared" si="2"/>
        <v>modesg_param_sfics_taxon_europeiadata_inicial</v>
      </c>
      <c r="B129" s="141" t="s">
        <v>26</v>
      </c>
      <c r="C129" s="137" t="s">
        <v>181</v>
      </c>
      <c r="D129" s="133" t="s">
        <v>40</v>
      </c>
      <c r="E129" s="134" t="s">
        <v>2102</v>
      </c>
      <c r="F129" s="476" t="s">
        <v>195</v>
      </c>
      <c r="G129" s="135" t="str">
        <f>VLOOKUP(A129,Plano_V3!$A$26:$G$769,7,0)</f>
        <v xml:space="preserve">6. Em implementação </v>
      </c>
      <c r="H129" s="135" t="s">
        <v>2325</v>
      </c>
      <c r="I129" s="473"/>
      <c r="J129" s="153"/>
      <c r="K129" s="359" t="s">
        <v>2247</v>
      </c>
      <c r="L129" s="153"/>
      <c r="M129" s="152" t="str">
        <f>IF(VLOOKUP(A129,'Aux - pivots1'!$A:$E,3,0)=0, "",VLOOKUP(A129,'Aux - pivots1'!$A:$E,3,0))</f>
        <v/>
      </c>
      <c r="N129" s="152" t="str">
        <f>IF(VLOOKUP(A129,'Aux - pivots1'!$A:$E,4,0)=0, "",VLOOKUP(A129,'Aux - pivots1'!$A:$E,4,0))</f>
        <v/>
      </c>
      <c r="O129" s="152" t="str">
        <f>IF(VLOOKUP(A129,'Aux - pivots1'!$A:$E,5,0)=0, "",VLOOKUP(A129,'Aux - pivots1'!$A:$E,5,0))</f>
        <v/>
      </c>
      <c r="P129" s="202"/>
      <c r="Q129" s="202"/>
      <c r="R129" s="203"/>
      <c r="S129" s="324"/>
      <c r="T129" s="324"/>
      <c r="U129" s="372" t="s">
        <v>2326</v>
      </c>
      <c r="V129" s="324" t="s">
        <v>2314</v>
      </c>
    </row>
    <row r="130" spans="1:22" ht="16.350000000000001" hidden="1" customHeight="1">
      <c r="A130" s="29" t="str">
        <f t="shared" si="2"/>
        <v>modesg_param_sfics_taxon_europeiadata_final</v>
      </c>
      <c r="B130" s="141" t="s">
        <v>26</v>
      </c>
      <c r="C130" s="137" t="s">
        <v>181</v>
      </c>
      <c r="D130" s="133" t="s">
        <v>40</v>
      </c>
      <c r="E130" s="134" t="s">
        <v>2102</v>
      </c>
      <c r="F130" s="476" t="s">
        <v>194</v>
      </c>
      <c r="G130" s="135" t="str">
        <f>VLOOKUP(A130,Plano_V3!$A$26:$G$769,7,0)</f>
        <v xml:space="preserve">6. Em implementação </v>
      </c>
      <c r="H130" s="135" t="s">
        <v>2325</v>
      </c>
      <c r="I130" s="473"/>
      <c r="J130" s="153"/>
      <c r="K130" s="359" t="s">
        <v>2247</v>
      </c>
      <c r="L130" s="153"/>
      <c r="M130" s="152" t="str">
        <f>IF(VLOOKUP(A130,'Aux - pivots1'!$A:$E,3,0)=0, "",VLOOKUP(A130,'Aux - pivots1'!$A:$E,3,0))</f>
        <v/>
      </c>
      <c r="N130" s="152" t="str">
        <f>IF(VLOOKUP(A130,'Aux - pivots1'!$A:$E,4,0)=0, "",VLOOKUP(A130,'Aux - pivots1'!$A:$E,4,0))</f>
        <v/>
      </c>
      <c r="O130" s="152" t="str">
        <f>IF(VLOOKUP(A130,'Aux - pivots1'!$A:$E,5,0)=0, "",VLOOKUP(A130,'Aux - pivots1'!$A:$E,5,0))</f>
        <v/>
      </c>
      <c r="P130" s="202"/>
      <c r="Q130" s="202"/>
      <c r="R130" s="203"/>
      <c r="S130" s="324"/>
      <c r="T130" s="324"/>
      <c r="U130" s="372" t="s">
        <v>2326</v>
      </c>
      <c r="V130" s="324" t="s">
        <v>2314</v>
      </c>
    </row>
    <row r="131" spans="1:22" ht="16.350000000000001" hidden="1" customHeight="1">
      <c r="A131" s="29" t="str">
        <f t="shared" si="2"/>
        <v>modesg_param_sfics_taxon_europeiazcliente</v>
      </c>
      <c r="B131" s="141" t="s">
        <v>26</v>
      </c>
      <c r="C131" s="137" t="s">
        <v>181</v>
      </c>
      <c r="D131" s="133" t="s">
        <v>40</v>
      </c>
      <c r="E131" s="134" t="s">
        <v>2102</v>
      </c>
      <c r="F131" s="476" t="s">
        <v>209</v>
      </c>
      <c r="G131" s="135" t="str">
        <f>VLOOKUP(A131,Plano_V3!$A$26:$G$769,7,0)</f>
        <v xml:space="preserve">6. Em implementação </v>
      </c>
      <c r="H131" s="135" t="s">
        <v>2325</v>
      </c>
      <c r="I131" s="473"/>
      <c r="J131" s="153"/>
      <c r="K131" s="359" t="s">
        <v>2247</v>
      </c>
      <c r="L131" s="153"/>
      <c r="M131" s="152" t="str">
        <f>IF(VLOOKUP(A131,'Aux - pivots1'!$A:$E,3,0)=0, "",VLOOKUP(A131,'Aux - pivots1'!$A:$E,3,0))</f>
        <v/>
      </c>
      <c r="N131" s="152" t="str">
        <f>IF(VLOOKUP(A131,'Aux - pivots1'!$A:$E,4,0)=0, "",VLOOKUP(A131,'Aux - pivots1'!$A:$E,4,0))</f>
        <v/>
      </c>
      <c r="O131" s="152" t="str">
        <f>IF(VLOOKUP(A131,'Aux - pivots1'!$A:$E,5,0)=0, "",VLOOKUP(A131,'Aux - pivots1'!$A:$E,5,0))</f>
        <v/>
      </c>
      <c r="P131" s="202"/>
      <c r="Q131" s="202"/>
      <c r="R131" s="203"/>
      <c r="S131" s="324"/>
      <c r="T131" s="324"/>
      <c r="U131" s="372" t="s">
        <v>2326</v>
      </c>
      <c r="V131" s="324" t="s">
        <v>2314</v>
      </c>
    </row>
    <row r="132" spans="1:22" ht="16.350000000000001" hidden="1" customHeight="1">
      <c r="A132" s="29" t="str">
        <f t="shared" si="2"/>
        <v>modesg_param_sfics_taxon_europeiacempcta</v>
      </c>
      <c r="B132" s="141" t="s">
        <v>26</v>
      </c>
      <c r="C132" s="137" t="s">
        <v>181</v>
      </c>
      <c r="D132" s="133" t="s">
        <v>40</v>
      </c>
      <c r="E132" s="134" t="s">
        <v>2102</v>
      </c>
      <c r="F132" s="476" t="s">
        <v>2409</v>
      </c>
      <c r="G132" s="135" t="str">
        <f>VLOOKUP(A132,Plano_V3!$A$26:$G$769,7,0)</f>
        <v xml:space="preserve">6. Em implementação </v>
      </c>
      <c r="H132" s="135" t="s">
        <v>2325</v>
      </c>
      <c r="I132" s="473"/>
      <c r="J132" s="153"/>
      <c r="K132" s="359" t="s">
        <v>2247</v>
      </c>
      <c r="L132" s="153"/>
      <c r="M132" s="152" t="str">
        <f>IF(VLOOKUP(A132,'Aux - pivots1'!$A:$E,3,0)=0, "",VLOOKUP(A132,'Aux - pivots1'!$A:$E,3,0))</f>
        <v/>
      </c>
      <c r="N132" s="152" t="str">
        <f>IF(VLOOKUP(A132,'Aux - pivots1'!$A:$E,4,0)=0, "",VLOOKUP(A132,'Aux - pivots1'!$A:$E,4,0))</f>
        <v/>
      </c>
      <c r="O132" s="152" t="str">
        <f>IF(VLOOKUP(A132,'Aux - pivots1'!$A:$E,5,0)=0, "",VLOOKUP(A132,'Aux - pivots1'!$A:$E,5,0))</f>
        <v/>
      </c>
      <c r="P132" s="202"/>
      <c r="Q132" s="202"/>
      <c r="R132" s="203"/>
      <c r="S132" s="324"/>
      <c r="T132" s="324"/>
      <c r="U132" s="372" t="s">
        <v>2328</v>
      </c>
      <c r="V132" s="324" t="s">
        <v>2314</v>
      </c>
    </row>
    <row r="133" spans="1:22" ht="16.350000000000001" hidden="1" customHeight="1">
      <c r="A133" s="29" t="str">
        <f t="shared" si="2"/>
        <v>modesg_param_sfics_taxon_europeiackbalcao</v>
      </c>
      <c r="B133" s="141" t="s">
        <v>26</v>
      </c>
      <c r="C133" s="137" t="s">
        <v>181</v>
      </c>
      <c r="D133" s="133" t="s">
        <v>40</v>
      </c>
      <c r="E133" s="134" t="s">
        <v>2102</v>
      </c>
      <c r="F133" s="476" t="s">
        <v>457</v>
      </c>
      <c r="G133" s="135" t="str">
        <f>VLOOKUP(A133,Plano_V3!$A$26:$G$769,7,0)</f>
        <v xml:space="preserve">6. Em implementação </v>
      </c>
      <c r="H133" s="135" t="s">
        <v>2325</v>
      </c>
      <c r="I133" s="473"/>
      <c r="J133" s="153"/>
      <c r="K133" s="359" t="s">
        <v>2247</v>
      </c>
      <c r="L133" s="153"/>
      <c r="M133" s="152" t="str">
        <f>IF(VLOOKUP(A133,'Aux - pivots1'!$A:$E,3,0)=0, "",VLOOKUP(A133,'Aux - pivots1'!$A:$E,3,0))</f>
        <v/>
      </c>
      <c r="N133" s="152" t="str">
        <f>IF(VLOOKUP(A133,'Aux - pivots1'!$A:$E,4,0)=0, "",VLOOKUP(A133,'Aux - pivots1'!$A:$E,4,0))</f>
        <v/>
      </c>
      <c r="O133" s="152" t="str">
        <f>IF(VLOOKUP(A133,'Aux - pivots1'!$A:$E,5,0)=0, "",VLOOKUP(A133,'Aux - pivots1'!$A:$E,5,0))</f>
        <v/>
      </c>
      <c r="P133" s="202"/>
      <c r="Q133" s="202"/>
      <c r="R133" s="203"/>
      <c r="S133" s="324"/>
      <c r="T133" s="324"/>
      <c r="U133" s="372" t="s">
        <v>2326</v>
      </c>
      <c r="V133" s="324" t="s">
        <v>2314</v>
      </c>
    </row>
    <row r="134" spans="1:22" ht="16.350000000000001" hidden="1" customHeight="1">
      <c r="A134" s="29" t="str">
        <f t="shared" si="2"/>
        <v>modesg_param_sfics_taxon_europeiacknumcta</v>
      </c>
      <c r="B134" s="141" t="s">
        <v>26</v>
      </c>
      <c r="C134" s="137" t="s">
        <v>181</v>
      </c>
      <c r="D134" s="133" t="s">
        <v>40</v>
      </c>
      <c r="E134" s="134" t="s">
        <v>2102</v>
      </c>
      <c r="F134" s="476" t="s">
        <v>458</v>
      </c>
      <c r="G134" s="135" t="str">
        <f>VLOOKUP(A134,Plano_V3!$A$26:$G$769,7,0)</f>
        <v xml:space="preserve">6. Em implementação </v>
      </c>
      <c r="H134" s="135" t="s">
        <v>2325</v>
      </c>
      <c r="I134" s="473"/>
      <c r="J134" s="153"/>
      <c r="K134" s="359" t="s">
        <v>2247</v>
      </c>
      <c r="L134" s="153"/>
      <c r="M134" s="152" t="str">
        <f>IF(VLOOKUP(A134,'Aux - pivots1'!$A:$E,3,0)=0, "",VLOOKUP(A134,'Aux - pivots1'!$A:$E,3,0))</f>
        <v/>
      </c>
      <c r="N134" s="152" t="str">
        <f>IF(VLOOKUP(A134,'Aux - pivots1'!$A:$E,4,0)=0, "",VLOOKUP(A134,'Aux - pivots1'!$A:$E,4,0))</f>
        <v/>
      </c>
      <c r="O134" s="152" t="str">
        <f>IF(VLOOKUP(A134,'Aux - pivots1'!$A:$E,5,0)=0, "",VLOOKUP(A134,'Aux - pivots1'!$A:$E,5,0))</f>
        <v/>
      </c>
      <c r="P134" s="202"/>
      <c r="Q134" s="202"/>
      <c r="R134" s="203"/>
      <c r="S134" s="324"/>
      <c r="T134" s="324"/>
      <c r="U134" s="372" t="s">
        <v>2326</v>
      </c>
      <c r="V134" s="324" t="s">
        <v>2314</v>
      </c>
    </row>
    <row r="135" spans="1:22" ht="16.350000000000001" hidden="1" customHeight="1">
      <c r="A135" s="29" t="str">
        <f t="shared" si="2"/>
        <v>modesg_param_sfics_taxon_europeiazdeposit</v>
      </c>
      <c r="B135" s="141" t="s">
        <v>26</v>
      </c>
      <c r="C135" s="137" t="s">
        <v>181</v>
      </c>
      <c r="D135" s="133" t="s">
        <v>40</v>
      </c>
      <c r="E135" s="134" t="s">
        <v>2102</v>
      </c>
      <c r="F135" s="476" t="s">
        <v>210</v>
      </c>
      <c r="G135" s="135" t="str">
        <f>VLOOKUP(A135,Plano_V3!$A$26:$G$769,7,0)</f>
        <v xml:space="preserve">6. Em implementação </v>
      </c>
      <c r="H135" s="135" t="s">
        <v>2325</v>
      </c>
      <c r="I135" s="473"/>
      <c r="J135" s="153"/>
      <c r="K135" s="359" t="s">
        <v>2247</v>
      </c>
      <c r="L135" s="153"/>
      <c r="M135" s="152" t="str">
        <f>IF(VLOOKUP(A135,'Aux - pivots1'!$A:$E,3,0)=0, "",VLOOKUP(A135,'Aux - pivots1'!$A:$E,3,0))</f>
        <v/>
      </c>
      <c r="N135" s="152" t="str">
        <f>IF(VLOOKUP(A135,'Aux - pivots1'!$A:$E,4,0)=0, "",VLOOKUP(A135,'Aux - pivots1'!$A:$E,4,0))</f>
        <v/>
      </c>
      <c r="O135" s="152" t="str">
        <f>IF(VLOOKUP(A135,'Aux - pivots1'!$A:$E,5,0)=0, "",VLOOKUP(A135,'Aux - pivots1'!$A:$E,5,0))</f>
        <v/>
      </c>
      <c r="P135" s="202"/>
      <c r="Q135" s="202"/>
      <c r="R135" s="203"/>
      <c r="S135" s="324"/>
      <c r="T135" s="324"/>
      <c r="U135" s="372" t="s">
        <v>2326</v>
      </c>
      <c r="V135" s="324" t="s">
        <v>2314</v>
      </c>
    </row>
    <row r="136" spans="1:22" ht="16.350000000000001" hidden="1" customHeight="1">
      <c r="A136" s="29" t="str">
        <f t="shared" si="2"/>
        <v>modesg_param_sfics_taxon_europeiackmetamis</v>
      </c>
      <c r="B136" s="141" t="s">
        <v>26</v>
      </c>
      <c r="C136" s="137" t="s">
        <v>181</v>
      </c>
      <c r="D136" s="133" t="s">
        <v>40</v>
      </c>
      <c r="E136" s="134" t="s">
        <v>2102</v>
      </c>
      <c r="F136" s="476" t="s">
        <v>185</v>
      </c>
      <c r="G136" s="135" t="str">
        <f>VLOOKUP(A136,Plano_V3!$A$26:$G$769,7,0)</f>
        <v xml:space="preserve">6. Em implementação </v>
      </c>
      <c r="H136" s="135" t="s">
        <v>2325</v>
      </c>
      <c r="I136" s="473"/>
      <c r="J136" s="153"/>
      <c r="K136" s="359" t="s">
        <v>2247</v>
      </c>
      <c r="L136" s="153"/>
      <c r="M136" s="152" t="str">
        <f>IF(VLOOKUP(A136,'Aux - pivots1'!$A:$E,3,0)=0, "",VLOOKUP(A136,'Aux - pivots1'!$A:$E,3,0))</f>
        <v/>
      </c>
      <c r="N136" s="152" t="str">
        <f>IF(VLOOKUP(A136,'Aux - pivots1'!$A:$E,4,0)=0, "",VLOOKUP(A136,'Aux - pivots1'!$A:$E,4,0))</f>
        <v/>
      </c>
      <c r="O136" s="152" t="str">
        <f>IF(VLOOKUP(A136,'Aux - pivots1'!$A:$E,5,0)=0, "",VLOOKUP(A136,'Aux - pivots1'!$A:$E,5,0))</f>
        <v/>
      </c>
      <c r="P136" s="202"/>
      <c r="Q136" s="202"/>
      <c r="R136" s="203"/>
      <c r="S136" s="324"/>
      <c r="T136" s="324"/>
      <c r="U136" s="372" t="s">
        <v>2326</v>
      </c>
      <c r="V136" s="324" t="s">
        <v>2314</v>
      </c>
    </row>
    <row r="137" spans="1:22" ht="16.350000000000001" hidden="1" customHeight="1">
      <c r="A137" s="29" t="str">
        <f t="shared" ref="A137:A200" si="3">E137&amp;F137</f>
        <v>modesg_param_sfics_taxon_europeiackprodmi</v>
      </c>
      <c r="B137" s="141" t="s">
        <v>26</v>
      </c>
      <c r="C137" s="137" t="s">
        <v>181</v>
      </c>
      <c r="D137" s="133" t="s">
        <v>40</v>
      </c>
      <c r="E137" s="134" t="s">
        <v>2102</v>
      </c>
      <c r="F137" s="476" t="s">
        <v>186</v>
      </c>
      <c r="G137" s="135" t="str">
        <f>VLOOKUP(A137,Plano_V3!$A$26:$G$769,7,0)</f>
        <v xml:space="preserve">6. Em implementação </v>
      </c>
      <c r="H137" s="135" t="s">
        <v>2325</v>
      </c>
      <c r="I137" s="473"/>
      <c r="J137" s="153"/>
      <c r="K137" s="359" t="s">
        <v>2247</v>
      </c>
      <c r="L137" s="153"/>
      <c r="M137" s="152" t="str">
        <f>IF(VLOOKUP(A137,'Aux - pivots1'!$A:$E,3,0)=0, "",VLOOKUP(A137,'Aux - pivots1'!$A:$E,3,0))</f>
        <v/>
      </c>
      <c r="N137" s="152" t="str">
        <f>IF(VLOOKUP(A137,'Aux - pivots1'!$A:$E,4,0)=0, "",VLOOKUP(A137,'Aux - pivots1'!$A:$E,4,0))</f>
        <v/>
      </c>
      <c r="O137" s="152" t="str">
        <f>IF(VLOOKUP(A137,'Aux - pivots1'!$A:$E,5,0)=0, "",VLOOKUP(A137,'Aux - pivots1'!$A:$E,5,0))</f>
        <v/>
      </c>
      <c r="P137" s="202"/>
      <c r="Q137" s="202"/>
      <c r="R137" s="203"/>
      <c r="S137" s="324"/>
      <c r="T137" s="324"/>
      <c r="U137" s="372" t="s">
        <v>2326</v>
      </c>
      <c r="V137" s="324" t="s">
        <v>2314</v>
      </c>
    </row>
    <row r="138" spans="1:22" ht="16.350000000000001" hidden="1" customHeight="1">
      <c r="A138" s="29" t="str">
        <f t="shared" si="3"/>
        <v>modesg_param_sfics_taxon_europeiacmetanseg</v>
      </c>
      <c r="B138" s="141" t="s">
        <v>26</v>
      </c>
      <c r="C138" s="137" t="s">
        <v>181</v>
      </c>
      <c r="D138" s="133" t="s">
        <v>40</v>
      </c>
      <c r="E138" s="134" t="s">
        <v>2102</v>
      </c>
      <c r="F138" s="476" t="s">
        <v>187</v>
      </c>
      <c r="G138" s="135" t="str">
        <f>VLOOKUP(A138,Plano_V3!$A$26:$G$769,7,0)</f>
        <v xml:space="preserve">6. Em implementação </v>
      </c>
      <c r="H138" s="135" t="s">
        <v>2325</v>
      </c>
      <c r="I138" s="473"/>
      <c r="J138" s="153"/>
      <c r="K138" s="359" t="s">
        <v>2247</v>
      </c>
      <c r="L138" s="153"/>
      <c r="M138" s="152" t="str">
        <f>IF(VLOOKUP(A138,'Aux - pivots1'!$A:$E,3,0)=0, "",VLOOKUP(A138,'Aux - pivots1'!$A:$E,3,0))</f>
        <v/>
      </c>
      <c r="N138" s="152" t="str">
        <f>IF(VLOOKUP(A138,'Aux - pivots1'!$A:$E,4,0)=0, "",VLOOKUP(A138,'Aux - pivots1'!$A:$E,4,0))</f>
        <v/>
      </c>
      <c r="O138" s="152" t="str">
        <f>IF(VLOOKUP(A138,'Aux - pivots1'!$A:$E,5,0)=0, "",VLOOKUP(A138,'Aux - pivots1'!$A:$E,5,0))</f>
        <v/>
      </c>
      <c r="P138" s="202"/>
      <c r="Q138" s="202"/>
      <c r="R138" s="203"/>
      <c r="S138" s="324"/>
      <c r="T138" s="324"/>
      <c r="U138" s="372" t="s">
        <v>2326</v>
      </c>
      <c r="V138" s="324" t="s">
        <v>2314</v>
      </c>
    </row>
    <row r="139" spans="1:22" ht="16.350000000000001" hidden="1" customHeight="1">
      <c r="A139" s="29" t="str">
        <f t="shared" si="3"/>
        <v>modesg_param_sfics_taxon_europeiaepc</v>
      </c>
      <c r="B139" s="141" t="s">
        <v>26</v>
      </c>
      <c r="C139" s="137" t="s">
        <v>181</v>
      </c>
      <c r="D139" s="133" t="s">
        <v>40</v>
      </c>
      <c r="E139" s="134" t="s">
        <v>2102</v>
      </c>
      <c r="F139" s="478" t="s">
        <v>198</v>
      </c>
      <c r="G139" s="135" t="str">
        <f>VLOOKUP(A139,Plano_V3!$A$26:$G$769,7,0)</f>
        <v xml:space="preserve">6. Em implementação </v>
      </c>
      <c r="H139" s="135" t="s">
        <v>2325</v>
      </c>
      <c r="I139" s="473"/>
      <c r="J139" s="492"/>
      <c r="K139" s="359" t="s">
        <v>2247</v>
      </c>
      <c r="L139" s="492"/>
      <c r="M139" s="152" t="str">
        <f>IF(VLOOKUP(A139,'Aux - pivots1'!$A:$E,3,0)=0, "",VLOOKUP(A139,'Aux - pivots1'!$A:$E,3,0))</f>
        <v/>
      </c>
      <c r="N139" s="152" t="str">
        <f>IF(VLOOKUP(A139,'Aux - pivots1'!$A:$E,4,0)=0, "",VLOOKUP(A139,'Aux - pivots1'!$A:$E,4,0))</f>
        <v/>
      </c>
      <c r="O139" s="152" t="str">
        <f>IF(VLOOKUP(A139,'Aux - pivots1'!$A:$E,5,0)=0, "",VLOOKUP(A139,'Aux - pivots1'!$A:$E,5,0))</f>
        <v/>
      </c>
      <c r="P139" s="202"/>
      <c r="Q139" s="202"/>
      <c r="R139" s="203"/>
      <c r="S139" s="324"/>
      <c r="T139" s="324"/>
      <c r="U139" s="372" t="s">
        <v>2328</v>
      </c>
      <c r="V139" s="324" t="s">
        <v>2314</v>
      </c>
    </row>
    <row r="140" spans="1:22" ht="16.350000000000001" hidden="1" customHeight="1">
      <c r="A140" s="29" t="str">
        <f t="shared" si="3"/>
        <v>modesg_param_sfics_taxon_europeiaambito</v>
      </c>
      <c r="B140" s="141" t="s">
        <v>26</v>
      </c>
      <c r="C140" s="137" t="s">
        <v>181</v>
      </c>
      <c r="D140" s="133" t="s">
        <v>40</v>
      </c>
      <c r="E140" s="134" t="s">
        <v>2102</v>
      </c>
      <c r="F140" s="476" t="s">
        <v>390</v>
      </c>
      <c r="G140" s="135" t="str">
        <f>VLOOKUP(A140,Plano_V3!$A$26:$G$769,7,0)</f>
        <v xml:space="preserve">6. Em implementação </v>
      </c>
      <c r="H140" s="135" t="s">
        <v>2325</v>
      </c>
      <c r="I140" s="473"/>
      <c r="J140" s="153"/>
      <c r="K140" s="359" t="s">
        <v>2247</v>
      </c>
      <c r="L140" s="153"/>
      <c r="M140" s="152" t="str">
        <f>IF(VLOOKUP(A140,'Aux - pivots1'!$A:$E,3,0)=0, "",VLOOKUP(A140,'Aux - pivots1'!$A:$E,3,0))</f>
        <v/>
      </c>
      <c r="N140" s="152" t="str">
        <f>IF(VLOOKUP(A140,'Aux - pivots1'!$A:$E,4,0)=0, "",VLOOKUP(A140,'Aux - pivots1'!$A:$E,4,0))</f>
        <v/>
      </c>
      <c r="O140" s="152" t="str">
        <f>IF(VLOOKUP(A140,'Aux - pivots1'!$A:$E,5,0)=0, "",VLOOKUP(A140,'Aux - pivots1'!$A:$E,5,0))</f>
        <v/>
      </c>
      <c r="P140" s="202"/>
      <c r="Q140" s="202"/>
      <c r="R140" s="203"/>
      <c r="S140" s="324"/>
      <c r="T140" s="324"/>
      <c r="U140" s="372" t="s">
        <v>2326</v>
      </c>
      <c r="V140" s="324" t="s">
        <v>2314</v>
      </c>
    </row>
    <row r="141" spans="1:22" ht="16.350000000000001" hidden="1" customHeight="1">
      <c r="A141" s="29" t="str">
        <f t="shared" si="3"/>
        <v>modesg_param_sfics_taxon_europeianome_ctgr_sfics</v>
      </c>
      <c r="B141" s="141" t="s">
        <v>26</v>
      </c>
      <c r="C141" s="137" t="s">
        <v>181</v>
      </c>
      <c r="D141" s="133" t="s">
        <v>40</v>
      </c>
      <c r="E141" s="134" t="s">
        <v>2102</v>
      </c>
      <c r="F141" s="476" t="s">
        <v>2053</v>
      </c>
      <c r="G141" s="135" t="str">
        <f>VLOOKUP(A141,Plano_V3!$A$26:$G$769,7,0)</f>
        <v xml:space="preserve">6. Em implementação </v>
      </c>
      <c r="H141" s="135" t="s">
        <v>2325</v>
      </c>
      <c r="I141" s="473"/>
      <c r="J141" s="153"/>
      <c r="K141" s="359" t="s">
        <v>2247</v>
      </c>
      <c r="L141" s="153"/>
      <c r="M141" s="152" t="str">
        <f>IF(VLOOKUP(A141,'Aux - pivots1'!$A:$E,3,0)=0, "",VLOOKUP(A141,'Aux - pivots1'!$A:$E,3,0))</f>
        <v/>
      </c>
      <c r="N141" s="152" t="str">
        <f>IF(VLOOKUP(A141,'Aux - pivots1'!$A:$E,4,0)=0, "",VLOOKUP(A141,'Aux - pivots1'!$A:$E,4,0))</f>
        <v/>
      </c>
      <c r="O141" s="152" t="str">
        <f>IF(VLOOKUP(A141,'Aux - pivots1'!$A:$E,5,0)=0, "",VLOOKUP(A141,'Aux - pivots1'!$A:$E,5,0))</f>
        <v/>
      </c>
      <c r="P141" s="202"/>
      <c r="Q141" s="202"/>
      <c r="R141" s="203"/>
      <c r="S141" s="324"/>
      <c r="T141" s="324"/>
      <c r="U141" s="372" t="s">
        <v>2326</v>
      </c>
      <c r="V141" s="324" t="s">
        <v>2314</v>
      </c>
    </row>
    <row r="142" spans="1:22" ht="16.350000000000001" hidden="1" customHeight="1">
      <c r="A142" s="29" t="str">
        <f t="shared" si="3"/>
        <v>modesg_param_sfics_taxon_europeiamontante_pndrc</v>
      </c>
      <c r="B142" s="141" t="s">
        <v>26</v>
      </c>
      <c r="C142" s="137" t="s">
        <v>181</v>
      </c>
      <c r="D142" s="133" t="s">
        <v>40</v>
      </c>
      <c r="E142" s="134" t="s">
        <v>2102</v>
      </c>
      <c r="F142" s="476" t="s">
        <v>202</v>
      </c>
      <c r="G142" s="135" t="str">
        <f>VLOOKUP(A142,Plano_V3!$A$26:$G$769,7,0)</f>
        <v xml:space="preserve">6. Em implementação </v>
      </c>
      <c r="H142" s="135" t="s">
        <v>2325</v>
      </c>
      <c r="I142" s="473"/>
      <c r="J142" s="153"/>
      <c r="K142" s="359" t="s">
        <v>2247</v>
      </c>
      <c r="L142" s="153"/>
      <c r="M142" s="152" t="str">
        <f>IF(VLOOKUP(A142,'Aux - pivots1'!$A:$E,3,0)=0, "",VLOOKUP(A142,'Aux - pivots1'!$A:$E,3,0))</f>
        <v/>
      </c>
      <c r="N142" s="152" t="str">
        <f>IF(VLOOKUP(A142,'Aux - pivots1'!$A:$E,4,0)=0, "",VLOOKUP(A142,'Aux - pivots1'!$A:$E,4,0))</f>
        <v/>
      </c>
      <c r="O142" s="152" t="str">
        <f>IF(VLOOKUP(A142,'Aux - pivots1'!$A:$E,5,0)=0, "",VLOOKUP(A142,'Aux - pivots1'!$A:$E,5,0))</f>
        <v/>
      </c>
      <c r="P142" s="202"/>
      <c r="Q142" s="202"/>
      <c r="R142" s="203"/>
      <c r="S142" s="324"/>
      <c r="T142" s="324"/>
      <c r="U142" s="372" t="s">
        <v>2328</v>
      </c>
      <c r="V142" s="324" t="s">
        <v>2314</v>
      </c>
    </row>
    <row r="143" spans="1:22" ht="16.350000000000001" hidden="1" customHeight="1">
      <c r="A143" s="29" t="str">
        <f t="shared" si="3"/>
        <v>modesg_param_sfics_taxon_europeiacontraparte</v>
      </c>
      <c r="B143" s="141" t="s">
        <v>26</v>
      </c>
      <c r="C143" s="137" t="s">
        <v>181</v>
      </c>
      <c r="D143" s="133" t="s">
        <v>40</v>
      </c>
      <c r="E143" s="134" t="s">
        <v>2102</v>
      </c>
      <c r="F143" s="476" t="s">
        <v>394</v>
      </c>
      <c r="G143" s="135" t="str">
        <f>VLOOKUP(A143,Plano_V3!$A$26:$G$769,7,0)</f>
        <v xml:space="preserve">6. Em implementação </v>
      </c>
      <c r="H143" s="135" t="s">
        <v>2325</v>
      </c>
      <c r="I143" s="473"/>
      <c r="J143" s="153"/>
      <c r="K143" s="359" t="s">
        <v>2247</v>
      </c>
      <c r="L143" s="153"/>
      <c r="M143" s="152" t="str">
        <f>IF(VLOOKUP(A143,'Aux - pivots1'!$A:$E,3,0)=0, "",VLOOKUP(A143,'Aux - pivots1'!$A:$E,3,0))</f>
        <v/>
      </c>
      <c r="N143" s="152" t="str">
        <f>IF(VLOOKUP(A143,'Aux - pivots1'!$A:$E,4,0)=0, "",VLOOKUP(A143,'Aux - pivots1'!$A:$E,4,0))</f>
        <v/>
      </c>
      <c r="O143" s="152" t="str">
        <f>IF(VLOOKUP(A143,'Aux - pivots1'!$A:$E,5,0)=0, "",VLOOKUP(A143,'Aux - pivots1'!$A:$E,5,0))</f>
        <v/>
      </c>
      <c r="P143" s="202"/>
      <c r="Q143" s="202"/>
      <c r="R143" s="203"/>
      <c r="S143" s="324"/>
      <c r="T143" s="324"/>
      <c r="U143" s="372" t="s">
        <v>2328</v>
      </c>
      <c r="V143" s="324" t="s">
        <v>2314</v>
      </c>
    </row>
    <row r="144" spans="1:22" ht="16.350000000000001" hidden="1" customHeight="1">
      <c r="A144" s="29" t="str">
        <f t="shared" si="3"/>
        <v>modesg_param_sfics_taxon_europeiaflag_project_finance</v>
      </c>
      <c r="B144" s="141" t="s">
        <v>26</v>
      </c>
      <c r="C144" s="137" t="s">
        <v>181</v>
      </c>
      <c r="D144" s="133" t="s">
        <v>40</v>
      </c>
      <c r="E144" s="134" t="s">
        <v>2102</v>
      </c>
      <c r="F144" s="476" t="s">
        <v>199</v>
      </c>
      <c r="G144" s="135" t="str">
        <f>VLOOKUP(A144,Plano_V3!$A$26:$G$769,7,0)</f>
        <v xml:space="preserve">6. Em implementação </v>
      </c>
      <c r="H144" s="135" t="s">
        <v>2325</v>
      </c>
      <c r="I144" s="473"/>
      <c r="J144" s="142"/>
      <c r="K144" s="359" t="s">
        <v>2247</v>
      </c>
      <c r="L144" s="142"/>
      <c r="M144" s="152" t="str">
        <f>IF(VLOOKUP(A144,'Aux - pivots1'!$A:$E,3,0)=0, "",VLOOKUP(A144,'Aux - pivots1'!$A:$E,3,0))</f>
        <v/>
      </c>
      <c r="N144" s="152" t="str">
        <f>IF(VLOOKUP(A144,'Aux - pivots1'!$A:$E,4,0)=0, "",VLOOKUP(A144,'Aux - pivots1'!$A:$E,4,0))</f>
        <v/>
      </c>
      <c r="O144" s="152" t="str">
        <f>IF(VLOOKUP(A144,'Aux - pivots1'!$A:$E,5,0)=0, "",VLOOKUP(A144,'Aux - pivots1'!$A:$E,5,0))</f>
        <v/>
      </c>
      <c r="P144" s="202"/>
      <c r="Q144" s="202"/>
      <c r="R144" s="203"/>
      <c r="S144" s="324"/>
      <c r="T144" s="324"/>
      <c r="U144" s="372" t="s">
        <v>2328</v>
      </c>
      <c r="V144" s="324" t="s">
        <v>2314</v>
      </c>
    </row>
    <row r="145" spans="1:22" ht="16.350000000000001" hidden="1" customHeight="1">
      <c r="A145" s="29" t="str">
        <f t="shared" si="3"/>
        <v>modesg_param_sfics_taxon_europeiacgarante_bem</v>
      </c>
      <c r="B145" s="141" t="s">
        <v>26</v>
      </c>
      <c r="C145" s="137" t="s">
        <v>181</v>
      </c>
      <c r="D145" s="133" t="s">
        <v>40</v>
      </c>
      <c r="E145" s="134" t="s">
        <v>2102</v>
      </c>
      <c r="F145" s="476" t="s">
        <v>2416</v>
      </c>
      <c r="G145" s="135" t="str">
        <f>VLOOKUP(A145,Plano_V3!$A$26:$G$769,7,0)</f>
        <v xml:space="preserve">6. Em implementação </v>
      </c>
      <c r="H145" s="135" t="s">
        <v>2325</v>
      </c>
      <c r="I145" s="473"/>
      <c r="J145" s="142"/>
      <c r="K145" s="359" t="s">
        <v>2247</v>
      </c>
      <c r="L145" s="142"/>
      <c r="M145" s="152" t="str">
        <f>IF(VLOOKUP(A145,'Aux - pivots1'!$A:$E,3,0)=0, "",VLOOKUP(A145,'Aux - pivots1'!$A:$E,3,0))</f>
        <v/>
      </c>
      <c r="N145" s="152" t="str">
        <f>IF(VLOOKUP(A145,'Aux - pivots1'!$A:$E,4,0)=0, "",VLOOKUP(A145,'Aux - pivots1'!$A:$E,4,0))</f>
        <v/>
      </c>
      <c r="O145" s="152" t="str">
        <f>IF(VLOOKUP(A145,'Aux - pivots1'!$A:$E,5,0)=0, "",VLOOKUP(A145,'Aux - pivots1'!$A:$E,5,0))</f>
        <v/>
      </c>
      <c r="P145" s="202"/>
      <c r="Q145" s="202"/>
      <c r="R145" s="203"/>
      <c r="S145" s="324"/>
      <c r="T145" s="324"/>
      <c r="U145" s="372" t="s">
        <v>2328</v>
      </c>
      <c r="V145" s="324" t="s">
        <v>2314</v>
      </c>
    </row>
    <row r="146" spans="1:22" ht="16.350000000000001" hidden="1" customHeight="1">
      <c r="A146" s="29" t="str">
        <f t="shared" si="3"/>
        <v>modesg_param_sfics_taxon_europeiaprdt_sprdt</v>
      </c>
      <c r="B146" s="141" t="s">
        <v>26</v>
      </c>
      <c r="C146" s="137" t="s">
        <v>181</v>
      </c>
      <c r="D146" s="133" t="s">
        <v>40</v>
      </c>
      <c r="E146" s="134" t="s">
        <v>2102</v>
      </c>
      <c r="F146" s="476" t="s">
        <v>2054</v>
      </c>
      <c r="G146" s="135" t="str">
        <f>VLOOKUP(A146,Plano_V3!$A$26:$G$769,7,0)</f>
        <v xml:space="preserve">6. Em implementação </v>
      </c>
      <c r="H146" s="135" t="s">
        <v>2325</v>
      </c>
      <c r="I146" s="473"/>
      <c r="J146" s="142"/>
      <c r="K146" s="359" t="s">
        <v>2247</v>
      </c>
      <c r="L146" s="142"/>
      <c r="M146" s="152" t="str">
        <f>IF(VLOOKUP(A146,'Aux - pivots1'!$A:$E,3,0)=0, "",VLOOKUP(A146,'Aux - pivots1'!$A:$E,3,0))</f>
        <v/>
      </c>
      <c r="N146" s="152" t="str">
        <f>IF(VLOOKUP(A146,'Aux - pivots1'!$A:$E,4,0)=0, "",VLOOKUP(A146,'Aux - pivots1'!$A:$E,4,0))</f>
        <v/>
      </c>
      <c r="O146" s="152" t="str">
        <f>IF(VLOOKUP(A146,'Aux - pivots1'!$A:$E,5,0)=0, "",VLOOKUP(A146,'Aux - pivots1'!$A:$E,5,0))</f>
        <v/>
      </c>
      <c r="P146" s="202"/>
      <c r="Q146" s="202"/>
      <c r="R146" s="203"/>
      <c r="S146" s="324"/>
      <c r="T146" s="324"/>
      <c r="U146" s="372" t="s">
        <v>2328</v>
      </c>
      <c r="V146" s="324" t="s">
        <v>2314</v>
      </c>
    </row>
    <row r="147" spans="1:22" ht="16.350000000000001" hidden="1" customHeight="1">
      <c r="A147" s="29" t="str">
        <f t="shared" si="3"/>
        <v>modesg_param_sfics_taxon_europeiaflg_csrd</v>
      </c>
      <c r="B147" s="141" t="s">
        <v>26</v>
      </c>
      <c r="C147" s="137" t="s">
        <v>181</v>
      </c>
      <c r="D147" s="133" t="s">
        <v>40</v>
      </c>
      <c r="E147" s="134" t="s">
        <v>2102</v>
      </c>
      <c r="F147" s="476" t="s">
        <v>2055</v>
      </c>
      <c r="G147" s="135" t="str">
        <f>VLOOKUP(A147,Plano_V3!$A$26:$G$769,7,0)</f>
        <v xml:space="preserve">6. Em implementação </v>
      </c>
      <c r="H147" s="135" t="s">
        <v>2325</v>
      </c>
      <c r="I147" s="473"/>
      <c r="J147" s="142"/>
      <c r="K147" s="359" t="s">
        <v>2247</v>
      </c>
      <c r="L147" s="142"/>
      <c r="M147" s="152" t="str">
        <f>IF(VLOOKUP(A147,'Aux - pivots1'!$A:$E,3,0)=0, "",VLOOKUP(A147,'Aux - pivots1'!$A:$E,3,0))</f>
        <v/>
      </c>
      <c r="N147" s="152" t="str">
        <f>IF(VLOOKUP(A147,'Aux - pivots1'!$A:$E,4,0)=0, "",VLOOKUP(A147,'Aux - pivots1'!$A:$E,4,0))</f>
        <v/>
      </c>
      <c r="O147" s="152" t="str">
        <f>IF(VLOOKUP(A147,'Aux - pivots1'!$A:$E,5,0)=0, "",VLOOKUP(A147,'Aux - pivots1'!$A:$E,5,0))</f>
        <v/>
      </c>
      <c r="P147" s="202"/>
      <c r="Q147" s="202"/>
      <c r="R147" s="203"/>
      <c r="S147" s="324"/>
      <c r="T147" s="324"/>
      <c r="U147" s="372" t="s">
        <v>2328</v>
      </c>
      <c r="V147" s="324" t="s">
        <v>2314</v>
      </c>
    </row>
    <row r="148" spans="1:22" ht="16.350000000000001" hidden="1" customHeight="1">
      <c r="A148" s="29" t="str">
        <f t="shared" si="3"/>
        <v>modesg_param_sfics_taxon_europeiacombustivel</v>
      </c>
      <c r="B148" s="141" t="s">
        <v>26</v>
      </c>
      <c r="C148" s="137" t="s">
        <v>181</v>
      </c>
      <c r="D148" s="133" t="s">
        <v>40</v>
      </c>
      <c r="E148" s="134" t="s">
        <v>2102</v>
      </c>
      <c r="F148" s="476" t="s">
        <v>2056</v>
      </c>
      <c r="G148" s="135" t="str">
        <f>VLOOKUP(A148,Plano_V3!$A$26:$G$769,7,0)</f>
        <v xml:space="preserve">6. Em implementação </v>
      </c>
      <c r="H148" s="135" t="s">
        <v>2325</v>
      </c>
      <c r="I148" s="473"/>
      <c r="J148" s="142"/>
      <c r="K148" s="359" t="s">
        <v>2247</v>
      </c>
      <c r="L148" s="142"/>
      <c r="M148" s="152" t="str">
        <f>IF(VLOOKUP(A148,'Aux - pivots1'!$A:$E,3,0)=0, "",VLOOKUP(A148,'Aux - pivots1'!$A:$E,3,0))</f>
        <v/>
      </c>
      <c r="N148" s="152" t="str">
        <f>IF(VLOOKUP(A148,'Aux - pivots1'!$A:$E,4,0)=0, "",VLOOKUP(A148,'Aux - pivots1'!$A:$E,4,0))</f>
        <v/>
      </c>
      <c r="O148" s="152" t="str">
        <f>IF(VLOOKUP(A148,'Aux - pivots1'!$A:$E,5,0)=0, "",VLOOKUP(A148,'Aux - pivots1'!$A:$E,5,0))</f>
        <v/>
      </c>
      <c r="P148" s="202"/>
      <c r="Q148" s="202"/>
      <c r="R148" s="203"/>
      <c r="S148" s="324"/>
      <c r="T148" s="324"/>
      <c r="U148" s="372" t="s">
        <v>2328</v>
      </c>
      <c r="V148" s="324" t="s">
        <v>2314</v>
      </c>
    </row>
    <row r="149" spans="1:22" ht="16.350000000000001" hidden="1" customHeight="1">
      <c r="A149" s="29" t="str">
        <f t="shared" si="3"/>
        <v>modesg_param_sfics_taxon_europeiaco2</v>
      </c>
      <c r="B149" s="141" t="s">
        <v>26</v>
      </c>
      <c r="C149" s="137" t="s">
        <v>181</v>
      </c>
      <c r="D149" s="133" t="s">
        <v>40</v>
      </c>
      <c r="E149" s="134" t="s">
        <v>2102</v>
      </c>
      <c r="F149" s="476" t="s">
        <v>2057</v>
      </c>
      <c r="G149" s="135" t="str">
        <f>VLOOKUP(A149,Plano_V3!$A$26:$G$769,7,0)</f>
        <v xml:space="preserve">6. Em implementação </v>
      </c>
      <c r="H149" s="135" t="s">
        <v>2325</v>
      </c>
      <c r="I149" s="473"/>
      <c r="J149" s="153"/>
      <c r="K149" s="359" t="s">
        <v>2247</v>
      </c>
      <c r="L149" s="153"/>
      <c r="M149" s="152" t="str">
        <f>IF(VLOOKUP(A149,'Aux - pivots1'!$A:$E,3,0)=0, "",VLOOKUP(A149,'Aux - pivots1'!$A:$E,3,0))</f>
        <v/>
      </c>
      <c r="N149" s="152" t="str">
        <f>IF(VLOOKUP(A149,'Aux - pivots1'!$A:$E,4,0)=0, "",VLOOKUP(A149,'Aux - pivots1'!$A:$E,4,0))</f>
        <v/>
      </c>
      <c r="O149" s="152" t="str">
        <f>IF(VLOOKUP(A149,'Aux - pivots1'!$A:$E,5,0)=0, "",VLOOKUP(A149,'Aux - pivots1'!$A:$E,5,0))</f>
        <v/>
      </c>
      <c r="P149" s="202"/>
      <c r="Q149" s="202"/>
      <c r="R149" s="203"/>
      <c r="S149" s="324"/>
      <c r="T149" s="324"/>
      <c r="U149" s="372" t="s">
        <v>2328</v>
      </c>
      <c r="V149" s="324" t="s">
        <v>2314</v>
      </c>
    </row>
    <row r="150" spans="1:22" ht="16.350000000000001" hidden="1" customHeight="1">
      <c r="A150" s="29" t="str">
        <f t="shared" si="3"/>
        <v>modesg_param_sfics_taxon_europeiacfamilia</v>
      </c>
      <c r="B150" s="141" t="s">
        <v>26</v>
      </c>
      <c r="C150" s="137" t="s">
        <v>181</v>
      </c>
      <c r="D150" s="133" t="s">
        <v>40</v>
      </c>
      <c r="E150" s="134" t="s">
        <v>2102</v>
      </c>
      <c r="F150" s="476" t="s">
        <v>2058</v>
      </c>
      <c r="G150" s="135" t="str">
        <f>VLOOKUP(A150,Plano_V3!$A$26:$G$769,7,0)</f>
        <v xml:space="preserve">6. Em implementação </v>
      </c>
      <c r="H150" s="135" t="s">
        <v>2325</v>
      </c>
      <c r="I150" s="473"/>
      <c r="J150" s="153"/>
      <c r="K150" s="359" t="s">
        <v>2247</v>
      </c>
      <c r="L150" s="153"/>
      <c r="M150" s="152" t="str">
        <f>IF(VLOOKUP(A150,'Aux - pivots1'!$A:$E,3,0)=0, "",VLOOKUP(A150,'Aux - pivots1'!$A:$E,3,0))</f>
        <v/>
      </c>
      <c r="N150" s="152" t="str">
        <f>IF(VLOOKUP(A150,'Aux - pivots1'!$A:$E,4,0)=0, "",VLOOKUP(A150,'Aux - pivots1'!$A:$E,4,0))</f>
        <v/>
      </c>
      <c r="O150" s="152" t="str">
        <f>IF(VLOOKUP(A150,'Aux - pivots1'!$A:$E,5,0)=0, "",VLOOKUP(A150,'Aux - pivots1'!$A:$E,5,0))</f>
        <v/>
      </c>
      <c r="P150" s="202"/>
      <c r="Q150" s="202"/>
      <c r="R150" s="203"/>
      <c r="S150" s="324"/>
      <c r="T150" s="324"/>
      <c r="U150" s="372" t="s">
        <v>2328</v>
      </c>
      <c r="V150" s="324" t="s">
        <v>2314</v>
      </c>
    </row>
    <row r="151" spans="1:22" ht="16.350000000000001" hidden="1" customHeight="1">
      <c r="A151" s="29" t="str">
        <f t="shared" si="3"/>
        <v>modesg_param_sfics_taxon_europeiaflg_rsc_fsc_crnc</v>
      </c>
      <c r="B151" s="141" t="s">
        <v>26</v>
      </c>
      <c r="C151" s="137" t="s">
        <v>181</v>
      </c>
      <c r="D151" s="133" t="s">
        <v>40</v>
      </c>
      <c r="E151" s="134" t="s">
        <v>2102</v>
      </c>
      <c r="F151" s="476" t="s">
        <v>283</v>
      </c>
      <c r="G151" s="135" t="str">
        <f>VLOOKUP(A151,Plano_V3!$A$26:$G$769,7,0)</f>
        <v xml:space="preserve">6. Em implementação </v>
      </c>
      <c r="H151" s="135" t="s">
        <v>2325</v>
      </c>
      <c r="I151" s="473"/>
      <c r="J151" s="153"/>
      <c r="K151" s="359" t="s">
        <v>2247</v>
      </c>
      <c r="L151" s="491"/>
      <c r="M151" s="152" t="str">
        <f>IF(VLOOKUP(A151,'Aux - pivots1'!$A:$E,3,0)=0, "",VLOOKUP(A151,'Aux - pivots1'!$A:$E,3,0))</f>
        <v/>
      </c>
      <c r="N151" s="152" t="str">
        <f>IF(VLOOKUP(A151,'Aux - pivots1'!$A:$E,4,0)=0, "",VLOOKUP(A151,'Aux - pivots1'!$A:$E,4,0))</f>
        <v/>
      </c>
      <c r="O151" s="152" t="str">
        <f>IF(VLOOKUP(A151,'Aux - pivots1'!$A:$E,5,0)=0, "",VLOOKUP(A151,'Aux - pivots1'!$A:$E,5,0))</f>
        <v/>
      </c>
      <c r="P151" s="202"/>
      <c r="Q151" s="202"/>
      <c r="R151" s="203"/>
      <c r="S151" s="324"/>
      <c r="T151" s="324"/>
      <c r="U151" s="372" t="s">
        <v>2326</v>
      </c>
      <c r="V151" s="324" t="s">
        <v>2314</v>
      </c>
    </row>
    <row r="152" spans="1:22" ht="16.350000000000001" hidden="1" customHeight="1">
      <c r="A152" s="29" t="str">
        <f t="shared" si="3"/>
        <v>modesg_param_sfics_taxon_europeiaflg_rsc_fsc_agd</v>
      </c>
      <c r="B152" s="141" t="s">
        <v>26</v>
      </c>
      <c r="C152" s="137" t="s">
        <v>181</v>
      </c>
      <c r="D152" s="133" t="s">
        <v>40</v>
      </c>
      <c r="E152" s="134" t="s">
        <v>2102</v>
      </c>
      <c r="F152" s="476" t="s">
        <v>282</v>
      </c>
      <c r="G152" s="135" t="str">
        <f>VLOOKUP(A152,Plano_V3!$A$26:$G$769,7,0)</f>
        <v xml:space="preserve">6. Em implementação </v>
      </c>
      <c r="H152" s="135" t="s">
        <v>2325</v>
      </c>
      <c r="I152" s="473"/>
      <c r="J152" s="490"/>
      <c r="K152" s="359" t="s">
        <v>2247</v>
      </c>
      <c r="L152" s="490"/>
      <c r="M152" s="152" t="str">
        <f>IF(VLOOKUP(A152,'Aux - pivots1'!$A:$E,3,0)=0, "",VLOOKUP(A152,'Aux - pivots1'!$A:$E,3,0))</f>
        <v/>
      </c>
      <c r="N152" s="152" t="str">
        <f>IF(VLOOKUP(A152,'Aux - pivots1'!$A:$E,4,0)=0, "",VLOOKUP(A152,'Aux - pivots1'!$A:$E,4,0))</f>
        <v/>
      </c>
      <c r="O152" s="152" t="str">
        <f>IF(VLOOKUP(A152,'Aux - pivots1'!$A:$E,5,0)=0, "",VLOOKUP(A152,'Aux - pivots1'!$A:$E,5,0))</f>
        <v/>
      </c>
      <c r="P152" s="202"/>
      <c r="Q152" s="202"/>
      <c r="R152" s="203"/>
      <c r="S152" s="324"/>
      <c r="T152" s="324"/>
      <c r="U152" s="372" t="s">
        <v>2326</v>
      </c>
      <c r="V152" s="324" t="s">
        <v>2314</v>
      </c>
    </row>
    <row r="153" spans="1:22" ht="16.350000000000001" hidden="1" customHeight="1">
      <c r="A153" s="29" t="str">
        <f t="shared" si="3"/>
        <v>modesg_param_sfics_taxon_europeiaproperty_purpose_code</v>
      </c>
      <c r="B153" s="141" t="s">
        <v>26</v>
      </c>
      <c r="C153" s="137" t="s">
        <v>181</v>
      </c>
      <c r="D153" s="133" t="s">
        <v>40</v>
      </c>
      <c r="E153" s="134" t="s">
        <v>2102</v>
      </c>
      <c r="F153" s="476" t="s">
        <v>2059</v>
      </c>
      <c r="G153" s="135" t="str">
        <f>VLOOKUP(A153,Plano_V3!$A$26:$G$769,7,0)</f>
        <v xml:space="preserve">6. Em implementação </v>
      </c>
      <c r="H153" s="135" t="s">
        <v>2325</v>
      </c>
      <c r="I153" s="473"/>
      <c r="J153" s="490"/>
      <c r="K153" s="359" t="s">
        <v>2247</v>
      </c>
      <c r="L153" s="490"/>
      <c r="M153" s="152" t="str">
        <f>IF(VLOOKUP(A153,'Aux - pivots1'!$A:$E,3,0)=0, "",VLOOKUP(A153,'Aux - pivots1'!$A:$E,3,0))</f>
        <v/>
      </c>
      <c r="N153" s="152" t="str">
        <f>IF(VLOOKUP(A153,'Aux - pivots1'!$A:$E,4,0)=0, "",VLOOKUP(A153,'Aux - pivots1'!$A:$E,4,0))</f>
        <v/>
      </c>
      <c r="O153" s="152" t="str">
        <f>IF(VLOOKUP(A153,'Aux - pivots1'!$A:$E,5,0)=0, "",VLOOKUP(A153,'Aux - pivots1'!$A:$E,5,0))</f>
        <v/>
      </c>
      <c r="P153" s="202"/>
      <c r="Q153" s="202"/>
      <c r="R153" s="203"/>
      <c r="S153" s="324"/>
      <c r="T153" s="324"/>
      <c r="U153" s="372" t="s">
        <v>2328</v>
      </c>
      <c r="V153" s="324" t="s">
        <v>2314</v>
      </c>
    </row>
    <row r="154" spans="1:22" ht="16.350000000000001" hidden="1" customHeight="1">
      <c r="A154" s="29" t="str">
        <f t="shared" si="3"/>
        <v>modesg_param_sfics_taxon_europeiadabertur</v>
      </c>
      <c r="B154" s="141" t="s">
        <v>26</v>
      </c>
      <c r="C154" s="137" t="s">
        <v>181</v>
      </c>
      <c r="D154" s="133" t="s">
        <v>40</v>
      </c>
      <c r="E154" s="134" t="s">
        <v>2102</v>
      </c>
      <c r="F154" s="476" t="s">
        <v>2060</v>
      </c>
      <c r="G154" s="135" t="str">
        <f>VLOOKUP(A154,Plano_V3!$A$26:$G$769,7,0)</f>
        <v xml:space="preserve">6. Em implementação </v>
      </c>
      <c r="H154" s="135" t="s">
        <v>2325</v>
      </c>
      <c r="I154" s="473"/>
      <c r="J154" s="490"/>
      <c r="K154" s="359" t="s">
        <v>2247</v>
      </c>
      <c r="L154" s="490"/>
      <c r="M154" s="152" t="str">
        <f>IF(VLOOKUP(A154,'Aux - pivots1'!$A:$E,3,0)=0, "",VLOOKUP(A154,'Aux - pivots1'!$A:$E,3,0))</f>
        <v/>
      </c>
      <c r="N154" s="152" t="str">
        <f>IF(VLOOKUP(A154,'Aux - pivots1'!$A:$E,4,0)=0, "",VLOOKUP(A154,'Aux - pivots1'!$A:$E,4,0))</f>
        <v/>
      </c>
      <c r="O154" s="152" t="str">
        <f>IF(VLOOKUP(A154,'Aux - pivots1'!$A:$E,5,0)=0, "",VLOOKUP(A154,'Aux - pivots1'!$A:$E,5,0))</f>
        <v/>
      </c>
      <c r="P154" s="202"/>
      <c r="Q154" s="202"/>
      <c r="R154" s="203"/>
      <c r="S154" s="324"/>
      <c r="T154" s="324"/>
      <c r="U154" s="372" t="s">
        <v>2384</v>
      </c>
      <c r="V154" s="324" t="s">
        <v>2314</v>
      </c>
    </row>
    <row r="155" spans="1:22" ht="16.350000000000001" hidden="1" customHeight="1">
      <c r="A155" s="29" t="str">
        <f t="shared" si="3"/>
        <v>modesg_param_sfics_taxon_europeiatipo_eqp</v>
      </c>
      <c r="B155" s="141" t="s">
        <v>26</v>
      </c>
      <c r="C155" s="137" t="s">
        <v>181</v>
      </c>
      <c r="D155" s="133" t="s">
        <v>40</v>
      </c>
      <c r="E155" s="134" t="s">
        <v>2102</v>
      </c>
      <c r="F155" s="476" t="s">
        <v>2061</v>
      </c>
      <c r="G155" s="135" t="str">
        <f>VLOOKUP(A155,Plano_V3!$A$26:$G$769,7,0)</f>
        <v xml:space="preserve">6. Em implementação </v>
      </c>
      <c r="H155" s="135" t="s">
        <v>2325</v>
      </c>
      <c r="I155" s="473"/>
      <c r="J155" s="142"/>
      <c r="K155" s="359" t="s">
        <v>2247</v>
      </c>
      <c r="L155" s="490"/>
      <c r="M155" s="152" t="str">
        <f>IF(VLOOKUP(A155,'Aux - pivots1'!$A:$E,3,0)=0, "",VLOOKUP(A155,'Aux - pivots1'!$A:$E,3,0))</f>
        <v/>
      </c>
      <c r="N155" s="152" t="str">
        <f>IF(VLOOKUP(A155,'Aux - pivots1'!$A:$E,4,0)=0, "",VLOOKUP(A155,'Aux - pivots1'!$A:$E,4,0))</f>
        <v/>
      </c>
      <c r="O155" s="152" t="str">
        <f>IF(VLOOKUP(A155,'Aux - pivots1'!$A:$E,5,0)=0, "",VLOOKUP(A155,'Aux - pivots1'!$A:$E,5,0))</f>
        <v/>
      </c>
      <c r="P155" s="202"/>
      <c r="Q155" s="202"/>
      <c r="R155" s="203"/>
      <c r="S155" s="324"/>
      <c r="T155" s="324"/>
      <c r="U155" s="372" t="s">
        <v>2384</v>
      </c>
      <c r="V155" s="324" t="s">
        <v>2314</v>
      </c>
    </row>
    <row r="156" spans="1:22" ht="16.350000000000001" hidden="1" customHeight="1">
      <c r="A156" s="29" t="str">
        <f t="shared" si="3"/>
        <v>modesg_param_sfics_taxon_europeiaconstruction_year</v>
      </c>
      <c r="B156" s="141" t="s">
        <v>26</v>
      </c>
      <c r="C156" s="137" t="s">
        <v>181</v>
      </c>
      <c r="D156" s="133" t="s">
        <v>40</v>
      </c>
      <c r="E156" s="134" t="s">
        <v>2102</v>
      </c>
      <c r="F156" s="476" t="s">
        <v>2062</v>
      </c>
      <c r="G156" s="135" t="str">
        <f>VLOOKUP(A156,Plano_V3!$A$26:$G$769,7,0)</f>
        <v xml:space="preserve">6. Em implementação </v>
      </c>
      <c r="H156" s="135" t="s">
        <v>2325</v>
      </c>
      <c r="I156" s="473"/>
      <c r="J156" s="142"/>
      <c r="K156" s="359" t="s">
        <v>2247</v>
      </c>
      <c r="L156" s="490"/>
      <c r="M156" s="152" t="str">
        <f>IF(VLOOKUP(A156,'Aux - pivots1'!$A:$E,3,0)=0, "",VLOOKUP(A156,'Aux - pivots1'!$A:$E,3,0))</f>
        <v/>
      </c>
      <c r="N156" s="152" t="str">
        <f>IF(VLOOKUP(A156,'Aux - pivots1'!$A:$E,4,0)=0, "",VLOOKUP(A156,'Aux - pivots1'!$A:$E,4,0))</f>
        <v/>
      </c>
      <c r="O156" s="152" t="str">
        <f>IF(VLOOKUP(A156,'Aux - pivots1'!$A:$E,5,0)=0, "",VLOOKUP(A156,'Aux - pivots1'!$A:$E,5,0))</f>
        <v/>
      </c>
      <c r="P156" s="202"/>
      <c r="Q156" s="202"/>
      <c r="R156" s="203"/>
      <c r="S156" s="324"/>
      <c r="T156" s="324"/>
      <c r="U156" s="372" t="s">
        <v>2326</v>
      </c>
      <c r="V156" s="324" t="s">
        <v>2314</v>
      </c>
    </row>
    <row r="157" spans="1:22" ht="16.350000000000001" hidden="1" customHeight="1">
      <c r="A157" s="29" t="str">
        <f t="shared" si="3"/>
        <v>modesg_param_sfics_taxon_europeiaref_date</v>
      </c>
      <c r="B157" s="141" t="s">
        <v>26</v>
      </c>
      <c r="C157" s="137" t="s">
        <v>181</v>
      </c>
      <c r="D157" s="133" t="s">
        <v>40</v>
      </c>
      <c r="E157" s="134" t="s">
        <v>2102</v>
      </c>
      <c r="F157" s="476" t="s">
        <v>208</v>
      </c>
      <c r="G157" s="135" t="str">
        <f>VLOOKUP(A157,Plano_V3!$A$26:$G$769,7,0)</f>
        <v xml:space="preserve">6. Em implementação </v>
      </c>
      <c r="H157" s="135" t="s">
        <v>2325</v>
      </c>
      <c r="I157" s="473"/>
      <c r="J157" s="153"/>
      <c r="K157" s="359" t="s">
        <v>2247</v>
      </c>
      <c r="L157" s="491"/>
      <c r="M157" s="152" t="str">
        <f>IF(VLOOKUP(A157,'Aux - pivots1'!$A:$E,3,0)=0, "",VLOOKUP(A157,'Aux - pivots1'!$A:$E,3,0))</f>
        <v/>
      </c>
      <c r="N157" s="152" t="str">
        <f>IF(VLOOKUP(A157,'Aux - pivots1'!$A:$E,4,0)=0, "",VLOOKUP(A157,'Aux - pivots1'!$A:$E,4,0))</f>
        <v/>
      </c>
      <c r="O157" s="152" t="str">
        <f>IF(VLOOKUP(A157,'Aux - pivots1'!$A:$E,5,0)=0, "",VLOOKUP(A157,'Aux - pivots1'!$A:$E,5,0))</f>
        <v/>
      </c>
      <c r="P157" s="202"/>
      <c r="Q157" s="202"/>
      <c r="R157" s="203"/>
      <c r="S157" s="324"/>
      <c r="T157" s="324"/>
      <c r="U157" s="372" t="s">
        <v>2328</v>
      </c>
      <c r="V157" s="324" t="s">
        <v>2314</v>
      </c>
    </row>
    <row r="158" spans="1:22" ht="16.350000000000001" hidden="1" customHeight="1">
      <c r="A158" s="29" t="str">
        <f t="shared" si="3"/>
        <v>modesg_param_sfics_taxon_europeiacfinalidad</v>
      </c>
      <c r="B158" s="141" t="s">
        <v>26</v>
      </c>
      <c r="C158" s="137" t="s">
        <v>181</v>
      </c>
      <c r="D158" s="133" t="s">
        <v>40</v>
      </c>
      <c r="E158" s="134" t="s">
        <v>2102</v>
      </c>
      <c r="F158" s="476" t="s">
        <v>200</v>
      </c>
      <c r="G158" s="135" t="str">
        <f>VLOOKUP(A158,Plano_V3!$A$26:$G$769,7,0)</f>
        <v xml:space="preserve">6. Em implementação </v>
      </c>
      <c r="H158" s="135" t="s">
        <v>2325</v>
      </c>
      <c r="I158" s="473"/>
      <c r="J158" s="153"/>
      <c r="K158" s="359" t="s">
        <v>2247</v>
      </c>
      <c r="L158" s="153"/>
      <c r="M158" s="152"/>
      <c r="N158" s="152"/>
      <c r="O158" s="152"/>
      <c r="P158" s="202"/>
      <c r="Q158" s="202"/>
      <c r="R158" s="203"/>
      <c r="S158" s="324"/>
      <c r="T158" s="324"/>
      <c r="U158" s="372" t="s">
        <v>2326</v>
      </c>
      <c r="V158" s="324"/>
    </row>
    <row r="159" spans="1:22" ht="16.350000000000001" hidden="1" customHeight="1">
      <c r="A159" s="29" t="str">
        <f t="shared" si="3"/>
        <v>modesg_param_sfics_taxon_europeiasst_indctr_aux</v>
      </c>
      <c r="B159" s="141" t="s">
        <v>26</v>
      </c>
      <c r="C159" s="137" t="s">
        <v>181</v>
      </c>
      <c r="D159" s="133" t="s">
        <v>40</v>
      </c>
      <c r="E159" s="134" t="s">
        <v>2102</v>
      </c>
      <c r="F159" s="476" t="s">
        <v>2423</v>
      </c>
      <c r="G159" s="135" t="str">
        <f>VLOOKUP(A159,Plano_V3!$A$26:$G$769,7,0)</f>
        <v xml:space="preserve">6. Em implementação </v>
      </c>
      <c r="H159" s="135" t="s">
        <v>2325</v>
      </c>
      <c r="I159" s="473"/>
      <c r="J159" s="153"/>
      <c r="K159" s="359" t="s">
        <v>2247</v>
      </c>
      <c r="L159" s="153"/>
      <c r="M159" s="152" t="str">
        <f>IF(VLOOKUP(A159,'Aux - pivots1'!$A:$E,3,0)=0, "",VLOOKUP(A159,'Aux - pivots1'!$A:$E,3,0))</f>
        <v/>
      </c>
      <c r="N159" s="152" t="str">
        <f>IF(VLOOKUP(A159,'Aux - pivots1'!$A:$E,4,0)=0, "",VLOOKUP(A159,'Aux - pivots1'!$A:$E,4,0))</f>
        <v/>
      </c>
      <c r="O159" s="152" t="str">
        <f>IF(VLOOKUP(A159,'Aux - pivots1'!$A:$E,5,0)=0, "",VLOOKUP(A159,'Aux - pivots1'!$A:$E,5,0))</f>
        <v/>
      </c>
      <c r="P159" s="202"/>
      <c r="Q159" s="202"/>
      <c r="R159" s="203"/>
      <c r="S159" s="324"/>
      <c r="T159" s="324"/>
      <c r="U159" s="372" t="s">
        <v>2433</v>
      </c>
      <c r="V159" s="324"/>
    </row>
    <row r="160" spans="1:22" ht="16.350000000000001" hidden="1" customHeight="1">
      <c r="A160" s="29" t="str">
        <f t="shared" si="3"/>
        <v>modesg_param_sfics_taxon_europeiaquality_score</v>
      </c>
      <c r="B160" s="141" t="s">
        <v>26</v>
      </c>
      <c r="C160" s="137" t="s">
        <v>181</v>
      </c>
      <c r="D160" s="133" t="s">
        <v>40</v>
      </c>
      <c r="E160" s="134" t="s">
        <v>2102</v>
      </c>
      <c r="F160" s="476" t="s">
        <v>2063</v>
      </c>
      <c r="G160" s="135" t="str">
        <f>VLOOKUP(A160,Plano_V3!$A$26:$G$769,7,0)</f>
        <v xml:space="preserve">6. Em implementação </v>
      </c>
      <c r="H160" s="135" t="s">
        <v>2325</v>
      </c>
      <c r="I160" s="473"/>
      <c r="J160" s="153"/>
      <c r="K160" s="359" t="s">
        <v>2247</v>
      </c>
      <c r="L160" s="153"/>
      <c r="M160" s="152" t="str">
        <f>IF(VLOOKUP(A160,'Aux - pivots1'!$A:$E,3,0)=0, "",VLOOKUP(A160,'Aux - pivots1'!$A:$E,3,0))</f>
        <v/>
      </c>
      <c r="N160" s="152" t="str">
        <f>IF(VLOOKUP(A160,'Aux - pivots1'!$A:$E,4,0)=0, "",VLOOKUP(A160,'Aux - pivots1'!$A:$E,4,0))</f>
        <v/>
      </c>
      <c r="O160" s="152" t="str">
        <f>IF(VLOOKUP(A160,'Aux - pivots1'!$A:$E,5,0)=0, "",VLOOKUP(A160,'Aux - pivots1'!$A:$E,5,0))</f>
        <v/>
      </c>
      <c r="P160" s="202"/>
      <c r="Q160" s="202"/>
      <c r="R160" s="203"/>
      <c r="S160" s="324"/>
      <c r="T160" s="324"/>
      <c r="U160" s="372" t="s">
        <v>2328</v>
      </c>
      <c r="V160" s="324" t="s">
        <v>2314</v>
      </c>
    </row>
    <row r="161" spans="1:22" ht="16.350000000000001" hidden="1" customHeight="1">
      <c r="A161" s="29" t="str">
        <f t="shared" si="3"/>
        <v>modesg_param_sfics_taxon_europeiaprimary_energy_req_value</v>
      </c>
      <c r="B161" s="141" t="s">
        <v>26</v>
      </c>
      <c r="C161" s="137" t="s">
        <v>181</v>
      </c>
      <c r="D161" s="133" t="s">
        <v>40</v>
      </c>
      <c r="E161" s="134" t="s">
        <v>2102</v>
      </c>
      <c r="F161" s="476" t="s">
        <v>2418</v>
      </c>
      <c r="G161" s="135" t="str">
        <f>VLOOKUP(A161,Plano_V3!$A$26:$G$769,7,0)</f>
        <v xml:space="preserve">6. Em implementação </v>
      </c>
      <c r="H161" s="135" t="s">
        <v>2325</v>
      </c>
      <c r="I161" s="473"/>
      <c r="J161" s="153"/>
      <c r="K161" s="359" t="s">
        <v>2247</v>
      </c>
      <c r="L161" s="153"/>
      <c r="M161" s="152" t="str">
        <f>IF(VLOOKUP(A161,'Aux - pivots1'!$A:$E,3,0)=0, "",VLOOKUP(A161,'Aux - pivots1'!$A:$E,3,0))</f>
        <v/>
      </c>
      <c r="N161" s="152" t="str">
        <f>IF(VLOOKUP(A161,'Aux - pivots1'!$A:$E,4,0)=0, "",VLOOKUP(A161,'Aux - pivots1'!$A:$E,4,0))</f>
        <v/>
      </c>
      <c r="O161" s="152" t="str">
        <f>IF(VLOOKUP(A161,'Aux - pivots1'!$A:$E,5,0)=0, "",VLOOKUP(A161,'Aux - pivots1'!$A:$E,5,0))</f>
        <v/>
      </c>
      <c r="P161" s="202"/>
      <c r="Q161" s="202"/>
      <c r="R161" s="203"/>
      <c r="S161" s="324"/>
      <c r="T161" s="324"/>
      <c r="U161" s="372" t="s">
        <v>2326</v>
      </c>
      <c r="V161" s="324" t="s">
        <v>2314</v>
      </c>
    </row>
    <row r="162" spans="1:22" ht="16.350000000000001" hidden="1" customHeight="1">
      <c r="A162" s="29" t="str">
        <f t="shared" si="3"/>
        <v>modesg_param_sfics_taxon_europeianet_floor_area</v>
      </c>
      <c r="B162" s="141" t="s">
        <v>26</v>
      </c>
      <c r="C162" s="137" t="s">
        <v>181</v>
      </c>
      <c r="D162" s="133" t="s">
        <v>40</v>
      </c>
      <c r="E162" s="134" t="s">
        <v>2102</v>
      </c>
      <c r="F162" s="476" t="s">
        <v>2407</v>
      </c>
      <c r="G162" s="135" t="str">
        <f>VLOOKUP(A162,Plano_V3!$A$26:$G$769,7,0)</f>
        <v xml:space="preserve">6. Em implementação </v>
      </c>
      <c r="H162" s="135" t="s">
        <v>2325</v>
      </c>
      <c r="I162" s="473"/>
      <c r="J162" s="153"/>
      <c r="K162" s="359" t="s">
        <v>2247</v>
      </c>
      <c r="L162" s="153"/>
      <c r="M162" s="152" t="str">
        <f>IF(VLOOKUP(A162,'Aux - pivots1'!$A:$E,3,0)=0, "",VLOOKUP(A162,'Aux - pivots1'!$A:$E,3,0))</f>
        <v/>
      </c>
      <c r="N162" s="152" t="str">
        <f>IF(VLOOKUP(A162,'Aux - pivots1'!$A:$E,4,0)=0, "",VLOOKUP(A162,'Aux - pivots1'!$A:$E,4,0))</f>
        <v/>
      </c>
      <c r="O162" s="152" t="str">
        <f>IF(VLOOKUP(A162,'Aux - pivots1'!$A:$E,5,0)=0, "",VLOOKUP(A162,'Aux - pivots1'!$A:$E,5,0))</f>
        <v/>
      </c>
      <c r="P162" s="202"/>
      <c r="Q162" s="202"/>
      <c r="R162" s="203"/>
      <c r="S162" s="324"/>
      <c r="T162" s="324"/>
      <c r="U162" s="372" t="s">
        <v>2326</v>
      </c>
      <c r="V162" s="324" t="s">
        <v>2314</v>
      </c>
    </row>
    <row r="163" spans="1:22" ht="16.350000000000001" hidden="1" customHeight="1">
      <c r="A163" s="29" t="str">
        <f t="shared" si="3"/>
        <v>modesg_param_sfics_taxon_europeianome_purpose_esg_nalinh_tax</v>
      </c>
      <c r="B163" s="141" t="s">
        <v>26</v>
      </c>
      <c r="C163" s="137" t="s">
        <v>181</v>
      </c>
      <c r="D163" s="133" t="s">
        <v>40</v>
      </c>
      <c r="E163" s="134" t="s">
        <v>2102</v>
      </c>
      <c r="F163" s="476" t="s">
        <v>2065</v>
      </c>
      <c r="G163" s="135" t="str">
        <f>VLOOKUP(A163,Plano_V3!$A$26:$G$769,7,0)</f>
        <v xml:space="preserve">6. Em implementação </v>
      </c>
      <c r="H163" s="135" t="s">
        <v>2325</v>
      </c>
      <c r="I163" s="473"/>
      <c r="J163" s="153"/>
      <c r="K163" s="359" t="s">
        <v>2247</v>
      </c>
      <c r="L163" s="153"/>
      <c r="M163" s="152" t="str">
        <f>IF(VLOOKUP(A163,'Aux - pivots1'!$A:$E,3,0)=0, "",VLOOKUP(A163,'Aux - pivots1'!$A:$E,3,0))</f>
        <v/>
      </c>
      <c r="N163" s="152" t="str">
        <f>IF(VLOOKUP(A163,'Aux - pivots1'!$A:$E,4,0)=0, "",VLOOKUP(A163,'Aux - pivots1'!$A:$E,4,0))</f>
        <v/>
      </c>
      <c r="O163" s="152" t="str">
        <f>IF(VLOOKUP(A163,'Aux - pivots1'!$A:$E,5,0)=0, "",VLOOKUP(A163,'Aux - pivots1'!$A:$E,5,0))</f>
        <v/>
      </c>
      <c r="P163" s="202"/>
      <c r="Q163" s="202"/>
      <c r="R163" s="203"/>
      <c r="S163" s="324"/>
      <c r="T163" s="324"/>
      <c r="U163" s="372" t="s">
        <v>2384</v>
      </c>
      <c r="V163" s="324" t="s">
        <v>2314</v>
      </c>
    </row>
    <row r="164" spans="1:22" ht="16.350000000000001" hidden="1" customHeight="1">
      <c r="A164" s="29" t="str">
        <f t="shared" si="3"/>
        <v>modesg_param_sfics_taxon_europeianome_purpose_esg_alinh_tax</v>
      </c>
      <c r="B164" s="141" t="s">
        <v>26</v>
      </c>
      <c r="C164" s="137" t="s">
        <v>181</v>
      </c>
      <c r="D164" s="133" t="s">
        <v>40</v>
      </c>
      <c r="E164" s="134" t="s">
        <v>2102</v>
      </c>
      <c r="F164" s="476" t="s">
        <v>2064</v>
      </c>
      <c r="G164" s="135" t="str">
        <f>VLOOKUP(A164,Plano_V3!$A$26:$G$769,7,0)</f>
        <v xml:space="preserve">6. Em implementação </v>
      </c>
      <c r="H164" s="135" t="s">
        <v>2325</v>
      </c>
      <c r="I164" s="473"/>
      <c r="J164" s="153"/>
      <c r="K164" s="359" t="s">
        <v>2247</v>
      </c>
      <c r="L164" s="153"/>
      <c r="M164" s="152" t="str">
        <f>IF(VLOOKUP(A164,'Aux - pivots1'!$A:$E,3,0)=0, "",VLOOKUP(A164,'Aux - pivots1'!$A:$E,3,0))</f>
        <v/>
      </c>
      <c r="N164" s="152" t="str">
        <f>IF(VLOOKUP(A164,'Aux - pivots1'!$A:$E,4,0)=0, "",VLOOKUP(A164,'Aux - pivots1'!$A:$E,4,0))</f>
        <v/>
      </c>
      <c r="O164" s="152" t="str">
        <f>IF(VLOOKUP(A164,'Aux - pivots1'!$A:$E,5,0)=0, "",VLOOKUP(A164,'Aux - pivots1'!$A:$E,5,0))</f>
        <v/>
      </c>
      <c r="P164" s="202"/>
      <c r="Q164" s="202"/>
      <c r="R164" s="203"/>
      <c r="S164" s="324"/>
      <c r="T164" s="324"/>
      <c r="U164" s="372" t="s">
        <v>2328</v>
      </c>
      <c r="V164" s="324" t="s">
        <v>2314</v>
      </c>
    </row>
    <row r="165" spans="1:22" ht="16.350000000000001" hidden="1" customHeight="1">
      <c r="A165" s="29" t="str">
        <f t="shared" si="3"/>
        <v>modesg_param_sfics_taxon_europeianome_general_specific_purpose</v>
      </c>
      <c r="B165" s="141" t="s">
        <v>26</v>
      </c>
      <c r="C165" s="137" t="s">
        <v>181</v>
      </c>
      <c r="D165" s="133" t="s">
        <v>40</v>
      </c>
      <c r="E165" s="134" t="s">
        <v>2102</v>
      </c>
      <c r="F165" s="476" t="s">
        <v>204</v>
      </c>
      <c r="G165" s="135" t="str">
        <f>VLOOKUP(A165,Plano_V3!$A$26:$G$769,7,0)</f>
        <v xml:space="preserve">6. Em implementação </v>
      </c>
      <c r="H165" s="135" t="s">
        <v>2325</v>
      </c>
      <c r="I165" s="473"/>
      <c r="J165" s="153"/>
      <c r="K165" s="359" t="s">
        <v>2247</v>
      </c>
      <c r="L165" s="153"/>
      <c r="M165" s="152" t="str">
        <f>IF(VLOOKUP(A165,'Aux - pivots1'!$A:$E,3,0)=0, "",VLOOKUP(A165,'Aux - pivots1'!$A:$E,3,0))</f>
        <v/>
      </c>
      <c r="N165" s="152" t="str">
        <f>IF(VLOOKUP(A165,'Aux - pivots1'!$A:$E,4,0)=0, "",VLOOKUP(A165,'Aux - pivots1'!$A:$E,4,0))</f>
        <v/>
      </c>
      <c r="O165" s="152" t="str">
        <f>IF(VLOOKUP(A165,'Aux - pivots1'!$A:$E,5,0)=0, "",VLOOKUP(A165,'Aux - pivots1'!$A:$E,5,0))</f>
        <v/>
      </c>
      <c r="P165" s="202"/>
      <c r="Q165" s="202"/>
      <c r="R165" s="203"/>
      <c r="S165" s="324"/>
      <c r="T165" s="324"/>
      <c r="U165" s="372" t="s">
        <v>2326</v>
      </c>
      <c r="V165" s="324" t="s">
        <v>2314</v>
      </c>
    </row>
    <row r="166" spans="1:22" ht="16.350000000000001" hidden="1" customHeight="1">
      <c r="A166" s="29" t="str">
        <f t="shared" si="3"/>
        <v>modesg_param_sfics_taxon_europeianome_specific_eligible</v>
      </c>
      <c r="B166" s="141" t="s">
        <v>26</v>
      </c>
      <c r="C166" s="137" t="s">
        <v>181</v>
      </c>
      <c r="D166" s="133" t="s">
        <v>40</v>
      </c>
      <c r="E166" s="134" t="s">
        <v>2102</v>
      </c>
      <c r="F166" s="476" t="s">
        <v>206</v>
      </c>
      <c r="G166" s="135" t="str">
        <f>VLOOKUP(A166,Plano_V3!$A$26:$G$769,7,0)</f>
        <v xml:space="preserve">6. Em implementação </v>
      </c>
      <c r="H166" s="135" t="s">
        <v>2325</v>
      </c>
      <c r="I166" s="473"/>
      <c r="J166" s="153"/>
      <c r="K166" s="359" t="s">
        <v>2247</v>
      </c>
      <c r="L166" s="153"/>
      <c r="M166" s="152" t="str">
        <f>IF(VLOOKUP(A166,'Aux - pivots1'!$A:$E,3,0)=0, "",VLOOKUP(A166,'Aux - pivots1'!$A:$E,3,0))</f>
        <v/>
      </c>
      <c r="N166" s="152" t="str">
        <f>IF(VLOOKUP(A166,'Aux - pivots1'!$A:$E,4,0)=0, "",VLOOKUP(A166,'Aux - pivots1'!$A:$E,4,0))</f>
        <v/>
      </c>
      <c r="O166" s="152" t="str">
        <f>IF(VLOOKUP(A166,'Aux - pivots1'!$A:$E,5,0)=0, "",VLOOKUP(A166,'Aux - pivots1'!$A:$E,5,0))</f>
        <v/>
      </c>
      <c r="P166" s="202"/>
      <c r="Q166" s="202"/>
      <c r="R166" s="203"/>
      <c r="S166" s="324"/>
      <c r="T166" s="324"/>
      <c r="U166" s="372" t="s">
        <v>2326</v>
      </c>
      <c r="V166" s="324" t="s">
        <v>2314</v>
      </c>
    </row>
    <row r="167" spans="1:22" ht="16.350000000000001" hidden="1" customHeight="1">
      <c r="A167" s="29" t="str">
        <f t="shared" si="3"/>
        <v>modesg_param_sfics_taxon_europeianome_specific_sustainable</v>
      </c>
      <c r="B167" s="141" t="s">
        <v>26</v>
      </c>
      <c r="C167" s="137" t="s">
        <v>181</v>
      </c>
      <c r="D167" s="133" t="s">
        <v>40</v>
      </c>
      <c r="E167" s="134" t="s">
        <v>2102</v>
      </c>
      <c r="F167" s="476" t="s">
        <v>207</v>
      </c>
      <c r="G167" s="135" t="str">
        <f>VLOOKUP(A167,Plano_V3!$A$26:$G$769,7,0)</f>
        <v xml:space="preserve">6. Em implementação </v>
      </c>
      <c r="H167" s="135" t="s">
        <v>2325</v>
      </c>
      <c r="I167" s="473"/>
      <c r="J167" s="153"/>
      <c r="K167" s="359" t="s">
        <v>2247</v>
      </c>
      <c r="L167" s="153"/>
      <c r="M167" s="152" t="str">
        <f>IF(VLOOKUP(A167,'Aux - pivots1'!$A:$E,3,0)=0, "",VLOOKUP(A167,'Aux - pivots1'!$A:$E,3,0))</f>
        <v/>
      </c>
      <c r="N167" s="152" t="str">
        <f>IF(VLOOKUP(A167,'Aux - pivots1'!$A:$E,4,0)=0, "",VLOOKUP(A167,'Aux - pivots1'!$A:$E,4,0))</f>
        <v/>
      </c>
      <c r="O167" s="152" t="str">
        <f>IF(VLOOKUP(A167,'Aux - pivots1'!$A:$E,5,0)=0, "",VLOOKUP(A167,'Aux - pivots1'!$A:$E,5,0))</f>
        <v/>
      </c>
      <c r="P167" s="202"/>
      <c r="Q167" s="202"/>
      <c r="R167" s="203"/>
      <c r="S167" s="324"/>
      <c r="T167" s="324"/>
      <c r="U167" s="372" t="s">
        <v>2326</v>
      </c>
      <c r="V167" s="324" t="s">
        <v>2314</v>
      </c>
    </row>
    <row r="168" spans="1:22" ht="16.350000000000001" hidden="1" customHeight="1">
      <c r="A168" s="29" t="str">
        <f t="shared" si="3"/>
        <v>lt006_instr_protprtctn_allctd_vl</v>
      </c>
      <c r="B168" s="141" t="s">
        <v>26</v>
      </c>
      <c r="C168" s="137" t="s">
        <v>26</v>
      </c>
      <c r="D168" s="133" t="s">
        <v>40</v>
      </c>
      <c r="E168" s="136" t="s">
        <v>441</v>
      </c>
      <c r="F168" s="480" t="s">
        <v>442</v>
      </c>
      <c r="G168" s="135" t="str">
        <f>VLOOKUP(A168,Plano_V3!$A$26:$G$769,7,0)</f>
        <v xml:space="preserve">6. Em implementação </v>
      </c>
      <c r="H168" s="135" t="s">
        <v>2325</v>
      </c>
      <c r="I168" s="473"/>
      <c r="J168" s="359" t="s">
        <v>2312</v>
      </c>
      <c r="K168" s="142" t="s">
        <v>2247</v>
      </c>
      <c r="L168" s="359"/>
      <c r="M168" s="152" t="str">
        <f>IF(VLOOKUP(A159,'Aux - pivots1'!$A:$E,3,0)=0, "",VLOOKUP(A159,'Aux - pivots1'!$A:$E,3,0))</f>
        <v/>
      </c>
      <c r="N168" s="152" t="str">
        <f>IF(VLOOKUP(A159,'Aux - pivots1'!$A:$E,4,0)=0, "",VLOOKUP(A159,'Aux - pivots1'!$A:$E,4,0))</f>
        <v/>
      </c>
      <c r="O168" s="152" t="str">
        <f>IF(VLOOKUP(A159,'Aux - pivots1'!$A:$E,5,0)=0, "",VLOOKUP(A159,'Aux - pivots1'!$A:$E,5,0))</f>
        <v/>
      </c>
      <c r="P168" s="202"/>
      <c r="Q168" s="202"/>
      <c r="R168" s="372" t="s">
        <v>2319</v>
      </c>
      <c r="S168" s="324"/>
      <c r="T168" s="324"/>
      <c r="U168" s="372" t="s">
        <v>2326</v>
      </c>
      <c r="V168" s="324" t="s">
        <v>2317</v>
      </c>
    </row>
    <row r="169" spans="1:22" ht="16.350000000000001" hidden="1" customHeight="1">
      <c r="A169" s="29" t="str">
        <f t="shared" si="3"/>
        <v>lt003_entityesg_sbsctr</v>
      </c>
      <c r="B169" s="141" t="s">
        <v>26</v>
      </c>
      <c r="C169" s="137" t="s">
        <v>26</v>
      </c>
      <c r="D169" s="133" t="s">
        <v>40</v>
      </c>
      <c r="E169" s="136" t="s">
        <v>335</v>
      </c>
      <c r="F169" s="480" t="s">
        <v>360</v>
      </c>
      <c r="G169" s="489" t="str">
        <f>VLOOKUP(A169,Plano_V3!$A$26:$G$769,7,0)</f>
        <v xml:space="preserve">6. Em implementação </v>
      </c>
      <c r="H169" s="135" t="s">
        <v>2325</v>
      </c>
      <c r="I169" s="473"/>
      <c r="J169" s="142" t="s">
        <v>2312</v>
      </c>
      <c r="K169" s="142" t="s">
        <v>2449</v>
      </c>
      <c r="L169" s="142"/>
      <c r="M169" s="152" t="str">
        <f>IF(VLOOKUP(A160,'Aux - pivots1'!$A:$E,3,0)=0, "",VLOOKUP(A160,'Aux - pivots1'!$A:$E,3,0))</f>
        <v/>
      </c>
      <c r="N169" s="152" t="str">
        <f>IF(VLOOKUP(A160,'Aux - pivots1'!$A:$E,4,0)=0, "",VLOOKUP(A160,'Aux - pivots1'!$A:$E,4,0))</f>
        <v/>
      </c>
      <c r="O169" s="152" t="str">
        <f>IF(VLOOKUP(A160,'Aux - pivots1'!$A:$E,5,0)=0, "",VLOOKUP(A160,'Aux - pivots1'!$A:$E,5,0))</f>
        <v/>
      </c>
      <c r="P169" s="202"/>
      <c r="Q169" s="202"/>
      <c r="R169" s="203"/>
      <c r="S169" s="372" t="s">
        <v>2427</v>
      </c>
      <c r="T169" s="324"/>
      <c r="U169" s="372" t="s">
        <v>2326</v>
      </c>
      <c r="V169" s="324" t="s">
        <v>2316</v>
      </c>
    </row>
    <row r="170" spans="1:22" ht="16.350000000000001" hidden="1" customHeight="1">
      <c r="A170" s="29" t="str">
        <f t="shared" si="3"/>
        <v>lt004_protectiontyp_ep_scr</v>
      </c>
      <c r="B170" s="141" t="s">
        <v>26</v>
      </c>
      <c r="C170" s="137" t="s">
        <v>26</v>
      </c>
      <c r="D170" s="133" t="s">
        <v>40</v>
      </c>
      <c r="E170" s="136" t="s">
        <v>368</v>
      </c>
      <c r="F170" s="480" t="s">
        <v>369</v>
      </c>
      <c r="G170" s="135" t="str">
        <f>VLOOKUP(A170,Plano_V3!$A$26:$G$769,7,0)</f>
        <v>4. Validação EF</v>
      </c>
      <c r="H170" s="135" t="s">
        <v>614</v>
      </c>
      <c r="I170" s="473"/>
      <c r="J170" s="359" t="s">
        <v>2431</v>
      </c>
      <c r="K170" s="359" t="s">
        <v>2449</v>
      </c>
      <c r="L170" s="142"/>
      <c r="M170" s="152" t="str">
        <f>IF(VLOOKUP(A161,'Aux - pivots1'!$A:$E,3,0)=0, "",VLOOKUP(A161,'Aux - pivots1'!$A:$E,3,0))</f>
        <v/>
      </c>
      <c r="N170" s="152" t="str">
        <f>IF(VLOOKUP(A161,'Aux - pivots1'!$A:$E,4,0)=0, "",VLOOKUP(A161,'Aux - pivots1'!$A:$E,4,0))</f>
        <v/>
      </c>
      <c r="O170" s="152" t="str">
        <f>IF(VLOOKUP(A161,'Aux - pivots1'!$A:$E,5,0)=0, "",VLOOKUP(A161,'Aux - pivots1'!$A:$E,5,0))</f>
        <v/>
      </c>
      <c r="P170" s="202"/>
      <c r="Q170" s="202"/>
      <c r="R170" s="203"/>
      <c r="S170" s="324"/>
      <c r="T170" s="324"/>
      <c r="U170" s="372" t="s">
        <v>2326</v>
      </c>
      <c r="V170" s="324"/>
    </row>
    <row r="171" spans="1:22" ht="16.350000000000001" hidden="1" customHeight="1">
      <c r="A171" s="29" t="str">
        <f t="shared" si="3"/>
        <v>lt004_protectionep_scr</v>
      </c>
      <c r="B171" s="141" t="s">
        <v>26</v>
      </c>
      <c r="C171" s="137" t="s">
        <v>26</v>
      </c>
      <c r="D171" s="133" t="s">
        <v>40</v>
      </c>
      <c r="E171" s="136" t="s">
        <v>368</v>
      </c>
      <c r="F171" s="480" t="s">
        <v>370</v>
      </c>
      <c r="G171" s="135" t="str">
        <f>VLOOKUP(A171,Plano_V3!$A$26:$G$769,7,0)</f>
        <v>4. Validação EF</v>
      </c>
      <c r="H171" s="135" t="s">
        <v>614</v>
      </c>
      <c r="I171" s="473"/>
      <c r="J171" s="359" t="s">
        <v>2431</v>
      </c>
      <c r="K171" s="359" t="s">
        <v>2449</v>
      </c>
      <c r="L171" s="142"/>
      <c r="M171" s="152" t="str">
        <f>IF(VLOOKUP(A162,'Aux - pivots1'!$A:$E,3,0)=0, "",VLOOKUP(A162,'Aux - pivots1'!$A:$E,3,0))</f>
        <v/>
      </c>
      <c r="N171" s="152" t="str">
        <f>IF(VLOOKUP(A162,'Aux - pivots1'!$A:$E,4,0)=0, "",VLOOKUP(A162,'Aux - pivots1'!$A:$E,4,0))</f>
        <v/>
      </c>
      <c r="O171" s="152" t="str">
        <f>IF(VLOOKUP(A162,'Aux - pivots1'!$A:$E,5,0)=0, "",VLOOKUP(A162,'Aux - pivots1'!$A:$E,5,0))</f>
        <v/>
      </c>
      <c r="P171" s="202"/>
      <c r="Q171" s="202"/>
      <c r="R171" s="203"/>
      <c r="S171" s="324"/>
      <c r="T171" s="324"/>
      <c r="U171" s="372" t="s">
        <v>2326</v>
      </c>
      <c r="V171" s="324"/>
    </row>
    <row r="172" spans="1:22" ht="16.350000000000001" hidden="1" customHeight="1">
      <c r="A172" s="29" t="str">
        <f t="shared" si="3"/>
        <v>lt002_instrumentmthd_usd_instrmnt_scp_1</v>
      </c>
      <c r="B172" s="141" t="s">
        <v>26</v>
      </c>
      <c r="C172" s="137" t="s">
        <v>26</v>
      </c>
      <c r="D172" s="133" t="s">
        <v>40</v>
      </c>
      <c r="E172" s="136" t="s">
        <v>379</v>
      </c>
      <c r="F172" s="480" t="s">
        <v>385</v>
      </c>
      <c r="G172" s="489" t="str">
        <f>VLOOKUP(A172,Plano_V3!$A$26:$G$769,7,0)</f>
        <v>2.2 Em especificação</v>
      </c>
      <c r="H172" s="135" t="s">
        <v>2324</v>
      </c>
      <c r="I172" s="473"/>
      <c r="J172" s="142" t="s">
        <v>2431</v>
      </c>
      <c r="K172" s="142" t="s">
        <v>2449</v>
      </c>
      <c r="L172" s="142"/>
      <c r="M172" s="152" t="str">
        <f>IF(VLOOKUP(A163,'Aux - pivots1'!$A:$E,3,0)=0, "",VLOOKUP(A163,'Aux - pivots1'!$A:$E,3,0))</f>
        <v/>
      </c>
      <c r="N172" s="152" t="str">
        <f>IF(VLOOKUP(A163,'Aux - pivots1'!$A:$E,4,0)=0, "",VLOOKUP(A163,'Aux - pivots1'!$A:$E,4,0))</f>
        <v/>
      </c>
      <c r="O172" s="152" t="str">
        <f>IF(VLOOKUP(A163,'Aux - pivots1'!$A:$E,5,0)=0, "",VLOOKUP(A163,'Aux - pivots1'!$A:$E,5,0))</f>
        <v/>
      </c>
      <c r="P172" s="202">
        <v>45593</v>
      </c>
      <c r="Q172" s="202"/>
      <c r="R172" s="372" t="s">
        <v>2320</v>
      </c>
      <c r="S172" s="324"/>
      <c r="T172" s="324"/>
      <c r="U172" s="372" t="s">
        <v>2326</v>
      </c>
      <c r="V172" s="324" t="s">
        <v>1862</v>
      </c>
    </row>
    <row r="173" spans="1:22" ht="16.350000000000001" hidden="1" customHeight="1">
      <c r="A173" s="29" t="str">
        <f t="shared" si="3"/>
        <v>lt002_instrumentmthd_usd_instrmnt_scp_2</v>
      </c>
      <c r="B173" s="141" t="s">
        <v>26</v>
      </c>
      <c r="C173" s="137" t="s">
        <v>26</v>
      </c>
      <c r="D173" s="133" t="s">
        <v>40</v>
      </c>
      <c r="E173" s="136" t="s">
        <v>379</v>
      </c>
      <c r="F173" s="480" t="s">
        <v>386</v>
      </c>
      <c r="G173" s="489" t="str">
        <f>VLOOKUP(A173,Plano_V3!$A$26:$G$769,7,0)</f>
        <v>2.2 Em especificação</v>
      </c>
      <c r="H173" s="135" t="s">
        <v>2324</v>
      </c>
      <c r="I173" s="473"/>
      <c r="J173" s="142" t="s">
        <v>2431</v>
      </c>
      <c r="K173" s="142" t="s">
        <v>2449</v>
      </c>
      <c r="L173" s="142"/>
      <c r="M173" s="152" t="str">
        <f>IF(VLOOKUP(A164,'Aux - pivots1'!$A:$E,3,0)=0, "",VLOOKUP(A164,'Aux - pivots1'!$A:$E,3,0))</f>
        <v/>
      </c>
      <c r="N173" s="152" t="str">
        <f>IF(VLOOKUP(A164,'Aux - pivots1'!$A:$E,4,0)=0, "",VLOOKUP(A164,'Aux - pivots1'!$A:$E,4,0))</f>
        <v/>
      </c>
      <c r="O173" s="152" t="str">
        <f>IF(VLOOKUP(A164,'Aux - pivots1'!$A:$E,5,0)=0, "",VLOOKUP(A164,'Aux - pivots1'!$A:$E,5,0))</f>
        <v/>
      </c>
      <c r="P173" s="202">
        <v>45593</v>
      </c>
      <c r="Q173" s="202"/>
      <c r="R173" s="372" t="s">
        <v>2320</v>
      </c>
      <c r="S173" s="324"/>
      <c r="T173" s="324"/>
      <c r="U173" s="372" t="s">
        <v>2326</v>
      </c>
      <c r="V173" s="324" t="s">
        <v>1862</v>
      </c>
    </row>
    <row r="174" spans="1:22" ht="16.350000000000001" hidden="1" customHeight="1">
      <c r="A174" s="29" t="str">
        <f t="shared" si="3"/>
        <v>lt002_instrumentmthd_usd_instrmnt_scp_3</v>
      </c>
      <c r="B174" s="141" t="s">
        <v>26</v>
      </c>
      <c r="C174" s="137" t="s">
        <v>26</v>
      </c>
      <c r="D174" s="133" t="s">
        <v>40</v>
      </c>
      <c r="E174" s="136" t="s">
        <v>379</v>
      </c>
      <c r="F174" s="480" t="s">
        <v>387</v>
      </c>
      <c r="G174" s="489" t="str">
        <f>VLOOKUP(A174,Plano_V3!$A$26:$G$769,7,0)</f>
        <v>2.2 Em especificação</v>
      </c>
      <c r="H174" s="135" t="s">
        <v>2324</v>
      </c>
      <c r="I174" s="473"/>
      <c r="J174" s="142" t="s">
        <v>2431</v>
      </c>
      <c r="K174" s="142" t="s">
        <v>2449</v>
      </c>
      <c r="L174" s="142"/>
      <c r="M174" s="152" t="str">
        <f>IF(VLOOKUP(A165,'Aux - pivots1'!$A:$E,3,0)=0, "",VLOOKUP(A165,'Aux - pivots1'!$A:$E,3,0))</f>
        <v/>
      </c>
      <c r="N174" s="152" t="str">
        <f>IF(VLOOKUP(A165,'Aux - pivots1'!$A:$E,4,0)=0, "",VLOOKUP(A165,'Aux - pivots1'!$A:$E,4,0))</f>
        <v/>
      </c>
      <c r="O174" s="152" t="str">
        <f>IF(VLOOKUP(A165,'Aux - pivots1'!$A:$E,5,0)=0, "",VLOOKUP(A165,'Aux - pivots1'!$A:$E,5,0))</f>
        <v/>
      </c>
      <c r="P174" s="202">
        <v>45593</v>
      </c>
      <c r="Q174" s="202"/>
      <c r="R174" s="372" t="s">
        <v>2320</v>
      </c>
      <c r="S174" s="324"/>
      <c r="T174" s="324"/>
      <c r="U174" s="372" t="s">
        <v>2326</v>
      </c>
      <c r="V174" s="324" t="s">
        <v>1862</v>
      </c>
    </row>
    <row r="175" spans="1:22" ht="16.350000000000001" hidden="1" customHeight="1">
      <c r="A175" s="29" t="str">
        <f t="shared" si="3"/>
        <v>lt007_instr_activitysstnbl_indctr</v>
      </c>
      <c r="B175" s="141" t="s">
        <v>26</v>
      </c>
      <c r="C175" s="137" t="s">
        <v>26</v>
      </c>
      <c r="D175" s="133" t="s">
        <v>40</v>
      </c>
      <c r="E175" s="136" t="s">
        <v>1865</v>
      </c>
      <c r="F175" s="480" t="s">
        <v>418</v>
      </c>
      <c r="G175" s="135" t="str">
        <f>VLOOKUP(A175,Plano_V3!$A$26:$G$769,7,0)</f>
        <v>4. Validação EF</v>
      </c>
      <c r="H175" s="135" t="s">
        <v>614</v>
      </c>
      <c r="I175" s="473"/>
      <c r="J175" s="359" t="s">
        <v>2247</v>
      </c>
      <c r="K175" s="359" t="s">
        <v>2449</v>
      </c>
      <c r="L175" s="359"/>
      <c r="M175" s="152" t="str">
        <f>IF(VLOOKUP(A166,'Aux - pivots1'!$A:$E,3,0)=0, "",VLOOKUP(A166,'Aux - pivots1'!$A:$E,3,0))</f>
        <v/>
      </c>
      <c r="N175" s="152" t="str">
        <f>IF(VLOOKUP(A166,'Aux - pivots1'!$A:$E,4,0)=0, "",VLOOKUP(A166,'Aux - pivots1'!$A:$E,4,0))</f>
        <v/>
      </c>
      <c r="O175" s="152" t="str">
        <f>IF(VLOOKUP(A166,'Aux - pivots1'!$A:$E,5,0)=0, "",VLOOKUP(A166,'Aux - pivots1'!$A:$E,5,0))</f>
        <v/>
      </c>
      <c r="P175" s="202">
        <v>45593</v>
      </c>
      <c r="Q175" s="202"/>
      <c r="R175" s="372" t="s">
        <v>2321</v>
      </c>
      <c r="S175" s="324"/>
      <c r="T175" s="324"/>
      <c r="U175" s="372" t="s">
        <v>2326</v>
      </c>
      <c r="V175" s="324" t="s">
        <v>2314</v>
      </c>
    </row>
    <row r="176" spans="1:22" ht="16.350000000000001" hidden="1" customHeight="1">
      <c r="A176" s="29" t="str">
        <f t="shared" si="3"/>
        <v>lt007_instr_activitysstnbl_ctgry</v>
      </c>
      <c r="B176" s="141" t="s">
        <v>26</v>
      </c>
      <c r="C176" s="137" t="s">
        <v>26</v>
      </c>
      <c r="D176" s="133" t="s">
        <v>40</v>
      </c>
      <c r="E176" s="136" t="s">
        <v>1865</v>
      </c>
      <c r="F176" s="480" t="s">
        <v>419</v>
      </c>
      <c r="G176" s="135" t="str">
        <f>VLOOKUP(A176,Plano_V3!$A$26:$G$769,7,0)</f>
        <v xml:space="preserve">6. Em implementação </v>
      </c>
      <c r="H176" s="135" t="s">
        <v>2325</v>
      </c>
      <c r="I176" s="473"/>
      <c r="J176" s="359" t="s">
        <v>2247</v>
      </c>
      <c r="K176" s="142" t="s">
        <v>2449</v>
      </c>
      <c r="L176" s="359"/>
      <c r="M176" s="152" t="str">
        <f>IF(VLOOKUP(A160,'Aux - pivots1'!$A:$E,3,0)=0, "",VLOOKUP(A160,'Aux - pivots1'!$A:$E,3,0))</f>
        <v/>
      </c>
      <c r="N176" s="152" t="str">
        <f>IF(VLOOKUP(A160,'Aux - pivots1'!$A:$E,4,0)=0, "",VLOOKUP(A160,'Aux - pivots1'!$A:$E,4,0))</f>
        <v/>
      </c>
      <c r="O176" s="152" t="str">
        <f>IF(VLOOKUP(A160,'Aux - pivots1'!$A:$E,5,0)=0, "",VLOOKUP(A160,'Aux - pivots1'!$A:$E,5,0))</f>
        <v/>
      </c>
      <c r="P176" s="202">
        <v>45593</v>
      </c>
      <c r="Q176" s="202"/>
      <c r="R176" s="372" t="s">
        <v>2321</v>
      </c>
      <c r="S176" s="324"/>
      <c r="T176" s="324"/>
      <c r="U176" s="372" t="s">
        <v>2326</v>
      </c>
      <c r="V176" s="324" t="s">
        <v>2314</v>
      </c>
    </row>
    <row r="177" spans="1:22" ht="16.350000000000001" hidden="1" customHeight="1">
      <c r="A177" s="29" t="str">
        <f t="shared" si="3"/>
        <v>modesg_param_sfics_taxon_europeian.a.</v>
      </c>
      <c r="B177" s="141" t="s">
        <v>26</v>
      </c>
      <c r="C177" s="137" t="s">
        <v>181</v>
      </c>
      <c r="D177" s="133" t="s">
        <v>36</v>
      </c>
      <c r="E177" s="134" t="s">
        <v>2102</v>
      </c>
      <c r="F177" s="476" t="s">
        <v>38</v>
      </c>
      <c r="G177" s="135" t="str">
        <f>VLOOKUP(A177,Plano_V3!$A$26:$G$769,7,0)</f>
        <v xml:space="preserve">6. Em implementação </v>
      </c>
      <c r="H177" s="135" t="s">
        <v>2325</v>
      </c>
      <c r="I177" s="473"/>
      <c r="J177" s="142"/>
      <c r="K177" s="359" t="s">
        <v>2360</v>
      </c>
      <c r="L177" s="142"/>
      <c r="M177" s="152" t="str">
        <f>IF(VLOOKUP(A177,'Aux - pivots1'!$A:$E,3,0)=0, "",VLOOKUP(A177,'Aux - pivots1'!$A:$E,3,0))</f>
        <v/>
      </c>
      <c r="N177" s="152" t="str">
        <f>IF(VLOOKUP(A177,'Aux - pivots1'!$A:$E,4,0)=0, "",VLOOKUP(A177,'Aux - pivots1'!$A:$E,4,0))</f>
        <v/>
      </c>
      <c r="O177" s="152" t="str">
        <f>IF(VLOOKUP(A177,'Aux - pivots1'!$A:$E,5,0)=0, "",VLOOKUP(A177,'Aux - pivots1'!$A:$E,5,0))</f>
        <v/>
      </c>
      <c r="P177" s="202"/>
      <c r="Q177" s="202"/>
      <c r="R177" s="203"/>
      <c r="S177" s="324"/>
      <c r="T177" s="324"/>
      <c r="U177" s="372" t="s">
        <v>2326</v>
      </c>
      <c r="V177" s="324" t="s">
        <v>2314</v>
      </c>
    </row>
    <row r="178" spans="1:22" ht="16.350000000000001" hidden="1" customHeight="1">
      <c r="A178" s="29" t="str">
        <f t="shared" si="3"/>
        <v>modesg_out_sfics_taxon_europeian.a.</v>
      </c>
      <c r="B178" s="141" t="s">
        <v>26</v>
      </c>
      <c r="C178" s="137" t="s">
        <v>310</v>
      </c>
      <c r="D178" s="133" t="s">
        <v>36</v>
      </c>
      <c r="E178" s="134" t="s">
        <v>2085</v>
      </c>
      <c r="F178" s="476" t="s">
        <v>38</v>
      </c>
      <c r="G178" s="135" t="str">
        <f>VLOOKUP(A178,Plano_V3!$A$26:$G$769,7,0)</f>
        <v xml:space="preserve">6. Em implementação </v>
      </c>
      <c r="H178" s="135" t="s">
        <v>2325</v>
      </c>
      <c r="I178" s="473"/>
      <c r="J178" s="142"/>
      <c r="K178" s="359" t="s">
        <v>2360</v>
      </c>
      <c r="L178" s="142"/>
      <c r="M178" s="152" t="str">
        <f>IF(VLOOKUP(A169,'Aux - pivots1'!$A:$E,3,0)=0, "",VLOOKUP(A169,'Aux - pivots1'!$A:$E,3,0))</f>
        <v/>
      </c>
      <c r="N178" s="152" t="str">
        <f>IF(VLOOKUP(A169,'Aux - pivots1'!$A:$E,4,0)=0, "",VLOOKUP(A169,'Aux - pivots1'!$A:$E,4,0))</f>
        <v/>
      </c>
      <c r="O178" s="152" t="str">
        <f>IF(VLOOKUP(A169,'Aux - pivots1'!$A:$E,5,0)=0, "",VLOOKUP(A169,'Aux - pivots1'!$A:$E,5,0))</f>
        <v/>
      </c>
      <c r="P178" s="202"/>
      <c r="Q178" s="202"/>
      <c r="R178" s="203"/>
      <c r="S178" s="324"/>
      <c r="T178" s="324"/>
      <c r="U178" s="372" t="s">
        <v>2326</v>
      </c>
      <c r="V178" s="324" t="s">
        <v>2314</v>
      </c>
    </row>
    <row r="179" spans="1:22" ht="16.350000000000001" hidden="1" customHeight="1">
      <c r="A179" s="29" t="str">
        <f t="shared" si="3"/>
        <v>modesg_out_sfics_taxon_europeiaorigem</v>
      </c>
      <c r="B179" s="141" t="s">
        <v>26</v>
      </c>
      <c r="C179" s="137" t="s">
        <v>310</v>
      </c>
      <c r="D179" s="133" t="s">
        <v>40</v>
      </c>
      <c r="E179" s="134" t="s">
        <v>2085</v>
      </c>
      <c r="F179" s="476" t="s">
        <v>72</v>
      </c>
      <c r="G179" s="135" t="str">
        <f>VLOOKUP(A179,Plano_V3!$A$26:$G$769,7,0)</f>
        <v>0. Cancelado</v>
      </c>
      <c r="H179" s="135" t="s">
        <v>611</v>
      </c>
      <c r="I179" s="473"/>
      <c r="J179" s="142"/>
      <c r="K179" s="359" t="s">
        <v>2360</v>
      </c>
      <c r="L179" s="142"/>
      <c r="M179" s="152" t="str">
        <f>IF(VLOOKUP(A167,'Aux - pivots1'!$A:$E,3,0)=0, "",VLOOKUP(A167,'Aux - pivots1'!$A:$E,3,0))</f>
        <v/>
      </c>
      <c r="N179" s="152" t="str">
        <f>IF(VLOOKUP(A167,'Aux - pivots1'!$A:$E,4,0)=0, "",VLOOKUP(A167,'Aux - pivots1'!$A:$E,4,0))</f>
        <v/>
      </c>
      <c r="O179" s="152" t="str">
        <f>IF(VLOOKUP(A167,'Aux - pivots1'!$A:$E,5,0)=0, "",VLOOKUP(A167,'Aux - pivots1'!$A:$E,5,0))</f>
        <v/>
      </c>
      <c r="P179" s="202"/>
      <c r="Q179" s="202"/>
      <c r="R179" s="203"/>
      <c r="S179" s="324"/>
      <c r="T179" s="324"/>
      <c r="U179" s="372" t="s">
        <v>2326</v>
      </c>
      <c r="V179" s="324"/>
    </row>
    <row r="180" spans="1:22" ht="16.350000000000001" hidden="1" customHeight="1">
      <c r="A180" s="29" t="str">
        <f t="shared" si="3"/>
        <v>lt003_entitynace_esg</v>
      </c>
      <c r="B180" s="141" t="s">
        <v>26</v>
      </c>
      <c r="C180" s="137" t="s">
        <v>26</v>
      </c>
      <c r="D180" s="133" t="s">
        <v>40</v>
      </c>
      <c r="E180" s="136" t="s">
        <v>335</v>
      </c>
      <c r="F180" s="480" t="s">
        <v>336</v>
      </c>
      <c r="G180" s="489" t="str">
        <f>VLOOKUP(A180,Plano_V3!$A$26:$G$769,7,0)</f>
        <v xml:space="preserve">6. Em implementação </v>
      </c>
      <c r="H180" s="135" t="s">
        <v>2325</v>
      </c>
      <c r="I180" s="473"/>
      <c r="J180" s="142"/>
      <c r="K180" s="142" t="s">
        <v>2360</v>
      </c>
      <c r="L180" s="142"/>
      <c r="M180" s="152" t="str">
        <f>IF(VLOOKUP(A169,'Aux - pivots1'!$A:$E,3,0)=0, "",VLOOKUP(A169,'Aux - pivots1'!$A:$E,3,0))</f>
        <v/>
      </c>
      <c r="N180" s="152" t="str">
        <f>IF(VLOOKUP(A169,'Aux - pivots1'!$A:$E,4,0)=0, "",VLOOKUP(A169,'Aux - pivots1'!$A:$E,4,0))</f>
        <v/>
      </c>
      <c r="O180" s="152" t="str">
        <f>IF(VLOOKUP(A169,'Aux - pivots1'!$A:$E,5,0)=0, "",VLOOKUP(A169,'Aux - pivots1'!$A:$E,5,0))</f>
        <v/>
      </c>
      <c r="P180" s="202"/>
      <c r="Q180" s="202"/>
      <c r="R180" s="203"/>
      <c r="S180" s="324"/>
      <c r="T180" s="324"/>
      <c r="U180" s="372" t="s">
        <v>2326</v>
      </c>
      <c r="V180" s="324" t="s">
        <v>1861</v>
      </c>
    </row>
    <row r="181" spans="1:22" ht="16.350000000000001" hidden="1" customHeight="1">
      <c r="A181" s="29" t="str">
        <f t="shared" si="3"/>
        <v>lt003_entityflg_act_physcl_rsk</v>
      </c>
      <c r="B181" s="141" t="s">
        <v>26</v>
      </c>
      <c r="C181" s="137" t="s">
        <v>26</v>
      </c>
      <c r="D181" s="133" t="s">
        <v>40</v>
      </c>
      <c r="E181" s="136" t="s">
        <v>335</v>
      </c>
      <c r="F181" s="480" t="s">
        <v>357</v>
      </c>
      <c r="G181" s="489" t="str">
        <f>VLOOKUP(A181,Plano_V3!$A$26:$G$769,7,0)</f>
        <v xml:space="preserve">6. Em implementação </v>
      </c>
      <c r="H181" s="135" t="s">
        <v>2325</v>
      </c>
      <c r="I181" s="473"/>
      <c r="J181" s="142"/>
      <c r="K181" s="142" t="s">
        <v>2360</v>
      </c>
      <c r="L181" s="142"/>
      <c r="M181" s="152" t="str">
        <f>IF(VLOOKUP(A172,'Aux - pivots1'!$A:$E,3,0)=0, "",VLOOKUP(A172,'Aux - pivots1'!$A:$E,3,0))</f>
        <v/>
      </c>
      <c r="N181" s="152" t="str">
        <f>IF(VLOOKUP(A172,'Aux - pivots1'!$A:$E,4,0)=0, "",VLOOKUP(A172,'Aux - pivots1'!$A:$E,4,0))</f>
        <v/>
      </c>
      <c r="O181" s="152" t="str">
        <f>IF(VLOOKUP(A172,'Aux - pivots1'!$A:$E,5,0)=0, "",VLOOKUP(A172,'Aux - pivots1'!$A:$E,5,0))</f>
        <v/>
      </c>
      <c r="P181" s="202"/>
      <c r="Q181" s="202"/>
      <c r="R181" s="203"/>
      <c r="S181" s="324"/>
      <c r="T181" s="324"/>
      <c r="U181" s="372" t="s">
        <v>2326</v>
      </c>
      <c r="V181" s="324" t="s">
        <v>1862</v>
      </c>
    </row>
    <row r="182" spans="1:22" ht="16.350000000000001" hidden="1" customHeight="1">
      <c r="A182" s="29" t="str">
        <f t="shared" si="3"/>
        <v>lt003_entityflg_chrnc_physcl_rsk</v>
      </c>
      <c r="B182" s="141" t="s">
        <v>26</v>
      </c>
      <c r="C182" s="137" t="s">
        <v>26</v>
      </c>
      <c r="D182" s="133" t="s">
        <v>40</v>
      </c>
      <c r="E182" s="136" t="s">
        <v>335</v>
      </c>
      <c r="F182" s="480" t="s">
        <v>358</v>
      </c>
      <c r="G182" s="489" t="str">
        <f>VLOOKUP(A182,Plano_V3!$A$26:$G$769,7,0)</f>
        <v xml:space="preserve">6. Em implementação </v>
      </c>
      <c r="H182" s="135" t="s">
        <v>2325</v>
      </c>
      <c r="I182" s="473"/>
      <c r="J182" s="142"/>
      <c r="K182" s="142" t="s">
        <v>2360</v>
      </c>
      <c r="L182" s="142"/>
      <c r="M182" s="152" t="str">
        <f>IF(VLOOKUP(A173,'Aux - pivots1'!$A:$E,3,0)=0, "",VLOOKUP(A173,'Aux - pivots1'!$A:$E,3,0))</f>
        <v/>
      </c>
      <c r="N182" s="152" t="str">
        <f>IF(VLOOKUP(A173,'Aux - pivots1'!$A:$E,4,0)=0, "",VLOOKUP(A173,'Aux - pivots1'!$A:$E,4,0))</f>
        <v/>
      </c>
      <c r="O182" s="152" t="str">
        <f>IF(VLOOKUP(A173,'Aux - pivots1'!$A:$E,5,0)=0, "",VLOOKUP(A173,'Aux - pivots1'!$A:$E,5,0))</f>
        <v/>
      </c>
      <c r="P182" s="202"/>
      <c r="Q182" s="202"/>
      <c r="R182" s="203"/>
      <c r="S182" s="324"/>
      <c r="T182" s="324"/>
      <c r="U182" s="372" t="s">
        <v>2326</v>
      </c>
      <c r="V182" s="324" t="s">
        <v>1862</v>
      </c>
    </row>
    <row r="183" spans="1:22" ht="16.350000000000001" hidden="1" customHeight="1">
      <c r="A183" s="29" t="str">
        <f t="shared" si="3"/>
        <v>lt002_instrumentrsk_mtgtd_ccp</v>
      </c>
      <c r="B183" s="141" t="s">
        <v>26</v>
      </c>
      <c r="C183" s="137" t="s">
        <v>26</v>
      </c>
      <c r="D183" s="133" t="s">
        <v>40</v>
      </c>
      <c r="E183" s="136" t="s">
        <v>379</v>
      </c>
      <c r="F183" s="480" t="s">
        <v>381</v>
      </c>
      <c r="G183" s="489" t="str">
        <f>VLOOKUP(A183,Plano_V3!$A$26:$G$769,7,0)</f>
        <v xml:space="preserve">6. Em implementação </v>
      </c>
      <c r="H183" s="135" t="s">
        <v>2325</v>
      </c>
      <c r="I183" s="473"/>
      <c r="J183" s="142"/>
      <c r="K183" s="142" t="s">
        <v>2360</v>
      </c>
      <c r="L183" s="142"/>
      <c r="M183" s="152" t="str">
        <f>IF(VLOOKUP(A174,'Aux - pivots1'!$A:$E,3,0)=0, "",VLOOKUP(A174,'Aux - pivots1'!$A:$E,3,0))</f>
        <v/>
      </c>
      <c r="N183" s="152" t="str">
        <f>IF(VLOOKUP(A174,'Aux - pivots1'!$A:$E,4,0)=0, "",VLOOKUP(A174,'Aux - pivots1'!$A:$E,4,0))</f>
        <v/>
      </c>
      <c r="O183" s="152" t="str">
        <f>IF(VLOOKUP(A174,'Aux - pivots1'!$A:$E,5,0)=0, "",VLOOKUP(A174,'Aux - pivots1'!$A:$E,5,0))</f>
        <v/>
      </c>
      <c r="P183" s="202">
        <v>45595</v>
      </c>
      <c r="Q183" s="202"/>
      <c r="R183" s="372" t="s">
        <v>2320</v>
      </c>
      <c r="S183" s="324"/>
      <c r="T183" s="324"/>
      <c r="U183" s="372" t="s">
        <v>2326</v>
      </c>
      <c r="V183" s="324" t="s">
        <v>1861</v>
      </c>
    </row>
    <row r="184" spans="1:22" ht="16.350000000000001" hidden="1" customHeight="1">
      <c r="A184" s="29" t="str">
        <f t="shared" si="3"/>
        <v>lt007_instr_activityCOD_SOC</v>
      </c>
      <c r="B184" s="141" t="s">
        <v>26</v>
      </c>
      <c r="C184" s="137" t="s">
        <v>26</v>
      </c>
      <c r="D184" s="133" t="s">
        <v>40</v>
      </c>
      <c r="E184" s="136" t="s">
        <v>1865</v>
      </c>
      <c r="F184" s="480" t="s">
        <v>1298</v>
      </c>
      <c r="G184" s="135" t="str">
        <f>VLOOKUP(A184,Plano_V3!$A$26:$G$769,7,0)</f>
        <v xml:space="preserve">6. Em implementação </v>
      </c>
      <c r="H184" s="135" t="s">
        <v>2325</v>
      </c>
      <c r="I184" s="473"/>
      <c r="J184" s="359" t="s">
        <v>2246</v>
      </c>
      <c r="K184" s="359" t="s">
        <v>2360</v>
      </c>
      <c r="L184" s="359"/>
      <c r="M184" s="152" t="str">
        <f>IF(VLOOKUP(A184,'Aux - pivots1'!$A:$E,3,0)=0, "",VLOOKUP(A184,'Aux - pivots1'!$A:$E,3,0))</f>
        <v/>
      </c>
      <c r="N184" s="152" t="str">
        <f>IF(VLOOKUP(A184,'Aux - pivots1'!$A:$E,4,0)=0, "",VLOOKUP(A184,'Aux - pivots1'!$A:$E,4,0))</f>
        <v/>
      </c>
      <c r="O184" s="152" t="str">
        <f>IF(VLOOKUP(A184,'Aux - pivots1'!$A:$E,5,0)=0, "",VLOOKUP(A184,'Aux - pivots1'!$A:$E,5,0))</f>
        <v/>
      </c>
      <c r="P184" s="202"/>
      <c r="Q184" s="202"/>
      <c r="R184" s="372" t="s">
        <v>2319</v>
      </c>
      <c r="S184" s="324" t="s">
        <v>2388</v>
      </c>
      <c r="T184" s="372" t="s">
        <v>2367</v>
      </c>
      <c r="U184" s="372" t="s">
        <v>2327</v>
      </c>
      <c r="V184" s="324" t="s">
        <v>2314</v>
      </c>
    </row>
    <row r="185" spans="1:22" ht="16.350000000000001" hidden="1" customHeight="1">
      <c r="A185" s="29" t="str">
        <f t="shared" si="3"/>
        <v>lt007_instr_activityDT_RFRNC</v>
      </c>
      <c r="B185" s="141" t="s">
        <v>26</v>
      </c>
      <c r="C185" s="137" t="s">
        <v>26</v>
      </c>
      <c r="D185" s="133" t="s">
        <v>40</v>
      </c>
      <c r="E185" s="136" t="s">
        <v>1865</v>
      </c>
      <c r="F185" s="480" t="s">
        <v>1303</v>
      </c>
      <c r="G185" s="135" t="str">
        <f>VLOOKUP(A185,Plano_V3!$A$26:$G$769,7,0)</f>
        <v xml:space="preserve">6. Em implementação </v>
      </c>
      <c r="H185" s="135" t="s">
        <v>2325</v>
      </c>
      <c r="I185" s="473"/>
      <c r="J185" s="359" t="s">
        <v>2245</v>
      </c>
      <c r="K185" s="359" t="s">
        <v>2360</v>
      </c>
      <c r="L185" s="359"/>
      <c r="M185" s="152" t="str">
        <f>IF(VLOOKUP(A185,'Aux - pivots1'!$A:$E,3,0)=0, "",VLOOKUP(A185,'Aux - pivots1'!$A:$E,3,0))</f>
        <v/>
      </c>
      <c r="N185" s="152" t="str">
        <f>IF(VLOOKUP(A185,'Aux - pivots1'!$A:$E,4,0)=0, "",VLOOKUP(A185,'Aux - pivots1'!$A:$E,4,0))</f>
        <v/>
      </c>
      <c r="O185" s="152" t="str">
        <f>IF(VLOOKUP(A185,'Aux - pivots1'!$A:$E,5,0)=0, "",VLOOKUP(A185,'Aux - pivots1'!$A:$E,5,0))</f>
        <v/>
      </c>
      <c r="P185" s="202"/>
      <c r="Q185" s="202"/>
      <c r="R185" s="372" t="s">
        <v>2319</v>
      </c>
      <c r="S185" s="324" t="s">
        <v>2388</v>
      </c>
      <c r="T185" s="372" t="s">
        <v>2367</v>
      </c>
      <c r="U185" s="372" t="s">
        <v>2327</v>
      </c>
      <c r="V185" s="324" t="s">
        <v>2314</v>
      </c>
    </row>
    <row r="186" spans="1:22" ht="16.350000000000001" hidden="1" customHeight="1">
      <c r="A186" s="29" t="str">
        <f t="shared" si="3"/>
        <v>lt007_instr_activityINSTRMNT_ID</v>
      </c>
      <c r="B186" s="141" t="s">
        <v>26</v>
      </c>
      <c r="C186" s="137" t="s">
        <v>26</v>
      </c>
      <c r="D186" s="133" t="s">
        <v>40</v>
      </c>
      <c r="E186" s="136" t="s">
        <v>1865</v>
      </c>
      <c r="F186" s="480" t="s">
        <v>1312</v>
      </c>
      <c r="G186" s="135" t="str">
        <f>VLOOKUP(A186,Plano_V3!$A$26:$G$769,7,0)</f>
        <v xml:space="preserve">6. Em implementação </v>
      </c>
      <c r="H186" s="135" t="s">
        <v>2325</v>
      </c>
      <c r="I186" s="473"/>
      <c r="J186" s="359" t="s">
        <v>2246</v>
      </c>
      <c r="K186" s="359" t="s">
        <v>2360</v>
      </c>
      <c r="L186" s="359"/>
      <c r="M186" s="152" t="str">
        <f>IF(VLOOKUP(A186,'Aux - pivots1'!$A:$E,3,0)=0, "",VLOOKUP(A186,'Aux - pivots1'!$A:$E,3,0))</f>
        <v/>
      </c>
      <c r="N186" s="152" t="str">
        <f>IF(VLOOKUP(A186,'Aux - pivots1'!$A:$E,4,0)=0, "",VLOOKUP(A186,'Aux - pivots1'!$A:$E,4,0))</f>
        <v/>
      </c>
      <c r="O186" s="152" t="str">
        <f>IF(VLOOKUP(A186,'Aux - pivots1'!$A:$E,5,0)=0, "",VLOOKUP(A186,'Aux - pivots1'!$A:$E,5,0))</f>
        <v/>
      </c>
      <c r="P186" s="202"/>
      <c r="Q186" s="202"/>
      <c r="R186" s="372" t="s">
        <v>2319</v>
      </c>
      <c r="S186" s="324" t="s">
        <v>2388</v>
      </c>
      <c r="T186" s="372" t="s">
        <v>2367</v>
      </c>
      <c r="U186" s="372" t="s">
        <v>2327</v>
      </c>
      <c r="V186" s="324" t="s">
        <v>2314</v>
      </c>
    </row>
    <row r="187" spans="1:22" ht="16.350000000000001" hidden="1" customHeight="1">
      <c r="A187" s="29" t="str">
        <f t="shared" si="3"/>
        <v>lt007_instr_activityFLG_DNSH_CMPLNC</v>
      </c>
      <c r="B187" s="141" t="s">
        <v>26</v>
      </c>
      <c r="C187" s="137" t="s">
        <v>26</v>
      </c>
      <c r="D187" s="133" t="s">
        <v>40</v>
      </c>
      <c r="E187" s="136" t="s">
        <v>1865</v>
      </c>
      <c r="F187" s="480" t="s">
        <v>2299</v>
      </c>
      <c r="G187" s="135" t="str">
        <f>VLOOKUP(A187,Plano_V3!$A$26:$G$769,7,0)</f>
        <v xml:space="preserve">6. Em implementação </v>
      </c>
      <c r="H187" s="135" t="s">
        <v>2325</v>
      </c>
      <c r="I187" s="473"/>
      <c r="J187" s="359" t="s">
        <v>2312</v>
      </c>
      <c r="K187" s="359" t="s">
        <v>2360</v>
      </c>
      <c r="L187" s="359"/>
      <c r="M187" s="152" t="str">
        <f>IF(VLOOKUP(A187,'Aux - pivots1'!$A:$E,3,0)=0, "",VLOOKUP(A187,'Aux - pivots1'!$A:$E,3,0))</f>
        <v/>
      </c>
      <c r="N187" s="152" t="str">
        <f>IF(VLOOKUP(A187,'Aux - pivots1'!$A:$E,4,0)=0, "",VLOOKUP(A187,'Aux - pivots1'!$A:$E,4,0))</f>
        <v/>
      </c>
      <c r="O187" s="152" t="str">
        <f>IF(VLOOKUP(A187,'Aux - pivots1'!$A:$E,5,0)=0, "",VLOOKUP(A187,'Aux - pivots1'!$A:$E,5,0))</f>
        <v/>
      </c>
      <c r="P187" s="202"/>
      <c r="Q187" s="202"/>
      <c r="R187" s="372" t="s">
        <v>2319</v>
      </c>
      <c r="S187" s="324" t="s">
        <v>2389</v>
      </c>
      <c r="T187" s="372" t="s">
        <v>2367</v>
      </c>
      <c r="U187" s="372" t="s">
        <v>2327</v>
      </c>
      <c r="V187" s="324" t="s">
        <v>2316</v>
      </c>
    </row>
    <row r="188" spans="1:22" ht="16.350000000000001" hidden="1" customHeight="1">
      <c r="A188" s="29" t="str">
        <f t="shared" si="3"/>
        <v>lt007_instr_activityDNSH_DTL</v>
      </c>
      <c r="B188" s="141" t="s">
        <v>26</v>
      </c>
      <c r="C188" s="137" t="s">
        <v>26</v>
      </c>
      <c r="D188" s="133" t="s">
        <v>40</v>
      </c>
      <c r="E188" s="136" t="s">
        <v>1865</v>
      </c>
      <c r="F188" s="480" t="s">
        <v>2300</v>
      </c>
      <c r="G188" s="135" t="str">
        <f>VLOOKUP(A188,Plano_V3!$A$26:$G$769,7,0)</f>
        <v xml:space="preserve">6. Em implementação </v>
      </c>
      <c r="H188" s="135" t="s">
        <v>2325</v>
      </c>
      <c r="I188" s="473"/>
      <c r="J188" s="359" t="s">
        <v>2312</v>
      </c>
      <c r="K188" s="359" t="s">
        <v>2360</v>
      </c>
      <c r="L188" s="359"/>
      <c r="M188" s="152" t="str">
        <f>IF(VLOOKUP(A188,'Aux - pivots1'!$A:$E,3,0)=0, "",VLOOKUP(A188,'Aux - pivots1'!$A:$E,3,0))</f>
        <v/>
      </c>
      <c r="N188" s="152" t="str">
        <f>IF(VLOOKUP(A188,'Aux - pivots1'!$A:$E,4,0)=0, "",VLOOKUP(A188,'Aux - pivots1'!$A:$E,4,0))</f>
        <v/>
      </c>
      <c r="O188" s="152" t="str">
        <f>IF(VLOOKUP(A188,'Aux - pivots1'!$A:$E,5,0)=0, "",VLOOKUP(A188,'Aux - pivots1'!$A:$E,5,0))</f>
        <v/>
      </c>
      <c r="P188" s="202"/>
      <c r="Q188" s="202"/>
      <c r="R188" s="372" t="s">
        <v>2319</v>
      </c>
      <c r="S188" s="324" t="s">
        <v>2389</v>
      </c>
      <c r="T188" s="372" t="s">
        <v>2367</v>
      </c>
      <c r="U188" s="372" t="s">
        <v>2327</v>
      </c>
      <c r="V188" s="324" t="s">
        <v>2316</v>
      </c>
    </row>
    <row r="189" spans="1:22" ht="16.350000000000001" hidden="1" customHeight="1">
      <c r="A189" s="29" t="str">
        <f t="shared" si="3"/>
        <v>lt002_instrumentFLG_MNMM_SFGRDS</v>
      </c>
      <c r="B189" s="141" t="s">
        <v>26</v>
      </c>
      <c r="C189" s="137" t="s">
        <v>26</v>
      </c>
      <c r="D189" s="133" t="s">
        <v>40</v>
      </c>
      <c r="E189" s="136" t="s">
        <v>379</v>
      </c>
      <c r="F189" s="480" t="s">
        <v>2180</v>
      </c>
      <c r="G189" s="135" t="str">
        <f>VLOOKUP(A189,Plano_V3!$A$26:$G$769,7,0)</f>
        <v xml:space="preserve">6. Em implementação </v>
      </c>
      <c r="H189" s="135" t="s">
        <v>2325</v>
      </c>
      <c r="I189" s="473"/>
      <c r="J189" s="142" t="s">
        <v>2309</v>
      </c>
      <c r="K189" s="359" t="s">
        <v>2360</v>
      </c>
      <c r="L189" s="142"/>
      <c r="M189" s="152" t="str">
        <f>IF(VLOOKUP(A189,'Aux - pivots1'!$A:$E,3,0)=0, "",VLOOKUP(A189,'Aux - pivots1'!$A:$E,3,0))</f>
        <v/>
      </c>
      <c r="N189" s="152" t="str">
        <f>IF(VLOOKUP(A189,'Aux - pivots1'!$A:$E,4,0)=0, "",VLOOKUP(A189,'Aux - pivots1'!$A:$E,4,0))</f>
        <v/>
      </c>
      <c r="O189" s="152" t="str">
        <f>IF(VLOOKUP(A189,'Aux - pivots1'!$A:$E,5,0)=0, "",VLOOKUP(A189,'Aux - pivots1'!$A:$E,5,0))</f>
        <v/>
      </c>
      <c r="P189" s="202"/>
      <c r="Q189" s="202"/>
      <c r="R189" s="372" t="s">
        <v>2319</v>
      </c>
      <c r="S189" s="324" t="s">
        <v>2399</v>
      </c>
      <c r="T189" s="372" t="s">
        <v>2367</v>
      </c>
      <c r="U189" s="372" t="s">
        <v>2327</v>
      </c>
      <c r="V189" s="324" t="s">
        <v>1861</v>
      </c>
    </row>
    <row r="190" spans="1:22" ht="16.350000000000001" hidden="1" customHeight="1">
      <c r="A190" s="29" t="str">
        <f t="shared" si="3"/>
        <v>lt003_entitytxnmy_elgbl_capex_w</v>
      </c>
      <c r="B190" s="141" t="s">
        <v>26</v>
      </c>
      <c r="C190" s="137" t="s">
        <v>26</v>
      </c>
      <c r="D190" s="133" t="s">
        <v>40</v>
      </c>
      <c r="E190" s="136" t="s">
        <v>335</v>
      </c>
      <c r="F190" s="480" t="s">
        <v>2201</v>
      </c>
      <c r="G190" s="135" t="str">
        <f>VLOOKUP(A190,Plano_V3!$A$26:$G$769,7,0)</f>
        <v xml:space="preserve">6. Em implementação </v>
      </c>
      <c r="H190" s="135" t="s">
        <v>2325</v>
      </c>
      <c r="I190" s="473"/>
      <c r="J190" s="359" t="s">
        <v>2248</v>
      </c>
      <c r="K190" s="359" t="s">
        <v>2405</v>
      </c>
      <c r="L190" s="359"/>
      <c r="M190" s="152" t="str">
        <f>IF(VLOOKUP(A190,'Aux - pivots1'!$A:$E,3,0)=0, "",VLOOKUP(A190,'Aux - pivots1'!$A:$E,3,0))</f>
        <v/>
      </c>
      <c r="N190" s="152" t="str">
        <f>IF(VLOOKUP(A190,'Aux - pivots1'!$A:$E,4,0)=0, "",VLOOKUP(A190,'Aux - pivots1'!$A:$E,4,0))</f>
        <v/>
      </c>
      <c r="O190" s="152" t="str">
        <f>IF(VLOOKUP(A190,'Aux - pivots1'!$A:$E,5,0)=0, "",VLOOKUP(A190,'Aux - pivots1'!$A:$E,5,0))</f>
        <v/>
      </c>
      <c r="P190" s="202"/>
      <c r="Q190" s="202"/>
      <c r="R190" s="372" t="s">
        <v>2319</v>
      </c>
      <c r="S190" s="324" t="s">
        <v>2389</v>
      </c>
      <c r="T190" s="372" t="s">
        <v>2367</v>
      </c>
      <c r="U190" s="372" t="s">
        <v>2327</v>
      </c>
      <c r="V190" s="324" t="s">
        <v>1861</v>
      </c>
    </row>
    <row r="191" spans="1:22" ht="16.350000000000001" hidden="1" customHeight="1">
      <c r="A191" s="29" t="str">
        <f t="shared" si="3"/>
        <v>lt003_entitytxnmy_elgbl_trnvr_w</v>
      </c>
      <c r="B191" s="141" t="s">
        <v>26</v>
      </c>
      <c r="C191" s="137" t="s">
        <v>26</v>
      </c>
      <c r="D191" s="133" t="s">
        <v>40</v>
      </c>
      <c r="E191" s="136" t="s">
        <v>335</v>
      </c>
      <c r="F191" s="480" t="s">
        <v>2202</v>
      </c>
      <c r="G191" s="135" t="str">
        <f>VLOOKUP(A191,Plano_V3!$A$26:$G$769,7,0)</f>
        <v xml:space="preserve">6. Em implementação </v>
      </c>
      <c r="H191" s="135" t="s">
        <v>2325</v>
      </c>
      <c r="I191" s="473"/>
      <c r="J191" s="359" t="s">
        <v>2248</v>
      </c>
      <c r="K191" s="359" t="s">
        <v>2405</v>
      </c>
      <c r="L191" s="359"/>
      <c r="M191" s="152" t="str">
        <f>IF(VLOOKUP(A191,'Aux - pivots1'!$A:$E,3,0)=0, "",VLOOKUP(A191,'Aux - pivots1'!$A:$E,3,0))</f>
        <v/>
      </c>
      <c r="N191" s="152" t="str">
        <f>IF(VLOOKUP(A191,'Aux - pivots1'!$A:$E,4,0)=0, "",VLOOKUP(A191,'Aux - pivots1'!$A:$E,4,0))</f>
        <v/>
      </c>
      <c r="O191" s="152" t="str">
        <f>IF(VLOOKUP(A191,'Aux - pivots1'!$A:$E,5,0)=0, "",VLOOKUP(A191,'Aux - pivots1'!$A:$E,5,0))</f>
        <v/>
      </c>
      <c r="P191" s="202"/>
      <c r="Q191" s="202"/>
      <c r="R191" s="372" t="s">
        <v>2319</v>
      </c>
      <c r="S191" s="324" t="s">
        <v>2389</v>
      </c>
      <c r="T191" s="372" t="s">
        <v>2367</v>
      </c>
      <c r="U191" s="372" t="s">
        <v>2327</v>
      </c>
      <c r="V191" s="324" t="s">
        <v>1861</v>
      </c>
    </row>
    <row r="192" spans="1:22" ht="16.350000000000001" hidden="1" customHeight="1">
      <c r="A192" s="29" t="str">
        <f t="shared" si="3"/>
        <v>lt003_entitytxnmy_elgbl_capex_p</v>
      </c>
      <c r="B192" s="141" t="s">
        <v>26</v>
      </c>
      <c r="C192" s="137" t="s">
        <v>26</v>
      </c>
      <c r="D192" s="133" t="s">
        <v>40</v>
      </c>
      <c r="E192" s="136" t="s">
        <v>335</v>
      </c>
      <c r="F192" s="480" t="s">
        <v>2203</v>
      </c>
      <c r="G192" s="135" t="str">
        <f>VLOOKUP(A192,Plano_V3!$A$26:$G$769,7,0)</f>
        <v xml:space="preserve">6. Em implementação </v>
      </c>
      <c r="H192" s="135" t="s">
        <v>2325</v>
      </c>
      <c r="I192" s="473"/>
      <c r="J192" s="359" t="s">
        <v>2248</v>
      </c>
      <c r="K192" s="359" t="s">
        <v>2405</v>
      </c>
      <c r="L192" s="359"/>
      <c r="M192" s="152" t="str">
        <f>IF(VLOOKUP(A192,'Aux - pivots1'!$A:$E,3,0)=0, "",VLOOKUP(A192,'Aux - pivots1'!$A:$E,3,0))</f>
        <v/>
      </c>
      <c r="N192" s="152" t="str">
        <f>IF(VLOOKUP(A192,'Aux - pivots1'!$A:$E,4,0)=0, "",VLOOKUP(A192,'Aux - pivots1'!$A:$E,4,0))</f>
        <v/>
      </c>
      <c r="O192" s="152" t="str">
        <f>IF(VLOOKUP(A192,'Aux - pivots1'!$A:$E,5,0)=0, "",VLOOKUP(A192,'Aux - pivots1'!$A:$E,5,0))</f>
        <v/>
      </c>
      <c r="P192" s="202"/>
      <c r="Q192" s="202"/>
      <c r="R192" s="372" t="s">
        <v>2319</v>
      </c>
      <c r="S192" s="324" t="s">
        <v>2389</v>
      </c>
      <c r="T192" s="372" t="s">
        <v>2367</v>
      </c>
      <c r="U192" s="372" t="s">
        <v>2327</v>
      </c>
      <c r="V192" s="324" t="s">
        <v>1861</v>
      </c>
    </row>
    <row r="193" spans="1:22" ht="16.350000000000001" hidden="1" customHeight="1">
      <c r="A193" s="29" t="str">
        <f t="shared" si="3"/>
        <v>lt003_entitytxnmy_elgbl_trnvr_p</v>
      </c>
      <c r="B193" s="141" t="s">
        <v>26</v>
      </c>
      <c r="C193" s="137" t="s">
        <v>26</v>
      </c>
      <c r="D193" s="133" t="s">
        <v>40</v>
      </c>
      <c r="E193" s="136" t="s">
        <v>335</v>
      </c>
      <c r="F193" s="480" t="s">
        <v>2204</v>
      </c>
      <c r="G193" s="135" t="str">
        <f>VLOOKUP(A193,Plano_V3!$A$26:$G$769,7,0)</f>
        <v xml:space="preserve">6. Em implementação </v>
      </c>
      <c r="H193" s="135" t="s">
        <v>2325</v>
      </c>
      <c r="I193" s="473"/>
      <c r="J193" s="359" t="s">
        <v>2248</v>
      </c>
      <c r="K193" s="359" t="s">
        <v>2405</v>
      </c>
      <c r="L193" s="359"/>
      <c r="M193" s="152" t="str">
        <f>IF(VLOOKUP(A193,'Aux - pivots1'!$A:$E,3,0)=0, "",VLOOKUP(A193,'Aux - pivots1'!$A:$E,3,0))</f>
        <v/>
      </c>
      <c r="N193" s="152" t="str">
        <f>IF(VLOOKUP(A193,'Aux - pivots1'!$A:$E,4,0)=0, "",VLOOKUP(A193,'Aux - pivots1'!$A:$E,4,0))</f>
        <v/>
      </c>
      <c r="O193" s="152" t="str">
        <f>IF(VLOOKUP(A193,'Aux - pivots1'!$A:$E,5,0)=0, "",VLOOKUP(A193,'Aux - pivots1'!$A:$E,5,0))</f>
        <v/>
      </c>
      <c r="P193" s="202"/>
      <c r="Q193" s="202"/>
      <c r="R193" s="372" t="s">
        <v>2319</v>
      </c>
      <c r="S193" s="324" t="s">
        <v>2389</v>
      </c>
      <c r="T193" s="372" t="s">
        <v>2367</v>
      </c>
      <c r="U193" s="372" t="s">
        <v>2327</v>
      </c>
      <c r="V193" s="324" t="s">
        <v>1861</v>
      </c>
    </row>
    <row r="194" spans="1:22" ht="16.350000000000001" hidden="1" customHeight="1">
      <c r="A194" s="29" t="str">
        <f t="shared" si="3"/>
        <v>lt003_entitytxnmy_elgbl_capex_b</v>
      </c>
      <c r="B194" s="141" t="s">
        <v>26</v>
      </c>
      <c r="C194" s="137" t="s">
        <v>26</v>
      </c>
      <c r="D194" s="133" t="s">
        <v>40</v>
      </c>
      <c r="E194" s="136" t="s">
        <v>335</v>
      </c>
      <c r="F194" s="480" t="s">
        <v>2205</v>
      </c>
      <c r="G194" s="135" t="str">
        <f>VLOOKUP(A194,Plano_V3!$A$26:$G$769,7,0)</f>
        <v xml:space="preserve">6. Em implementação </v>
      </c>
      <c r="H194" s="135" t="s">
        <v>2325</v>
      </c>
      <c r="I194" s="473"/>
      <c r="J194" s="359" t="s">
        <v>2248</v>
      </c>
      <c r="K194" s="359" t="s">
        <v>2405</v>
      </c>
      <c r="L194" s="359"/>
      <c r="M194" s="152" t="str">
        <f>IF(VLOOKUP(A194,'Aux - pivots1'!$A:$E,3,0)=0, "",VLOOKUP(A194,'Aux - pivots1'!$A:$E,3,0))</f>
        <v/>
      </c>
      <c r="N194" s="152" t="str">
        <f>IF(VLOOKUP(A194,'Aux - pivots1'!$A:$E,4,0)=0, "",VLOOKUP(A194,'Aux - pivots1'!$A:$E,4,0))</f>
        <v/>
      </c>
      <c r="O194" s="152" t="str">
        <f>IF(VLOOKUP(A194,'Aux - pivots1'!$A:$E,5,0)=0, "",VLOOKUP(A194,'Aux - pivots1'!$A:$E,5,0))</f>
        <v/>
      </c>
      <c r="P194" s="202"/>
      <c r="Q194" s="202"/>
      <c r="R194" s="372" t="s">
        <v>2319</v>
      </c>
      <c r="S194" s="324" t="s">
        <v>2389</v>
      </c>
      <c r="T194" s="372" t="s">
        <v>2367</v>
      </c>
      <c r="U194" s="372" t="s">
        <v>2327</v>
      </c>
      <c r="V194" s="324" t="s">
        <v>1861</v>
      </c>
    </row>
    <row r="195" spans="1:22" ht="16.350000000000001" hidden="1" customHeight="1">
      <c r="A195" s="29" t="str">
        <f t="shared" si="3"/>
        <v>lt003_entitytxnmy_elgbl_trnvr_b</v>
      </c>
      <c r="B195" s="141" t="s">
        <v>26</v>
      </c>
      <c r="C195" s="137" t="s">
        <v>26</v>
      </c>
      <c r="D195" s="133" t="s">
        <v>40</v>
      </c>
      <c r="E195" s="136" t="s">
        <v>335</v>
      </c>
      <c r="F195" s="480" t="s">
        <v>2206</v>
      </c>
      <c r="G195" s="135" t="str">
        <f>VLOOKUP(A195,Plano_V3!$A$26:$G$769,7,0)</f>
        <v xml:space="preserve">6. Em implementação </v>
      </c>
      <c r="H195" s="135" t="s">
        <v>2325</v>
      </c>
      <c r="I195" s="473"/>
      <c r="J195" s="359" t="s">
        <v>2248</v>
      </c>
      <c r="K195" s="359" t="s">
        <v>2405</v>
      </c>
      <c r="L195" s="359"/>
      <c r="M195" s="152" t="str">
        <f>IF(VLOOKUP(A195,'Aux - pivots1'!$A:$E,3,0)=0, "",VLOOKUP(A195,'Aux - pivots1'!$A:$E,3,0))</f>
        <v/>
      </c>
      <c r="N195" s="152" t="str">
        <f>IF(VLOOKUP(A195,'Aux - pivots1'!$A:$E,4,0)=0, "",VLOOKUP(A195,'Aux - pivots1'!$A:$E,4,0))</f>
        <v/>
      </c>
      <c r="O195" s="152" t="str">
        <f>IF(VLOOKUP(A195,'Aux - pivots1'!$A:$E,5,0)=0, "",VLOOKUP(A195,'Aux - pivots1'!$A:$E,5,0))</f>
        <v/>
      </c>
      <c r="P195" s="202"/>
      <c r="Q195" s="202"/>
      <c r="R195" s="372" t="s">
        <v>2319</v>
      </c>
      <c r="S195" s="324" t="s">
        <v>2389</v>
      </c>
      <c r="T195" s="372" t="s">
        <v>2367</v>
      </c>
      <c r="U195" s="372" t="s">
        <v>2327</v>
      </c>
      <c r="V195" s="324" t="s">
        <v>1861</v>
      </c>
    </row>
    <row r="196" spans="1:22" ht="16.350000000000001" hidden="1" customHeight="1">
      <c r="A196" s="29" t="str">
        <f t="shared" si="3"/>
        <v>lt003_entitytxnmy_elgbl_capex_ce</v>
      </c>
      <c r="B196" s="141" t="s">
        <v>26</v>
      </c>
      <c r="C196" s="137" t="s">
        <v>26</v>
      </c>
      <c r="D196" s="133" t="s">
        <v>40</v>
      </c>
      <c r="E196" s="136" t="s">
        <v>335</v>
      </c>
      <c r="F196" s="480" t="s">
        <v>2207</v>
      </c>
      <c r="G196" s="135" t="str">
        <f>VLOOKUP(A196,Plano_V3!$A$26:$G$769,7,0)</f>
        <v xml:space="preserve">6. Em implementação </v>
      </c>
      <c r="H196" s="135" t="s">
        <v>2325</v>
      </c>
      <c r="I196" s="473"/>
      <c r="J196" s="359" t="s">
        <v>2248</v>
      </c>
      <c r="K196" s="359" t="s">
        <v>2405</v>
      </c>
      <c r="L196" s="359"/>
      <c r="M196" s="152" t="str">
        <f>IF(VLOOKUP(A196,'Aux - pivots1'!$A:$E,3,0)=0, "",VLOOKUP(A196,'Aux - pivots1'!$A:$E,3,0))</f>
        <v/>
      </c>
      <c r="N196" s="152" t="str">
        <f>IF(VLOOKUP(A196,'Aux - pivots1'!$A:$E,4,0)=0, "",VLOOKUP(A196,'Aux - pivots1'!$A:$E,4,0))</f>
        <v/>
      </c>
      <c r="O196" s="152" t="str">
        <f>IF(VLOOKUP(A196,'Aux - pivots1'!$A:$E,5,0)=0, "",VLOOKUP(A196,'Aux - pivots1'!$A:$E,5,0))</f>
        <v/>
      </c>
      <c r="P196" s="202"/>
      <c r="Q196" s="202"/>
      <c r="R196" s="372" t="s">
        <v>2319</v>
      </c>
      <c r="S196" s="324" t="s">
        <v>2389</v>
      </c>
      <c r="T196" s="372" t="s">
        <v>2367</v>
      </c>
      <c r="U196" s="372" t="s">
        <v>2327</v>
      </c>
      <c r="V196" s="324" t="s">
        <v>1861</v>
      </c>
    </row>
    <row r="197" spans="1:22" ht="16.350000000000001" hidden="1" customHeight="1">
      <c r="A197" s="29" t="str">
        <f t="shared" si="3"/>
        <v>lt003_entitytxnmy_elgbl_trnvr_ce</v>
      </c>
      <c r="B197" s="141" t="s">
        <v>26</v>
      </c>
      <c r="C197" s="137" t="s">
        <v>26</v>
      </c>
      <c r="D197" s="133" t="s">
        <v>40</v>
      </c>
      <c r="E197" s="136" t="s">
        <v>335</v>
      </c>
      <c r="F197" s="480" t="s">
        <v>2208</v>
      </c>
      <c r="G197" s="135" t="str">
        <f>VLOOKUP(A197,Plano_V3!$A$26:$G$769,7,0)</f>
        <v xml:space="preserve">6. Em implementação </v>
      </c>
      <c r="H197" s="135" t="s">
        <v>2325</v>
      </c>
      <c r="I197" s="473"/>
      <c r="J197" s="359" t="s">
        <v>2248</v>
      </c>
      <c r="K197" s="359" t="s">
        <v>2405</v>
      </c>
      <c r="L197" s="359"/>
      <c r="M197" s="152" t="str">
        <f>IF(VLOOKUP(A197,'Aux - pivots1'!$A:$E,3,0)=0, "",VLOOKUP(A197,'Aux - pivots1'!$A:$E,3,0))</f>
        <v/>
      </c>
      <c r="N197" s="152" t="str">
        <f>IF(VLOOKUP(A197,'Aux - pivots1'!$A:$E,4,0)=0, "",VLOOKUP(A197,'Aux - pivots1'!$A:$E,4,0))</f>
        <v/>
      </c>
      <c r="O197" s="152" t="str">
        <f>IF(VLOOKUP(A197,'Aux - pivots1'!$A:$E,5,0)=0, "",VLOOKUP(A197,'Aux - pivots1'!$A:$E,5,0))</f>
        <v/>
      </c>
      <c r="P197" s="202"/>
      <c r="Q197" s="202"/>
      <c r="R197" s="372" t="s">
        <v>2319</v>
      </c>
      <c r="S197" s="324" t="s">
        <v>2389</v>
      </c>
      <c r="T197" s="372" t="s">
        <v>2367</v>
      </c>
      <c r="U197" s="372" t="s">
        <v>2327</v>
      </c>
      <c r="V197" s="324" t="s">
        <v>1861</v>
      </c>
    </row>
    <row r="198" spans="1:22" ht="16.350000000000001" hidden="1" customHeight="1">
      <c r="A198" s="29" t="str">
        <f t="shared" si="3"/>
        <v>lt003_entitypure_capex_p</v>
      </c>
      <c r="B198" s="141" t="s">
        <v>26</v>
      </c>
      <c r="C198" s="137" t="s">
        <v>26</v>
      </c>
      <c r="D198" s="133" t="s">
        <v>40</v>
      </c>
      <c r="E198" s="136" t="s">
        <v>335</v>
      </c>
      <c r="F198" s="480" t="s">
        <v>2209</v>
      </c>
      <c r="G198" s="135" t="str">
        <f>VLOOKUP(A198,Plano_V3!$A$26:$G$769,7,0)</f>
        <v xml:space="preserve">6. Em implementação </v>
      </c>
      <c r="H198" s="135" t="s">
        <v>2325</v>
      </c>
      <c r="I198" s="473"/>
      <c r="J198" s="359" t="s">
        <v>2248</v>
      </c>
      <c r="K198" s="359" t="s">
        <v>2405</v>
      </c>
      <c r="L198" s="359"/>
      <c r="M198" s="152" t="str">
        <f>IF(VLOOKUP(A198,'Aux - pivots1'!$A:$E,3,0)=0, "",VLOOKUP(A198,'Aux - pivots1'!$A:$E,3,0))</f>
        <v/>
      </c>
      <c r="N198" s="152" t="str">
        <f>IF(VLOOKUP(A198,'Aux - pivots1'!$A:$E,4,0)=0, "",VLOOKUP(A198,'Aux - pivots1'!$A:$E,4,0))</f>
        <v/>
      </c>
      <c r="O198" s="152" t="str">
        <f>IF(VLOOKUP(A198,'Aux - pivots1'!$A:$E,5,0)=0, "",VLOOKUP(A198,'Aux - pivots1'!$A:$E,5,0))</f>
        <v/>
      </c>
      <c r="P198" s="202"/>
      <c r="Q198" s="202"/>
      <c r="R198" s="372" t="s">
        <v>2319</v>
      </c>
      <c r="S198" s="324" t="s">
        <v>2389</v>
      </c>
      <c r="T198" s="372" t="s">
        <v>2367</v>
      </c>
      <c r="U198" s="372" t="s">
        <v>2327</v>
      </c>
      <c r="V198" s="324" t="s">
        <v>1861</v>
      </c>
    </row>
    <row r="199" spans="1:22" ht="16.350000000000001" hidden="1" customHeight="1">
      <c r="A199" s="29" t="str">
        <f t="shared" si="3"/>
        <v>lt003_entitypure_trnvr_p</v>
      </c>
      <c r="B199" s="141" t="s">
        <v>26</v>
      </c>
      <c r="C199" s="137" t="s">
        <v>26</v>
      </c>
      <c r="D199" s="133" t="s">
        <v>40</v>
      </c>
      <c r="E199" s="136" t="s">
        <v>335</v>
      </c>
      <c r="F199" s="480" t="s">
        <v>2210</v>
      </c>
      <c r="G199" s="135" t="str">
        <f>VLOOKUP(A199,Plano_V3!$A$26:$G$769,7,0)</f>
        <v xml:space="preserve">6. Em implementação </v>
      </c>
      <c r="H199" s="135" t="s">
        <v>2325</v>
      </c>
      <c r="I199" s="473"/>
      <c r="J199" s="359" t="s">
        <v>2248</v>
      </c>
      <c r="K199" s="359" t="s">
        <v>2405</v>
      </c>
      <c r="L199" s="359"/>
      <c r="M199" s="152" t="str">
        <f>IF(VLOOKUP(A199,'Aux - pivots1'!$A:$E,3,0)=0, "",VLOOKUP(A199,'Aux - pivots1'!$A:$E,3,0))</f>
        <v/>
      </c>
      <c r="N199" s="152" t="str">
        <f>IF(VLOOKUP(A199,'Aux - pivots1'!$A:$E,4,0)=0, "",VLOOKUP(A199,'Aux - pivots1'!$A:$E,4,0))</f>
        <v/>
      </c>
      <c r="O199" s="152" t="str">
        <f>IF(VLOOKUP(A199,'Aux - pivots1'!$A:$E,5,0)=0, "",VLOOKUP(A199,'Aux - pivots1'!$A:$E,5,0))</f>
        <v/>
      </c>
      <c r="P199" s="202"/>
      <c r="Q199" s="202"/>
      <c r="R199" s="372" t="s">
        <v>2319</v>
      </c>
      <c r="S199" s="324" t="s">
        <v>2389</v>
      </c>
      <c r="T199" s="372" t="s">
        <v>2367</v>
      </c>
      <c r="U199" s="372" t="s">
        <v>2327</v>
      </c>
      <c r="V199" s="324" t="s">
        <v>1861</v>
      </c>
    </row>
    <row r="200" spans="1:22" ht="16.350000000000001" hidden="1" customHeight="1">
      <c r="A200" s="29" t="str">
        <f t="shared" si="3"/>
        <v>lt003_entitypure_capex_b</v>
      </c>
      <c r="B200" s="141" t="s">
        <v>26</v>
      </c>
      <c r="C200" s="137" t="s">
        <v>26</v>
      </c>
      <c r="D200" s="133" t="s">
        <v>40</v>
      </c>
      <c r="E200" s="136" t="s">
        <v>335</v>
      </c>
      <c r="F200" s="480" t="s">
        <v>2211</v>
      </c>
      <c r="G200" s="135" t="str">
        <f>VLOOKUP(A200,Plano_V3!$A$26:$G$769,7,0)</f>
        <v xml:space="preserve">6. Em implementação </v>
      </c>
      <c r="H200" s="135" t="s">
        <v>2325</v>
      </c>
      <c r="I200" s="473"/>
      <c r="J200" s="359" t="s">
        <v>2248</v>
      </c>
      <c r="K200" s="359" t="s">
        <v>2405</v>
      </c>
      <c r="L200" s="359"/>
      <c r="M200" s="152" t="str">
        <f>IF(VLOOKUP(A200,'Aux - pivots1'!$A:$E,3,0)=0, "",VLOOKUP(A200,'Aux - pivots1'!$A:$E,3,0))</f>
        <v/>
      </c>
      <c r="N200" s="152" t="str">
        <f>IF(VLOOKUP(A200,'Aux - pivots1'!$A:$E,4,0)=0, "",VLOOKUP(A200,'Aux - pivots1'!$A:$E,4,0))</f>
        <v/>
      </c>
      <c r="O200" s="152" t="str">
        <f>IF(VLOOKUP(A200,'Aux - pivots1'!$A:$E,5,0)=0, "",VLOOKUP(A200,'Aux - pivots1'!$A:$E,5,0))</f>
        <v/>
      </c>
      <c r="P200" s="202"/>
      <c r="Q200" s="202"/>
      <c r="R200" s="372" t="s">
        <v>2319</v>
      </c>
      <c r="S200" s="324" t="s">
        <v>2389</v>
      </c>
      <c r="T200" s="372" t="s">
        <v>2367</v>
      </c>
      <c r="U200" s="372" t="s">
        <v>2327</v>
      </c>
      <c r="V200" s="324" t="s">
        <v>1861</v>
      </c>
    </row>
    <row r="201" spans="1:22" ht="16.350000000000001" hidden="1" customHeight="1">
      <c r="A201" s="29" t="str">
        <f t="shared" ref="A201:A266" si="4">E201&amp;F201</f>
        <v>lt003_entitypure_trnvr_b</v>
      </c>
      <c r="B201" s="141" t="s">
        <v>26</v>
      </c>
      <c r="C201" s="137" t="s">
        <v>26</v>
      </c>
      <c r="D201" s="133" t="s">
        <v>40</v>
      </c>
      <c r="E201" s="136" t="s">
        <v>335</v>
      </c>
      <c r="F201" s="480" t="s">
        <v>2212</v>
      </c>
      <c r="G201" s="135" t="str">
        <f>VLOOKUP(A201,Plano_V3!$A$26:$G$769,7,0)</f>
        <v xml:space="preserve">6. Em implementação </v>
      </c>
      <c r="H201" s="135" t="s">
        <v>2325</v>
      </c>
      <c r="I201" s="473"/>
      <c r="J201" s="359" t="s">
        <v>2248</v>
      </c>
      <c r="K201" s="359" t="s">
        <v>2405</v>
      </c>
      <c r="L201" s="359"/>
      <c r="M201" s="152" t="str">
        <f>IF(VLOOKUP(A201,'Aux - pivots1'!$A:$E,3,0)=0, "",VLOOKUP(A201,'Aux - pivots1'!$A:$E,3,0))</f>
        <v/>
      </c>
      <c r="N201" s="152" t="str">
        <f>IF(VLOOKUP(A201,'Aux - pivots1'!$A:$E,4,0)=0, "",VLOOKUP(A201,'Aux - pivots1'!$A:$E,4,0))</f>
        <v/>
      </c>
      <c r="O201" s="152" t="str">
        <f>IF(VLOOKUP(A201,'Aux - pivots1'!$A:$E,5,0)=0, "",VLOOKUP(A201,'Aux - pivots1'!$A:$E,5,0))</f>
        <v/>
      </c>
      <c r="P201" s="202"/>
      <c r="Q201" s="202"/>
      <c r="R201" s="372" t="s">
        <v>2319</v>
      </c>
      <c r="S201" s="324" t="s">
        <v>2389</v>
      </c>
      <c r="T201" s="372" t="s">
        <v>2367</v>
      </c>
      <c r="U201" s="372" t="s">
        <v>2327</v>
      </c>
      <c r="V201" s="324" t="s">
        <v>1861</v>
      </c>
    </row>
    <row r="202" spans="1:22" ht="16.350000000000001" hidden="1" customHeight="1">
      <c r="A202" s="29" t="str">
        <f t="shared" si="4"/>
        <v>lt003_entitypure_capex_w</v>
      </c>
      <c r="B202" s="141" t="s">
        <v>26</v>
      </c>
      <c r="C202" s="137" t="s">
        <v>26</v>
      </c>
      <c r="D202" s="133" t="s">
        <v>40</v>
      </c>
      <c r="E202" s="136" t="s">
        <v>335</v>
      </c>
      <c r="F202" s="480" t="s">
        <v>2213</v>
      </c>
      <c r="G202" s="135" t="str">
        <f>VLOOKUP(A202,Plano_V3!$A$26:$G$769,7,0)</f>
        <v xml:space="preserve">6. Em implementação </v>
      </c>
      <c r="H202" s="135" t="s">
        <v>2325</v>
      </c>
      <c r="I202" s="473"/>
      <c r="J202" s="359" t="s">
        <v>2248</v>
      </c>
      <c r="K202" s="359" t="s">
        <v>2405</v>
      </c>
      <c r="L202" s="359"/>
      <c r="M202" s="152" t="str">
        <f>IF(VLOOKUP(A202,'Aux - pivots1'!$A:$E,3,0)=0, "",VLOOKUP(A202,'Aux - pivots1'!$A:$E,3,0))</f>
        <v/>
      </c>
      <c r="N202" s="152" t="str">
        <f>IF(VLOOKUP(A202,'Aux - pivots1'!$A:$E,4,0)=0, "",VLOOKUP(A202,'Aux - pivots1'!$A:$E,4,0))</f>
        <v/>
      </c>
      <c r="O202" s="152" t="str">
        <f>IF(VLOOKUP(A202,'Aux - pivots1'!$A:$E,5,0)=0, "",VLOOKUP(A202,'Aux - pivots1'!$A:$E,5,0))</f>
        <v/>
      </c>
      <c r="P202" s="202"/>
      <c r="Q202" s="202"/>
      <c r="R202" s="372" t="s">
        <v>2319</v>
      </c>
      <c r="S202" s="324" t="s">
        <v>2389</v>
      </c>
      <c r="T202" s="372" t="s">
        <v>2367</v>
      </c>
      <c r="U202" s="372" t="s">
        <v>2327</v>
      </c>
      <c r="V202" s="324" t="s">
        <v>1861</v>
      </c>
    </row>
    <row r="203" spans="1:22" ht="16.350000000000001" hidden="1" customHeight="1">
      <c r="A203" s="29" t="str">
        <f t="shared" si="4"/>
        <v>lt003_entitypure_trnvr_w</v>
      </c>
      <c r="B203" s="141" t="s">
        <v>26</v>
      </c>
      <c r="C203" s="137" t="s">
        <v>26</v>
      </c>
      <c r="D203" s="133" t="s">
        <v>40</v>
      </c>
      <c r="E203" s="136" t="s">
        <v>335</v>
      </c>
      <c r="F203" s="480" t="s">
        <v>2214</v>
      </c>
      <c r="G203" s="135" t="str">
        <f>VLOOKUP(A203,Plano_V3!$A$26:$G$769,7,0)</f>
        <v xml:space="preserve">6. Em implementação </v>
      </c>
      <c r="H203" s="135" t="s">
        <v>2325</v>
      </c>
      <c r="I203" s="473"/>
      <c r="J203" s="359" t="s">
        <v>2248</v>
      </c>
      <c r="K203" s="359" t="s">
        <v>2405</v>
      </c>
      <c r="L203" s="359"/>
      <c r="M203" s="152" t="str">
        <f>IF(VLOOKUP(A203,'Aux - pivots1'!$A:$E,3,0)=0, "",VLOOKUP(A203,'Aux - pivots1'!$A:$E,3,0))</f>
        <v/>
      </c>
      <c r="N203" s="152" t="str">
        <f>IF(VLOOKUP(A203,'Aux - pivots1'!$A:$E,4,0)=0, "",VLOOKUP(A203,'Aux - pivots1'!$A:$E,4,0))</f>
        <v/>
      </c>
      <c r="O203" s="152" t="str">
        <f>IF(VLOOKUP(A203,'Aux - pivots1'!$A:$E,5,0)=0, "",VLOOKUP(A203,'Aux - pivots1'!$A:$E,5,0))</f>
        <v/>
      </c>
      <c r="P203" s="202"/>
      <c r="Q203" s="202"/>
      <c r="R203" s="372" t="s">
        <v>2319</v>
      </c>
      <c r="S203" s="324" t="s">
        <v>2389</v>
      </c>
      <c r="T203" s="372" t="s">
        <v>2367</v>
      </c>
      <c r="U203" s="372" t="s">
        <v>2327</v>
      </c>
      <c r="V203" s="324" t="s">
        <v>1861</v>
      </c>
    </row>
    <row r="204" spans="1:22" ht="16.350000000000001" hidden="1" customHeight="1">
      <c r="A204" s="29" t="str">
        <f t="shared" si="4"/>
        <v>lt003_entitypure_capex_ce</v>
      </c>
      <c r="B204" s="141" t="s">
        <v>26</v>
      </c>
      <c r="C204" s="137" t="s">
        <v>26</v>
      </c>
      <c r="D204" s="133" t="s">
        <v>40</v>
      </c>
      <c r="E204" s="136" t="s">
        <v>335</v>
      </c>
      <c r="F204" s="480" t="s">
        <v>2215</v>
      </c>
      <c r="G204" s="135" t="str">
        <f>VLOOKUP(A204,Plano_V3!$A$26:$G$769,7,0)</f>
        <v xml:space="preserve">6. Em implementação </v>
      </c>
      <c r="H204" s="135" t="s">
        <v>2325</v>
      </c>
      <c r="I204" s="473"/>
      <c r="J204" s="359" t="s">
        <v>2248</v>
      </c>
      <c r="K204" s="359" t="s">
        <v>2405</v>
      </c>
      <c r="L204" s="359"/>
      <c r="M204" s="152" t="str">
        <f>IF(VLOOKUP(A204,'Aux - pivots1'!$A:$E,3,0)=0, "",VLOOKUP(A204,'Aux - pivots1'!$A:$E,3,0))</f>
        <v/>
      </c>
      <c r="N204" s="152" t="str">
        <f>IF(VLOOKUP(A204,'Aux - pivots1'!$A:$E,4,0)=0, "",VLOOKUP(A204,'Aux - pivots1'!$A:$E,4,0))</f>
        <v/>
      </c>
      <c r="O204" s="152" t="str">
        <f>IF(VLOOKUP(A204,'Aux - pivots1'!$A:$E,5,0)=0, "",VLOOKUP(A204,'Aux - pivots1'!$A:$E,5,0))</f>
        <v/>
      </c>
      <c r="P204" s="202"/>
      <c r="Q204" s="202"/>
      <c r="R204" s="372" t="s">
        <v>2319</v>
      </c>
      <c r="S204" s="324" t="s">
        <v>2389</v>
      </c>
      <c r="T204" s="372" t="s">
        <v>2367</v>
      </c>
      <c r="U204" s="372" t="s">
        <v>2327</v>
      </c>
      <c r="V204" s="324" t="s">
        <v>1861</v>
      </c>
    </row>
    <row r="205" spans="1:22" ht="16.350000000000001" hidden="1" customHeight="1">
      <c r="A205" s="29" t="str">
        <f t="shared" si="4"/>
        <v>lt003_entitypure_trnvr_ce</v>
      </c>
      <c r="B205" s="141" t="s">
        <v>26</v>
      </c>
      <c r="C205" s="137" t="s">
        <v>26</v>
      </c>
      <c r="D205" s="133" t="s">
        <v>40</v>
      </c>
      <c r="E205" s="136" t="s">
        <v>335</v>
      </c>
      <c r="F205" s="480" t="s">
        <v>2216</v>
      </c>
      <c r="G205" s="135" t="str">
        <f>VLOOKUP(A205,Plano_V3!$A$26:$G$769,7,0)</f>
        <v xml:space="preserve">6. Em implementação </v>
      </c>
      <c r="H205" s="135" t="s">
        <v>2325</v>
      </c>
      <c r="I205" s="473"/>
      <c r="J205" s="359" t="s">
        <v>2248</v>
      </c>
      <c r="K205" s="359" t="s">
        <v>2405</v>
      </c>
      <c r="L205" s="359"/>
      <c r="M205" s="152" t="str">
        <f>IF(VLOOKUP(A205,'Aux - pivots1'!$A:$E,3,0)=0, "",VLOOKUP(A205,'Aux - pivots1'!$A:$E,3,0))</f>
        <v/>
      </c>
      <c r="N205" s="152" t="str">
        <f>IF(VLOOKUP(A205,'Aux - pivots1'!$A:$E,4,0)=0, "",VLOOKUP(A205,'Aux - pivots1'!$A:$E,4,0))</f>
        <v/>
      </c>
      <c r="O205" s="152" t="str">
        <f>IF(VLOOKUP(A205,'Aux - pivots1'!$A:$E,5,0)=0, "",VLOOKUP(A205,'Aux - pivots1'!$A:$E,5,0))</f>
        <v/>
      </c>
      <c r="P205" s="202"/>
      <c r="Q205" s="202"/>
      <c r="R205" s="372" t="s">
        <v>2319</v>
      </c>
      <c r="S205" s="324" t="s">
        <v>2389</v>
      </c>
      <c r="T205" s="372" t="s">
        <v>2367</v>
      </c>
      <c r="U205" s="372" t="s">
        <v>2327</v>
      </c>
      <c r="V205" s="324" t="s">
        <v>1861</v>
      </c>
    </row>
    <row r="206" spans="1:22" ht="16.350000000000001" hidden="1" customHeight="1">
      <c r="A206" s="29" t="str">
        <f t="shared" si="4"/>
        <v>lt003_entityenblng_capex_w</v>
      </c>
      <c r="B206" s="141" t="s">
        <v>26</v>
      </c>
      <c r="C206" s="137" t="s">
        <v>26</v>
      </c>
      <c r="D206" s="133" t="s">
        <v>40</v>
      </c>
      <c r="E206" s="136" t="s">
        <v>335</v>
      </c>
      <c r="F206" s="480" t="s">
        <v>2217</v>
      </c>
      <c r="G206" s="135" t="str">
        <f>VLOOKUP(A206,Plano_V3!$A$26:$G$769,7,0)</f>
        <v xml:space="preserve">6. Em implementação </v>
      </c>
      <c r="H206" s="135" t="s">
        <v>2325</v>
      </c>
      <c r="I206" s="473"/>
      <c r="J206" s="359" t="s">
        <v>2248</v>
      </c>
      <c r="K206" s="359" t="s">
        <v>2405</v>
      </c>
      <c r="L206" s="359"/>
      <c r="M206" s="152" t="str">
        <f>IF(VLOOKUP(A206,'Aux - pivots1'!$A:$E,3,0)=0, "",VLOOKUP(A206,'Aux - pivots1'!$A:$E,3,0))</f>
        <v/>
      </c>
      <c r="N206" s="152" t="str">
        <f>IF(VLOOKUP(A206,'Aux - pivots1'!$A:$E,4,0)=0, "",VLOOKUP(A206,'Aux - pivots1'!$A:$E,4,0))</f>
        <v/>
      </c>
      <c r="O206" s="152" t="str">
        <f>IF(VLOOKUP(A206,'Aux - pivots1'!$A:$E,5,0)=0, "",VLOOKUP(A206,'Aux - pivots1'!$A:$E,5,0))</f>
        <v/>
      </c>
      <c r="P206" s="202"/>
      <c r="Q206" s="202"/>
      <c r="R206" s="372" t="s">
        <v>2319</v>
      </c>
      <c r="S206" s="324" t="s">
        <v>2389</v>
      </c>
      <c r="T206" s="372" t="s">
        <v>2367</v>
      </c>
      <c r="U206" s="372" t="s">
        <v>2327</v>
      </c>
      <c r="V206" s="324" t="s">
        <v>1861</v>
      </c>
    </row>
    <row r="207" spans="1:22" ht="16.350000000000001" hidden="1" customHeight="1">
      <c r="A207" s="29" t="str">
        <f t="shared" si="4"/>
        <v>lt003_entityenblng_trnvr_w</v>
      </c>
      <c r="B207" s="141" t="s">
        <v>26</v>
      </c>
      <c r="C207" s="137" t="s">
        <v>26</v>
      </c>
      <c r="D207" s="133" t="s">
        <v>40</v>
      </c>
      <c r="E207" s="136" t="s">
        <v>335</v>
      </c>
      <c r="F207" s="480" t="s">
        <v>2218</v>
      </c>
      <c r="G207" s="135" t="str">
        <f>VLOOKUP(A207,Plano_V3!$A$26:$G$769,7,0)</f>
        <v xml:space="preserve">6. Em implementação </v>
      </c>
      <c r="H207" s="135" t="s">
        <v>2325</v>
      </c>
      <c r="I207" s="473"/>
      <c r="J207" s="359" t="s">
        <v>2248</v>
      </c>
      <c r="K207" s="359" t="s">
        <v>2405</v>
      </c>
      <c r="L207" s="359"/>
      <c r="M207" s="152" t="str">
        <f>IF(VLOOKUP(A207,'Aux - pivots1'!$A:$E,3,0)=0, "",VLOOKUP(A207,'Aux - pivots1'!$A:$E,3,0))</f>
        <v/>
      </c>
      <c r="N207" s="152" t="str">
        <f>IF(VLOOKUP(A207,'Aux - pivots1'!$A:$E,4,0)=0, "",VLOOKUP(A207,'Aux - pivots1'!$A:$E,4,0))</f>
        <v/>
      </c>
      <c r="O207" s="152" t="str">
        <f>IF(VLOOKUP(A207,'Aux - pivots1'!$A:$E,5,0)=0, "",VLOOKUP(A207,'Aux - pivots1'!$A:$E,5,0))</f>
        <v/>
      </c>
      <c r="P207" s="202"/>
      <c r="Q207" s="202"/>
      <c r="R207" s="372" t="s">
        <v>2319</v>
      </c>
      <c r="S207" s="324" t="s">
        <v>2389</v>
      </c>
      <c r="T207" s="372" t="s">
        <v>2367</v>
      </c>
      <c r="U207" s="372" t="s">
        <v>2327</v>
      </c>
      <c r="V207" s="324" t="s">
        <v>1861</v>
      </c>
    </row>
    <row r="208" spans="1:22" ht="16.350000000000001" hidden="1" customHeight="1">
      <c r="A208" s="29" t="str">
        <f t="shared" si="4"/>
        <v>lt003_entityenblng_capex_ce</v>
      </c>
      <c r="B208" s="141" t="s">
        <v>26</v>
      </c>
      <c r="C208" s="137" t="s">
        <v>26</v>
      </c>
      <c r="D208" s="133" t="s">
        <v>40</v>
      </c>
      <c r="E208" s="136" t="s">
        <v>335</v>
      </c>
      <c r="F208" s="480" t="s">
        <v>2219</v>
      </c>
      <c r="G208" s="135" t="str">
        <f>VLOOKUP(A208,Plano_V3!$A$26:$G$769,7,0)</f>
        <v xml:space="preserve">6. Em implementação </v>
      </c>
      <c r="H208" s="135" t="s">
        <v>2325</v>
      </c>
      <c r="I208" s="473"/>
      <c r="J208" s="359" t="s">
        <v>2248</v>
      </c>
      <c r="K208" s="359" t="s">
        <v>2405</v>
      </c>
      <c r="L208" s="359"/>
      <c r="M208" s="152" t="str">
        <f>IF(VLOOKUP(A175,'Aux - pivots1'!$A:$E,3,0)=0, "",VLOOKUP(A175,'Aux - pivots1'!$A:$E,3,0))</f>
        <v/>
      </c>
      <c r="N208" s="152" t="str">
        <f>IF(VLOOKUP(A175,'Aux - pivots1'!$A:$E,4,0)=0, "",VLOOKUP(A175,'Aux - pivots1'!$A:$E,4,0))</f>
        <v/>
      </c>
      <c r="O208" s="152" t="str">
        <f>IF(VLOOKUP(A175,'Aux - pivots1'!$A:$E,5,0)=0, "",VLOOKUP(A175,'Aux - pivots1'!$A:$E,5,0))</f>
        <v/>
      </c>
      <c r="P208" s="202"/>
      <c r="Q208" s="202"/>
      <c r="R208" s="372" t="s">
        <v>2319</v>
      </c>
      <c r="S208" s="324" t="s">
        <v>2389</v>
      </c>
      <c r="T208" s="372" t="s">
        <v>2367</v>
      </c>
      <c r="U208" s="372" t="s">
        <v>2327</v>
      </c>
      <c r="V208" s="324" t="s">
        <v>1861</v>
      </c>
    </row>
    <row r="209" spans="1:22" ht="16.350000000000001" hidden="1" customHeight="1">
      <c r="A209" s="29" t="str">
        <f t="shared" si="4"/>
        <v>lt003_entityenblng_trnvr_ce</v>
      </c>
      <c r="B209" s="141" t="s">
        <v>26</v>
      </c>
      <c r="C209" s="137" t="s">
        <v>26</v>
      </c>
      <c r="D209" s="133" t="s">
        <v>40</v>
      </c>
      <c r="E209" s="136" t="s">
        <v>335</v>
      </c>
      <c r="F209" s="480" t="s">
        <v>2220</v>
      </c>
      <c r="G209" s="135" t="str">
        <f>VLOOKUP(A209,Plano_V3!$A$26:$G$769,7,0)</f>
        <v xml:space="preserve">6. Em implementação </v>
      </c>
      <c r="H209" s="135" t="s">
        <v>2325</v>
      </c>
      <c r="I209" s="473"/>
      <c r="J209" s="359" t="s">
        <v>2248</v>
      </c>
      <c r="K209" s="359" t="s">
        <v>2405</v>
      </c>
      <c r="L209" s="359"/>
      <c r="M209" s="152" t="str">
        <f>IF(VLOOKUP(A176,'Aux - pivots1'!$A:$E,3,0)=0, "",VLOOKUP(A176,'Aux - pivots1'!$A:$E,3,0))</f>
        <v/>
      </c>
      <c r="N209" s="152" t="str">
        <f>IF(VLOOKUP(A176,'Aux - pivots1'!$A:$E,4,0)=0, "",VLOOKUP(A176,'Aux - pivots1'!$A:$E,4,0))</f>
        <v/>
      </c>
      <c r="O209" s="152" t="str">
        <f>IF(VLOOKUP(A176,'Aux - pivots1'!$A:$E,5,0)=0, "",VLOOKUP(A176,'Aux - pivots1'!$A:$E,5,0))</f>
        <v/>
      </c>
      <c r="P209" s="202"/>
      <c r="Q209" s="202"/>
      <c r="R209" s="372" t="s">
        <v>2319</v>
      </c>
      <c r="S209" s="324" t="s">
        <v>2389</v>
      </c>
      <c r="T209" s="372" t="s">
        <v>2367</v>
      </c>
      <c r="U209" s="372" t="s">
        <v>2327</v>
      </c>
      <c r="V209" s="324" t="s">
        <v>1861</v>
      </c>
    </row>
    <row r="210" spans="1:22" ht="16.350000000000001" hidden="1" customHeight="1">
      <c r="A210" s="29" t="str">
        <f t="shared" si="4"/>
        <v>lt004_protectionTYP_EMSSNS_LBL</v>
      </c>
      <c r="B210" s="141" t="s">
        <v>26</v>
      </c>
      <c r="C210" s="137" t="s">
        <v>26</v>
      </c>
      <c r="D210" s="133" t="s">
        <v>40</v>
      </c>
      <c r="E210" s="136" t="s">
        <v>368</v>
      </c>
      <c r="F210" s="480" t="s">
        <v>2252</v>
      </c>
      <c r="G210" s="135" t="str">
        <f>VLOOKUP(A210,Plano_V3!$A$26:$G$769,7,0)</f>
        <v xml:space="preserve">6. Em implementação </v>
      </c>
      <c r="H210" s="135" t="s">
        <v>2325</v>
      </c>
      <c r="I210" s="473"/>
      <c r="J210" s="359" t="s">
        <v>2312</v>
      </c>
      <c r="K210" s="359" t="s">
        <v>2360</v>
      </c>
      <c r="L210" s="359"/>
      <c r="M210" s="152" t="str">
        <f>IF(VLOOKUP(A210,'Aux - pivots1'!$A:$E,3,0)=0, "",VLOOKUP(A210,'Aux - pivots1'!$A:$E,3,0))</f>
        <v/>
      </c>
      <c r="N210" s="152" t="str">
        <f>IF(VLOOKUP(A210,'Aux - pivots1'!$A:$E,4,0)=0, "",VLOOKUP(A210,'Aux - pivots1'!$A:$E,4,0))</f>
        <v/>
      </c>
      <c r="O210" s="152" t="str">
        <f>IF(VLOOKUP(A210,'Aux - pivots1'!$A:$E,5,0)=0, "",VLOOKUP(A210,'Aux - pivots1'!$A:$E,5,0))</f>
        <v/>
      </c>
      <c r="P210" s="202"/>
      <c r="Q210" s="202"/>
      <c r="R210" s="372" t="s">
        <v>2319</v>
      </c>
      <c r="S210" s="324" t="s">
        <v>2402</v>
      </c>
      <c r="T210" s="372" t="s">
        <v>2367</v>
      </c>
      <c r="U210" s="372" t="s">
        <v>2327</v>
      </c>
      <c r="V210" s="324" t="s">
        <v>1861</v>
      </c>
    </row>
    <row r="211" spans="1:22" ht="16.350000000000001" hidden="1" customHeight="1">
      <c r="A211" s="29" t="str">
        <f t="shared" si="4"/>
        <v>lt004_protectionVHCL_EMSSNS_LBL</v>
      </c>
      <c r="B211" s="141" t="s">
        <v>26</v>
      </c>
      <c r="C211" s="137" t="s">
        <v>26</v>
      </c>
      <c r="D211" s="133" t="s">
        <v>40</v>
      </c>
      <c r="E211" s="136" t="s">
        <v>368</v>
      </c>
      <c r="F211" s="480" t="s">
        <v>2254</v>
      </c>
      <c r="G211" s="135" t="str">
        <f>VLOOKUP(A211,Plano_V3!$A$26:$G$769,7,0)</f>
        <v xml:space="preserve">6. Em implementação </v>
      </c>
      <c r="H211" s="135" t="s">
        <v>2325</v>
      </c>
      <c r="I211" s="473"/>
      <c r="J211" s="359" t="s">
        <v>2312</v>
      </c>
      <c r="K211" s="359" t="s">
        <v>2360</v>
      </c>
      <c r="L211" s="359"/>
      <c r="M211" s="152" t="str">
        <f>IF(VLOOKUP(A211,'Aux - pivots1'!$A:$E,3,0)=0, "",VLOOKUP(A211,'Aux - pivots1'!$A:$E,3,0))</f>
        <v/>
      </c>
      <c r="N211" s="152" t="str">
        <f>IF(VLOOKUP(A211,'Aux - pivots1'!$A:$E,4,0)=0, "",VLOOKUP(A211,'Aux - pivots1'!$A:$E,4,0))</f>
        <v/>
      </c>
      <c r="O211" s="152" t="str">
        <f>IF(VLOOKUP(A211,'Aux - pivots1'!$A:$E,5,0)=0, "",VLOOKUP(A211,'Aux - pivots1'!$A:$E,5,0))</f>
        <v/>
      </c>
      <c r="P211" s="202"/>
      <c r="Q211" s="202"/>
      <c r="R211" s="372" t="s">
        <v>2319</v>
      </c>
      <c r="S211" s="324" t="s">
        <v>2402</v>
      </c>
      <c r="T211" s="372" t="s">
        <v>2367</v>
      </c>
      <c r="U211" s="372" t="s">
        <v>2327</v>
      </c>
      <c r="V211" s="324" t="s">
        <v>1861</v>
      </c>
    </row>
    <row r="212" spans="1:22" ht="16.350000000000001" hidden="1" customHeight="1">
      <c r="A212" s="29" t="str">
        <f t="shared" si="4"/>
        <v>lt004_protectionVHCL_EMSSNS_SCR</v>
      </c>
      <c r="B212" s="141" t="s">
        <v>26</v>
      </c>
      <c r="C212" s="137" t="s">
        <v>26</v>
      </c>
      <c r="D212" s="133" t="s">
        <v>40</v>
      </c>
      <c r="E212" s="136" t="s">
        <v>368</v>
      </c>
      <c r="F212" s="480" t="s">
        <v>2257</v>
      </c>
      <c r="G212" s="135" t="str">
        <f>VLOOKUP(A212,Plano_V3!$A$26:$G$769,7,0)</f>
        <v xml:space="preserve">6. Em implementação </v>
      </c>
      <c r="H212" s="135" t="s">
        <v>2325</v>
      </c>
      <c r="I212" s="473"/>
      <c r="J212" s="359" t="s">
        <v>2312</v>
      </c>
      <c r="K212" s="359" t="s">
        <v>2360</v>
      </c>
      <c r="L212" s="359"/>
      <c r="M212" s="152" t="str">
        <f>IF(VLOOKUP(A212,'Aux - pivots1'!$A:$E,3,0)=0, "",VLOOKUP(A212,'Aux - pivots1'!$A:$E,3,0))</f>
        <v/>
      </c>
      <c r="N212" s="152" t="str">
        <f>IF(VLOOKUP(A212,'Aux - pivots1'!$A:$E,4,0)=0, "",VLOOKUP(A212,'Aux - pivots1'!$A:$E,4,0))</f>
        <v/>
      </c>
      <c r="O212" s="152" t="str">
        <f>IF(VLOOKUP(A212,'Aux - pivots1'!$A:$E,5,0)=0, "",VLOOKUP(A212,'Aux - pivots1'!$A:$E,5,0))</f>
        <v/>
      </c>
      <c r="P212" s="202"/>
      <c r="Q212" s="202"/>
      <c r="R212" s="372" t="s">
        <v>2319</v>
      </c>
      <c r="S212" s="324" t="s">
        <v>2402</v>
      </c>
      <c r="T212" s="372" t="s">
        <v>2367</v>
      </c>
      <c r="U212" s="372" t="s">
        <v>2327</v>
      </c>
      <c r="V212" s="324" t="s">
        <v>1861</v>
      </c>
    </row>
    <row r="213" spans="1:22" ht="16.350000000000001" hidden="1" customHeight="1">
      <c r="A213" s="29" t="str">
        <f t="shared" si="4"/>
        <v>lt004_protectionINSRNC_ID</v>
      </c>
      <c r="B213" s="141" t="s">
        <v>26</v>
      </c>
      <c r="C213" s="137" t="s">
        <v>26</v>
      </c>
      <c r="D213" s="133" t="s">
        <v>40</v>
      </c>
      <c r="E213" s="136" t="s">
        <v>368</v>
      </c>
      <c r="F213" s="480" t="s">
        <v>2258</v>
      </c>
      <c r="G213" s="135" t="str">
        <f>VLOOKUP(A213,Plano_V3!$A$26:$G$769,7,0)</f>
        <v xml:space="preserve">6. Em implementação </v>
      </c>
      <c r="H213" s="135" t="s">
        <v>2325</v>
      </c>
      <c r="I213" s="473"/>
      <c r="J213" s="359" t="s">
        <v>2312</v>
      </c>
      <c r="K213" s="359" t="s">
        <v>2360</v>
      </c>
      <c r="L213" s="359"/>
      <c r="M213" s="152" t="str">
        <f>IF(VLOOKUP(A213,'Aux - pivots1'!$A:$E,3,0)=0, "",VLOOKUP(A213,'Aux - pivots1'!$A:$E,3,0))</f>
        <v/>
      </c>
      <c r="N213" s="152" t="str">
        <f>IF(VLOOKUP(A213,'Aux - pivots1'!$A:$E,4,0)=0, "",VLOOKUP(A213,'Aux - pivots1'!$A:$E,4,0))</f>
        <v/>
      </c>
      <c r="O213" s="152" t="str">
        <f>IF(VLOOKUP(A213,'Aux - pivots1'!$A:$E,5,0)=0, "",VLOOKUP(A213,'Aux - pivots1'!$A:$E,5,0))</f>
        <v/>
      </c>
      <c r="P213" s="202"/>
      <c r="Q213" s="202"/>
      <c r="R213" s="372" t="s">
        <v>2319</v>
      </c>
      <c r="S213" s="324" t="s">
        <v>2402</v>
      </c>
      <c r="T213" s="372" t="s">
        <v>2367</v>
      </c>
      <c r="U213" s="372" t="s">
        <v>2327</v>
      </c>
      <c r="V213" s="324" t="s">
        <v>1861</v>
      </c>
    </row>
    <row r="214" spans="1:22" ht="16.350000000000001" hidden="1" customHeight="1">
      <c r="A214" s="29" t="str">
        <f t="shared" si="4"/>
        <v>lt004_protectionTYP_HZRDS_INSRD</v>
      </c>
      <c r="B214" s="141" t="s">
        <v>26</v>
      </c>
      <c r="C214" s="137" t="s">
        <v>26</v>
      </c>
      <c r="D214" s="133" t="s">
        <v>40</v>
      </c>
      <c r="E214" s="136" t="s">
        <v>368</v>
      </c>
      <c r="F214" s="480" t="s">
        <v>2259</v>
      </c>
      <c r="G214" s="135" t="str">
        <f>VLOOKUP(A214,Plano_V3!$A$26:$G$769,7,0)</f>
        <v xml:space="preserve">6. Em implementação </v>
      </c>
      <c r="H214" s="135" t="s">
        <v>2325</v>
      </c>
      <c r="I214" s="473"/>
      <c r="J214" s="359" t="s">
        <v>2312</v>
      </c>
      <c r="K214" s="359" t="s">
        <v>2360</v>
      </c>
      <c r="L214" s="359"/>
      <c r="M214" s="152" t="str">
        <f>IF(VLOOKUP(A214,'Aux - pivots1'!$A:$E,3,0)=0, "",VLOOKUP(A214,'Aux - pivots1'!$A:$E,3,0))</f>
        <v/>
      </c>
      <c r="N214" s="152" t="str">
        <f>IF(VLOOKUP(A214,'Aux - pivots1'!$A:$E,4,0)=0, "",VLOOKUP(A214,'Aux - pivots1'!$A:$E,4,0))</f>
        <v/>
      </c>
      <c r="O214" s="152" t="str">
        <f>IF(VLOOKUP(A214,'Aux - pivots1'!$A:$E,5,0)=0, "",VLOOKUP(A214,'Aux - pivots1'!$A:$E,5,0))</f>
        <v/>
      </c>
      <c r="P214" s="202"/>
      <c r="Q214" s="202"/>
      <c r="R214" s="372" t="s">
        <v>2319</v>
      </c>
      <c r="S214" s="324" t="s">
        <v>2402</v>
      </c>
      <c r="T214" s="372" t="s">
        <v>2367</v>
      </c>
      <c r="U214" s="372" t="s">
        <v>2327</v>
      </c>
      <c r="V214" s="324" t="s">
        <v>1861</v>
      </c>
    </row>
    <row r="215" spans="1:22" ht="16.350000000000001" hidden="1" customHeight="1">
      <c r="A215" s="29" t="str">
        <f t="shared" si="4"/>
        <v>lt004_protectionAMNT_CVRD_INSRNC</v>
      </c>
      <c r="B215" s="141" t="s">
        <v>26</v>
      </c>
      <c r="C215" s="137" t="s">
        <v>26</v>
      </c>
      <c r="D215" s="133" t="s">
        <v>40</v>
      </c>
      <c r="E215" s="136" t="s">
        <v>368</v>
      </c>
      <c r="F215" s="480" t="s">
        <v>2260</v>
      </c>
      <c r="G215" s="135" t="str">
        <f>VLOOKUP(A215,Plano_V3!$A$26:$G$769,7,0)</f>
        <v xml:space="preserve">6. Em implementação </v>
      </c>
      <c r="H215" s="135" t="s">
        <v>2325</v>
      </c>
      <c r="I215" s="473"/>
      <c r="J215" s="359" t="s">
        <v>2312</v>
      </c>
      <c r="K215" s="359" t="s">
        <v>2360</v>
      </c>
      <c r="L215" s="359"/>
      <c r="M215" s="152" t="str">
        <f>IF(VLOOKUP(A215,'Aux - pivots1'!$A:$E,3,0)=0, "",VLOOKUP(A215,'Aux - pivots1'!$A:$E,3,0))</f>
        <v/>
      </c>
      <c r="N215" s="152" t="str">
        <f>IF(VLOOKUP(A215,'Aux - pivots1'!$A:$E,4,0)=0, "",VLOOKUP(A215,'Aux - pivots1'!$A:$E,4,0))</f>
        <v/>
      </c>
      <c r="O215" s="152" t="str">
        <f>IF(VLOOKUP(A215,'Aux - pivots1'!$A:$E,5,0)=0, "",VLOOKUP(A215,'Aux - pivots1'!$A:$E,5,0))</f>
        <v/>
      </c>
      <c r="P215" s="202"/>
      <c r="Q215" s="202"/>
      <c r="R215" s="372" t="s">
        <v>2319</v>
      </c>
      <c r="S215" s="324" t="s">
        <v>2402</v>
      </c>
      <c r="T215" s="372" t="s">
        <v>2367</v>
      </c>
      <c r="U215" s="372" t="s">
        <v>2327</v>
      </c>
      <c r="V215" s="324" t="s">
        <v>1861</v>
      </c>
    </row>
    <row r="216" spans="1:22" ht="16.350000000000001" hidden="1" customHeight="1">
      <c r="A216" s="29" t="str">
        <f t="shared" si="4"/>
        <v>lt004_protectionDT_MTRTY_INSRNC</v>
      </c>
      <c r="B216" s="141" t="s">
        <v>26</v>
      </c>
      <c r="C216" s="137" t="s">
        <v>26</v>
      </c>
      <c r="D216" s="133" t="s">
        <v>40</v>
      </c>
      <c r="E216" s="136" t="s">
        <v>368</v>
      </c>
      <c r="F216" s="480" t="s">
        <v>2261</v>
      </c>
      <c r="G216" s="135" t="str">
        <f>VLOOKUP(A216,Plano_V3!$A$26:$G$769,7,0)</f>
        <v xml:space="preserve">6. Em implementação </v>
      </c>
      <c r="H216" s="135" t="s">
        <v>2325</v>
      </c>
      <c r="I216" s="473"/>
      <c r="J216" s="359" t="s">
        <v>2312</v>
      </c>
      <c r="K216" s="359" t="s">
        <v>2360</v>
      </c>
      <c r="L216" s="359"/>
      <c r="M216" s="152" t="str">
        <f>IF(VLOOKUP(A216,'Aux - pivots1'!$A:$E,3,0)=0, "",VLOOKUP(A216,'Aux - pivots1'!$A:$E,3,0))</f>
        <v/>
      </c>
      <c r="N216" s="152" t="str">
        <f>IF(VLOOKUP(A216,'Aux - pivots1'!$A:$E,4,0)=0, "",VLOOKUP(A216,'Aux - pivots1'!$A:$E,4,0))</f>
        <v/>
      </c>
      <c r="O216" s="152" t="str">
        <f>IF(VLOOKUP(A216,'Aux - pivots1'!$A:$E,5,0)=0, "",VLOOKUP(A216,'Aux - pivots1'!$A:$E,5,0))</f>
        <v/>
      </c>
      <c r="P216" s="202"/>
      <c r="Q216" s="202"/>
      <c r="R216" s="372" t="s">
        <v>2319</v>
      </c>
      <c r="S216" s="324" t="s">
        <v>2402</v>
      </c>
      <c r="T216" s="372" t="s">
        <v>2367</v>
      </c>
      <c r="U216" s="372" t="s">
        <v>2327</v>
      </c>
      <c r="V216" s="324" t="s">
        <v>1861</v>
      </c>
    </row>
    <row r="217" spans="1:22" ht="16.350000000000001" hidden="1" customHeight="1">
      <c r="A217" s="29" t="str">
        <f t="shared" si="4"/>
        <v>lt004_protectionFLG_FRST_HM</v>
      </c>
      <c r="B217" s="141" t="s">
        <v>26</v>
      </c>
      <c r="C217" s="137" t="s">
        <v>26</v>
      </c>
      <c r="D217" s="133" t="s">
        <v>40</v>
      </c>
      <c r="E217" s="136" t="s">
        <v>368</v>
      </c>
      <c r="F217" s="480" t="s">
        <v>2262</v>
      </c>
      <c r="G217" s="135" t="str">
        <f>VLOOKUP(A217,Plano_V3!$A$26:$G$769,7,0)</f>
        <v xml:space="preserve">6. Em implementação </v>
      </c>
      <c r="H217" s="135" t="s">
        <v>2325</v>
      </c>
      <c r="I217" s="473"/>
      <c r="J217" s="359" t="s">
        <v>2312</v>
      </c>
      <c r="K217" s="359" t="s">
        <v>2360</v>
      </c>
      <c r="L217" s="359"/>
      <c r="M217" s="152" t="str">
        <f>IF(VLOOKUP(A217,'Aux - pivots1'!$A:$E,3,0)=0, "",VLOOKUP(A217,'Aux - pivots1'!$A:$E,3,0))</f>
        <v/>
      </c>
      <c r="N217" s="152" t="str">
        <f>IF(VLOOKUP(A217,'Aux - pivots1'!$A:$E,4,0)=0, "",VLOOKUP(A217,'Aux - pivots1'!$A:$E,4,0))</f>
        <v/>
      </c>
      <c r="O217" s="152" t="str">
        <f>IF(VLOOKUP(A217,'Aux - pivots1'!$A:$E,5,0)=0, "",VLOOKUP(A217,'Aux - pivots1'!$A:$E,5,0))</f>
        <v/>
      </c>
      <c r="P217" s="202"/>
      <c r="Q217" s="202"/>
      <c r="R217" s="372" t="s">
        <v>2319</v>
      </c>
      <c r="S217" s="324" t="s">
        <v>2402</v>
      </c>
      <c r="T217" s="372" t="s">
        <v>2367</v>
      </c>
      <c r="U217" s="372" t="s">
        <v>2327</v>
      </c>
      <c r="V217" s="324" t="s">
        <v>1861</v>
      </c>
    </row>
    <row r="218" spans="1:22" ht="16.350000000000001" hidden="1" customHeight="1">
      <c r="A218" s="29" t="str">
        <f t="shared" ref="A218:A220" si="5">E218&amp;F218</f>
        <v>lt004_protectionRL_ESTT_CRTFCTN</v>
      </c>
      <c r="B218" s="141" t="s">
        <v>26</v>
      </c>
      <c r="C218" s="137" t="s">
        <v>26</v>
      </c>
      <c r="D218" s="133" t="s">
        <v>40</v>
      </c>
      <c r="E218" s="136" t="s">
        <v>368</v>
      </c>
      <c r="F218" s="480" t="s">
        <v>2265</v>
      </c>
      <c r="G218" s="135" t="str">
        <f>VLOOKUP(A218,Plano_V3!$A$26:$G$769,7,0)</f>
        <v xml:space="preserve">6. Em implementação </v>
      </c>
      <c r="H218" s="135" t="s">
        <v>2325</v>
      </c>
      <c r="I218" s="473"/>
      <c r="J218" s="359" t="s">
        <v>2312</v>
      </c>
      <c r="K218" s="359" t="s">
        <v>2360</v>
      </c>
      <c r="L218" s="359"/>
      <c r="M218" s="152" t="str">
        <f>IF(VLOOKUP(A218,'Aux - pivots1'!$A:$E,3,0)=0, "",VLOOKUP(A218,'Aux - pivots1'!$A:$E,3,0))</f>
        <v/>
      </c>
      <c r="N218" s="152" t="str">
        <f>IF(VLOOKUP(A218,'Aux - pivots1'!$A:$E,4,0)=0, "",VLOOKUP(A218,'Aux - pivots1'!$A:$E,4,0))</f>
        <v/>
      </c>
      <c r="O218" s="152" t="str">
        <f>IF(VLOOKUP(A218,'Aux - pivots1'!$A:$E,5,0)=0, "",VLOOKUP(A218,'Aux - pivots1'!$A:$E,5,0))</f>
        <v/>
      </c>
      <c r="P218" s="202"/>
      <c r="Q218" s="202"/>
      <c r="R218" s="372" t="s">
        <v>2319</v>
      </c>
      <c r="S218" s="324" t="s">
        <v>2399</v>
      </c>
      <c r="T218" s="372" t="s">
        <v>2367</v>
      </c>
      <c r="U218" s="372" t="s">
        <v>2327</v>
      </c>
      <c r="V218" s="324" t="s">
        <v>1861</v>
      </c>
    </row>
    <row r="219" spans="1:22" ht="16.350000000000001" hidden="1" customHeight="1">
      <c r="A219" s="29" t="str">
        <f t="shared" si="5"/>
        <v>lt004_protectionDT_RGSTRTN</v>
      </c>
      <c r="B219" s="141" t="s">
        <v>26</v>
      </c>
      <c r="C219" s="137" t="s">
        <v>26</v>
      </c>
      <c r="D219" s="133" t="s">
        <v>40</v>
      </c>
      <c r="E219" s="136" t="s">
        <v>368</v>
      </c>
      <c r="F219" s="480" t="s">
        <v>2267</v>
      </c>
      <c r="G219" s="135" t="str">
        <f>VLOOKUP(A219,Plano_V3!$A$26:$G$769,7,0)</f>
        <v xml:space="preserve">6. Em implementação </v>
      </c>
      <c r="H219" s="135" t="s">
        <v>2325</v>
      </c>
      <c r="I219" s="473"/>
      <c r="J219" s="359" t="s">
        <v>2312</v>
      </c>
      <c r="K219" s="359" t="s">
        <v>2360</v>
      </c>
      <c r="L219" s="359"/>
      <c r="M219" s="152" t="str">
        <f>IF(VLOOKUP(A219,'Aux - pivots1'!$A:$E,3,0)=0, "",VLOOKUP(A219,'Aux - pivots1'!$A:$E,3,0))</f>
        <v/>
      </c>
      <c r="N219" s="152" t="str">
        <f>IF(VLOOKUP(A219,'Aux - pivots1'!$A:$E,4,0)=0, "",VLOOKUP(A219,'Aux - pivots1'!$A:$E,4,0))</f>
        <v/>
      </c>
      <c r="O219" s="152" t="str">
        <f>IF(VLOOKUP(A219,'Aux - pivots1'!$A:$E,5,0)=0, "",VLOOKUP(A219,'Aux - pivots1'!$A:$E,5,0))</f>
        <v/>
      </c>
      <c r="P219" s="202"/>
      <c r="Q219" s="202"/>
      <c r="R219" s="372" t="s">
        <v>2319</v>
      </c>
      <c r="S219" s="324" t="s">
        <v>2399</v>
      </c>
      <c r="T219" s="372" t="s">
        <v>2367</v>
      </c>
      <c r="U219" s="372" t="s">
        <v>2327</v>
      </c>
      <c r="V219" s="324" t="s">
        <v>1861</v>
      </c>
    </row>
    <row r="220" spans="1:22" ht="16.350000000000001" hidden="1" customHeight="1">
      <c r="A220" s="29" t="str">
        <f t="shared" si="5"/>
        <v>lt004_protectionPRMRY_ENRGY_DMND_NN_RNWBL</v>
      </c>
      <c r="B220" s="141" t="s">
        <v>26</v>
      </c>
      <c r="C220" s="137" t="s">
        <v>26</v>
      </c>
      <c r="D220" s="133" t="s">
        <v>40</v>
      </c>
      <c r="E220" s="136" t="s">
        <v>368</v>
      </c>
      <c r="F220" s="480" t="s">
        <v>2268</v>
      </c>
      <c r="G220" s="135" t="str">
        <f>VLOOKUP(A220,Plano_V3!$A$26:$G$769,7,0)</f>
        <v xml:space="preserve">6. Em implementação </v>
      </c>
      <c r="H220" s="135" t="s">
        <v>2325</v>
      </c>
      <c r="I220" s="473"/>
      <c r="J220" s="359" t="s">
        <v>2245</v>
      </c>
      <c r="K220" s="359" t="s">
        <v>2360</v>
      </c>
      <c r="L220" s="359"/>
      <c r="M220" s="152" t="str">
        <f>IF(VLOOKUP(A220,'Aux - pivots1'!$A:$E,3,0)=0, "",VLOOKUP(A220,'Aux - pivots1'!$A:$E,3,0))</f>
        <v/>
      </c>
      <c r="N220" s="152" t="str">
        <f>IF(VLOOKUP(A220,'Aux - pivots1'!$A:$E,4,0)=0, "",VLOOKUP(A220,'Aux - pivots1'!$A:$E,4,0))</f>
        <v/>
      </c>
      <c r="O220" s="152" t="str">
        <f>IF(VLOOKUP(A220,'Aux - pivots1'!$A:$E,5,0)=0, "",VLOOKUP(A220,'Aux - pivots1'!$A:$E,5,0))</f>
        <v/>
      </c>
      <c r="P220" s="202"/>
      <c r="Q220" s="202"/>
      <c r="R220" s="372" t="s">
        <v>2319</v>
      </c>
      <c r="S220" s="324" t="s">
        <v>2399</v>
      </c>
      <c r="T220" s="372" t="s">
        <v>2367</v>
      </c>
      <c r="U220" s="372" t="s">
        <v>2327</v>
      </c>
      <c r="V220" s="324" t="s">
        <v>1862</v>
      </c>
    </row>
    <row r="221" spans="1:22" ht="16.350000000000001" hidden="1" customHeight="1">
      <c r="A221" s="29" t="str">
        <f t="shared" si="4"/>
        <v>lt002_instrumentgrss_intrst_incm</v>
      </c>
      <c r="B221" s="141" t="s">
        <v>26</v>
      </c>
      <c r="C221" s="137" t="s">
        <v>26</v>
      </c>
      <c r="D221" s="133" t="s">
        <v>40</v>
      </c>
      <c r="E221" s="136" t="s">
        <v>379</v>
      </c>
      <c r="F221" s="480" t="s">
        <v>420</v>
      </c>
      <c r="G221" s="135" t="str">
        <f>VLOOKUP(A221,Plano_V3!$A$26:$G$769,7,0)</f>
        <v>2.2 Em especificação</v>
      </c>
      <c r="H221" s="135" t="s">
        <v>2324</v>
      </c>
      <c r="I221" s="473"/>
      <c r="J221" s="359" t="s">
        <v>2431</v>
      </c>
      <c r="K221" s="359" t="s">
        <v>2448</v>
      </c>
      <c r="L221" s="359"/>
      <c r="M221" s="152" t="str">
        <f>IF(VLOOKUP(A205,'Aux - pivots1'!$A:$E,3,0)=0, "",VLOOKUP(A205,'Aux - pivots1'!$A:$E,3,0))</f>
        <v/>
      </c>
      <c r="N221" s="152" t="str">
        <f>IF(VLOOKUP(A205,'Aux - pivots1'!$A:$E,4,0)=0, "",VLOOKUP(A205,'Aux - pivots1'!$A:$E,4,0))</f>
        <v/>
      </c>
      <c r="O221" s="152" t="str">
        <f>IF(VLOOKUP(A205,'Aux - pivots1'!$A:$E,5,0)=0, "",VLOOKUP(A205,'Aux - pivots1'!$A:$E,5,0))</f>
        <v/>
      </c>
      <c r="P221" s="202">
        <v>45595</v>
      </c>
      <c r="Q221" s="202"/>
      <c r="R221" s="202"/>
      <c r="S221" s="324"/>
      <c r="T221" s="324"/>
      <c r="U221" s="372" t="s">
        <v>2326</v>
      </c>
      <c r="V221" s="323" t="s">
        <v>1862</v>
      </c>
    </row>
    <row r="222" spans="1:22" ht="16.350000000000001" hidden="1" customHeight="1">
      <c r="A222" s="29" t="str">
        <f t="shared" si="4"/>
        <v>lt002_instrumentgrss_cmmssn_incm</v>
      </c>
      <c r="B222" s="141" t="s">
        <v>26</v>
      </c>
      <c r="C222" s="137" t="s">
        <v>26</v>
      </c>
      <c r="D222" s="133" t="s">
        <v>40</v>
      </c>
      <c r="E222" s="136" t="s">
        <v>379</v>
      </c>
      <c r="F222" s="480" t="s">
        <v>421</v>
      </c>
      <c r="G222" s="135" t="str">
        <f>VLOOKUP(A222,Plano_V3!$A$26:$G$769,7,0)</f>
        <v>2.2 Em especificação</v>
      </c>
      <c r="H222" s="135" t="s">
        <v>2324</v>
      </c>
      <c r="I222" s="473"/>
      <c r="J222" s="359" t="s">
        <v>2431</v>
      </c>
      <c r="K222" s="359" t="s">
        <v>2448</v>
      </c>
      <c r="L222" s="359"/>
      <c r="M222" s="152" t="str">
        <f>IF(VLOOKUP(A206,'Aux - pivots1'!$A:$E,3,0)=0, "",VLOOKUP(A206,'Aux - pivots1'!$A:$E,3,0))</f>
        <v/>
      </c>
      <c r="N222" s="152" t="str">
        <f>IF(VLOOKUP(A206,'Aux - pivots1'!$A:$E,4,0)=0, "",VLOOKUP(A206,'Aux - pivots1'!$A:$E,4,0))</f>
        <v/>
      </c>
      <c r="O222" s="152" t="str">
        <f>IF(VLOOKUP(A206,'Aux - pivots1'!$A:$E,5,0)=0, "",VLOOKUP(A206,'Aux - pivots1'!$A:$E,5,0))</f>
        <v/>
      </c>
      <c r="P222" s="202">
        <v>45595</v>
      </c>
      <c r="Q222" s="202"/>
      <c r="R222" s="202"/>
      <c r="S222" s="324"/>
      <c r="T222" s="324"/>
      <c r="U222" s="372" t="s">
        <v>2326</v>
      </c>
      <c r="V222" s="323" t="s">
        <v>1862</v>
      </c>
    </row>
    <row r="223" spans="1:22" ht="16.350000000000001" hidden="1" customHeight="1">
      <c r="A223" s="29" t="str">
        <f t="shared" si="4"/>
        <v>lt002_instrumentgrss_cmmssn_incm_off_blnc</v>
      </c>
      <c r="B223" s="141" t="s">
        <v>26</v>
      </c>
      <c r="C223" s="137" t="s">
        <v>26</v>
      </c>
      <c r="D223" s="133" t="s">
        <v>40</v>
      </c>
      <c r="E223" s="136" t="s">
        <v>379</v>
      </c>
      <c r="F223" s="480" t="s">
        <v>422</v>
      </c>
      <c r="G223" s="135" t="str">
        <f>VLOOKUP(A223,Plano_V3!$A$26:$G$769,7,0)</f>
        <v>2.2 Em especificação</v>
      </c>
      <c r="H223" s="135" t="s">
        <v>2324</v>
      </c>
      <c r="I223" s="473"/>
      <c r="J223" s="359" t="s">
        <v>2431</v>
      </c>
      <c r="K223" s="359" t="s">
        <v>2448</v>
      </c>
      <c r="L223" s="359"/>
      <c r="M223" s="152" t="str">
        <f>IF(VLOOKUP(A207,'Aux - pivots1'!$A:$E,3,0)=0, "",VLOOKUP(A207,'Aux - pivots1'!$A:$E,3,0))</f>
        <v/>
      </c>
      <c r="N223" s="152" t="str">
        <f>IF(VLOOKUP(A207,'Aux - pivots1'!$A:$E,4,0)=0, "",VLOOKUP(A207,'Aux - pivots1'!$A:$E,4,0))</f>
        <v/>
      </c>
      <c r="O223" s="152" t="str">
        <f>IF(VLOOKUP(A207,'Aux - pivots1'!$A:$E,5,0)=0, "",VLOOKUP(A207,'Aux - pivots1'!$A:$E,5,0))</f>
        <v/>
      </c>
      <c r="P223" s="202">
        <v>45595</v>
      </c>
      <c r="Q223" s="202"/>
      <c r="R223" s="202"/>
      <c r="S223" s="324"/>
      <c r="T223" s="324"/>
      <c r="U223" s="372" t="s">
        <v>2326</v>
      </c>
      <c r="V223" s="323" t="s">
        <v>1862</v>
      </c>
    </row>
    <row r="224" spans="1:22" ht="16.350000000000001" hidden="1" customHeight="1">
      <c r="A224" s="29" t="str">
        <f t="shared" si="4"/>
        <v>lt002_instrumentFRBRNC_STTS_INSTRMNT</v>
      </c>
      <c r="B224" s="141" t="s">
        <v>26</v>
      </c>
      <c r="C224" s="137" t="s">
        <v>26</v>
      </c>
      <c r="D224" s="133" t="s">
        <v>40</v>
      </c>
      <c r="E224" s="136" t="s">
        <v>379</v>
      </c>
      <c r="F224" s="480" t="s">
        <v>2169</v>
      </c>
      <c r="G224" s="135" t="str">
        <f>VLOOKUP(A224,Plano_V3!$A$26:$G$769,7,0)</f>
        <v xml:space="preserve">6. Em implementação </v>
      </c>
      <c r="H224" s="135" t="s">
        <v>2325</v>
      </c>
      <c r="I224" s="473"/>
      <c r="J224" s="142" t="s">
        <v>2315</v>
      </c>
      <c r="K224" s="359" t="s">
        <v>2448</v>
      </c>
      <c r="L224" s="142"/>
      <c r="M224" s="152" t="str">
        <f>IF(VLOOKUP(A224,'Aux - pivots1'!$A:$E,3,0)=0, "",VLOOKUP(A224,'Aux - pivots1'!$A:$E,3,0))</f>
        <v/>
      </c>
      <c r="N224" s="152" t="str">
        <f>IF(VLOOKUP(A224,'Aux - pivots1'!$A:$E,4,0)=0, "",VLOOKUP(A224,'Aux - pivots1'!$A:$E,4,0))</f>
        <v/>
      </c>
      <c r="O224" s="152" t="str">
        <f>IF(VLOOKUP(A224,'Aux - pivots1'!$A:$E,5,0)=0, "",VLOOKUP(A224,'Aux - pivots1'!$A:$E,5,0))</f>
        <v/>
      </c>
      <c r="P224" s="202"/>
      <c r="Q224" s="202"/>
      <c r="R224" s="152" t="s">
        <v>2319</v>
      </c>
      <c r="S224" s="324" t="s">
        <v>2390</v>
      </c>
      <c r="T224" s="372" t="s">
        <v>2366</v>
      </c>
      <c r="U224" s="372" t="s">
        <v>2327</v>
      </c>
      <c r="V224" s="323" t="s">
        <v>1861</v>
      </c>
    </row>
    <row r="225" spans="1:22" ht="16.350000000000001" hidden="1" customHeight="1">
      <c r="A225" s="29" t="str">
        <f t="shared" si="4"/>
        <v>lt002_instrumentINTRNL_SGMNT</v>
      </c>
      <c r="B225" s="141" t="s">
        <v>26</v>
      </c>
      <c r="C225" s="137" t="s">
        <v>26</v>
      </c>
      <c r="D225" s="133" t="s">
        <v>40</v>
      </c>
      <c r="E225" s="136" t="s">
        <v>379</v>
      </c>
      <c r="F225" s="480" t="s">
        <v>2170</v>
      </c>
      <c r="G225" s="135" t="str">
        <f>VLOOKUP(A225,Plano_V3!$A$26:$G$769,7,0)</f>
        <v xml:space="preserve">6. Em implementação </v>
      </c>
      <c r="H225" s="135" t="s">
        <v>2325</v>
      </c>
      <c r="I225" s="473"/>
      <c r="J225" s="142" t="s">
        <v>2310</v>
      </c>
      <c r="K225" s="359" t="s">
        <v>2448</v>
      </c>
      <c r="L225" s="142"/>
      <c r="M225" s="152" t="str">
        <f>IF(VLOOKUP(A225,'Aux - pivots1'!$A:$E,3,0)=0, "",VLOOKUP(A225,'Aux - pivots1'!$A:$E,3,0))</f>
        <v/>
      </c>
      <c r="N225" s="152" t="str">
        <f>IF(VLOOKUP(A225,'Aux - pivots1'!$A:$E,4,0)=0, "",VLOOKUP(A225,'Aux - pivots1'!$A:$E,4,0))</f>
        <v/>
      </c>
      <c r="O225" s="152" t="str">
        <f>IF(VLOOKUP(A225,'Aux - pivots1'!$A:$E,5,0)=0, "",VLOOKUP(A225,'Aux - pivots1'!$A:$E,5,0))</f>
        <v/>
      </c>
      <c r="P225" s="202"/>
      <c r="Q225" s="202"/>
      <c r="R225" s="152" t="s">
        <v>2319</v>
      </c>
      <c r="S225" s="324" t="s">
        <v>2391</v>
      </c>
      <c r="T225" s="372" t="s">
        <v>2366</v>
      </c>
      <c r="U225" s="372" t="s">
        <v>2327</v>
      </c>
      <c r="V225" s="323" t="s">
        <v>1862</v>
      </c>
    </row>
    <row r="226" spans="1:22" ht="16.350000000000001" hidden="1" customHeight="1">
      <c r="A226" s="29" t="str">
        <f t="shared" si="4"/>
        <v>lt002_instrumentDT_ORGNL_MTRTY</v>
      </c>
      <c r="B226" s="141" t="s">
        <v>26</v>
      </c>
      <c r="C226" s="137" t="s">
        <v>26</v>
      </c>
      <c r="D226" s="133" t="s">
        <v>40</v>
      </c>
      <c r="E226" s="136" t="s">
        <v>379</v>
      </c>
      <c r="F226" s="480" t="s">
        <v>2171</v>
      </c>
      <c r="G226" s="135" t="str">
        <f>VLOOKUP(A226,Plano_V3!$A$26:$G$769,7,0)</f>
        <v xml:space="preserve">6. Em implementação </v>
      </c>
      <c r="H226" s="135" t="s">
        <v>2325</v>
      </c>
      <c r="I226" s="473"/>
      <c r="J226" s="142" t="s">
        <v>2310</v>
      </c>
      <c r="K226" s="359" t="s">
        <v>2448</v>
      </c>
      <c r="L226" s="142"/>
      <c r="M226" s="152" t="str">
        <f>IF(VLOOKUP(A226,'Aux - pivots1'!$A:$E,3,0)=0, "",VLOOKUP(A226,'Aux - pivots1'!$A:$E,3,0))</f>
        <v/>
      </c>
      <c r="N226" s="152" t="str">
        <f>IF(VLOOKUP(A226,'Aux - pivots1'!$A:$E,4,0)=0, "",VLOOKUP(A226,'Aux - pivots1'!$A:$E,4,0))</f>
        <v/>
      </c>
      <c r="O226" s="152" t="str">
        <f>IF(VLOOKUP(A226,'Aux - pivots1'!$A:$E,5,0)=0, "",VLOOKUP(A226,'Aux - pivots1'!$A:$E,5,0))</f>
        <v/>
      </c>
      <c r="P226" s="202"/>
      <c r="Q226" s="202"/>
      <c r="R226" s="152" t="s">
        <v>2319</v>
      </c>
      <c r="S226" s="324" t="s">
        <v>2392</v>
      </c>
      <c r="T226" s="372" t="s">
        <v>2366</v>
      </c>
      <c r="U226" s="372" t="s">
        <v>2327</v>
      </c>
      <c r="V226" s="323" t="s">
        <v>1862</v>
      </c>
    </row>
    <row r="227" spans="1:22" ht="16.350000000000001" hidden="1" customHeight="1">
      <c r="A227" s="29" t="str">
        <f t="shared" si="4"/>
        <v>lt002_instrumentEAD</v>
      </c>
      <c r="B227" s="141" t="s">
        <v>26</v>
      </c>
      <c r="C227" s="137" t="s">
        <v>26</v>
      </c>
      <c r="D227" s="133" t="s">
        <v>40</v>
      </c>
      <c r="E227" s="136" t="s">
        <v>379</v>
      </c>
      <c r="F227" s="480" t="s">
        <v>2172</v>
      </c>
      <c r="G227" s="135" t="str">
        <f>VLOOKUP(A227,Plano_V3!$A$26:$G$769,7,0)</f>
        <v xml:space="preserve">6. Em implementação </v>
      </c>
      <c r="H227" s="135" t="s">
        <v>2325</v>
      </c>
      <c r="I227" s="473"/>
      <c r="J227" s="142" t="s">
        <v>2310</v>
      </c>
      <c r="K227" s="359" t="s">
        <v>2448</v>
      </c>
      <c r="L227" s="142"/>
      <c r="M227" s="152" t="str">
        <f>IF(VLOOKUP(A227,'Aux - pivots1'!$A:$E,3,0)=0, "",VLOOKUP(A227,'Aux - pivots1'!$A:$E,3,0))</f>
        <v/>
      </c>
      <c r="N227" s="152" t="str">
        <f>IF(VLOOKUP(A227,'Aux - pivots1'!$A:$E,4,0)=0, "",VLOOKUP(A227,'Aux - pivots1'!$A:$E,4,0))</f>
        <v/>
      </c>
      <c r="O227" s="152" t="str">
        <f>IF(VLOOKUP(A227,'Aux - pivots1'!$A:$E,5,0)=0, "",VLOOKUP(A227,'Aux - pivots1'!$A:$E,5,0))</f>
        <v/>
      </c>
      <c r="P227" s="202"/>
      <c r="Q227" s="202"/>
      <c r="R227" s="152" t="s">
        <v>2319</v>
      </c>
      <c r="S227" s="324" t="s">
        <v>2393</v>
      </c>
      <c r="T227" s="372" t="s">
        <v>2366</v>
      </c>
      <c r="U227" s="372" t="s">
        <v>2327</v>
      </c>
      <c r="V227" s="323" t="s">
        <v>1862</v>
      </c>
    </row>
    <row r="228" spans="1:22" ht="16.350000000000001" hidden="1" customHeight="1">
      <c r="A228" s="29" t="str">
        <f t="shared" si="4"/>
        <v>lt002_instrumentRWA</v>
      </c>
      <c r="B228" s="141" t="s">
        <v>26</v>
      </c>
      <c r="C228" s="137" t="s">
        <v>26</v>
      </c>
      <c r="D228" s="133" t="s">
        <v>40</v>
      </c>
      <c r="E228" s="136" t="s">
        <v>379</v>
      </c>
      <c r="F228" s="480" t="s">
        <v>1423</v>
      </c>
      <c r="G228" s="135" t="str">
        <f>VLOOKUP(A228,Plano_V3!$A$26:$G$769,7,0)</f>
        <v xml:space="preserve">6. Em implementação </v>
      </c>
      <c r="H228" s="135" t="s">
        <v>2325</v>
      </c>
      <c r="I228" s="473"/>
      <c r="J228" s="142" t="s">
        <v>2310</v>
      </c>
      <c r="K228" s="359" t="s">
        <v>2448</v>
      </c>
      <c r="L228" s="142"/>
      <c r="M228" s="152" t="str">
        <f>IF(VLOOKUP(A228,'Aux - pivots1'!$A:$E,3,0)=0, "",VLOOKUP(A228,'Aux - pivots1'!$A:$E,3,0))</f>
        <v/>
      </c>
      <c r="N228" s="152" t="str">
        <f>IF(VLOOKUP(A228,'Aux - pivots1'!$A:$E,4,0)=0, "",VLOOKUP(A228,'Aux - pivots1'!$A:$E,4,0))</f>
        <v/>
      </c>
      <c r="O228" s="152" t="str">
        <f>IF(VLOOKUP(A228,'Aux - pivots1'!$A:$E,5,0)=0, "",VLOOKUP(A228,'Aux - pivots1'!$A:$E,5,0))</f>
        <v/>
      </c>
      <c r="P228" s="202"/>
      <c r="Q228" s="202"/>
      <c r="R228" s="152" t="s">
        <v>2319</v>
      </c>
      <c r="S228" s="324" t="s">
        <v>2395</v>
      </c>
      <c r="T228" s="372" t="s">
        <v>2366</v>
      </c>
      <c r="U228" s="372" t="s">
        <v>2327</v>
      </c>
      <c r="V228" s="323" t="s">
        <v>1862</v>
      </c>
    </row>
    <row r="229" spans="1:22" ht="16.350000000000001" hidden="1" customHeight="1">
      <c r="A229" s="29" t="str">
        <f t="shared" si="4"/>
        <v>lt002_instrumentLTV</v>
      </c>
      <c r="B229" s="141" t="s">
        <v>26</v>
      </c>
      <c r="C229" s="137" t="s">
        <v>26</v>
      </c>
      <c r="D229" s="133" t="s">
        <v>40</v>
      </c>
      <c r="E229" s="136" t="s">
        <v>379</v>
      </c>
      <c r="F229" s="480" t="s">
        <v>2173</v>
      </c>
      <c r="G229" s="135" t="str">
        <f>VLOOKUP(A229,Plano_V3!$A$26:$G$769,7,0)</f>
        <v xml:space="preserve">6. Em implementação </v>
      </c>
      <c r="H229" s="135" t="s">
        <v>2325</v>
      </c>
      <c r="I229" s="473"/>
      <c r="J229" s="142" t="s">
        <v>2310</v>
      </c>
      <c r="K229" s="359" t="s">
        <v>2448</v>
      </c>
      <c r="L229" s="142"/>
      <c r="M229" s="152" t="str">
        <f>IF(VLOOKUP(A229,'Aux - pivots1'!$A:$E,3,0)=0, "",VLOOKUP(A229,'Aux - pivots1'!$A:$E,3,0))</f>
        <v/>
      </c>
      <c r="N229" s="152" t="str">
        <f>IF(VLOOKUP(A229,'Aux - pivots1'!$A:$E,4,0)=0, "",VLOOKUP(A229,'Aux - pivots1'!$A:$E,4,0))</f>
        <v/>
      </c>
      <c r="O229" s="152" t="str">
        <f>IF(VLOOKUP(A229,'Aux - pivots1'!$A:$E,5,0)=0, "",VLOOKUP(A229,'Aux - pivots1'!$A:$E,5,0))</f>
        <v/>
      </c>
      <c r="P229" s="202"/>
      <c r="Q229" s="202"/>
      <c r="R229" s="152" t="s">
        <v>2319</v>
      </c>
      <c r="S229" s="324" t="s">
        <v>2396</v>
      </c>
      <c r="T229" s="372" t="s">
        <v>2366</v>
      </c>
      <c r="U229" s="372" t="s">
        <v>2327</v>
      </c>
      <c r="V229" s="323" t="s">
        <v>1862</v>
      </c>
    </row>
    <row r="230" spans="1:22" ht="16.350000000000001" hidden="1" customHeight="1">
      <c r="A230" s="29" t="str">
        <f t="shared" si="4"/>
        <v>lt002_instrumentLTV_INCPTN</v>
      </c>
      <c r="B230" s="141" t="s">
        <v>26</v>
      </c>
      <c r="C230" s="137" t="s">
        <v>26</v>
      </c>
      <c r="D230" s="133" t="s">
        <v>40</v>
      </c>
      <c r="E230" s="136" t="s">
        <v>379</v>
      </c>
      <c r="F230" s="480" t="s">
        <v>2174</v>
      </c>
      <c r="G230" s="135" t="str">
        <f>VLOOKUP(A230,Plano_V3!$A$26:$G$769,7,0)</f>
        <v xml:space="preserve">6. Em implementação </v>
      </c>
      <c r="H230" s="135" t="s">
        <v>2325</v>
      </c>
      <c r="I230" s="473"/>
      <c r="J230" s="142" t="s">
        <v>2310</v>
      </c>
      <c r="K230" s="359" t="s">
        <v>2448</v>
      </c>
      <c r="L230" s="142"/>
      <c r="M230" s="152" t="str">
        <f>IF(VLOOKUP(A230,'Aux - pivots1'!$A:$E,3,0)=0, "",VLOOKUP(A230,'Aux - pivots1'!$A:$E,3,0))</f>
        <v/>
      </c>
      <c r="N230" s="152" t="str">
        <f>IF(VLOOKUP(A230,'Aux - pivots1'!$A:$E,4,0)=0, "",VLOOKUP(A230,'Aux - pivots1'!$A:$E,4,0))</f>
        <v/>
      </c>
      <c r="O230" s="152" t="str">
        <f>IF(VLOOKUP(A230,'Aux - pivots1'!$A:$E,5,0)=0, "",VLOOKUP(A230,'Aux - pivots1'!$A:$E,5,0))</f>
        <v/>
      </c>
      <c r="P230" s="202"/>
      <c r="Q230" s="202"/>
      <c r="R230" s="152" t="s">
        <v>2319</v>
      </c>
      <c r="S230" s="324" t="s">
        <v>2396</v>
      </c>
      <c r="T230" s="372" t="s">
        <v>2366</v>
      </c>
      <c r="U230" s="372" t="s">
        <v>2327</v>
      </c>
      <c r="V230" s="323" t="s">
        <v>1861</v>
      </c>
    </row>
    <row r="231" spans="1:22" ht="16.350000000000001" hidden="1" customHeight="1">
      <c r="A231" s="29" t="str">
        <f t="shared" si="4"/>
        <v>lt002_instrumentEIR</v>
      </c>
      <c r="B231" s="141" t="s">
        <v>26</v>
      </c>
      <c r="C231" s="137" t="s">
        <v>26</v>
      </c>
      <c r="D231" s="133" t="s">
        <v>40</v>
      </c>
      <c r="E231" s="136" t="s">
        <v>379</v>
      </c>
      <c r="F231" s="480" t="s">
        <v>2175</v>
      </c>
      <c r="G231" s="135" t="str">
        <f>VLOOKUP(A231,Plano_V3!$A$26:$G$769,7,0)</f>
        <v xml:space="preserve">6. Em implementação </v>
      </c>
      <c r="H231" s="135" t="s">
        <v>2325</v>
      </c>
      <c r="I231" s="473"/>
      <c r="J231" s="142" t="s">
        <v>2310</v>
      </c>
      <c r="K231" s="359" t="s">
        <v>2448</v>
      </c>
      <c r="L231" s="142"/>
      <c r="M231" s="152" t="str">
        <f>IF(VLOOKUP(A231,'Aux - pivots1'!$A:$E,3,0)=0, "",VLOOKUP(A231,'Aux - pivots1'!$A:$E,3,0))</f>
        <v/>
      </c>
      <c r="N231" s="152" t="str">
        <f>IF(VLOOKUP(A231,'Aux - pivots1'!$A:$E,4,0)=0, "",VLOOKUP(A231,'Aux - pivots1'!$A:$E,4,0))</f>
        <v/>
      </c>
      <c r="O231" s="152" t="str">
        <f>IF(VLOOKUP(A231,'Aux - pivots1'!$A:$E,5,0)=0, "",VLOOKUP(A231,'Aux - pivots1'!$A:$E,5,0))</f>
        <v/>
      </c>
      <c r="P231" s="202"/>
      <c r="Q231" s="202"/>
      <c r="R231" s="152" t="s">
        <v>2319</v>
      </c>
      <c r="S231" s="324" t="s">
        <v>2390</v>
      </c>
      <c r="T231" s="372" t="s">
        <v>2366</v>
      </c>
      <c r="U231" s="372" t="s">
        <v>2327</v>
      </c>
      <c r="V231" s="323" t="s">
        <v>1861</v>
      </c>
    </row>
    <row r="232" spans="1:22" ht="16.350000000000001" hidden="1" customHeight="1">
      <c r="A232" s="29" t="str">
        <f t="shared" si="4"/>
        <v>lt002_instrumentEIR_INCPTN</v>
      </c>
      <c r="B232" s="141" t="s">
        <v>26</v>
      </c>
      <c r="C232" s="137" t="s">
        <v>26</v>
      </c>
      <c r="D232" s="133" t="s">
        <v>40</v>
      </c>
      <c r="E232" s="136" t="s">
        <v>379</v>
      </c>
      <c r="F232" s="480" t="s">
        <v>2176</v>
      </c>
      <c r="G232" s="135" t="str">
        <f>VLOOKUP(A232,Plano_V3!$A$26:$G$769,7,0)</f>
        <v xml:space="preserve">6. Em implementação </v>
      </c>
      <c r="H232" s="135" t="s">
        <v>2325</v>
      </c>
      <c r="I232" s="473"/>
      <c r="J232" s="142" t="s">
        <v>2310</v>
      </c>
      <c r="K232" s="359" t="s">
        <v>2448</v>
      </c>
      <c r="L232" s="142"/>
      <c r="M232" s="152" t="str">
        <f>IF(VLOOKUP(A232,'Aux - pivots1'!$A:$E,3,0)=0, "",VLOOKUP(A232,'Aux - pivots1'!$A:$E,3,0))</f>
        <v/>
      </c>
      <c r="N232" s="152" t="str">
        <f>IF(VLOOKUP(A232,'Aux - pivots1'!$A:$E,4,0)=0, "",VLOOKUP(A232,'Aux - pivots1'!$A:$E,4,0))</f>
        <v/>
      </c>
      <c r="O232" s="152" t="str">
        <f>IF(VLOOKUP(A232,'Aux - pivots1'!$A:$E,5,0)=0, "",VLOOKUP(A232,'Aux - pivots1'!$A:$E,5,0))</f>
        <v/>
      </c>
      <c r="P232" s="202"/>
      <c r="Q232" s="202"/>
      <c r="R232" s="152" t="s">
        <v>2319</v>
      </c>
      <c r="S232" s="324" t="s">
        <v>2396</v>
      </c>
      <c r="T232" s="372" t="s">
        <v>2366</v>
      </c>
      <c r="U232" s="372" t="s">
        <v>2327</v>
      </c>
      <c r="V232" s="323" t="s">
        <v>1861</v>
      </c>
    </row>
    <row r="233" spans="1:22" ht="16.350000000000001" hidden="1" customHeight="1">
      <c r="A233" s="29" t="str">
        <f t="shared" si="4"/>
        <v>lt002_instrumentINTRNL_SGMNT_CAT_MSTA</v>
      </c>
      <c r="B233" s="141" t="s">
        <v>26</v>
      </c>
      <c r="C233" s="137" t="s">
        <v>26</v>
      </c>
      <c r="D233" s="133" t="s">
        <v>40</v>
      </c>
      <c r="E233" s="136" t="s">
        <v>379</v>
      </c>
      <c r="F233" s="480" t="s">
        <v>2177</v>
      </c>
      <c r="G233" s="135" t="str">
        <f>VLOOKUP(A233,Plano_V3!$A$26:$G$769,7,0)</f>
        <v xml:space="preserve">6. Em implementação </v>
      </c>
      <c r="H233" s="135" t="s">
        <v>2325</v>
      </c>
      <c r="I233" s="473"/>
      <c r="J233" s="142" t="s">
        <v>2310</v>
      </c>
      <c r="K233" s="359" t="s">
        <v>2448</v>
      </c>
      <c r="L233" s="142"/>
      <c r="M233" s="152" t="str">
        <f>IF(VLOOKUP(A233,'Aux - pivots1'!$A:$E,3,0)=0, "",VLOOKUP(A233,'Aux - pivots1'!$A:$E,3,0))</f>
        <v/>
      </c>
      <c r="N233" s="152" t="str">
        <f>IF(VLOOKUP(A233,'Aux - pivots1'!$A:$E,4,0)=0, "",VLOOKUP(A233,'Aux - pivots1'!$A:$E,4,0))</f>
        <v/>
      </c>
      <c r="O233" s="152" t="str">
        <f>IF(VLOOKUP(A233,'Aux - pivots1'!$A:$E,5,0)=0, "",VLOOKUP(A233,'Aux - pivots1'!$A:$E,5,0))</f>
        <v/>
      </c>
      <c r="P233" s="202"/>
      <c r="Q233" s="202"/>
      <c r="R233" s="152" t="s">
        <v>2319</v>
      </c>
      <c r="S233" s="324" t="s">
        <v>2397</v>
      </c>
      <c r="T233" s="372" t="s">
        <v>2366</v>
      </c>
      <c r="U233" s="372" t="s">
        <v>2327</v>
      </c>
      <c r="V233" s="323" t="s">
        <v>1861</v>
      </c>
    </row>
    <row r="234" spans="1:22" ht="16.350000000000001" hidden="1" customHeight="1">
      <c r="A234" s="29" t="str">
        <f t="shared" si="4"/>
        <v>lt002_instrumentINTRNL_SGMNT_CATGSUB</v>
      </c>
      <c r="B234" s="141" t="s">
        <v>26</v>
      </c>
      <c r="C234" s="137" t="s">
        <v>26</v>
      </c>
      <c r="D234" s="133" t="s">
        <v>40</v>
      </c>
      <c r="E234" s="136" t="s">
        <v>379</v>
      </c>
      <c r="F234" s="480" t="s">
        <v>2178</v>
      </c>
      <c r="G234" s="135" t="str">
        <f>VLOOKUP(A234,Plano_V3!$A$26:$G$769,7,0)</f>
        <v xml:space="preserve">6. Em implementação </v>
      </c>
      <c r="H234" s="135" t="s">
        <v>2325</v>
      </c>
      <c r="I234" s="473"/>
      <c r="J234" s="142" t="s">
        <v>2310</v>
      </c>
      <c r="K234" s="359" t="s">
        <v>2448</v>
      </c>
      <c r="L234" s="142"/>
      <c r="M234" s="152" t="str">
        <f>IF(VLOOKUP(A234,'Aux - pivots1'!$A:$E,3,0)=0, "",VLOOKUP(A234,'Aux - pivots1'!$A:$E,3,0))</f>
        <v/>
      </c>
      <c r="N234" s="152" t="str">
        <f>IF(VLOOKUP(A234,'Aux - pivots1'!$A:$E,4,0)=0, "",VLOOKUP(A234,'Aux - pivots1'!$A:$E,4,0))</f>
        <v/>
      </c>
      <c r="O234" s="152" t="str">
        <f>IF(VLOOKUP(A234,'Aux - pivots1'!$A:$E,5,0)=0, "",VLOOKUP(A234,'Aux - pivots1'!$A:$E,5,0))</f>
        <v/>
      </c>
      <c r="P234" s="202"/>
      <c r="Q234" s="202"/>
      <c r="R234" s="152" t="s">
        <v>2319</v>
      </c>
      <c r="S234" s="324" t="s">
        <v>2397</v>
      </c>
      <c r="T234" s="372" t="s">
        <v>2366</v>
      </c>
      <c r="U234" s="372" t="s">
        <v>2327</v>
      </c>
      <c r="V234" s="323" t="s">
        <v>1861</v>
      </c>
    </row>
    <row r="235" spans="1:22" ht="16.350000000000001" hidden="1" customHeight="1">
      <c r="A235" s="29" t="str">
        <f t="shared" si="4"/>
        <v>lt003_entityentty_nm</v>
      </c>
      <c r="B235" s="141" t="s">
        <v>26</v>
      </c>
      <c r="C235" s="137" t="s">
        <v>26</v>
      </c>
      <c r="D235" s="133" t="s">
        <v>40</v>
      </c>
      <c r="E235" s="136" t="s">
        <v>335</v>
      </c>
      <c r="F235" s="480" t="s">
        <v>2197</v>
      </c>
      <c r="G235" s="135" t="str">
        <f>VLOOKUP(A235,Plano_V3!$A$26:$G$769,7,0)</f>
        <v xml:space="preserve">6. Em implementação </v>
      </c>
      <c r="H235" s="135" t="s">
        <v>2325</v>
      </c>
      <c r="I235" s="473"/>
      <c r="J235" s="359" t="s">
        <v>2245</v>
      </c>
      <c r="K235" s="359" t="s">
        <v>2448</v>
      </c>
      <c r="L235" s="359"/>
      <c r="M235" s="152" t="str">
        <f>IF(VLOOKUP(A235,'Aux - pivots1'!$A:$E,3,0)=0, "",VLOOKUP(A235,'Aux - pivots1'!$A:$E,3,0))</f>
        <v/>
      </c>
      <c r="N235" s="152" t="str">
        <f>IF(VLOOKUP(A235,'Aux - pivots1'!$A:$E,4,0)=0, "",VLOOKUP(A235,'Aux - pivots1'!$A:$E,4,0))</f>
        <v/>
      </c>
      <c r="O235" s="152" t="str">
        <f>IF(VLOOKUP(A235,'Aux - pivots1'!$A:$E,5,0)=0, "",VLOOKUP(A235,'Aux - pivots1'!$A:$E,5,0))</f>
        <v/>
      </c>
      <c r="P235" s="202"/>
      <c r="Q235" s="202"/>
      <c r="R235" s="152" t="s">
        <v>2319</v>
      </c>
      <c r="S235" s="324" t="s">
        <v>2392</v>
      </c>
      <c r="T235" s="372" t="s">
        <v>2366</v>
      </c>
      <c r="U235" s="372" t="s">
        <v>2327</v>
      </c>
      <c r="V235" s="323" t="s">
        <v>1861</v>
      </c>
    </row>
    <row r="236" spans="1:22" ht="16.350000000000001" hidden="1" customHeight="1">
      <c r="A236" s="29" t="str">
        <f t="shared" si="4"/>
        <v>modesg_out_sfics_taxon_europeiacbalcao</v>
      </c>
      <c r="B236" s="141" t="s">
        <v>26</v>
      </c>
      <c r="C236" s="137" t="s">
        <v>310</v>
      </c>
      <c r="D236" s="133" t="s">
        <v>40</v>
      </c>
      <c r="E236" s="134" t="s">
        <v>2085</v>
      </c>
      <c r="F236" s="476" t="s">
        <v>183</v>
      </c>
      <c r="G236" s="135" t="str">
        <f>VLOOKUP(A236,Plano_V3!$A$26:$G$769,7,0)</f>
        <v xml:space="preserve">6. Em implementação </v>
      </c>
      <c r="H236" s="135" t="s">
        <v>2325</v>
      </c>
      <c r="I236" s="473"/>
      <c r="J236" s="142" t="s">
        <v>2247</v>
      </c>
      <c r="K236" s="493" t="s">
        <v>2453</v>
      </c>
      <c r="L236" s="142"/>
      <c r="M236" s="152" t="str">
        <f>IF(VLOOKUP(A227,'Aux - pivots1'!$A:$E,3,0)=0, "",VLOOKUP(A227,'Aux - pivots1'!$A:$E,3,0))</f>
        <v/>
      </c>
      <c r="N236" s="152" t="str">
        <f>IF(VLOOKUP(A227,'Aux - pivots1'!$A:$E,4,0)=0, "",VLOOKUP(A227,'Aux - pivots1'!$A:$E,4,0))</f>
        <v/>
      </c>
      <c r="O236" s="152" t="str">
        <f>IF(VLOOKUP(A227,'Aux - pivots1'!$A:$E,5,0)=0, "",VLOOKUP(A227,'Aux - pivots1'!$A:$E,5,0))</f>
        <v/>
      </c>
      <c r="P236" s="202"/>
      <c r="Q236" s="202"/>
      <c r="R236" s="202"/>
      <c r="S236" s="324"/>
      <c r="T236" s="324"/>
      <c r="U236" s="372" t="s">
        <v>2326</v>
      </c>
      <c r="V236" s="323" t="s">
        <v>2314</v>
      </c>
    </row>
    <row r="237" spans="1:22" ht="16.350000000000001" hidden="1" customHeight="1">
      <c r="A237" s="29" t="str">
        <f t="shared" si="4"/>
        <v>modesg_out_sfics_taxon_europeiacempresa</v>
      </c>
      <c r="B237" s="141" t="s">
        <v>26</v>
      </c>
      <c r="C237" s="137" t="s">
        <v>310</v>
      </c>
      <c r="D237" s="133" t="s">
        <v>40</v>
      </c>
      <c r="E237" s="134" t="s">
        <v>2085</v>
      </c>
      <c r="F237" s="476" t="s">
        <v>184</v>
      </c>
      <c r="G237" s="135" t="str">
        <f>VLOOKUP(A237,Plano_V3!$A$26:$G$769,7,0)</f>
        <v xml:space="preserve">6. Em implementação </v>
      </c>
      <c r="H237" s="135" t="s">
        <v>2325</v>
      </c>
      <c r="I237" s="473"/>
      <c r="J237" s="142" t="s">
        <v>2247</v>
      </c>
      <c r="K237" s="493" t="s">
        <v>2453</v>
      </c>
      <c r="L237" s="142"/>
      <c r="M237" s="152" t="str">
        <f>IF(VLOOKUP(A228,'Aux - pivots1'!$A:$E,3,0)=0, "",VLOOKUP(A228,'Aux - pivots1'!$A:$E,3,0))</f>
        <v/>
      </c>
      <c r="N237" s="152" t="str">
        <f>IF(VLOOKUP(A228,'Aux - pivots1'!$A:$E,4,0)=0, "",VLOOKUP(A228,'Aux - pivots1'!$A:$E,4,0))</f>
        <v/>
      </c>
      <c r="O237" s="152" t="str">
        <f>IF(VLOOKUP(A228,'Aux - pivots1'!$A:$E,5,0)=0, "",VLOOKUP(A228,'Aux - pivots1'!$A:$E,5,0))</f>
        <v/>
      </c>
      <c r="P237" s="202"/>
      <c r="Q237" s="202"/>
      <c r="R237" s="202"/>
      <c r="S237" s="324"/>
      <c r="T237" s="324"/>
      <c r="U237" s="372" t="s">
        <v>2326</v>
      </c>
      <c r="V237" s="323" t="s">
        <v>2314</v>
      </c>
    </row>
    <row r="238" spans="1:22" ht="16.350000000000001" hidden="1" customHeight="1">
      <c r="A238" s="29" t="str">
        <f t="shared" si="4"/>
        <v>modesg_out_sfics_taxon_europeiacnumecta</v>
      </c>
      <c r="B238" s="141" t="s">
        <v>26</v>
      </c>
      <c r="C238" s="137" t="s">
        <v>310</v>
      </c>
      <c r="D238" s="133" t="s">
        <v>40</v>
      </c>
      <c r="E238" s="134" t="s">
        <v>2085</v>
      </c>
      <c r="F238" s="476" t="s">
        <v>189</v>
      </c>
      <c r="G238" s="135" t="str">
        <f>VLOOKUP(A238,Plano_V3!$A$26:$G$769,7,0)</f>
        <v xml:space="preserve">6. Em implementação </v>
      </c>
      <c r="H238" s="135" t="s">
        <v>2325</v>
      </c>
      <c r="I238" s="218"/>
      <c r="J238" s="142" t="s">
        <v>2247</v>
      </c>
      <c r="K238" s="493" t="s">
        <v>2453</v>
      </c>
      <c r="L238" s="135"/>
      <c r="M238" s="152" t="str">
        <f>IF(VLOOKUP(A229,'Aux - pivots1'!$A:$E,3,0)=0, "",VLOOKUP(A229,'Aux - pivots1'!$A:$E,3,0))</f>
        <v/>
      </c>
      <c r="N238" s="152" t="str">
        <f>IF(VLOOKUP(A229,'Aux - pivots1'!$A:$E,4,0)=0, "",VLOOKUP(A229,'Aux - pivots1'!$A:$E,4,0))</f>
        <v/>
      </c>
      <c r="O238" s="152" t="str">
        <f>IF(VLOOKUP(A229,'Aux - pivots1'!$A:$E,5,0)=0, "",VLOOKUP(A229,'Aux - pivots1'!$A:$E,5,0))</f>
        <v/>
      </c>
      <c r="P238" s="202"/>
      <c r="Q238" s="202"/>
      <c r="R238" s="202"/>
      <c r="S238" s="324"/>
      <c r="T238" s="324"/>
      <c r="U238" s="372" t="s">
        <v>2326</v>
      </c>
      <c r="V238" s="323" t="s">
        <v>2314</v>
      </c>
    </row>
    <row r="239" spans="1:22" ht="16.350000000000001" hidden="1" customHeight="1">
      <c r="A239" s="29" t="str">
        <f t="shared" si="4"/>
        <v>modesg_out_sfics_taxon_europeiacod_regra</v>
      </c>
      <c r="B239" s="141" t="s">
        <v>26</v>
      </c>
      <c r="C239" s="137" t="s">
        <v>310</v>
      </c>
      <c r="D239" s="133" t="s">
        <v>40</v>
      </c>
      <c r="E239" s="134" t="s">
        <v>2085</v>
      </c>
      <c r="F239" s="476" t="s">
        <v>191</v>
      </c>
      <c r="G239" s="135" t="str">
        <f>VLOOKUP(A239,Plano_V3!$A$26:$G$769,7,0)</f>
        <v xml:space="preserve">6. Em implementação </v>
      </c>
      <c r="H239" s="135" t="s">
        <v>2325</v>
      </c>
      <c r="I239" s="473"/>
      <c r="J239" s="142" t="s">
        <v>2247</v>
      </c>
      <c r="K239" s="493" t="s">
        <v>2453</v>
      </c>
      <c r="L239" s="142"/>
      <c r="M239" s="152" t="str">
        <f>IF(VLOOKUP(A230,'Aux - pivots1'!$A:$E,3,0)=0, "",VLOOKUP(A230,'Aux - pivots1'!$A:$E,3,0))</f>
        <v/>
      </c>
      <c r="N239" s="152" t="str">
        <f>IF(VLOOKUP(A230,'Aux - pivots1'!$A:$E,4,0)=0, "",VLOOKUP(A230,'Aux - pivots1'!$A:$E,4,0))</f>
        <v/>
      </c>
      <c r="O239" s="152" t="str">
        <f>IF(VLOOKUP(A230,'Aux - pivots1'!$A:$E,5,0)=0, "",VLOOKUP(A230,'Aux - pivots1'!$A:$E,5,0))</f>
        <v/>
      </c>
      <c r="P239" s="202"/>
      <c r="Q239" s="202"/>
      <c r="R239" s="202"/>
      <c r="S239" s="324"/>
      <c r="T239" s="324"/>
      <c r="U239" s="372" t="s">
        <v>2326</v>
      </c>
      <c r="V239" s="323" t="s">
        <v>2314</v>
      </c>
    </row>
    <row r="240" spans="1:22" ht="16.350000000000001" hidden="1" customHeight="1">
      <c r="A240" s="29" t="str">
        <f t="shared" si="4"/>
        <v>modesg_out_sfics_taxon_europeianivel</v>
      </c>
      <c r="B240" s="141" t="s">
        <v>26</v>
      </c>
      <c r="C240" s="137" t="s">
        <v>310</v>
      </c>
      <c r="D240" s="133" t="s">
        <v>40</v>
      </c>
      <c r="E240" s="134" t="s">
        <v>2085</v>
      </c>
      <c r="F240" s="476" t="s">
        <v>2414</v>
      </c>
      <c r="G240" s="135" t="str">
        <f>VLOOKUP(A240,Plano_V3!$A$26:$G$769,7,0)</f>
        <v xml:space="preserve">6. Em implementação </v>
      </c>
      <c r="H240" s="135" t="s">
        <v>2325</v>
      </c>
      <c r="I240" s="473"/>
      <c r="J240" s="142" t="s">
        <v>2247</v>
      </c>
      <c r="K240" s="493" t="s">
        <v>2453</v>
      </c>
      <c r="L240" s="142"/>
      <c r="M240" s="152" t="str">
        <f>IF(VLOOKUP(A240,'Aux - pivots1'!$A:$E,3,0)=0, "",VLOOKUP(A240,'Aux - pivots1'!$A:$E,3,0))</f>
        <v/>
      </c>
      <c r="N240" s="152" t="str">
        <f>IF(VLOOKUP(A240,'Aux - pivots1'!$A:$E,4,0)=0, "",VLOOKUP(A240,'Aux - pivots1'!$A:$E,4,0))</f>
        <v/>
      </c>
      <c r="O240" s="152" t="str">
        <f>IF(VLOOKUP(A240,'Aux - pivots1'!$A:$E,5,0)=0, "",VLOOKUP(A240,'Aux - pivots1'!$A:$E,5,0))</f>
        <v/>
      </c>
      <c r="P240" s="202"/>
      <c r="Q240" s="202"/>
      <c r="R240" s="202"/>
      <c r="S240" s="324"/>
      <c r="T240" s="324"/>
      <c r="U240" s="372" t="s">
        <v>2433</v>
      </c>
      <c r="V240" s="323"/>
    </row>
    <row r="241" spans="1:22" ht="16.350000000000001" hidden="1" customHeight="1">
      <c r="A241" s="29" t="str">
        <f t="shared" si="4"/>
        <v>modesg_out_sfics_taxon_europeiamontante_pndrc</v>
      </c>
      <c r="B241" s="141" t="s">
        <v>26</v>
      </c>
      <c r="C241" s="137" t="s">
        <v>310</v>
      </c>
      <c r="D241" s="133" t="s">
        <v>40</v>
      </c>
      <c r="E241" s="134" t="s">
        <v>2085</v>
      </c>
      <c r="F241" s="476" t="s">
        <v>202</v>
      </c>
      <c r="G241" s="135" t="str">
        <f>VLOOKUP(A241,Plano_V3!$A$26:$G$769,7,0)</f>
        <v xml:space="preserve">6. Em implementação </v>
      </c>
      <c r="H241" s="135" t="s">
        <v>2325</v>
      </c>
      <c r="I241" s="473"/>
      <c r="J241" s="142" t="s">
        <v>2247</v>
      </c>
      <c r="K241" s="493" t="s">
        <v>2453</v>
      </c>
      <c r="L241" s="490"/>
      <c r="M241" s="152" t="str">
        <f>IF(VLOOKUP(A231,'Aux - pivots1'!$A:$E,3,0)=0, "",VLOOKUP(A231,'Aux - pivots1'!$A:$E,3,0))</f>
        <v/>
      </c>
      <c r="N241" s="152" t="str">
        <f>IF(VLOOKUP(A231,'Aux - pivots1'!$A:$E,4,0)=0, "",VLOOKUP(A231,'Aux - pivots1'!$A:$E,4,0))</f>
        <v/>
      </c>
      <c r="O241" s="152" t="str">
        <f>IF(VLOOKUP(A231,'Aux - pivots1'!$A:$E,5,0)=0, "",VLOOKUP(A231,'Aux - pivots1'!$A:$E,5,0))</f>
        <v/>
      </c>
      <c r="P241" s="202"/>
      <c r="Q241" s="202"/>
      <c r="R241" s="202"/>
      <c r="S241" s="324"/>
      <c r="T241" s="324"/>
      <c r="U241" s="372" t="s">
        <v>2326</v>
      </c>
      <c r="V241" s="323" t="s">
        <v>2314</v>
      </c>
    </row>
    <row r="242" spans="1:22" ht="16.350000000000001" hidden="1" customHeight="1">
      <c r="A242" s="29" t="str">
        <f t="shared" si="4"/>
        <v>modesg_out_sfics_taxon_europeianome_ctgr_sfics</v>
      </c>
      <c r="B242" s="141" t="s">
        <v>26</v>
      </c>
      <c r="C242" s="137" t="s">
        <v>310</v>
      </c>
      <c r="D242" s="133" t="s">
        <v>40</v>
      </c>
      <c r="E242" s="134" t="s">
        <v>2085</v>
      </c>
      <c r="F242" s="476" t="s">
        <v>2053</v>
      </c>
      <c r="G242" s="135" t="str">
        <f>VLOOKUP(A242,Plano_V3!$A$26:$G$769,7,0)</f>
        <v xml:space="preserve">6. Em implementação </v>
      </c>
      <c r="H242" s="135" t="s">
        <v>2325</v>
      </c>
      <c r="I242" s="473"/>
      <c r="J242" s="142" t="s">
        <v>2247</v>
      </c>
      <c r="K242" s="493" t="s">
        <v>2453</v>
      </c>
      <c r="L242" s="142"/>
      <c r="M242" s="152" t="str">
        <f>IF(VLOOKUP(A232,'Aux - pivots1'!$A:$E,3,0)=0, "",VLOOKUP(A232,'Aux - pivots1'!$A:$E,3,0))</f>
        <v/>
      </c>
      <c r="N242" s="152" t="str">
        <f>IF(VLOOKUP(A232,'Aux - pivots1'!$A:$E,4,0)=0, "",VLOOKUP(A232,'Aux - pivots1'!$A:$E,4,0))</f>
        <v/>
      </c>
      <c r="O242" s="152" t="str">
        <f>IF(VLOOKUP(A232,'Aux - pivots1'!$A:$E,5,0)=0, "",VLOOKUP(A232,'Aux - pivots1'!$A:$E,5,0))</f>
        <v/>
      </c>
      <c r="P242" s="202"/>
      <c r="Q242" s="202"/>
      <c r="R242" s="202"/>
      <c r="S242" s="324"/>
      <c r="T242" s="324"/>
      <c r="U242" s="372" t="s">
        <v>2326</v>
      </c>
      <c r="V242" s="323" t="s">
        <v>2314</v>
      </c>
    </row>
    <row r="243" spans="1:22" ht="16.350000000000001" hidden="1" customHeight="1">
      <c r="A243" s="29" t="str">
        <f t="shared" si="4"/>
        <v>modesg_out_sfics_taxon_europeianome_general_specific_purpose</v>
      </c>
      <c r="B243" s="141" t="s">
        <v>26</v>
      </c>
      <c r="C243" s="137" t="s">
        <v>310</v>
      </c>
      <c r="D243" s="133" t="s">
        <v>40</v>
      </c>
      <c r="E243" s="134" t="s">
        <v>2085</v>
      </c>
      <c r="F243" s="476" t="s">
        <v>204</v>
      </c>
      <c r="G243" s="135" t="str">
        <f>VLOOKUP(A243,Plano_V3!$A$26:$G$769,7,0)</f>
        <v xml:space="preserve">6. Em implementação </v>
      </c>
      <c r="H243" s="135" t="s">
        <v>2325</v>
      </c>
      <c r="I243" s="473"/>
      <c r="J243" s="142" t="s">
        <v>2247</v>
      </c>
      <c r="K243" s="493" t="s">
        <v>2453</v>
      </c>
      <c r="L243" s="142"/>
      <c r="M243" s="152" t="str">
        <f>IF(VLOOKUP(A233,'Aux - pivots1'!$A:$E,3,0)=0, "",VLOOKUP(A233,'Aux - pivots1'!$A:$E,3,0))</f>
        <v/>
      </c>
      <c r="N243" s="152" t="str">
        <f>IF(VLOOKUP(A233,'Aux - pivots1'!$A:$E,4,0)=0, "",VLOOKUP(A233,'Aux - pivots1'!$A:$E,4,0))</f>
        <v/>
      </c>
      <c r="O243" s="152" t="str">
        <f>IF(VLOOKUP(A233,'Aux - pivots1'!$A:$E,5,0)=0, "",VLOOKUP(A233,'Aux - pivots1'!$A:$E,5,0))</f>
        <v/>
      </c>
      <c r="P243" s="202"/>
      <c r="Q243" s="202"/>
      <c r="R243" s="202"/>
      <c r="S243" s="324"/>
      <c r="T243" s="324"/>
      <c r="U243" s="372" t="s">
        <v>2326</v>
      </c>
      <c r="V243" s="323" t="s">
        <v>2314</v>
      </c>
    </row>
    <row r="244" spans="1:22" ht="16.350000000000001" hidden="1" customHeight="1">
      <c r="A244" s="29" t="str">
        <f t="shared" si="4"/>
        <v>modesg_out_sfics_taxon_europeianome_purpose_esg_alinh_tax</v>
      </c>
      <c r="B244" s="141" t="s">
        <v>26</v>
      </c>
      <c r="C244" s="137" t="s">
        <v>310</v>
      </c>
      <c r="D244" s="133" t="s">
        <v>40</v>
      </c>
      <c r="E244" s="134" t="s">
        <v>2085</v>
      </c>
      <c r="F244" s="476" t="s">
        <v>2064</v>
      </c>
      <c r="G244" s="135" t="str">
        <f>VLOOKUP(A244,Plano_V3!$A$26:$G$769,7,0)</f>
        <v xml:space="preserve">6. Em implementação </v>
      </c>
      <c r="H244" s="135" t="s">
        <v>2325</v>
      </c>
      <c r="I244" s="473"/>
      <c r="J244" s="142" t="s">
        <v>2247</v>
      </c>
      <c r="K244" s="493" t="s">
        <v>2453</v>
      </c>
      <c r="L244" s="142"/>
      <c r="M244" s="152" t="str">
        <f>IF(VLOOKUP(A234,'Aux - pivots1'!$A:$E,3,0)=0, "",VLOOKUP(A234,'Aux - pivots1'!$A:$E,3,0))</f>
        <v/>
      </c>
      <c r="N244" s="152" t="str">
        <f>IF(VLOOKUP(A234,'Aux - pivots1'!$A:$E,4,0)=0, "",VLOOKUP(A234,'Aux - pivots1'!$A:$E,4,0))</f>
        <v/>
      </c>
      <c r="O244" s="152" t="str">
        <f>IF(VLOOKUP(A234,'Aux - pivots1'!$A:$E,5,0)=0, "",VLOOKUP(A234,'Aux - pivots1'!$A:$E,5,0))</f>
        <v/>
      </c>
      <c r="P244" s="202"/>
      <c r="Q244" s="202"/>
      <c r="R244" s="202"/>
      <c r="S244" s="372"/>
      <c r="T244" s="372"/>
      <c r="U244" s="372" t="s">
        <v>2326</v>
      </c>
      <c r="V244" s="323" t="s">
        <v>2314</v>
      </c>
    </row>
    <row r="245" spans="1:22" ht="16.350000000000001" hidden="1" customHeight="1">
      <c r="A245" s="29" t="str">
        <f t="shared" si="4"/>
        <v>modesg_out_sfics_taxon_europeianome_purpose_esg_nalinh_tax</v>
      </c>
      <c r="B245" s="141" t="s">
        <v>26</v>
      </c>
      <c r="C245" s="137" t="s">
        <v>310</v>
      </c>
      <c r="D245" s="133" t="s">
        <v>40</v>
      </c>
      <c r="E245" s="134" t="s">
        <v>2085</v>
      </c>
      <c r="F245" s="476" t="s">
        <v>2065</v>
      </c>
      <c r="G245" s="135" t="str">
        <f>VLOOKUP(A245,Plano_V3!$A$26:$G$769,7,0)</f>
        <v xml:space="preserve">6. Em implementação </v>
      </c>
      <c r="H245" s="135" t="s">
        <v>2325</v>
      </c>
      <c r="I245" s="473"/>
      <c r="J245" s="142" t="s">
        <v>2247</v>
      </c>
      <c r="K245" s="493" t="s">
        <v>2453</v>
      </c>
      <c r="L245" s="142"/>
      <c r="M245" s="152" t="str">
        <f>IF(VLOOKUP(A235,'Aux - pivots1'!$A:$E,3,0)=0, "",VLOOKUP(A235,'Aux - pivots1'!$A:$E,3,0))</f>
        <v/>
      </c>
      <c r="N245" s="152" t="str">
        <f>IF(VLOOKUP(A235,'Aux - pivots1'!$A:$E,4,0)=0, "",VLOOKUP(A235,'Aux - pivots1'!$A:$E,4,0))</f>
        <v/>
      </c>
      <c r="O245" s="152" t="str">
        <f>IF(VLOOKUP(A235,'Aux - pivots1'!$A:$E,5,0)=0, "",VLOOKUP(A235,'Aux - pivots1'!$A:$E,5,0))</f>
        <v/>
      </c>
      <c r="P245" s="202"/>
      <c r="Q245" s="202"/>
      <c r="R245" s="202"/>
      <c r="S245" s="372"/>
      <c r="T245" s="372"/>
      <c r="U245" s="372" t="s">
        <v>2328</v>
      </c>
      <c r="V245" s="323" t="s">
        <v>2314</v>
      </c>
    </row>
    <row r="246" spans="1:22" ht="16.350000000000001" hidden="1" customHeight="1">
      <c r="A246" s="29" t="str">
        <f t="shared" si="4"/>
        <v>modesg_out_sfics_taxon_europeianome_specific_eligible</v>
      </c>
      <c r="B246" s="141" t="s">
        <v>26</v>
      </c>
      <c r="C246" s="137" t="s">
        <v>310</v>
      </c>
      <c r="D246" s="133" t="s">
        <v>40</v>
      </c>
      <c r="E246" s="134" t="s">
        <v>2085</v>
      </c>
      <c r="F246" s="476" t="s">
        <v>206</v>
      </c>
      <c r="G246" s="135" t="str">
        <f>VLOOKUP(A246,Plano_V3!$A$26:$G$769,7,0)</f>
        <v xml:space="preserve">6. Em implementação </v>
      </c>
      <c r="H246" s="135" t="s">
        <v>2325</v>
      </c>
      <c r="I246" s="473"/>
      <c r="J246" s="142" t="s">
        <v>2247</v>
      </c>
      <c r="K246" s="493" t="s">
        <v>2453</v>
      </c>
      <c r="L246" s="142"/>
      <c r="M246" s="152" t="str">
        <f>IF(VLOOKUP(A235,'Aux - pivots1'!$A:$E,3,0)=0, "",VLOOKUP(A235,'Aux - pivots1'!$A:$E,3,0))</f>
        <v/>
      </c>
      <c r="N246" s="152" t="str">
        <f>IF(VLOOKUP(A235,'Aux - pivots1'!$A:$E,4,0)=0, "",VLOOKUP(A235,'Aux - pivots1'!$A:$E,4,0))</f>
        <v/>
      </c>
      <c r="O246" s="152" t="str">
        <f>IF(VLOOKUP(A235,'Aux - pivots1'!$A:$E,5,0)=0, "",VLOOKUP(A235,'Aux - pivots1'!$A:$E,5,0))</f>
        <v/>
      </c>
      <c r="P246" s="202"/>
      <c r="Q246" s="202"/>
      <c r="R246" s="202"/>
      <c r="S246" s="324"/>
      <c r="T246" s="324"/>
      <c r="U246" s="372" t="s">
        <v>2326</v>
      </c>
      <c r="V246" s="323" t="s">
        <v>2314</v>
      </c>
    </row>
    <row r="247" spans="1:22" ht="16.350000000000001" hidden="1" customHeight="1">
      <c r="A247" s="29" t="str">
        <f t="shared" si="4"/>
        <v>modesg_out_sfics_taxon_europeianome_specific_sustainable</v>
      </c>
      <c r="B247" s="141" t="s">
        <v>26</v>
      </c>
      <c r="C247" s="137" t="s">
        <v>310</v>
      </c>
      <c r="D247" s="133" t="s">
        <v>40</v>
      </c>
      <c r="E247" s="134" t="s">
        <v>2085</v>
      </c>
      <c r="F247" s="476" t="s">
        <v>207</v>
      </c>
      <c r="G247" s="135" t="str">
        <f>VLOOKUP(A247,Plano_V3!$A$26:$G$769,7,0)</f>
        <v xml:space="preserve">6. Em implementação </v>
      </c>
      <c r="H247" s="135" t="s">
        <v>2325</v>
      </c>
      <c r="I247" s="473"/>
      <c r="J247" s="142" t="s">
        <v>2247</v>
      </c>
      <c r="K247" s="493" t="s">
        <v>2453</v>
      </c>
      <c r="L247" s="142"/>
      <c r="M247" s="152" t="str">
        <f>IF(VLOOKUP(A236,'Aux - pivots1'!$A:$E,3,0)=0, "",VLOOKUP(A236,'Aux - pivots1'!$A:$E,3,0))</f>
        <v/>
      </c>
      <c r="N247" s="152" t="str">
        <f>IF(VLOOKUP(A236,'Aux - pivots1'!$A:$E,4,0)=0, "",VLOOKUP(A236,'Aux - pivots1'!$A:$E,4,0))</f>
        <v/>
      </c>
      <c r="O247" s="152" t="str">
        <f>IF(VLOOKUP(A236,'Aux - pivots1'!$A:$E,5,0)=0, "",VLOOKUP(A236,'Aux - pivots1'!$A:$E,5,0))</f>
        <v/>
      </c>
      <c r="P247" s="202"/>
      <c r="Q247" s="202"/>
      <c r="R247" s="202"/>
      <c r="S247" s="324"/>
      <c r="T247" s="324"/>
      <c r="U247" s="372" t="s">
        <v>2326</v>
      </c>
      <c r="V247" s="323" t="s">
        <v>2314</v>
      </c>
    </row>
    <row r="248" spans="1:22" ht="16.350000000000001" hidden="1" customHeight="1">
      <c r="A248" s="29" t="str">
        <f t="shared" si="4"/>
        <v>modesg_out_sfics_taxon_europeiasstnbl_indctr</v>
      </c>
      <c r="B248" s="141" t="s">
        <v>26</v>
      </c>
      <c r="C248" s="137" t="s">
        <v>310</v>
      </c>
      <c r="D248" s="133" t="s">
        <v>40</v>
      </c>
      <c r="E248" s="134" t="s">
        <v>2085</v>
      </c>
      <c r="F248" s="476" t="s">
        <v>418</v>
      </c>
      <c r="G248" s="135" t="str">
        <f>VLOOKUP(A248,Plano_V3!$A$26:$G$769,7,0)</f>
        <v>2.2 Em especificação</v>
      </c>
      <c r="H248" s="135" t="s">
        <v>2324</v>
      </c>
      <c r="I248" s="473"/>
      <c r="J248" s="359" t="s">
        <v>2431</v>
      </c>
      <c r="K248" s="493" t="s">
        <v>2453</v>
      </c>
      <c r="L248" s="142"/>
      <c r="M248" s="152" t="str">
        <f>IF(VLOOKUP(A248,'Aux - pivots1'!$A:$E,3,0)=0, "",VLOOKUP(A248,'Aux - pivots1'!$A:$E,3,0))</f>
        <v/>
      </c>
      <c r="N248" s="152" t="str">
        <f>IF(VLOOKUP(A248,'Aux - pivots1'!$A:$E,4,0)=0, "",VLOOKUP(A248,'Aux - pivots1'!$A:$E,4,0))</f>
        <v/>
      </c>
      <c r="O248" s="152" t="str">
        <f>IF(VLOOKUP(A248,'Aux - pivots1'!$A:$E,5,0)=0, "",VLOOKUP(A248,'Aux - pivots1'!$A:$E,5,0))</f>
        <v/>
      </c>
      <c r="P248" s="202"/>
      <c r="Q248" s="202"/>
      <c r="R248" s="202"/>
      <c r="S248" s="324"/>
      <c r="T248" s="324"/>
      <c r="U248" s="372" t="s">
        <v>2433</v>
      </c>
      <c r="V248" s="323"/>
    </row>
    <row r="249" spans="1:22" ht="16.350000000000001" hidden="1" customHeight="1">
      <c r="A249" s="29" t="str">
        <f t="shared" si="4"/>
        <v>modesg_out_sfics_taxon_europeiaref_date</v>
      </c>
      <c r="B249" s="141" t="s">
        <v>26</v>
      </c>
      <c r="C249" s="137" t="s">
        <v>310</v>
      </c>
      <c r="D249" s="133" t="s">
        <v>40</v>
      </c>
      <c r="E249" s="134" t="s">
        <v>2085</v>
      </c>
      <c r="F249" s="476" t="s">
        <v>208</v>
      </c>
      <c r="G249" s="135" t="str">
        <f>VLOOKUP(A249,Plano_V3!$A$26:$G$769,7,0)</f>
        <v xml:space="preserve">6. Em implementação </v>
      </c>
      <c r="H249" s="135" t="s">
        <v>2325</v>
      </c>
      <c r="I249" s="473"/>
      <c r="J249" s="142" t="s">
        <v>2247</v>
      </c>
      <c r="K249" s="493" t="s">
        <v>2453</v>
      </c>
      <c r="L249" s="142"/>
      <c r="M249" s="152" t="str">
        <f>IF(VLOOKUP(A237,'Aux - pivots1'!$A:$E,3,0)=0, "",VLOOKUP(A237,'Aux - pivots1'!$A:$E,3,0))</f>
        <v/>
      </c>
      <c r="N249" s="152" t="str">
        <f>IF(VLOOKUP(A237,'Aux - pivots1'!$A:$E,4,0)=0, "",VLOOKUP(A237,'Aux - pivots1'!$A:$E,4,0))</f>
        <v/>
      </c>
      <c r="O249" s="152" t="str">
        <f>IF(VLOOKUP(A237,'Aux - pivots1'!$A:$E,5,0)=0, "",VLOOKUP(A237,'Aux - pivots1'!$A:$E,5,0))</f>
        <v/>
      </c>
      <c r="P249" s="202"/>
      <c r="Q249" s="202"/>
      <c r="R249" s="202"/>
      <c r="S249" s="324"/>
      <c r="T249" s="324"/>
      <c r="U249" s="372" t="s">
        <v>2326</v>
      </c>
      <c r="V249" s="323" t="s">
        <v>2314</v>
      </c>
    </row>
    <row r="250" spans="1:22" ht="16.350000000000001" hidden="1" customHeight="1">
      <c r="A250" s="29" t="str">
        <f t="shared" si="4"/>
        <v>modesg_out_sfics_taxon_europeiazdeposit</v>
      </c>
      <c r="B250" s="141" t="s">
        <v>26</v>
      </c>
      <c r="C250" s="137" t="s">
        <v>310</v>
      </c>
      <c r="D250" s="133" t="s">
        <v>40</v>
      </c>
      <c r="E250" s="134" t="s">
        <v>2085</v>
      </c>
      <c r="F250" s="476" t="s">
        <v>210</v>
      </c>
      <c r="G250" s="135" t="str">
        <f>VLOOKUP(A250,Plano_V3!$A$26:$G$769,7,0)</f>
        <v xml:space="preserve">6. Em implementação </v>
      </c>
      <c r="H250" s="135" t="s">
        <v>2325</v>
      </c>
      <c r="I250" s="473"/>
      <c r="J250" s="142" t="s">
        <v>2247</v>
      </c>
      <c r="K250" s="493" t="s">
        <v>2453</v>
      </c>
      <c r="L250" s="142"/>
      <c r="M250" s="152" t="str">
        <f>IF(VLOOKUP(A239,'Aux - pivots1'!$A:$E,3,0)=0, "",VLOOKUP(A239,'Aux - pivots1'!$A:$E,3,0))</f>
        <v/>
      </c>
      <c r="N250" s="152" t="str">
        <f>IF(VLOOKUP(A239,'Aux - pivots1'!$A:$E,4,0)=0, "",VLOOKUP(A239,'Aux - pivots1'!$A:$E,4,0))</f>
        <v/>
      </c>
      <c r="O250" s="152" t="str">
        <f>IF(VLOOKUP(A239,'Aux - pivots1'!$A:$E,5,0)=0, "",VLOOKUP(A239,'Aux - pivots1'!$A:$E,5,0))</f>
        <v/>
      </c>
      <c r="P250" s="202"/>
      <c r="Q250" s="202"/>
      <c r="R250" s="202"/>
      <c r="S250" s="324"/>
      <c r="T250" s="324"/>
      <c r="U250" s="372" t="s">
        <v>2326</v>
      </c>
      <c r="V250" s="323" t="s">
        <v>2314</v>
      </c>
    </row>
    <row r="251" spans="1:22" ht="16.350000000000001" hidden="1" customHeight="1">
      <c r="A251" s="29" t="str">
        <f t="shared" si="4"/>
        <v>ENERGY_CERTIFICATE_EST_INPUTn.a.</v>
      </c>
      <c r="B251" s="141" t="s">
        <v>26</v>
      </c>
      <c r="C251" s="137" t="s">
        <v>34</v>
      </c>
      <c r="D251" s="133" t="s">
        <v>36</v>
      </c>
      <c r="E251" s="134" t="s">
        <v>37</v>
      </c>
      <c r="F251" s="476" t="s">
        <v>38</v>
      </c>
      <c r="G251" s="135" t="str">
        <f>VLOOKUP(A251,Plano_V3!$A$26:$G$769,7,0)</f>
        <v>2.1 Em Teste</v>
      </c>
      <c r="H251" s="135" t="s">
        <v>1845</v>
      </c>
      <c r="I251" s="473" t="s">
        <v>2421</v>
      </c>
      <c r="J251" s="359"/>
      <c r="K251" s="359"/>
      <c r="L251" s="359"/>
      <c r="M251" s="347" t="str">
        <f>IF(VLOOKUP(A251,'Aux - pivots1'!$A:$E,3,0)=0, "",VLOOKUP(A251,'Aux - pivots1'!$A:$E,3,0))</f>
        <v/>
      </c>
      <c r="N251" s="347" t="str">
        <f>IF(VLOOKUP(A251,'Aux - pivots1'!$A:$E,4,0)=0, "",VLOOKUP(A251,'Aux - pivots1'!$A:$E,4,0))</f>
        <v/>
      </c>
      <c r="O251" s="152" t="str">
        <f>IF(VLOOKUP(A251,'Aux - pivots1'!$A:$E,5,0)=0, "",VLOOKUP(A251,'Aux - pivots1'!$A:$E,5,0))</f>
        <v/>
      </c>
      <c r="P251" s="202"/>
      <c r="Q251" s="202"/>
      <c r="R251" s="202"/>
      <c r="S251" s="324"/>
      <c r="T251" s="324"/>
      <c r="U251" s="372" t="s">
        <v>2326</v>
      </c>
      <c r="V251" s="152"/>
    </row>
    <row r="252" spans="1:22" ht="16.350000000000001" hidden="1" customHeight="1">
      <c r="A252" s="29" t="str">
        <f t="shared" si="4"/>
        <v>ENERGY_CERTIFICATE_EST_INPUTDATA_PROVIDER</v>
      </c>
      <c r="B252" s="141" t="s">
        <v>26</v>
      </c>
      <c r="C252" s="137" t="s">
        <v>34</v>
      </c>
      <c r="D252" s="133" t="s">
        <v>40</v>
      </c>
      <c r="E252" s="134" t="s">
        <v>37</v>
      </c>
      <c r="F252" s="477" t="s">
        <v>48</v>
      </c>
      <c r="G252" s="135" t="str">
        <f>VLOOKUP(A252,Plano_V3!$A$26:$G$769,7,0)</f>
        <v>0. Cancelado</v>
      </c>
      <c r="H252" s="135" t="s">
        <v>611</v>
      </c>
      <c r="I252" s="473" t="s">
        <v>2421</v>
      </c>
      <c r="J252" s="359"/>
      <c r="K252" s="359"/>
      <c r="L252" s="359"/>
      <c r="M252" s="347" t="str">
        <f>IF(VLOOKUP(A252,'Aux - pivots1'!$A:$E,3,0)=0, "",VLOOKUP(A252,'Aux - pivots1'!$A:$E,3,0))</f>
        <v/>
      </c>
      <c r="N252" s="347" t="str">
        <f>IF(VLOOKUP(A252,'Aux - pivots1'!$A:$E,4,0)=0, "",VLOOKUP(A252,'Aux - pivots1'!$A:$E,4,0))</f>
        <v/>
      </c>
      <c r="O252" s="152" t="str">
        <f>IF(VLOOKUP(A252,'Aux - pivots1'!$A:$E,5,0)=0, "",VLOOKUP(A252,'Aux - pivots1'!$A:$E,5,0))</f>
        <v/>
      </c>
      <c r="P252" s="202"/>
      <c r="Q252" s="202"/>
      <c r="R252" s="202"/>
      <c r="S252" s="372"/>
      <c r="T252" s="372"/>
      <c r="U252" s="372" t="s">
        <v>2326</v>
      </c>
      <c r="V252" s="152"/>
    </row>
    <row r="253" spans="1:22" ht="16.350000000000001" hidden="1" customHeight="1">
      <c r="A253" s="29" t="str">
        <f t="shared" si="4"/>
        <v>ENERGY_CERTIFICATE_EST_INPUTACTUAL_VALUE_IND</v>
      </c>
      <c r="B253" s="141" t="s">
        <v>26</v>
      </c>
      <c r="C253" s="137" t="s">
        <v>34</v>
      </c>
      <c r="D253" s="133" t="s">
        <v>40</v>
      </c>
      <c r="E253" s="134" t="s">
        <v>37</v>
      </c>
      <c r="F253" s="477" t="s">
        <v>49</v>
      </c>
      <c r="G253" s="135" t="str">
        <f>VLOOKUP(A253,Plano_V3!$A$26:$G$769,7,0)</f>
        <v>0. Cancelado</v>
      </c>
      <c r="H253" s="135" t="s">
        <v>611</v>
      </c>
      <c r="I253" s="473" t="s">
        <v>2421</v>
      </c>
      <c r="J253" s="359"/>
      <c r="K253" s="359"/>
      <c r="L253" s="359"/>
      <c r="M253" s="347" t="str">
        <f>IF(VLOOKUP(A253,'Aux - pivots1'!$A:$E,3,0)=0, "",VLOOKUP(A253,'Aux - pivots1'!$A:$E,3,0))</f>
        <v/>
      </c>
      <c r="N253" s="347" t="str">
        <f>IF(VLOOKUP(A253,'Aux - pivots1'!$A:$E,4,0)=0, "",VLOOKUP(A253,'Aux - pivots1'!$A:$E,4,0))</f>
        <v/>
      </c>
      <c r="O253" s="152" t="str">
        <f>IF(VLOOKUP(A253,'Aux - pivots1'!$A:$E,5,0)=0, "",VLOOKUP(A253,'Aux - pivots1'!$A:$E,5,0))</f>
        <v/>
      </c>
      <c r="P253" s="202"/>
      <c r="Q253" s="202"/>
      <c r="R253" s="202"/>
      <c r="S253" s="372"/>
      <c r="T253" s="372"/>
      <c r="U253" s="372" t="s">
        <v>2326</v>
      </c>
      <c r="V253" s="152"/>
    </row>
    <row r="254" spans="1:22" ht="16.350000000000001" hidden="1" customHeight="1">
      <c r="A254" s="29" t="str">
        <f t="shared" si="4"/>
        <v>PROCESSn.a.</v>
      </c>
      <c r="B254" s="141" t="s">
        <v>26</v>
      </c>
      <c r="C254" s="137" t="s">
        <v>54</v>
      </c>
      <c r="D254" s="133" t="s">
        <v>36</v>
      </c>
      <c r="E254" s="134" t="s">
        <v>55</v>
      </c>
      <c r="F254" s="476" t="s">
        <v>38</v>
      </c>
      <c r="G254" s="135" t="str">
        <f>VLOOKUP(A254,Plano_V3!$A$26:$G$769,7,0)</f>
        <v>1. Concluído</v>
      </c>
      <c r="H254" s="135" t="s">
        <v>612</v>
      </c>
      <c r="I254" s="473"/>
      <c r="J254" s="142"/>
      <c r="K254" s="142"/>
      <c r="L254" s="142"/>
      <c r="M254" s="152" t="str">
        <f>IF(VLOOKUP(A254,'Aux - pivots1'!$A:$E,3,0)=0, "",VLOOKUP(A254,'Aux - pivots1'!$A:$E,3,0))</f>
        <v/>
      </c>
      <c r="N254" s="152" t="str">
        <f>IF(VLOOKUP(A254,'Aux - pivots1'!$A:$E,4,0)=0, "",VLOOKUP(A254,'Aux - pivots1'!$A:$E,4,0))</f>
        <v/>
      </c>
      <c r="O254" s="152" t="str">
        <f>IF(VLOOKUP(A254,'Aux - pivots1'!$A:$E,5,0)=0, "",VLOOKUP(A254,'Aux - pivots1'!$A:$E,5,0))</f>
        <v/>
      </c>
      <c r="P254" s="202"/>
      <c r="Q254" s="202"/>
      <c r="R254" s="202"/>
      <c r="S254" s="324"/>
      <c r="T254" s="324"/>
      <c r="U254" s="372" t="s">
        <v>2326</v>
      </c>
      <c r="V254" s="152"/>
    </row>
    <row r="255" spans="1:22" ht="16.350000000000001" hidden="1" customHeight="1">
      <c r="A255" s="29" t="str">
        <f t="shared" si="4"/>
        <v>PROCESSPROCESS_BANK_ID</v>
      </c>
      <c r="B255" s="141" t="s">
        <v>26</v>
      </c>
      <c r="C255" s="137" t="s">
        <v>54</v>
      </c>
      <c r="D255" s="133" t="s">
        <v>40</v>
      </c>
      <c r="E255" s="134" t="s">
        <v>55</v>
      </c>
      <c r="F255" s="476" t="s">
        <v>57</v>
      </c>
      <c r="G255" s="135" t="str">
        <f>VLOOKUP(A255,Plano_V3!$A$26:$G$769,7,0)</f>
        <v>1. Concluído</v>
      </c>
      <c r="H255" s="135" t="s">
        <v>612</v>
      </c>
      <c r="I255" s="473"/>
      <c r="J255" s="153"/>
      <c r="K255" s="153"/>
      <c r="L255" s="153"/>
      <c r="M255" s="152" t="str">
        <f>IF(VLOOKUP(A255,'Aux - pivots1'!$A:$E,3,0)=0, "",VLOOKUP(A255,'Aux - pivots1'!$A:$E,3,0))</f>
        <v/>
      </c>
      <c r="N255" s="152" t="str">
        <f>IF(VLOOKUP(A255,'Aux - pivots1'!$A:$E,4,0)=0, "",VLOOKUP(A255,'Aux - pivots1'!$A:$E,4,0))</f>
        <v/>
      </c>
      <c r="O255" s="152" t="str">
        <f>IF(VLOOKUP(A255,'Aux - pivots1'!$A:$E,5,0)=0, "",VLOOKUP(A255,'Aux - pivots1'!$A:$E,5,0))</f>
        <v/>
      </c>
      <c r="P255" s="202"/>
      <c r="Q255" s="202"/>
      <c r="R255" s="202"/>
      <c r="S255" s="324"/>
      <c r="T255" s="324"/>
      <c r="U255" s="372" t="s">
        <v>2326</v>
      </c>
      <c r="V255" s="152"/>
    </row>
    <row r="256" spans="1:22" ht="16.350000000000001" hidden="1" customHeight="1">
      <c r="A256" s="29" t="str">
        <f t="shared" si="4"/>
        <v>PROCESSPROCESS_BRANCH_CODE</v>
      </c>
      <c r="B256" s="141" t="s">
        <v>26</v>
      </c>
      <c r="C256" s="137" t="s">
        <v>54</v>
      </c>
      <c r="D256" s="133" t="s">
        <v>40</v>
      </c>
      <c r="E256" s="134" t="s">
        <v>55</v>
      </c>
      <c r="F256" s="476" t="s">
        <v>58</v>
      </c>
      <c r="G256" s="135" t="str">
        <f>VLOOKUP(A256,Plano_V3!$A$26:$G$769,7,0)</f>
        <v>1. Concluído</v>
      </c>
      <c r="H256" s="135" t="s">
        <v>612</v>
      </c>
      <c r="I256" s="473"/>
      <c r="J256" s="153"/>
      <c r="K256" s="153"/>
      <c r="L256" s="153"/>
      <c r="M256" s="152" t="str">
        <f>IF(VLOOKUP(A256,'Aux - pivots1'!$A:$E,3,0)=0, "",VLOOKUP(A256,'Aux - pivots1'!$A:$E,3,0))</f>
        <v/>
      </c>
      <c r="N256" s="152" t="str">
        <f>IF(VLOOKUP(A256,'Aux - pivots1'!$A:$E,4,0)=0, "",VLOOKUP(A256,'Aux - pivots1'!$A:$E,4,0))</f>
        <v/>
      </c>
      <c r="O256" s="152" t="str">
        <f>IF(VLOOKUP(A256,'Aux - pivots1'!$A:$E,5,0)=0, "",VLOOKUP(A256,'Aux - pivots1'!$A:$E,5,0))</f>
        <v/>
      </c>
      <c r="P256" s="202"/>
      <c r="Q256" s="202"/>
      <c r="R256" s="202"/>
      <c r="S256" s="324"/>
      <c r="T256" s="324"/>
      <c r="U256" s="372" t="s">
        <v>2326</v>
      </c>
      <c r="V256" s="152"/>
    </row>
    <row r="257" spans="1:22" ht="16.350000000000001" hidden="1" customHeight="1">
      <c r="A257" s="29" t="str">
        <f t="shared" si="4"/>
        <v>PROCESSPROCESS_ACCOUNT_ID</v>
      </c>
      <c r="B257" s="141" t="s">
        <v>26</v>
      </c>
      <c r="C257" s="137" t="s">
        <v>54</v>
      </c>
      <c r="D257" s="133" t="s">
        <v>40</v>
      </c>
      <c r="E257" s="134" t="s">
        <v>55</v>
      </c>
      <c r="F257" s="476" t="s">
        <v>59</v>
      </c>
      <c r="G257" s="135" t="str">
        <f>VLOOKUP(A257,Plano_V3!$A$26:$G$769,7,0)</f>
        <v>1. Concluído</v>
      </c>
      <c r="H257" s="135" t="s">
        <v>612</v>
      </c>
      <c r="I257" s="473"/>
      <c r="J257" s="153"/>
      <c r="K257" s="153"/>
      <c r="L257" s="153"/>
      <c r="M257" s="152" t="str">
        <f>IF(VLOOKUP(A257,'Aux - pivots1'!$A:$E,3,0)=0, "",VLOOKUP(A257,'Aux - pivots1'!$A:$E,3,0))</f>
        <v/>
      </c>
      <c r="N257" s="152" t="str">
        <f>IF(VLOOKUP(A257,'Aux - pivots1'!$A:$E,4,0)=0, "",VLOOKUP(A257,'Aux - pivots1'!$A:$E,4,0))</f>
        <v/>
      </c>
      <c r="O257" s="152" t="str">
        <f>IF(VLOOKUP(A257,'Aux - pivots1'!$A:$E,5,0)=0, "",VLOOKUP(A257,'Aux - pivots1'!$A:$E,5,0))</f>
        <v/>
      </c>
      <c r="P257" s="202"/>
      <c r="Q257" s="202"/>
      <c r="R257" s="202"/>
      <c r="S257" s="324"/>
      <c r="T257" s="324"/>
      <c r="U257" s="372" t="s">
        <v>2326</v>
      </c>
      <c r="V257" s="152"/>
    </row>
    <row r="258" spans="1:22" ht="16.350000000000001" hidden="1" customHeight="1">
      <c r="A258" s="29" t="str">
        <f t="shared" si="4"/>
        <v>PROCESScod_estd_prcs</v>
      </c>
      <c r="B258" s="141" t="s">
        <v>26</v>
      </c>
      <c r="C258" s="137" t="s">
        <v>54</v>
      </c>
      <c r="D258" s="133" t="s">
        <v>40</v>
      </c>
      <c r="E258" s="134" t="s">
        <v>55</v>
      </c>
      <c r="F258" s="476" t="s">
        <v>60</v>
      </c>
      <c r="G258" s="135" t="str">
        <f>VLOOKUP(A258,Plano_V3!$A$26:$G$769,7,0)</f>
        <v>0. Cancelado</v>
      </c>
      <c r="H258" s="135" t="s">
        <v>611</v>
      </c>
      <c r="I258" s="473"/>
      <c r="J258" s="142"/>
      <c r="K258" s="142"/>
      <c r="L258" s="142"/>
      <c r="M258" s="152" t="str">
        <f>IF(VLOOKUP(A258,'Aux - pivots1'!$A:$E,3,0)=0, "",VLOOKUP(A258,'Aux - pivots1'!$A:$E,3,0))</f>
        <v/>
      </c>
      <c r="N258" s="152" t="str">
        <f>IF(VLOOKUP(A258,'Aux - pivots1'!$A:$E,4,0)=0, "",VLOOKUP(A258,'Aux - pivots1'!$A:$E,4,0))</f>
        <v/>
      </c>
      <c r="O258" s="152" t="str">
        <f>IF(VLOOKUP(A258,'Aux - pivots1'!$A:$E,5,0)=0, "",VLOOKUP(A258,'Aux - pivots1'!$A:$E,5,0))</f>
        <v/>
      </c>
      <c r="P258" s="202"/>
      <c r="Q258" s="202"/>
      <c r="R258" s="202"/>
      <c r="S258" s="324"/>
      <c r="T258" s="324"/>
      <c r="U258" s="372" t="s">
        <v>2326</v>
      </c>
      <c r="V258" s="152"/>
    </row>
    <row r="259" spans="1:22" ht="16.350000000000001" hidden="1" customHeight="1">
      <c r="A259" s="29" t="str">
        <f t="shared" si="4"/>
        <v>PROCESSGUARANTEE_CODE</v>
      </c>
      <c r="B259" s="141" t="s">
        <v>26</v>
      </c>
      <c r="C259" s="137" t="s">
        <v>54</v>
      </c>
      <c r="D259" s="133" t="s">
        <v>40</v>
      </c>
      <c r="E259" s="134" t="s">
        <v>55</v>
      </c>
      <c r="F259" s="476" t="s">
        <v>61</v>
      </c>
      <c r="G259" s="135" t="str">
        <f>VLOOKUP(A259,Plano_V3!$A$26:$G$769,7,0)</f>
        <v>1. Concluído</v>
      </c>
      <c r="H259" s="135" t="s">
        <v>612</v>
      </c>
      <c r="I259" s="473"/>
      <c r="J259" s="142"/>
      <c r="K259" s="142"/>
      <c r="L259" s="142"/>
      <c r="M259" s="152" t="str">
        <f>IF(VLOOKUP(A259,'Aux - pivots1'!$A:$E,3,0)=0, "",VLOOKUP(A259,'Aux - pivots1'!$A:$E,3,0))</f>
        <v/>
      </c>
      <c r="N259" s="152" t="str">
        <f>IF(VLOOKUP(A259,'Aux - pivots1'!$A:$E,4,0)=0, "",VLOOKUP(A259,'Aux - pivots1'!$A:$E,4,0))</f>
        <v/>
      </c>
      <c r="O259" s="152" t="str">
        <f>IF(VLOOKUP(A259,'Aux - pivots1'!$A:$E,5,0)=0, "",VLOOKUP(A259,'Aux - pivots1'!$A:$E,5,0))</f>
        <v/>
      </c>
      <c r="P259" s="202"/>
      <c r="Q259" s="202"/>
      <c r="R259" s="202"/>
      <c r="S259" s="324"/>
      <c r="T259" s="324"/>
      <c r="U259" s="372" t="s">
        <v>2326</v>
      </c>
      <c r="V259" s="152"/>
    </row>
    <row r="260" spans="1:22" ht="16.350000000000001" hidden="1" customHeight="1">
      <c r="A260" s="29" t="str">
        <f t="shared" si="4"/>
        <v>PROCESSCURRENCY_CODE</v>
      </c>
      <c r="B260" s="141" t="s">
        <v>26</v>
      </c>
      <c r="C260" s="137" t="s">
        <v>54</v>
      </c>
      <c r="D260" s="133" t="s">
        <v>40</v>
      </c>
      <c r="E260" s="134" t="s">
        <v>55</v>
      </c>
      <c r="F260" s="476" t="s">
        <v>62</v>
      </c>
      <c r="G260" s="135" t="str">
        <f>VLOOKUP(A260,Plano_V3!$A$26:$G$769,7,0)</f>
        <v>1. Concluído</v>
      </c>
      <c r="H260" s="135" t="s">
        <v>612</v>
      </c>
      <c r="I260" s="473"/>
      <c r="J260" s="142"/>
      <c r="K260" s="142"/>
      <c r="L260" s="142"/>
      <c r="M260" s="152" t="str">
        <f>IF(VLOOKUP(A260,'Aux - pivots1'!$A:$E,3,0)=0, "",VLOOKUP(A260,'Aux - pivots1'!$A:$E,3,0))</f>
        <v/>
      </c>
      <c r="N260" s="152" t="str">
        <f>IF(VLOOKUP(A260,'Aux - pivots1'!$A:$E,4,0)=0, "",VLOOKUP(A260,'Aux - pivots1'!$A:$E,4,0))</f>
        <v/>
      </c>
      <c r="O260" s="152" t="str">
        <f>IF(VLOOKUP(A260,'Aux - pivots1'!$A:$E,5,0)=0, "",VLOOKUP(A260,'Aux - pivots1'!$A:$E,5,0))</f>
        <v/>
      </c>
      <c r="P260" s="202"/>
      <c r="Q260" s="202"/>
      <c r="R260" s="202"/>
      <c r="S260" s="324"/>
      <c r="T260" s="324"/>
      <c r="U260" s="372" t="s">
        <v>2326</v>
      </c>
      <c r="V260" s="152"/>
    </row>
    <row r="261" spans="1:22" ht="16.350000000000001" hidden="1" customHeight="1">
      <c r="A261" s="29" t="str">
        <f t="shared" si="4"/>
        <v>PROCESSPROCESS_CAMPAIGN_CODE</v>
      </c>
      <c r="B261" s="141" t="s">
        <v>26</v>
      </c>
      <c r="C261" s="137" t="s">
        <v>54</v>
      </c>
      <c r="D261" s="133" t="s">
        <v>40</v>
      </c>
      <c r="E261" s="134" t="s">
        <v>55</v>
      </c>
      <c r="F261" s="476" t="s">
        <v>63</v>
      </c>
      <c r="G261" s="135" t="str">
        <f>VLOOKUP(A261,Plano_V3!$A$26:$G$769,7,0)</f>
        <v>1. Concluído</v>
      </c>
      <c r="H261" s="135" t="s">
        <v>612</v>
      </c>
      <c r="I261" s="473"/>
      <c r="J261" s="142"/>
      <c r="K261" s="142"/>
      <c r="L261" s="142"/>
      <c r="M261" s="152" t="str">
        <f>IF(VLOOKUP(A261,'Aux - pivots1'!$A:$E,3,0)=0, "",VLOOKUP(A261,'Aux - pivots1'!$A:$E,3,0))</f>
        <v/>
      </c>
      <c r="N261" s="152" t="str">
        <f>IF(VLOOKUP(A261,'Aux - pivots1'!$A:$E,4,0)=0, "",VLOOKUP(A261,'Aux - pivots1'!$A:$E,4,0))</f>
        <v/>
      </c>
      <c r="O261" s="152" t="str">
        <f>IF(VLOOKUP(A261,'Aux - pivots1'!$A:$E,5,0)=0, "",VLOOKUP(A261,'Aux - pivots1'!$A:$E,5,0))</f>
        <v/>
      </c>
      <c r="P261" s="202"/>
      <c r="Q261" s="202"/>
      <c r="R261" s="202"/>
      <c r="S261" s="324"/>
      <c r="T261" s="324"/>
      <c r="U261" s="372" t="s">
        <v>2326</v>
      </c>
      <c r="V261" s="152"/>
    </row>
    <row r="262" spans="1:22" ht="16.350000000000001" hidden="1" customHeight="1">
      <c r="A262" s="29" t="str">
        <f t="shared" si="4"/>
        <v>PROCESSPROCESS_PRODUCT_ID</v>
      </c>
      <c r="B262" s="141" t="s">
        <v>26</v>
      </c>
      <c r="C262" s="137" t="s">
        <v>54</v>
      </c>
      <c r="D262" s="133" t="s">
        <v>40</v>
      </c>
      <c r="E262" s="134" t="s">
        <v>55</v>
      </c>
      <c r="F262" s="476" t="s">
        <v>64</v>
      </c>
      <c r="G262" s="135" t="str">
        <f>VLOOKUP(A262,Plano_V3!$A$26:$G$769,7,0)</f>
        <v>1. Concluído</v>
      </c>
      <c r="H262" s="135" t="s">
        <v>612</v>
      </c>
      <c r="I262" s="473"/>
      <c r="J262" s="142"/>
      <c r="K262" s="142"/>
      <c r="L262" s="142"/>
      <c r="M262" s="152" t="str">
        <f>IF(VLOOKUP(A262,'Aux - pivots1'!$A:$E,3,0)=0, "",VLOOKUP(A262,'Aux - pivots1'!$A:$E,3,0))</f>
        <v/>
      </c>
      <c r="N262" s="152" t="str">
        <f>IF(VLOOKUP(A262,'Aux - pivots1'!$A:$E,4,0)=0, "",VLOOKUP(A262,'Aux - pivots1'!$A:$E,4,0))</f>
        <v/>
      </c>
      <c r="O262" s="152" t="str">
        <f>IF(VLOOKUP(A262,'Aux - pivots1'!$A:$E,5,0)=0, "",VLOOKUP(A262,'Aux - pivots1'!$A:$E,5,0))</f>
        <v/>
      </c>
      <c r="P262" s="202"/>
      <c r="Q262" s="202"/>
      <c r="R262" s="202"/>
      <c r="S262" s="324"/>
      <c r="T262" s="324"/>
      <c r="U262" s="372" t="s">
        <v>2326</v>
      </c>
      <c r="V262" s="152"/>
    </row>
    <row r="263" spans="1:22" ht="16.350000000000001" hidden="1" customHeight="1">
      <c r="A263" s="29" t="str">
        <f t="shared" si="4"/>
        <v>PROCESSPROCESS_SUBPRODUCT_ID</v>
      </c>
      <c r="B263" s="141" t="s">
        <v>26</v>
      </c>
      <c r="C263" s="137" t="s">
        <v>54</v>
      </c>
      <c r="D263" s="133" t="s">
        <v>40</v>
      </c>
      <c r="E263" s="134" t="s">
        <v>55</v>
      </c>
      <c r="F263" s="476" t="s">
        <v>65</v>
      </c>
      <c r="G263" s="135" t="str">
        <f>VLOOKUP(A263,Plano_V3!$A$26:$G$769,7,0)</f>
        <v>1. Concluído</v>
      </c>
      <c r="H263" s="135" t="s">
        <v>612</v>
      </c>
      <c r="I263" s="473"/>
      <c r="J263" s="142"/>
      <c r="K263" s="142"/>
      <c r="L263" s="142"/>
      <c r="M263" s="152" t="str">
        <f>IF(VLOOKUP(A263,'Aux - pivots1'!$A:$E,3,0)=0, "",VLOOKUP(A263,'Aux - pivots1'!$A:$E,3,0))</f>
        <v/>
      </c>
      <c r="N263" s="152" t="str">
        <f>IF(VLOOKUP(A263,'Aux - pivots1'!$A:$E,4,0)=0, "",VLOOKUP(A263,'Aux - pivots1'!$A:$E,4,0))</f>
        <v/>
      </c>
      <c r="O263" s="152" t="str">
        <f>IF(VLOOKUP(A263,'Aux - pivots1'!$A:$E,5,0)=0, "",VLOOKUP(A263,'Aux - pivots1'!$A:$E,5,0))</f>
        <v/>
      </c>
      <c r="P263" s="202"/>
      <c r="Q263" s="202"/>
      <c r="R263" s="202"/>
      <c r="S263" s="324"/>
      <c r="T263" s="324"/>
      <c r="U263" s="372" t="s">
        <v>2326</v>
      </c>
      <c r="V263" s="152"/>
    </row>
    <row r="264" spans="1:22" ht="16.350000000000001" hidden="1" customHeight="1">
      <c r="A264" s="29" t="str">
        <f t="shared" si="4"/>
        <v>PROCESSGUARANTEE_TYPE_CODE</v>
      </c>
      <c r="B264" s="141" t="s">
        <v>26</v>
      </c>
      <c r="C264" s="137" t="s">
        <v>54</v>
      </c>
      <c r="D264" s="133" t="s">
        <v>40</v>
      </c>
      <c r="E264" s="134" t="s">
        <v>55</v>
      </c>
      <c r="F264" s="476" t="s">
        <v>66</v>
      </c>
      <c r="G264" s="135" t="str">
        <f>VLOOKUP(A264,Plano_V3!$A$26:$G$769,7,0)</f>
        <v>1. Concluído</v>
      </c>
      <c r="H264" s="135" t="s">
        <v>612</v>
      </c>
      <c r="I264" s="473"/>
      <c r="J264" s="142"/>
      <c r="K264" s="142"/>
      <c r="L264" s="142"/>
      <c r="M264" s="152" t="str">
        <f>IF(VLOOKUP(A264,'Aux - pivots1'!$A:$E,3,0)=0, "",VLOOKUP(A264,'Aux - pivots1'!$A:$E,3,0))</f>
        <v/>
      </c>
      <c r="N264" s="152" t="str">
        <f>IF(VLOOKUP(A264,'Aux - pivots1'!$A:$E,4,0)=0, "",VLOOKUP(A264,'Aux - pivots1'!$A:$E,4,0))</f>
        <v/>
      </c>
      <c r="O264" s="152" t="str">
        <f>IF(VLOOKUP(A264,'Aux - pivots1'!$A:$E,5,0)=0, "",VLOOKUP(A264,'Aux - pivots1'!$A:$E,5,0))</f>
        <v/>
      </c>
      <c r="P264" s="202"/>
      <c r="Q264" s="202"/>
      <c r="R264" s="202"/>
      <c r="S264" s="324"/>
      <c r="T264" s="324"/>
      <c r="U264" s="372" t="s">
        <v>2326</v>
      </c>
      <c r="V264" s="152"/>
    </row>
    <row r="265" spans="1:22" ht="16.350000000000001" hidden="1" customHeight="1">
      <c r="A265" s="29" t="str">
        <f t="shared" si="4"/>
        <v>PROCESSPROCESS_REFERENCE_CODE</v>
      </c>
      <c r="B265" s="141" t="s">
        <v>26</v>
      </c>
      <c r="C265" s="137" t="s">
        <v>54</v>
      </c>
      <c r="D265" s="133" t="s">
        <v>40</v>
      </c>
      <c r="E265" s="134" t="s">
        <v>55</v>
      </c>
      <c r="F265" s="476" t="s">
        <v>67</v>
      </c>
      <c r="G265" s="135" t="str">
        <f>VLOOKUP(A265,Plano_V3!$A$26:$G$769,7,0)</f>
        <v>1. Concluído</v>
      </c>
      <c r="H265" s="135" t="s">
        <v>612</v>
      </c>
      <c r="I265" s="473"/>
      <c r="J265" s="142"/>
      <c r="K265" s="142"/>
      <c r="L265" s="142"/>
      <c r="M265" s="152" t="str">
        <f>IF(VLOOKUP(A265,'Aux - pivots1'!$A:$E,3,0)=0, "",VLOOKUP(A265,'Aux - pivots1'!$A:$E,3,0))</f>
        <v/>
      </c>
      <c r="N265" s="152" t="str">
        <f>IF(VLOOKUP(A265,'Aux - pivots1'!$A:$E,4,0)=0, "",VLOOKUP(A265,'Aux - pivots1'!$A:$E,4,0))</f>
        <v/>
      </c>
      <c r="O265" s="152" t="str">
        <f>IF(VLOOKUP(A265,'Aux - pivots1'!$A:$E,5,0)=0, "",VLOOKUP(A265,'Aux - pivots1'!$A:$E,5,0))</f>
        <v/>
      </c>
      <c r="P265" s="202"/>
      <c r="Q265" s="202"/>
      <c r="R265" s="202"/>
      <c r="S265" s="324"/>
      <c r="T265" s="324"/>
      <c r="U265" s="372" t="s">
        <v>2326</v>
      </c>
      <c r="V265" s="152"/>
    </row>
    <row r="266" spans="1:22" ht="16.350000000000001" hidden="1" customHeight="1">
      <c r="A266" s="29" t="str">
        <f t="shared" si="4"/>
        <v>PROCESSPROCESS_START_DATE</v>
      </c>
      <c r="B266" s="141" t="s">
        <v>26</v>
      </c>
      <c r="C266" s="137" t="s">
        <v>54</v>
      </c>
      <c r="D266" s="133" t="s">
        <v>40</v>
      </c>
      <c r="E266" s="134" t="s">
        <v>55</v>
      </c>
      <c r="F266" s="476" t="s">
        <v>68</v>
      </c>
      <c r="G266" s="135" t="str">
        <f>VLOOKUP(A266,Plano_V3!$A$26:$G$769,7,0)</f>
        <v>1. Concluído</v>
      </c>
      <c r="H266" s="135" t="s">
        <v>612</v>
      </c>
      <c r="I266" s="473"/>
      <c r="J266" s="142"/>
      <c r="K266" s="142"/>
      <c r="L266" s="142"/>
      <c r="M266" s="152" t="str">
        <f>IF(VLOOKUP(A266,'Aux - pivots1'!$A:$E,3,0)=0, "",VLOOKUP(A266,'Aux - pivots1'!$A:$E,3,0))</f>
        <v/>
      </c>
      <c r="N266" s="152" t="str">
        <f>IF(VLOOKUP(A266,'Aux - pivots1'!$A:$E,4,0)=0, "",VLOOKUP(A266,'Aux - pivots1'!$A:$E,4,0))</f>
        <v/>
      </c>
      <c r="O266" s="152" t="str">
        <f>IF(VLOOKUP(A266,'Aux - pivots1'!$A:$E,5,0)=0, "",VLOOKUP(A266,'Aux - pivots1'!$A:$E,5,0))</f>
        <v/>
      </c>
      <c r="P266" s="202"/>
      <c r="Q266" s="202"/>
      <c r="R266" s="202"/>
      <c r="S266" s="324"/>
      <c r="T266" s="324"/>
      <c r="U266" s="372" t="s">
        <v>2326</v>
      </c>
      <c r="V266" s="152"/>
    </row>
    <row r="267" spans="1:22" ht="16.350000000000001" hidden="1" customHeight="1">
      <c r="A267" s="29" t="str">
        <f t="shared" ref="A267:A330" si="6">E267&amp;F267</f>
        <v>PROCESSPROCESS_DUE_DATE</v>
      </c>
      <c r="B267" s="141" t="s">
        <v>26</v>
      </c>
      <c r="C267" s="137" t="s">
        <v>54</v>
      </c>
      <c r="D267" s="133" t="s">
        <v>40</v>
      </c>
      <c r="E267" s="134" t="s">
        <v>55</v>
      </c>
      <c r="F267" s="476" t="s">
        <v>69</v>
      </c>
      <c r="G267" s="135" t="str">
        <f>VLOOKUP(A267,Plano_V3!$A$26:$G$769,7,0)</f>
        <v>1. Concluído</v>
      </c>
      <c r="H267" s="135" t="s">
        <v>612</v>
      </c>
      <c r="I267" s="473"/>
      <c r="J267" s="142"/>
      <c r="K267" s="142"/>
      <c r="L267" s="142"/>
      <c r="M267" s="152" t="str">
        <f>IF(VLOOKUP(A267,'Aux - pivots1'!$A:$E,3,0)=0, "",VLOOKUP(A267,'Aux - pivots1'!$A:$E,3,0))</f>
        <v/>
      </c>
      <c r="N267" s="152" t="str">
        <f>IF(VLOOKUP(A267,'Aux - pivots1'!$A:$E,4,0)=0, "",VLOOKUP(A267,'Aux - pivots1'!$A:$E,4,0))</f>
        <v/>
      </c>
      <c r="O267" s="152" t="str">
        <f>IF(VLOOKUP(A267,'Aux - pivots1'!$A:$E,5,0)=0, "",VLOOKUP(A267,'Aux - pivots1'!$A:$E,5,0))</f>
        <v/>
      </c>
      <c r="P267" s="202"/>
      <c r="Q267" s="202"/>
      <c r="R267" s="202"/>
      <c r="S267" s="324"/>
      <c r="T267" s="324"/>
      <c r="U267" s="372" t="s">
        <v>2326</v>
      </c>
      <c r="V267" s="152"/>
    </row>
    <row r="268" spans="1:22" ht="16.350000000000001" hidden="1" customHeight="1">
      <c r="A268" s="29" t="str">
        <f t="shared" si="6"/>
        <v>PROCESSmontante_eur</v>
      </c>
      <c r="B268" s="141" t="s">
        <v>26</v>
      </c>
      <c r="C268" s="137" t="s">
        <v>54</v>
      </c>
      <c r="D268" s="133" t="s">
        <v>40</v>
      </c>
      <c r="E268" s="134" t="s">
        <v>55</v>
      </c>
      <c r="F268" s="476" t="s">
        <v>70</v>
      </c>
      <c r="G268" s="135" t="str">
        <f>VLOOKUP(A268,Plano_V3!$A$26:$G$769,7,0)</f>
        <v>0. Cancelado</v>
      </c>
      <c r="H268" s="135" t="s">
        <v>611</v>
      </c>
      <c r="I268" s="473"/>
      <c r="J268" s="142"/>
      <c r="K268" s="142"/>
      <c r="L268" s="142"/>
      <c r="M268" s="152" t="str">
        <f>IF(VLOOKUP(A268,'Aux - pivots1'!$A:$E,3,0)=0, "",VLOOKUP(A268,'Aux - pivots1'!$A:$E,3,0))</f>
        <v/>
      </c>
      <c r="N268" s="152" t="str">
        <f>IF(VLOOKUP(A268,'Aux - pivots1'!$A:$E,4,0)=0, "",VLOOKUP(A268,'Aux - pivots1'!$A:$E,4,0))</f>
        <v/>
      </c>
      <c r="O268" s="152" t="str">
        <f>IF(VLOOKUP(A268,'Aux - pivots1'!$A:$E,5,0)=0, "",VLOOKUP(A268,'Aux - pivots1'!$A:$E,5,0))</f>
        <v/>
      </c>
      <c r="P268" s="202"/>
      <c r="Q268" s="202"/>
      <c r="R268" s="202"/>
      <c r="S268" s="324"/>
      <c r="T268" s="324"/>
      <c r="U268" s="372" t="s">
        <v>2326</v>
      </c>
      <c r="V268" s="152"/>
    </row>
    <row r="269" spans="1:22" ht="16.350000000000001" hidden="1" customHeight="1">
      <c r="A269" s="29" t="str">
        <f t="shared" si="6"/>
        <v>PROCESSmontante_org</v>
      </c>
      <c r="B269" s="141" t="s">
        <v>26</v>
      </c>
      <c r="C269" s="137" t="s">
        <v>54</v>
      </c>
      <c r="D269" s="133" t="s">
        <v>40</v>
      </c>
      <c r="E269" s="134" t="s">
        <v>55</v>
      </c>
      <c r="F269" s="476" t="s">
        <v>71</v>
      </c>
      <c r="G269" s="135" t="str">
        <f>VLOOKUP(A269,Plano_V3!$A$26:$G$769,7,0)</f>
        <v>0. Cancelado</v>
      </c>
      <c r="H269" s="135" t="s">
        <v>611</v>
      </c>
      <c r="I269" s="473"/>
      <c r="J269" s="142"/>
      <c r="K269" s="142"/>
      <c r="L269" s="142"/>
      <c r="M269" s="152" t="str">
        <f>IF(VLOOKUP(A269,'Aux - pivots1'!$A:$E,3,0)=0, "",VLOOKUP(A269,'Aux - pivots1'!$A:$E,3,0))</f>
        <v/>
      </c>
      <c r="N269" s="152" t="str">
        <f>IF(VLOOKUP(A269,'Aux - pivots1'!$A:$E,4,0)=0, "",VLOOKUP(A269,'Aux - pivots1'!$A:$E,4,0))</f>
        <v/>
      </c>
      <c r="O269" s="152" t="str">
        <f>IF(VLOOKUP(A269,'Aux - pivots1'!$A:$E,5,0)=0, "",VLOOKUP(A269,'Aux - pivots1'!$A:$E,5,0))</f>
        <v/>
      </c>
      <c r="P269" s="202"/>
      <c r="Q269" s="202"/>
      <c r="R269" s="202"/>
      <c r="S269" s="324"/>
      <c r="T269" s="324"/>
      <c r="U269" s="372" t="s">
        <v>2326</v>
      </c>
      <c r="V269" s="152"/>
    </row>
    <row r="270" spans="1:22" ht="16.350000000000001" hidden="1" customHeight="1">
      <c r="A270" s="29" t="str">
        <f t="shared" si="6"/>
        <v>PROCESSorigem</v>
      </c>
      <c r="B270" s="141" t="s">
        <v>26</v>
      </c>
      <c r="C270" s="137" t="s">
        <v>54</v>
      </c>
      <c r="D270" s="133" t="s">
        <v>40</v>
      </c>
      <c r="E270" s="134" t="s">
        <v>55</v>
      </c>
      <c r="F270" s="476" t="s">
        <v>72</v>
      </c>
      <c r="G270" s="135" t="str">
        <f>VLOOKUP(A270,Plano_V3!$A$26:$G$769,7,0)</f>
        <v>0. Cancelado</v>
      </c>
      <c r="H270" s="135" t="s">
        <v>611</v>
      </c>
      <c r="I270" s="473"/>
      <c r="J270" s="142"/>
      <c r="K270" s="142"/>
      <c r="L270" s="142"/>
      <c r="M270" s="152" t="str">
        <f>IF(VLOOKUP(A270,'Aux - pivots1'!$A:$E,3,0)=0, "",VLOOKUP(A270,'Aux - pivots1'!$A:$E,3,0))</f>
        <v/>
      </c>
      <c r="N270" s="152" t="str">
        <f>IF(VLOOKUP(A270,'Aux - pivots1'!$A:$E,4,0)=0, "",VLOOKUP(A270,'Aux - pivots1'!$A:$E,4,0))</f>
        <v/>
      </c>
      <c r="O270" s="152" t="str">
        <f>IF(VLOOKUP(A270,'Aux - pivots1'!$A:$E,5,0)=0, "",VLOOKUP(A270,'Aux - pivots1'!$A:$E,5,0))</f>
        <v/>
      </c>
      <c r="P270" s="202"/>
      <c r="Q270" s="202"/>
      <c r="R270" s="202"/>
      <c r="S270" s="324"/>
      <c r="T270" s="324"/>
      <c r="U270" s="372" t="s">
        <v>2326</v>
      </c>
      <c r="V270" s="152"/>
    </row>
    <row r="271" spans="1:22" ht="16.350000000000001" hidden="1" customHeight="1">
      <c r="A271" s="29" t="str">
        <f t="shared" si="6"/>
        <v>PROCESSDATA_DATE_PART</v>
      </c>
      <c r="B271" s="141" t="s">
        <v>26</v>
      </c>
      <c r="C271" s="137" t="s">
        <v>54</v>
      </c>
      <c r="D271" s="133" t="s">
        <v>40</v>
      </c>
      <c r="E271" s="134" t="s">
        <v>55</v>
      </c>
      <c r="F271" s="476" t="s">
        <v>73</v>
      </c>
      <c r="G271" s="135" t="str">
        <f>VLOOKUP(A271,Plano_V3!$A$26:$G$769,7,0)</f>
        <v>1. Concluído</v>
      </c>
      <c r="H271" s="135" t="s">
        <v>612</v>
      </c>
      <c r="I271" s="473"/>
      <c r="J271" s="142"/>
      <c r="K271" s="142"/>
      <c r="L271" s="142"/>
      <c r="M271" s="152" t="str">
        <f>IF(VLOOKUP(A271,'Aux - pivots1'!$A:$E,3,0)=0, "",VLOOKUP(A271,'Aux - pivots1'!$A:$E,3,0))</f>
        <v/>
      </c>
      <c r="N271" s="152" t="str">
        <f>IF(VLOOKUP(A271,'Aux - pivots1'!$A:$E,4,0)=0, "",VLOOKUP(A271,'Aux - pivots1'!$A:$E,4,0))</f>
        <v/>
      </c>
      <c r="O271" s="152" t="str">
        <f>IF(VLOOKUP(A271,'Aux - pivots1'!$A:$E,5,0)=0, "",VLOOKUP(A271,'Aux - pivots1'!$A:$E,5,0))</f>
        <v/>
      </c>
      <c r="P271" s="202"/>
      <c r="Q271" s="202"/>
      <c r="R271" s="202"/>
      <c r="S271" s="324"/>
      <c r="T271" s="324"/>
      <c r="U271" s="372" t="s">
        <v>2326</v>
      </c>
      <c r="V271" s="152"/>
    </row>
    <row r="272" spans="1:22" ht="16.350000000000001" hidden="1" customHeight="1">
      <c r="A272" s="29" t="str">
        <f t="shared" si="6"/>
        <v>PROCESSSOURCE_CODE</v>
      </c>
      <c r="B272" s="141" t="s">
        <v>26</v>
      </c>
      <c r="C272" s="137" t="s">
        <v>54</v>
      </c>
      <c r="D272" s="133" t="s">
        <v>40</v>
      </c>
      <c r="E272" s="134" t="s">
        <v>55</v>
      </c>
      <c r="F272" s="476" t="s">
        <v>87</v>
      </c>
      <c r="G272" s="135" t="str">
        <f>VLOOKUP(A272,Plano_V3!$A$26:$G$769,7,0)</f>
        <v>1. Concluído</v>
      </c>
      <c r="H272" s="135" t="s">
        <v>612</v>
      </c>
      <c r="I272" s="473"/>
      <c r="J272" s="142"/>
      <c r="K272" s="142"/>
      <c r="L272" s="142"/>
      <c r="M272" s="152" t="str">
        <f>IF(VLOOKUP(A272,'Aux - pivots1'!$A:$E,3,0)=0, "",VLOOKUP(A272,'Aux - pivots1'!$A:$E,3,0))</f>
        <v/>
      </c>
      <c r="N272" s="152" t="str">
        <f>IF(VLOOKUP(A272,'Aux - pivots1'!$A:$E,4,0)=0, "",VLOOKUP(A272,'Aux - pivots1'!$A:$E,4,0))</f>
        <v/>
      </c>
      <c r="O272" s="152" t="str">
        <f>IF(VLOOKUP(A272,'Aux - pivots1'!$A:$E,5,0)=0, "",VLOOKUP(A272,'Aux - pivots1'!$A:$E,5,0))</f>
        <v/>
      </c>
      <c r="P272" s="202"/>
      <c r="Q272" s="202"/>
      <c r="R272" s="202"/>
      <c r="S272" s="324"/>
      <c r="T272" s="324"/>
      <c r="U272" s="372" t="s">
        <v>2326</v>
      </c>
      <c r="V272" s="152"/>
    </row>
    <row r="273" spans="1:22" ht="16.350000000000001" hidden="1" customHeight="1">
      <c r="A273" s="29" t="str">
        <f t="shared" si="6"/>
        <v>RESPONSIBILITY_PROCESS_RELn.a.</v>
      </c>
      <c r="B273" s="141" t="s">
        <v>26</v>
      </c>
      <c r="C273" s="137" t="s">
        <v>54</v>
      </c>
      <c r="D273" s="133" t="s">
        <v>36</v>
      </c>
      <c r="E273" s="134" t="s">
        <v>74</v>
      </c>
      <c r="F273" s="476" t="s">
        <v>38</v>
      </c>
      <c r="G273" s="135" t="str">
        <f>VLOOKUP(A273,Plano_V3!$A$26:$G$769,7,0)</f>
        <v>1. Concluído</v>
      </c>
      <c r="H273" s="135" t="s">
        <v>612</v>
      </c>
      <c r="I273" s="473"/>
      <c r="J273" s="142"/>
      <c r="K273" s="142"/>
      <c r="L273" s="142"/>
      <c r="M273" s="152" t="str">
        <f>IF(VLOOKUP(A273,'Aux - pivots1'!$A:$E,3,0)=0, "",VLOOKUP(A273,'Aux - pivots1'!$A:$E,3,0))</f>
        <v/>
      </c>
      <c r="N273" s="152" t="str">
        <f>IF(VLOOKUP(A273,'Aux - pivots1'!$A:$E,4,0)=0, "",VLOOKUP(A273,'Aux - pivots1'!$A:$E,4,0))</f>
        <v/>
      </c>
      <c r="O273" s="152" t="str">
        <f>IF(VLOOKUP(A273,'Aux - pivots1'!$A:$E,5,0)=0, "",VLOOKUP(A273,'Aux - pivots1'!$A:$E,5,0))</f>
        <v/>
      </c>
      <c r="P273" s="202"/>
      <c r="Q273" s="202"/>
      <c r="R273" s="202"/>
      <c r="S273" s="324"/>
      <c r="T273" s="324"/>
      <c r="U273" s="372" t="s">
        <v>2326</v>
      </c>
      <c r="V273" s="152"/>
    </row>
    <row r="274" spans="1:22" ht="16.350000000000001" hidden="1" customHeight="1">
      <c r="A274" s="29" t="str">
        <f t="shared" si="6"/>
        <v>RESPONSIBILITY_PROCESS_RELPROCESS_BANK_ID</v>
      </c>
      <c r="B274" s="141" t="s">
        <v>26</v>
      </c>
      <c r="C274" s="137" t="s">
        <v>54</v>
      </c>
      <c r="D274" s="133" t="s">
        <v>40</v>
      </c>
      <c r="E274" s="134" t="s">
        <v>74</v>
      </c>
      <c r="F274" s="476" t="s">
        <v>57</v>
      </c>
      <c r="G274" s="135" t="str">
        <f>VLOOKUP(A274,Plano_V3!$A$26:$G$769,7,0)</f>
        <v>1. Concluído</v>
      </c>
      <c r="H274" s="135" t="s">
        <v>612</v>
      </c>
      <c r="I274" s="473"/>
      <c r="J274" s="153"/>
      <c r="K274" s="153"/>
      <c r="L274" s="153"/>
      <c r="M274" s="152" t="str">
        <f>IF(VLOOKUP(A274,'Aux - pivots1'!$A:$E,3,0)=0, "",VLOOKUP(A274,'Aux - pivots1'!$A:$E,3,0))</f>
        <v/>
      </c>
      <c r="N274" s="152" t="str">
        <f>IF(VLOOKUP(A274,'Aux - pivots1'!$A:$E,4,0)=0, "",VLOOKUP(A274,'Aux - pivots1'!$A:$E,4,0))</f>
        <v/>
      </c>
      <c r="O274" s="152" t="str">
        <f>IF(VLOOKUP(A274,'Aux - pivots1'!$A:$E,5,0)=0, "",VLOOKUP(A274,'Aux - pivots1'!$A:$E,5,0))</f>
        <v/>
      </c>
      <c r="P274" s="202"/>
      <c r="Q274" s="202"/>
      <c r="R274" s="202"/>
      <c r="S274" s="324"/>
      <c r="T274" s="324"/>
      <c r="U274" s="372" t="s">
        <v>2326</v>
      </c>
      <c r="V274" s="152"/>
    </row>
    <row r="275" spans="1:22" ht="16.350000000000001" hidden="1" customHeight="1">
      <c r="A275" s="29" t="str">
        <f t="shared" si="6"/>
        <v>RESPONSIBILITY_PROCESS_RELBANK_ID</v>
      </c>
      <c r="B275" s="141" t="s">
        <v>26</v>
      </c>
      <c r="C275" s="137" t="s">
        <v>54</v>
      </c>
      <c r="D275" s="133" t="s">
        <v>40</v>
      </c>
      <c r="E275" s="134" t="s">
        <v>74</v>
      </c>
      <c r="F275" s="476" t="s">
        <v>75</v>
      </c>
      <c r="G275" s="135" t="str">
        <f>VLOOKUP(A275,Plano_V3!$A$26:$G$769,7,0)</f>
        <v>1. Concluído</v>
      </c>
      <c r="H275" s="135" t="s">
        <v>612</v>
      </c>
      <c r="I275" s="473"/>
      <c r="J275" s="153"/>
      <c r="K275" s="153"/>
      <c r="L275" s="153"/>
      <c r="M275" s="152" t="str">
        <f>IF(VLOOKUP(A275,'Aux - pivots1'!$A:$E,3,0)=0, "",VLOOKUP(A275,'Aux - pivots1'!$A:$E,3,0))</f>
        <v/>
      </c>
      <c r="N275" s="152" t="str">
        <f>IF(VLOOKUP(A275,'Aux - pivots1'!$A:$E,4,0)=0, "",VLOOKUP(A275,'Aux - pivots1'!$A:$E,4,0))</f>
        <v/>
      </c>
      <c r="O275" s="152" t="str">
        <f>IF(VLOOKUP(A275,'Aux - pivots1'!$A:$E,5,0)=0, "",VLOOKUP(A275,'Aux - pivots1'!$A:$E,5,0))</f>
        <v/>
      </c>
      <c r="P275" s="202"/>
      <c r="Q275" s="202"/>
      <c r="R275" s="202"/>
      <c r="S275" s="324"/>
      <c r="T275" s="324"/>
      <c r="U275" s="372" t="s">
        <v>2326</v>
      </c>
      <c r="V275" s="152"/>
    </row>
    <row r="276" spans="1:22" ht="16.350000000000001" hidden="1" customHeight="1">
      <c r="A276" s="29" t="str">
        <f t="shared" si="6"/>
        <v>RESPONSIBILITY_PROCESS_RELPROCESS_BRANCH_CODE</v>
      </c>
      <c r="B276" s="141" t="s">
        <v>26</v>
      </c>
      <c r="C276" s="137" t="s">
        <v>54</v>
      </c>
      <c r="D276" s="133" t="s">
        <v>40</v>
      </c>
      <c r="E276" s="134" t="s">
        <v>74</v>
      </c>
      <c r="F276" s="476" t="s">
        <v>58</v>
      </c>
      <c r="G276" s="135" t="str">
        <f>VLOOKUP(A276,Plano_V3!$A$26:$G$769,7,0)</f>
        <v>1. Concluído</v>
      </c>
      <c r="H276" s="135" t="s">
        <v>612</v>
      </c>
      <c r="I276" s="473"/>
      <c r="J276" s="153"/>
      <c r="K276" s="153"/>
      <c r="L276" s="153"/>
      <c r="M276" s="152" t="str">
        <f>IF(VLOOKUP(A276,'Aux - pivots1'!$A:$E,3,0)=0, "",VLOOKUP(A276,'Aux - pivots1'!$A:$E,3,0))</f>
        <v/>
      </c>
      <c r="N276" s="152" t="str">
        <f>IF(VLOOKUP(A276,'Aux - pivots1'!$A:$E,4,0)=0, "",VLOOKUP(A276,'Aux - pivots1'!$A:$E,4,0))</f>
        <v/>
      </c>
      <c r="O276" s="152" t="str">
        <f>IF(VLOOKUP(A276,'Aux - pivots1'!$A:$E,5,0)=0, "",VLOOKUP(A276,'Aux - pivots1'!$A:$E,5,0))</f>
        <v/>
      </c>
      <c r="P276" s="202"/>
      <c r="Q276" s="202"/>
      <c r="R276" s="202"/>
      <c r="S276" s="324"/>
      <c r="T276" s="324"/>
      <c r="U276" s="372" t="s">
        <v>2326</v>
      </c>
      <c r="V276" s="152"/>
    </row>
    <row r="277" spans="1:22" ht="16.350000000000001" hidden="1" customHeight="1">
      <c r="A277" s="29" t="str">
        <f t="shared" si="6"/>
        <v>RESPONSIBILITY_PROCESS_RELBRANCH_CODE</v>
      </c>
      <c r="B277" s="141" t="s">
        <v>26</v>
      </c>
      <c r="C277" s="137" t="s">
        <v>54</v>
      </c>
      <c r="D277" s="133" t="s">
        <v>40</v>
      </c>
      <c r="E277" s="134" t="s">
        <v>74</v>
      </c>
      <c r="F277" s="476" t="s">
        <v>76</v>
      </c>
      <c r="G277" s="135" t="str">
        <f>VLOOKUP(A277,Plano_V3!$A$26:$G$769,7,0)</f>
        <v>1. Concluído</v>
      </c>
      <c r="H277" s="135" t="s">
        <v>612</v>
      </c>
      <c r="I277" s="473"/>
      <c r="J277" s="153"/>
      <c r="K277" s="153"/>
      <c r="L277" s="153"/>
      <c r="M277" s="152" t="str">
        <f>IF(VLOOKUP(A277,'Aux - pivots1'!$A:$E,3,0)=0, "",VLOOKUP(A277,'Aux - pivots1'!$A:$E,3,0))</f>
        <v/>
      </c>
      <c r="N277" s="152" t="str">
        <f>IF(VLOOKUP(A277,'Aux - pivots1'!$A:$E,4,0)=0, "",VLOOKUP(A277,'Aux - pivots1'!$A:$E,4,0))</f>
        <v/>
      </c>
      <c r="O277" s="152" t="str">
        <f>IF(VLOOKUP(A277,'Aux - pivots1'!$A:$E,5,0)=0, "",VLOOKUP(A277,'Aux - pivots1'!$A:$E,5,0))</f>
        <v/>
      </c>
      <c r="P277" s="202"/>
      <c r="Q277" s="202"/>
      <c r="R277" s="202"/>
      <c r="S277" s="324"/>
      <c r="T277" s="324"/>
      <c r="U277" s="372" t="s">
        <v>2326</v>
      </c>
      <c r="V277" s="152"/>
    </row>
    <row r="278" spans="1:22" ht="16.350000000000001" hidden="1" customHeight="1">
      <c r="A278" s="29" t="str">
        <f t="shared" si="6"/>
        <v>RESPONSIBILITY_PROCESS_RELCONTRACT_ID</v>
      </c>
      <c r="B278" s="141" t="s">
        <v>26</v>
      </c>
      <c r="C278" s="137" t="s">
        <v>54</v>
      </c>
      <c r="D278" s="133" t="s">
        <v>40</v>
      </c>
      <c r="E278" s="134" t="s">
        <v>74</v>
      </c>
      <c r="F278" s="476" t="s">
        <v>77</v>
      </c>
      <c r="G278" s="135" t="str">
        <f>VLOOKUP(A278,Plano_V3!$A$26:$G$769,7,0)</f>
        <v>1. Concluído</v>
      </c>
      <c r="H278" s="135" t="s">
        <v>612</v>
      </c>
      <c r="I278" s="473"/>
      <c r="J278" s="153"/>
      <c r="K278" s="153"/>
      <c r="L278" s="153"/>
      <c r="M278" s="152" t="str">
        <f>IF(VLOOKUP(A278,'Aux - pivots1'!$A:$E,3,0)=0, "",VLOOKUP(A278,'Aux - pivots1'!$A:$E,3,0))</f>
        <v/>
      </c>
      <c r="N278" s="152" t="str">
        <f>IF(VLOOKUP(A278,'Aux - pivots1'!$A:$E,4,0)=0, "",VLOOKUP(A278,'Aux - pivots1'!$A:$E,4,0))</f>
        <v/>
      </c>
      <c r="O278" s="152" t="str">
        <f>IF(VLOOKUP(A278,'Aux - pivots1'!$A:$E,5,0)=0, "",VLOOKUP(A278,'Aux - pivots1'!$A:$E,5,0))</f>
        <v/>
      </c>
      <c r="P278" s="202"/>
      <c r="Q278" s="202"/>
      <c r="R278" s="202"/>
      <c r="S278" s="324"/>
      <c r="T278" s="324"/>
      <c r="U278" s="372" t="s">
        <v>2326</v>
      </c>
      <c r="V278" s="152"/>
    </row>
    <row r="279" spans="1:22" ht="16.350000000000001" hidden="1" customHeight="1">
      <c r="A279" s="29" t="str">
        <f t="shared" si="6"/>
        <v>RESPONSIBILITY_PROCESS_RELPROCESS_ACCOUNT_ID</v>
      </c>
      <c r="B279" s="141" t="s">
        <v>26</v>
      </c>
      <c r="C279" s="137" t="s">
        <v>54</v>
      </c>
      <c r="D279" s="133" t="s">
        <v>40</v>
      </c>
      <c r="E279" s="134" t="s">
        <v>74</v>
      </c>
      <c r="F279" s="476" t="s">
        <v>59</v>
      </c>
      <c r="G279" s="135" t="str">
        <f>VLOOKUP(A279,Plano_V3!$A$26:$G$769,7,0)</f>
        <v>1. Concluído</v>
      </c>
      <c r="H279" s="135" t="s">
        <v>612</v>
      </c>
      <c r="I279" s="473"/>
      <c r="J279" s="153"/>
      <c r="K279" s="153"/>
      <c r="L279" s="153"/>
      <c r="M279" s="152" t="str">
        <f>IF(VLOOKUP(A279,'Aux - pivots1'!$A:$E,3,0)=0, "",VLOOKUP(A279,'Aux - pivots1'!$A:$E,3,0))</f>
        <v/>
      </c>
      <c r="N279" s="152" t="str">
        <f>IF(VLOOKUP(A279,'Aux - pivots1'!$A:$E,4,0)=0, "",VLOOKUP(A279,'Aux - pivots1'!$A:$E,4,0))</f>
        <v/>
      </c>
      <c r="O279" s="152" t="str">
        <f>IF(VLOOKUP(A279,'Aux - pivots1'!$A:$E,5,0)=0, "",VLOOKUP(A279,'Aux - pivots1'!$A:$E,5,0))</f>
        <v/>
      </c>
      <c r="P279" s="202"/>
      <c r="Q279" s="202"/>
      <c r="R279" s="202"/>
      <c r="S279" s="324"/>
      <c r="T279" s="324"/>
      <c r="U279" s="372" t="s">
        <v>2326</v>
      </c>
      <c r="V279" s="152"/>
    </row>
    <row r="280" spans="1:22" ht="16.350000000000001" hidden="1" customHeight="1">
      <c r="A280" s="29" t="str">
        <f t="shared" si="6"/>
        <v>RESPONSIBILITY_PROCESS_RELREFERENCE_CODE</v>
      </c>
      <c r="B280" s="141" t="s">
        <v>26</v>
      </c>
      <c r="C280" s="137" t="s">
        <v>54</v>
      </c>
      <c r="D280" s="133" t="s">
        <v>40</v>
      </c>
      <c r="E280" s="134" t="s">
        <v>74</v>
      </c>
      <c r="F280" s="476" t="s">
        <v>78</v>
      </c>
      <c r="G280" s="135" t="str">
        <f>VLOOKUP(A280,Plano_V3!$A$26:$G$769,7,0)</f>
        <v>1. Concluído</v>
      </c>
      <c r="H280" s="135" t="s">
        <v>612</v>
      </c>
      <c r="I280" s="473"/>
      <c r="J280" s="153"/>
      <c r="K280" s="153"/>
      <c r="L280" s="153"/>
      <c r="M280" s="152" t="str">
        <f>IF(VLOOKUP(A280,'Aux - pivots1'!$A:$E,3,0)=0, "",VLOOKUP(A280,'Aux - pivots1'!$A:$E,3,0))</f>
        <v/>
      </c>
      <c r="N280" s="152" t="str">
        <f>IF(VLOOKUP(A280,'Aux - pivots1'!$A:$E,4,0)=0, "",VLOOKUP(A280,'Aux - pivots1'!$A:$E,4,0))</f>
        <v/>
      </c>
      <c r="O280" s="152" t="str">
        <f>IF(VLOOKUP(A280,'Aux - pivots1'!$A:$E,5,0)=0, "",VLOOKUP(A280,'Aux - pivots1'!$A:$E,5,0))</f>
        <v/>
      </c>
      <c r="P280" s="202"/>
      <c r="Q280" s="202"/>
      <c r="R280" s="202"/>
      <c r="S280" s="324"/>
      <c r="T280" s="324"/>
      <c r="U280" s="372" t="s">
        <v>2326</v>
      </c>
      <c r="V280" s="152"/>
    </row>
    <row r="281" spans="1:22" ht="16.350000000000001" hidden="1" customHeight="1">
      <c r="A281" s="29" t="str">
        <f t="shared" si="6"/>
        <v>RESPONSIBILITY_PROCESS_RELPURPOSE_CODE</v>
      </c>
      <c r="B281" s="141" t="s">
        <v>26</v>
      </c>
      <c r="C281" s="137" t="s">
        <v>54</v>
      </c>
      <c r="D281" s="133" t="s">
        <v>40</v>
      </c>
      <c r="E281" s="134" t="s">
        <v>74</v>
      </c>
      <c r="F281" s="476" t="s">
        <v>79</v>
      </c>
      <c r="G281" s="135" t="str">
        <f>VLOOKUP(A281,Plano_V3!$A$26:$G$769,7,0)</f>
        <v>1. Concluído</v>
      </c>
      <c r="H281" s="135" t="s">
        <v>612</v>
      </c>
      <c r="I281" s="473"/>
      <c r="J281" s="142"/>
      <c r="K281" s="142"/>
      <c r="L281" s="142"/>
      <c r="M281" s="152" t="str">
        <f>IF(VLOOKUP(A281,'Aux - pivots1'!$A:$E,3,0)=0, "",VLOOKUP(A281,'Aux - pivots1'!$A:$E,3,0))</f>
        <v/>
      </c>
      <c r="N281" s="152" t="str">
        <f>IF(VLOOKUP(A281,'Aux - pivots1'!$A:$E,4,0)=0, "",VLOOKUP(A281,'Aux - pivots1'!$A:$E,4,0))</f>
        <v/>
      </c>
      <c r="O281" s="152" t="str">
        <f>IF(VLOOKUP(A281,'Aux - pivots1'!$A:$E,5,0)=0, "",VLOOKUP(A281,'Aux - pivots1'!$A:$E,5,0))</f>
        <v/>
      </c>
      <c r="P281" s="202"/>
      <c r="Q281" s="202"/>
      <c r="R281" s="202"/>
      <c r="S281" s="324"/>
      <c r="T281" s="324"/>
      <c r="U281" s="372" t="s">
        <v>2326</v>
      </c>
      <c r="V281" s="152"/>
    </row>
    <row r="282" spans="1:22" ht="16.350000000000001" hidden="1" customHeight="1">
      <c r="A282" s="29" t="str">
        <f t="shared" si="6"/>
        <v>RESPONSIBILITY_PROCESS_RELINDIVIDUAL_OCCUPATION_CODE</v>
      </c>
      <c r="B282" s="141" t="s">
        <v>26</v>
      </c>
      <c r="C282" s="137" t="s">
        <v>54</v>
      </c>
      <c r="D282" s="133" t="s">
        <v>40</v>
      </c>
      <c r="E282" s="134" t="s">
        <v>74</v>
      </c>
      <c r="F282" s="476" t="s">
        <v>80</v>
      </c>
      <c r="G282" s="135" t="str">
        <f>VLOOKUP(A282,Plano_V3!$A$26:$G$769,7,0)</f>
        <v>1. Concluído</v>
      </c>
      <c r="H282" s="135" t="s">
        <v>612</v>
      </c>
      <c r="I282" s="473"/>
      <c r="J282" s="142"/>
      <c r="K282" s="142"/>
      <c r="L282" s="142"/>
      <c r="M282" s="152" t="str">
        <f>IF(VLOOKUP(A282,'Aux - pivots1'!$A:$E,3,0)=0, "",VLOOKUP(A282,'Aux - pivots1'!$A:$E,3,0))</f>
        <v/>
      </c>
      <c r="N282" s="152" t="str">
        <f>IF(VLOOKUP(A282,'Aux - pivots1'!$A:$E,4,0)=0, "",VLOOKUP(A282,'Aux - pivots1'!$A:$E,4,0))</f>
        <v/>
      </c>
      <c r="O282" s="152" t="str">
        <f>IF(VLOOKUP(A282,'Aux - pivots1'!$A:$E,5,0)=0, "",VLOOKUP(A282,'Aux - pivots1'!$A:$E,5,0))</f>
        <v/>
      </c>
      <c r="P282" s="202"/>
      <c r="Q282" s="202"/>
      <c r="R282" s="202"/>
      <c r="S282" s="324"/>
      <c r="T282" s="324"/>
      <c r="U282" s="372" t="s">
        <v>2326</v>
      </c>
      <c r="V282" s="152"/>
    </row>
    <row r="283" spans="1:22" ht="16.350000000000001" hidden="1" customHeight="1">
      <c r="A283" s="29" t="str">
        <f t="shared" si="6"/>
        <v>RESPONSIBILITY_PROCESS_RELPRODUCT_ID</v>
      </c>
      <c r="B283" s="141" t="s">
        <v>26</v>
      </c>
      <c r="C283" s="137" t="s">
        <v>54</v>
      </c>
      <c r="D283" s="133" t="s">
        <v>40</v>
      </c>
      <c r="E283" s="134" t="s">
        <v>74</v>
      </c>
      <c r="F283" s="476" t="s">
        <v>81</v>
      </c>
      <c r="G283" s="135" t="str">
        <f>VLOOKUP(A283,Plano_V3!$A$26:$G$769,7,0)</f>
        <v>1. Concluído</v>
      </c>
      <c r="H283" s="135" t="s">
        <v>612</v>
      </c>
      <c r="I283" s="473"/>
      <c r="J283" s="142"/>
      <c r="K283" s="142"/>
      <c r="L283" s="142"/>
      <c r="M283" s="152" t="str">
        <f>IF(VLOOKUP(A283,'Aux - pivots1'!$A:$E,3,0)=0, "",VLOOKUP(A283,'Aux - pivots1'!$A:$E,3,0))</f>
        <v/>
      </c>
      <c r="N283" s="152" t="str">
        <f>IF(VLOOKUP(A283,'Aux - pivots1'!$A:$E,4,0)=0, "",VLOOKUP(A283,'Aux - pivots1'!$A:$E,4,0))</f>
        <v/>
      </c>
      <c r="O283" s="152" t="str">
        <f>IF(VLOOKUP(A283,'Aux - pivots1'!$A:$E,5,0)=0, "",VLOOKUP(A283,'Aux - pivots1'!$A:$E,5,0))</f>
        <v/>
      </c>
      <c r="P283" s="202"/>
      <c r="Q283" s="202"/>
      <c r="R283" s="202"/>
      <c r="S283" s="324"/>
      <c r="T283" s="324"/>
      <c r="U283" s="372" t="s">
        <v>2326</v>
      </c>
      <c r="V283" s="152"/>
    </row>
    <row r="284" spans="1:22" ht="16.350000000000001" hidden="1" customHeight="1">
      <c r="A284" s="29" t="str">
        <f t="shared" si="6"/>
        <v>RESPONSIBILITY_PROCESS_RELcod_sit</v>
      </c>
      <c r="B284" s="141" t="s">
        <v>26</v>
      </c>
      <c r="C284" s="137" t="s">
        <v>54</v>
      </c>
      <c r="D284" s="133" t="s">
        <v>40</v>
      </c>
      <c r="E284" s="134" t="s">
        <v>74</v>
      </c>
      <c r="F284" s="476" t="s">
        <v>82</v>
      </c>
      <c r="G284" s="135" t="str">
        <f>VLOOKUP(A284,Plano_V3!$A$26:$G$769,7,0)</f>
        <v>0. Cancelado</v>
      </c>
      <c r="H284" s="135" t="s">
        <v>611</v>
      </c>
      <c r="I284" s="473"/>
      <c r="J284" s="142"/>
      <c r="K284" s="142"/>
      <c r="L284" s="142"/>
      <c r="M284" s="152" t="str">
        <f>IF(VLOOKUP(A284,'Aux - pivots1'!$A:$E,3,0)=0, "",VLOOKUP(A284,'Aux - pivots1'!$A:$E,3,0))</f>
        <v/>
      </c>
      <c r="N284" s="152" t="str">
        <f>IF(VLOOKUP(A284,'Aux - pivots1'!$A:$E,4,0)=0, "",VLOOKUP(A284,'Aux - pivots1'!$A:$E,4,0))</f>
        <v/>
      </c>
      <c r="O284" s="152" t="str">
        <f>IF(VLOOKUP(A284,'Aux - pivots1'!$A:$E,5,0)=0, "",VLOOKUP(A284,'Aux - pivots1'!$A:$E,5,0))</f>
        <v/>
      </c>
      <c r="P284" s="202"/>
      <c r="Q284" s="202"/>
      <c r="R284" s="202"/>
      <c r="S284" s="324"/>
      <c r="T284" s="324"/>
      <c r="U284" s="372" t="s">
        <v>2326</v>
      </c>
      <c r="V284" s="152"/>
    </row>
    <row r="285" spans="1:22" ht="16.350000000000001" hidden="1" customHeight="1">
      <c r="A285" s="29" t="str">
        <f t="shared" si="6"/>
        <v>RESPONSIBILITY_PROCESS_RELSUBPRODUCT_ID</v>
      </c>
      <c r="B285" s="141" t="s">
        <v>26</v>
      </c>
      <c r="C285" s="137" t="s">
        <v>54</v>
      </c>
      <c r="D285" s="133" t="s">
        <v>40</v>
      </c>
      <c r="E285" s="134" t="s">
        <v>74</v>
      </c>
      <c r="F285" s="476" t="s">
        <v>83</v>
      </c>
      <c r="G285" s="135" t="str">
        <f>VLOOKUP(A285,Plano_V3!$A$26:$G$769,7,0)</f>
        <v>1. Concluído</v>
      </c>
      <c r="H285" s="135" t="s">
        <v>612</v>
      </c>
      <c r="I285" s="473"/>
      <c r="J285" s="142"/>
      <c r="K285" s="142"/>
      <c r="L285" s="142"/>
      <c r="M285" s="152" t="str">
        <f>IF(VLOOKUP(A285,'Aux - pivots1'!$A:$E,3,0)=0, "",VLOOKUP(A285,'Aux - pivots1'!$A:$E,3,0))</f>
        <v/>
      </c>
      <c r="N285" s="152" t="str">
        <f>IF(VLOOKUP(A285,'Aux - pivots1'!$A:$E,4,0)=0, "",VLOOKUP(A285,'Aux - pivots1'!$A:$E,4,0))</f>
        <v/>
      </c>
      <c r="O285" s="152" t="str">
        <f>IF(VLOOKUP(A285,'Aux - pivots1'!$A:$E,5,0)=0, "",VLOOKUP(A285,'Aux - pivots1'!$A:$E,5,0))</f>
        <v/>
      </c>
      <c r="P285" s="202"/>
      <c r="Q285" s="202"/>
      <c r="R285" s="202"/>
      <c r="S285" s="324"/>
      <c r="T285" s="324"/>
      <c r="U285" s="372" t="s">
        <v>2326</v>
      </c>
      <c r="V285" s="152"/>
    </row>
    <row r="286" spans="1:22" ht="16.350000000000001" hidden="1" customHeight="1">
      <c r="A286" s="29" t="str">
        <f t="shared" si="6"/>
        <v>RESPONSIBILITY_PROCESS_RELPROCESS_REFERENCE_CODE</v>
      </c>
      <c r="B286" s="141" t="s">
        <v>26</v>
      </c>
      <c r="C286" s="137" t="s">
        <v>54</v>
      </c>
      <c r="D286" s="133" t="s">
        <v>40</v>
      </c>
      <c r="E286" s="134" t="s">
        <v>74</v>
      </c>
      <c r="F286" s="476" t="s">
        <v>67</v>
      </c>
      <c r="G286" s="135" t="str">
        <f>VLOOKUP(A286,Plano_V3!$A$26:$G$769,7,0)</f>
        <v>1. Concluído</v>
      </c>
      <c r="H286" s="135" t="s">
        <v>612</v>
      </c>
      <c r="I286" s="473"/>
      <c r="J286" s="142"/>
      <c r="K286" s="142"/>
      <c r="L286" s="142"/>
      <c r="M286" s="152" t="str">
        <f>IF(VLOOKUP(A286,'Aux - pivots1'!$A:$E,3,0)=0, "",VLOOKUP(A286,'Aux - pivots1'!$A:$E,3,0))</f>
        <v/>
      </c>
      <c r="N286" s="152" t="str">
        <f>IF(VLOOKUP(A286,'Aux - pivots1'!$A:$E,4,0)=0, "",VLOOKUP(A286,'Aux - pivots1'!$A:$E,4,0))</f>
        <v/>
      </c>
      <c r="O286" s="152" t="str">
        <f>IF(VLOOKUP(A286,'Aux - pivots1'!$A:$E,5,0)=0, "",VLOOKUP(A286,'Aux - pivots1'!$A:$E,5,0))</f>
        <v/>
      </c>
      <c r="P286" s="202"/>
      <c r="Q286" s="202"/>
      <c r="R286" s="202"/>
      <c r="S286" s="324"/>
      <c r="T286" s="324"/>
      <c r="U286" s="372" t="s">
        <v>2326</v>
      </c>
      <c r="V286" s="152"/>
    </row>
    <row r="287" spans="1:22" ht="16.350000000000001" hidden="1" customHeight="1">
      <c r="A287" s="29" t="str">
        <f t="shared" si="6"/>
        <v>RESPONSIBILITY_PROCESS_RELEFFECTIVE_RELATION_END_DATE</v>
      </c>
      <c r="B287" s="141" t="s">
        <v>26</v>
      </c>
      <c r="C287" s="137" t="s">
        <v>54</v>
      </c>
      <c r="D287" s="133" t="s">
        <v>40</v>
      </c>
      <c r="E287" s="134" t="s">
        <v>74</v>
      </c>
      <c r="F287" s="476" t="s">
        <v>84</v>
      </c>
      <c r="G287" s="135" t="str">
        <f>VLOOKUP(A287,Plano_V3!$A$26:$G$769,7,0)</f>
        <v>1. Concluído</v>
      </c>
      <c r="H287" s="135" t="s">
        <v>612</v>
      </c>
      <c r="I287" s="473"/>
      <c r="J287" s="142"/>
      <c r="K287" s="142"/>
      <c r="L287" s="142"/>
      <c r="M287" s="152" t="str">
        <f>IF(VLOOKUP(A287,'Aux - pivots1'!$A:$E,3,0)=0, "",VLOOKUP(A287,'Aux - pivots1'!$A:$E,3,0))</f>
        <v/>
      </c>
      <c r="N287" s="152" t="str">
        <f>IF(VLOOKUP(A287,'Aux - pivots1'!$A:$E,4,0)=0, "",VLOOKUP(A287,'Aux - pivots1'!$A:$E,4,0))</f>
        <v/>
      </c>
      <c r="O287" s="152" t="str">
        <f>IF(VLOOKUP(A287,'Aux - pivots1'!$A:$E,5,0)=0, "",VLOOKUP(A287,'Aux - pivots1'!$A:$E,5,0))</f>
        <v/>
      </c>
      <c r="P287" s="202"/>
      <c r="Q287" s="202"/>
      <c r="R287" s="202"/>
      <c r="S287" s="324"/>
      <c r="T287" s="324"/>
      <c r="U287" s="372" t="s">
        <v>2326</v>
      </c>
      <c r="V287" s="152"/>
    </row>
    <row r="288" spans="1:22" ht="16.350000000000001" hidden="1" customHeight="1">
      <c r="A288" s="29" t="str">
        <f t="shared" si="6"/>
        <v>RESPONSIBILITY_PROCESS_RELPROCESS_START_DATE</v>
      </c>
      <c r="B288" s="141" t="s">
        <v>26</v>
      </c>
      <c r="C288" s="137" t="s">
        <v>54</v>
      </c>
      <c r="D288" s="133" t="s">
        <v>40</v>
      </c>
      <c r="E288" s="134" t="s">
        <v>74</v>
      </c>
      <c r="F288" s="476" t="s">
        <v>68</v>
      </c>
      <c r="G288" s="135" t="str">
        <f>VLOOKUP(A288,Plano_V3!$A$26:$G$769,7,0)</f>
        <v>1. Concluído</v>
      </c>
      <c r="H288" s="135" t="s">
        <v>612</v>
      </c>
      <c r="I288" s="473"/>
      <c r="J288" s="142"/>
      <c r="K288" s="142"/>
      <c r="L288" s="142"/>
      <c r="M288" s="152" t="str">
        <f>IF(VLOOKUP(A288,'Aux - pivots1'!$A:$E,3,0)=0, "",VLOOKUP(A288,'Aux - pivots1'!$A:$E,3,0))</f>
        <v/>
      </c>
      <c r="N288" s="152" t="str">
        <f>IF(VLOOKUP(A288,'Aux - pivots1'!$A:$E,4,0)=0, "",VLOOKUP(A288,'Aux - pivots1'!$A:$E,4,0))</f>
        <v/>
      </c>
      <c r="O288" s="152" t="str">
        <f>IF(VLOOKUP(A288,'Aux - pivots1'!$A:$E,5,0)=0, "",VLOOKUP(A288,'Aux - pivots1'!$A:$E,5,0))</f>
        <v/>
      </c>
      <c r="P288" s="202"/>
      <c r="Q288" s="202"/>
      <c r="R288" s="202"/>
      <c r="S288" s="324"/>
      <c r="T288" s="324"/>
      <c r="U288" s="372" t="s">
        <v>2326</v>
      </c>
      <c r="V288" s="152"/>
    </row>
    <row r="289" spans="1:22" ht="16.350000000000001" hidden="1" customHeight="1">
      <c r="A289" s="29" t="str">
        <f t="shared" si="6"/>
        <v>RESPONSIBILITY_PROCESS_RELPROCESS_DUE_DATE</v>
      </c>
      <c r="B289" s="141" t="s">
        <v>26</v>
      </c>
      <c r="C289" s="137" t="s">
        <v>54</v>
      </c>
      <c r="D289" s="133" t="s">
        <v>40</v>
      </c>
      <c r="E289" s="134" t="s">
        <v>74</v>
      </c>
      <c r="F289" s="476" t="s">
        <v>69</v>
      </c>
      <c r="G289" s="135" t="str">
        <f>VLOOKUP(A289,Plano_V3!$A$26:$G$769,7,0)</f>
        <v>1. Concluído</v>
      </c>
      <c r="H289" s="135" t="s">
        <v>612</v>
      </c>
      <c r="I289" s="473"/>
      <c r="J289" s="142"/>
      <c r="K289" s="142"/>
      <c r="L289" s="142"/>
      <c r="M289" s="152" t="str">
        <f>IF(VLOOKUP(A289,'Aux - pivots1'!$A:$E,3,0)=0, "",VLOOKUP(A289,'Aux - pivots1'!$A:$E,3,0))</f>
        <v/>
      </c>
      <c r="N289" s="152" t="str">
        <f>IF(VLOOKUP(A289,'Aux - pivots1'!$A:$E,4,0)=0, "",VLOOKUP(A289,'Aux - pivots1'!$A:$E,4,0))</f>
        <v/>
      </c>
      <c r="O289" s="152" t="str">
        <f>IF(VLOOKUP(A289,'Aux - pivots1'!$A:$E,5,0)=0, "",VLOOKUP(A289,'Aux - pivots1'!$A:$E,5,0))</f>
        <v/>
      </c>
      <c r="P289" s="202"/>
      <c r="Q289" s="202"/>
      <c r="R289" s="202"/>
      <c r="S289" s="324"/>
      <c r="T289" s="324"/>
      <c r="U289" s="372" t="s">
        <v>2326</v>
      </c>
      <c r="V289" s="152"/>
    </row>
    <row r="290" spans="1:22" ht="16.350000000000001" hidden="1" customHeight="1">
      <c r="A290" s="29" t="str">
        <f t="shared" si="6"/>
        <v>RESPONSIBILITY_PROCESS_RELidetgar</v>
      </c>
      <c r="B290" s="141" t="s">
        <v>26</v>
      </c>
      <c r="C290" s="137" t="s">
        <v>54</v>
      </c>
      <c r="D290" s="133" t="s">
        <v>40</v>
      </c>
      <c r="E290" s="134" t="s">
        <v>74</v>
      </c>
      <c r="F290" s="476" t="s">
        <v>85</v>
      </c>
      <c r="G290" s="135" t="str">
        <f>VLOOKUP(A290,Plano_V3!$A$26:$G$769,7,0)</f>
        <v>0. Cancelado</v>
      </c>
      <c r="H290" s="135" t="s">
        <v>611</v>
      </c>
      <c r="I290" s="473"/>
      <c r="J290" s="142"/>
      <c r="K290" s="142"/>
      <c r="L290" s="142"/>
      <c r="M290" s="152" t="str">
        <f>IF(VLOOKUP(A290,'Aux - pivots1'!$A:$E,3,0)=0, "",VLOOKUP(A290,'Aux - pivots1'!$A:$E,3,0))</f>
        <v/>
      </c>
      <c r="N290" s="152" t="str">
        <f>IF(VLOOKUP(A290,'Aux - pivots1'!$A:$E,4,0)=0, "",VLOOKUP(A290,'Aux - pivots1'!$A:$E,4,0))</f>
        <v/>
      </c>
      <c r="O290" s="152" t="str">
        <f>IF(VLOOKUP(A290,'Aux - pivots1'!$A:$E,5,0)=0, "",VLOOKUP(A290,'Aux - pivots1'!$A:$E,5,0))</f>
        <v/>
      </c>
      <c r="P290" s="202"/>
      <c r="Q290" s="202"/>
      <c r="R290" s="202"/>
      <c r="S290" s="324"/>
      <c r="T290" s="324"/>
      <c r="U290" s="372" t="s">
        <v>2326</v>
      </c>
      <c r="V290" s="152"/>
    </row>
    <row r="291" spans="1:22" ht="16.350000000000001" hidden="1" customHeight="1">
      <c r="A291" s="29" t="str">
        <f t="shared" si="6"/>
        <v>RESPONSIBILITY_PROCESS_RELnum_prop</v>
      </c>
      <c r="B291" s="141" t="s">
        <v>26</v>
      </c>
      <c r="C291" s="137" t="s">
        <v>54</v>
      </c>
      <c r="D291" s="133" t="s">
        <v>40</v>
      </c>
      <c r="E291" s="134" t="s">
        <v>74</v>
      </c>
      <c r="F291" s="476" t="s">
        <v>86</v>
      </c>
      <c r="G291" s="135" t="str">
        <f>VLOOKUP(A291,Plano_V3!$A$26:$G$769,7,0)</f>
        <v>0. Cancelado</v>
      </c>
      <c r="H291" s="135" t="s">
        <v>611</v>
      </c>
      <c r="I291" s="473"/>
      <c r="J291" s="142"/>
      <c r="K291" s="142"/>
      <c r="L291" s="142"/>
      <c r="M291" s="152" t="str">
        <f>IF(VLOOKUP(A291,'Aux - pivots1'!$A:$E,3,0)=0, "",VLOOKUP(A291,'Aux - pivots1'!$A:$E,3,0))</f>
        <v/>
      </c>
      <c r="N291" s="152" t="str">
        <f>IF(VLOOKUP(A291,'Aux - pivots1'!$A:$E,4,0)=0, "",VLOOKUP(A291,'Aux - pivots1'!$A:$E,4,0))</f>
        <v/>
      </c>
      <c r="O291" s="152" t="str">
        <f>IF(VLOOKUP(A291,'Aux - pivots1'!$A:$E,5,0)=0, "",VLOOKUP(A291,'Aux - pivots1'!$A:$E,5,0))</f>
        <v/>
      </c>
      <c r="P291" s="202"/>
      <c r="Q291" s="202"/>
      <c r="R291" s="202"/>
      <c r="S291" s="324"/>
      <c r="T291" s="324"/>
      <c r="U291" s="372" t="s">
        <v>2326</v>
      </c>
      <c r="V291" s="152"/>
    </row>
    <row r="292" spans="1:22" ht="16.350000000000001" hidden="1" customHeight="1">
      <c r="A292" s="29" t="str">
        <f t="shared" si="6"/>
        <v>RESPONSIBILITY_PROCESS_RELSOURCE_CODE</v>
      </c>
      <c r="B292" s="141" t="s">
        <v>26</v>
      </c>
      <c r="C292" s="137" t="s">
        <v>54</v>
      </c>
      <c r="D292" s="133" t="s">
        <v>40</v>
      </c>
      <c r="E292" s="134" t="s">
        <v>74</v>
      </c>
      <c r="F292" s="476" t="s">
        <v>87</v>
      </c>
      <c r="G292" s="135" t="str">
        <f>VLOOKUP(A292,Plano_V3!$A$26:$G$769,7,0)</f>
        <v>1. Concluído</v>
      </c>
      <c r="H292" s="135" t="s">
        <v>612</v>
      </c>
      <c r="I292" s="473"/>
      <c r="J292" s="142"/>
      <c r="K292" s="142"/>
      <c r="L292" s="142"/>
      <c r="M292" s="152" t="str">
        <f>IF(VLOOKUP(A292,'Aux - pivots1'!$A:$E,3,0)=0, "",VLOOKUP(A292,'Aux - pivots1'!$A:$E,3,0))</f>
        <v/>
      </c>
      <c r="N292" s="152" t="str">
        <f>IF(VLOOKUP(A292,'Aux - pivots1'!$A:$E,4,0)=0, "",VLOOKUP(A292,'Aux - pivots1'!$A:$E,4,0))</f>
        <v/>
      </c>
      <c r="O292" s="152" t="str">
        <f>IF(VLOOKUP(A292,'Aux - pivots1'!$A:$E,5,0)=0, "",VLOOKUP(A292,'Aux - pivots1'!$A:$E,5,0))</f>
        <v/>
      </c>
      <c r="P292" s="202"/>
      <c r="Q292" s="202"/>
      <c r="R292" s="202"/>
      <c r="S292" s="324"/>
      <c r="T292" s="324"/>
      <c r="U292" s="372" t="s">
        <v>2326</v>
      </c>
      <c r="V292" s="152"/>
    </row>
    <row r="293" spans="1:22" ht="16.350000000000001" hidden="1" customHeight="1">
      <c r="A293" s="29" t="str">
        <f t="shared" si="6"/>
        <v>RESPONSIBILITY_PROCESS_RELDATA_DATE_PART</v>
      </c>
      <c r="B293" s="141" t="s">
        <v>26</v>
      </c>
      <c r="C293" s="137" t="s">
        <v>54</v>
      </c>
      <c r="D293" s="133" t="s">
        <v>40</v>
      </c>
      <c r="E293" s="134" t="s">
        <v>74</v>
      </c>
      <c r="F293" s="476" t="s">
        <v>73</v>
      </c>
      <c r="G293" s="135" t="str">
        <f>VLOOKUP(A293,Plano_V3!$A$26:$G$769,7,0)</f>
        <v>1. Concluído</v>
      </c>
      <c r="H293" s="135" t="s">
        <v>612</v>
      </c>
      <c r="I293" s="473"/>
      <c r="J293" s="142"/>
      <c r="K293" s="142"/>
      <c r="L293" s="142"/>
      <c r="M293" s="152" t="str">
        <f>IF(VLOOKUP(A293,'Aux - pivots1'!$A:$E,3,0)=0, "",VLOOKUP(A293,'Aux - pivots1'!$A:$E,3,0))</f>
        <v/>
      </c>
      <c r="N293" s="152" t="str">
        <f>IF(VLOOKUP(A293,'Aux - pivots1'!$A:$E,4,0)=0, "",VLOOKUP(A293,'Aux - pivots1'!$A:$E,4,0))</f>
        <v/>
      </c>
      <c r="O293" s="152" t="str">
        <f>IF(VLOOKUP(A293,'Aux - pivots1'!$A:$E,5,0)=0, "",VLOOKUP(A293,'Aux - pivots1'!$A:$E,5,0))</f>
        <v/>
      </c>
      <c r="P293" s="202"/>
      <c r="Q293" s="202"/>
      <c r="R293" s="202"/>
      <c r="S293" s="324"/>
      <c r="T293" s="324"/>
      <c r="U293" s="372" t="s">
        <v>2326</v>
      </c>
      <c r="V293" s="152"/>
    </row>
    <row r="294" spans="1:22" ht="16.350000000000001" hidden="1" customHeight="1">
      <c r="A294" s="29" t="str">
        <f t="shared" si="6"/>
        <v>PROCESS_PROPERTY_RELn.a.</v>
      </c>
      <c r="B294" s="141" t="s">
        <v>26</v>
      </c>
      <c r="C294" s="137" t="s">
        <v>54</v>
      </c>
      <c r="D294" s="133" t="s">
        <v>36</v>
      </c>
      <c r="E294" s="134" t="s">
        <v>88</v>
      </c>
      <c r="F294" s="476" t="s">
        <v>38</v>
      </c>
      <c r="G294" s="135" t="str">
        <f>VLOOKUP(A294,Plano_V3!$A$26:$G$769,7,0)</f>
        <v>1. Concluído</v>
      </c>
      <c r="H294" s="135" t="s">
        <v>612</v>
      </c>
      <c r="I294" s="473"/>
      <c r="J294" s="142"/>
      <c r="K294" s="142"/>
      <c r="L294" s="142"/>
      <c r="M294" s="152" t="str">
        <f>IF(VLOOKUP(A294,'Aux - pivots1'!$A:$E,3,0)=0, "",VLOOKUP(A294,'Aux - pivots1'!$A:$E,3,0))</f>
        <v/>
      </c>
      <c r="N294" s="152" t="str">
        <f>IF(VLOOKUP(A294,'Aux - pivots1'!$A:$E,4,0)=0, "",VLOOKUP(A294,'Aux - pivots1'!$A:$E,4,0))</f>
        <v/>
      </c>
      <c r="O294" s="152" t="str">
        <f>IF(VLOOKUP(A294,'Aux - pivots1'!$A:$E,5,0)=0, "",VLOOKUP(A294,'Aux - pivots1'!$A:$E,5,0))</f>
        <v/>
      </c>
      <c r="P294" s="202"/>
      <c r="Q294" s="202"/>
      <c r="R294" s="202"/>
      <c r="S294" s="324"/>
      <c r="T294" s="324"/>
      <c r="U294" s="372" t="s">
        <v>2326</v>
      </c>
      <c r="V294" s="152"/>
    </row>
    <row r="295" spans="1:22" ht="16.350000000000001" hidden="1" customHeight="1">
      <c r="A295" s="29" t="str">
        <f t="shared" si="6"/>
        <v>PROCESS_PROPERTY_RELPROPERTY_BANK_ID</v>
      </c>
      <c r="B295" s="141" t="s">
        <v>26</v>
      </c>
      <c r="C295" s="137" t="s">
        <v>54</v>
      </c>
      <c r="D295" s="133" t="s">
        <v>40</v>
      </c>
      <c r="E295" s="134" t="s">
        <v>88</v>
      </c>
      <c r="F295" s="476" t="s">
        <v>41</v>
      </c>
      <c r="G295" s="135" t="str">
        <f>VLOOKUP(A295,Plano_V3!$A$26:$G$769,7,0)</f>
        <v>1. Concluído</v>
      </c>
      <c r="H295" s="135" t="s">
        <v>612</v>
      </c>
      <c r="I295" s="473"/>
      <c r="J295" s="153"/>
      <c r="K295" s="153"/>
      <c r="L295" s="153"/>
      <c r="M295" s="152" t="str">
        <f>IF(VLOOKUP(A295,'Aux - pivots1'!$A:$E,3,0)=0, "",VLOOKUP(A295,'Aux - pivots1'!$A:$E,3,0))</f>
        <v/>
      </c>
      <c r="N295" s="152" t="str">
        <f>IF(VLOOKUP(A295,'Aux - pivots1'!$A:$E,4,0)=0, "",VLOOKUP(A295,'Aux - pivots1'!$A:$E,4,0))</f>
        <v/>
      </c>
      <c r="O295" s="152" t="str">
        <f>IF(VLOOKUP(A295,'Aux - pivots1'!$A:$E,5,0)=0, "",VLOOKUP(A295,'Aux - pivots1'!$A:$E,5,0))</f>
        <v/>
      </c>
      <c r="P295" s="202"/>
      <c r="Q295" s="202"/>
      <c r="R295" s="202"/>
      <c r="S295" s="324"/>
      <c r="T295" s="324"/>
      <c r="U295" s="372" t="s">
        <v>2326</v>
      </c>
      <c r="V295" s="152"/>
    </row>
    <row r="296" spans="1:22" ht="16.350000000000001" hidden="1" customHeight="1">
      <c r="A296" s="29" t="str">
        <f t="shared" si="6"/>
        <v>PROCESS_PROPERTY_RELPROCESS_BANK_ID</v>
      </c>
      <c r="B296" s="141" t="s">
        <v>26</v>
      </c>
      <c r="C296" s="137" t="s">
        <v>54</v>
      </c>
      <c r="D296" s="133" t="s">
        <v>40</v>
      </c>
      <c r="E296" s="134" t="s">
        <v>88</v>
      </c>
      <c r="F296" s="476" t="s">
        <v>57</v>
      </c>
      <c r="G296" s="135" t="str">
        <f>VLOOKUP(A296,Plano_V3!$A$26:$G$769,7,0)</f>
        <v>1. Concluído</v>
      </c>
      <c r="H296" s="135" t="s">
        <v>612</v>
      </c>
      <c r="I296" s="473"/>
      <c r="J296" s="153"/>
      <c r="K296" s="153"/>
      <c r="L296" s="153"/>
      <c r="M296" s="152" t="str">
        <f>IF(VLOOKUP(A296,'Aux - pivots1'!$A:$E,3,0)=0, "",VLOOKUP(A296,'Aux - pivots1'!$A:$E,3,0))</f>
        <v/>
      </c>
      <c r="N296" s="152" t="str">
        <f>IF(VLOOKUP(A296,'Aux - pivots1'!$A:$E,4,0)=0, "",VLOOKUP(A296,'Aux - pivots1'!$A:$E,4,0))</f>
        <v/>
      </c>
      <c r="O296" s="152" t="str">
        <f>IF(VLOOKUP(A296,'Aux - pivots1'!$A:$E,5,0)=0, "",VLOOKUP(A296,'Aux - pivots1'!$A:$E,5,0))</f>
        <v/>
      </c>
      <c r="P296" s="202"/>
      <c r="Q296" s="202"/>
      <c r="R296" s="202"/>
      <c r="S296" s="324"/>
      <c r="T296" s="324"/>
      <c r="U296" s="372" t="s">
        <v>2326</v>
      </c>
      <c r="V296" s="152"/>
    </row>
    <row r="297" spans="1:22" ht="16.350000000000001" hidden="1" customHeight="1">
      <c r="A297" s="29" t="str">
        <f t="shared" si="6"/>
        <v>PROCESS_PROPERTY_RELPROPERTY_BRANCH_CODE</v>
      </c>
      <c r="B297" s="141" t="s">
        <v>26</v>
      </c>
      <c r="C297" s="137" t="s">
        <v>54</v>
      </c>
      <c r="D297" s="133" t="s">
        <v>40</v>
      </c>
      <c r="E297" s="134" t="s">
        <v>88</v>
      </c>
      <c r="F297" s="476" t="s">
        <v>43</v>
      </c>
      <c r="G297" s="135" t="str">
        <f>VLOOKUP(A297,Plano_V3!$A$26:$G$769,7,0)</f>
        <v>1. Concluído</v>
      </c>
      <c r="H297" s="135" t="s">
        <v>612</v>
      </c>
      <c r="I297" s="473"/>
      <c r="J297" s="153"/>
      <c r="K297" s="153"/>
      <c r="L297" s="153"/>
      <c r="M297" s="152" t="str">
        <f>IF(VLOOKUP(A297,'Aux - pivots1'!$A:$E,3,0)=0, "",VLOOKUP(A297,'Aux - pivots1'!$A:$E,3,0))</f>
        <v/>
      </c>
      <c r="N297" s="152" t="str">
        <f>IF(VLOOKUP(A297,'Aux - pivots1'!$A:$E,4,0)=0, "",VLOOKUP(A297,'Aux - pivots1'!$A:$E,4,0))</f>
        <v/>
      </c>
      <c r="O297" s="152" t="str">
        <f>IF(VLOOKUP(A297,'Aux - pivots1'!$A:$E,5,0)=0, "",VLOOKUP(A297,'Aux - pivots1'!$A:$E,5,0))</f>
        <v/>
      </c>
      <c r="P297" s="202"/>
      <c r="Q297" s="202"/>
      <c r="R297" s="202"/>
      <c r="S297" s="324"/>
      <c r="T297" s="324"/>
      <c r="U297" s="372" t="s">
        <v>2326</v>
      </c>
      <c r="V297" s="152"/>
    </row>
    <row r="298" spans="1:22" ht="16.350000000000001" hidden="1" customHeight="1">
      <c r="A298" s="29" t="str">
        <f t="shared" si="6"/>
        <v>PROCESS_PROPERTY_RELPROCESS_BRANCH_CODE</v>
      </c>
      <c r="B298" s="141" t="s">
        <v>26</v>
      </c>
      <c r="C298" s="137" t="s">
        <v>54</v>
      </c>
      <c r="D298" s="133" t="s">
        <v>40</v>
      </c>
      <c r="E298" s="134" t="s">
        <v>88</v>
      </c>
      <c r="F298" s="476" t="s">
        <v>58</v>
      </c>
      <c r="G298" s="135" t="str">
        <f>VLOOKUP(A298,Plano_V3!$A$26:$G$769,7,0)</f>
        <v>1. Concluído</v>
      </c>
      <c r="H298" s="135" t="s">
        <v>612</v>
      </c>
      <c r="I298" s="473"/>
      <c r="J298" s="153"/>
      <c r="K298" s="153"/>
      <c r="L298" s="153"/>
      <c r="M298" s="152" t="str">
        <f>IF(VLOOKUP(A298,'Aux - pivots1'!$A:$E,3,0)=0, "",VLOOKUP(A298,'Aux - pivots1'!$A:$E,3,0))</f>
        <v/>
      </c>
      <c r="N298" s="152" t="str">
        <f>IF(VLOOKUP(A298,'Aux - pivots1'!$A:$E,4,0)=0, "",VLOOKUP(A298,'Aux - pivots1'!$A:$E,4,0))</f>
        <v/>
      </c>
      <c r="O298" s="152" t="str">
        <f>IF(VLOOKUP(A298,'Aux - pivots1'!$A:$E,5,0)=0, "",VLOOKUP(A298,'Aux - pivots1'!$A:$E,5,0))</f>
        <v/>
      </c>
      <c r="P298" s="202"/>
      <c r="Q298" s="202"/>
      <c r="R298" s="202"/>
      <c r="S298" s="324"/>
      <c r="T298" s="324"/>
      <c r="U298" s="372" t="s">
        <v>2326</v>
      </c>
      <c r="V298" s="152"/>
    </row>
    <row r="299" spans="1:22" ht="16.350000000000001" hidden="1" customHeight="1">
      <c r="A299" s="29" t="str">
        <f t="shared" si="6"/>
        <v>PROCESS_PROPERTY_RELPROPERTY_CONTRACT_ID</v>
      </c>
      <c r="B299" s="141" t="s">
        <v>26</v>
      </c>
      <c r="C299" s="137" t="s">
        <v>54</v>
      </c>
      <c r="D299" s="133" t="s">
        <v>40</v>
      </c>
      <c r="E299" s="134" t="s">
        <v>88</v>
      </c>
      <c r="F299" s="476" t="s">
        <v>44</v>
      </c>
      <c r="G299" s="135" t="str">
        <f>VLOOKUP(A299,Plano_V3!$A$26:$G$769,7,0)</f>
        <v>1. Concluído</v>
      </c>
      <c r="H299" s="135" t="s">
        <v>612</v>
      </c>
      <c r="I299" s="473"/>
      <c r="J299" s="153"/>
      <c r="K299" s="153"/>
      <c r="L299" s="153"/>
      <c r="M299" s="152" t="str">
        <f>IF(VLOOKUP(A299,'Aux - pivots1'!$A:$E,3,0)=0, "",VLOOKUP(A299,'Aux - pivots1'!$A:$E,3,0))</f>
        <v/>
      </c>
      <c r="N299" s="152" t="str">
        <f>IF(VLOOKUP(A299,'Aux - pivots1'!$A:$E,4,0)=0, "",VLOOKUP(A299,'Aux - pivots1'!$A:$E,4,0))</f>
        <v/>
      </c>
      <c r="O299" s="152" t="str">
        <f>IF(VLOOKUP(A299,'Aux - pivots1'!$A:$E,5,0)=0, "",VLOOKUP(A299,'Aux - pivots1'!$A:$E,5,0))</f>
        <v/>
      </c>
      <c r="P299" s="202"/>
      <c r="Q299" s="202"/>
      <c r="R299" s="202"/>
      <c r="S299" s="324"/>
      <c r="T299" s="324"/>
      <c r="U299" s="372" t="s">
        <v>2326</v>
      </c>
      <c r="V299" s="152"/>
    </row>
    <row r="300" spans="1:22" ht="16.350000000000001" hidden="1" customHeight="1">
      <c r="A300" s="29" t="str">
        <f t="shared" si="6"/>
        <v>PROCESS_PROPERTY_RELPROCESS_ACCOUNT_ID</v>
      </c>
      <c r="B300" s="141" t="s">
        <v>26</v>
      </c>
      <c r="C300" s="137" t="s">
        <v>54</v>
      </c>
      <c r="D300" s="133" t="s">
        <v>40</v>
      </c>
      <c r="E300" s="134" t="s">
        <v>88</v>
      </c>
      <c r="F300" s="476" t="s">
        <v>59</v>
      </c>
      <c r="G300" s="135" t="str">
        <f>VLOOKUP(A300,Plano_V3!$A$26:$G$769,7,0)</f>
        <v>1. Concluído</v>
      </c>
      <c r="H300" s="135" t="s">
        <v>612</v>
      </c>
      <c r="I300" s="473"/>
      <c r="J300" s="153"/>
      <c r="K300" s="153"/>
      <c r="L300" s="153"/>
      <c r="M300" s="152" t="str">
        <f>IF(VLOOKUP(A300,'Aux - pivots1'!$A:$E,3,0)=0, "",VLOOKUP(A300,'Aux - pivots1'!$A:$E,3,0))</f>
        <v/>
      </c>
      <c r="N300" s="152" t="str">
        <f>IF(VLOOKUP(A300,'Aux - pivots1'!$A:$E,4,0)=0, "",VLOOKUP(A300,'Aux - pivots1'!$A:$E,4,0))</f>
        <v/>
      </c>
      <c r="O300" s="152" t="str">
        <f>IF(VLOOKUP(A300,'Aux - pivots1'!$A:$E,5,0)=0, "",VLOOKUP(A300,'Aux - pivots1'!$A:$E,5,0))</f>
        <v/>
      </c>
      <c r="P300" s="202"/>
      <c r="Q300" s="202"/>
      <c r="R300" s="202"/>
      <c r="S300" s="324"/>
      <c r="T300" s="324"/>
      <c r="U300" s="372" t="s">
        <v>2326</v>
      </c>
      <c r="V300" s="152"/>
    </row>
    <row r="301" spans="1:22" ht="16.350000000000001" hidden="1" customHeight="1">
      <c r="A301" s="29" t="str">
        <f t="shared" si="6"/>
        <v>PROCESS_PROPERTY_RELPROPERTY_REFERENCE_CODE</v>
      </c>
      <c r="B301" s="141" t="s">
        <v>26</v>
      </c>
      <c r="C301" s="137" t="s">
        <v>54</v>
      </c>
      <c r="D301" s="133" t="s">
        <v>40</v>
      </c>
      <c r="E301" s="134" t="s">
        <v>88</v>
      </c>
      <c r="F301" s="476" t="s">
        <v>45</v>
      </c>
      <c r="G301" s="135" t="str">
        <f>VLOOKUP(A301,Plano_V3!$A$26:$G$769,7,0)</f>
        <v>1. Concluído</v>
      </c>
      <c r="H301" s="135" t="s">
        <v>612</v>
      </c>
      <c r="I301" s="473"/>
      <c r="J301" s="153"/>
      <c r="K301" s="153"/>
      <c r="L301" s="153"/>
      <c r="M301" s="152" t="str">
        <f>IF(VLOOKUP(A301,'Aux - pivots1'!$A:$E,3,0)=0, "",VLOOKUP(A301,'Aux - pivots1'!$A:$E,3,0))</f>
        <v/>
      </c>
      <c r="N301" s="152" t="str">
        <f>IF(VLOOKUP(A301,'Aux - pivots1'!$A:$E,4,0)=0, "",VLOOKUP(A301,'Aux - pivots1'!$A:$E,4,0))</f>
        <v/>
      </c>
      <c r="O301" s="152" t="str">
        <f>IF(VLOOKUP(A301,'Aux - pivots1'!$A:$E,5,0)=0, "",VLOOKUP(A301,'Aux - pivots1'!$A:$E,5,0))</f>
        <v/>
      </c>
      <c r="P301" s="202"/>
      <c r="Q301" s="202"/>
      <c r="R301" s="202"/>
      <c r="S301" s="324"/>
      <c r="T301" s="324"/>
      <c r="U301" s="372" t="s">
        <v>2326</v>
      </c>
      <c r="V301" s="152"/>
    </row>
    <row r="302" spans="1:22" ht="16.350000000000001" hidden="1" customHeight="1">
      <c r="A302" s="29" t="str">
        <f t="shared" si="6"/>
        <v>PROCESS_PROPERTY_RELPROCESS_REFERENCE_CODE</v>
      </c>
      <c r="B302" s="141" t="s">
        <v>26</v>
      </c>
      <c r="C302" s="137" t="s">
        <v>54</v>
      </c>
      <c r="D302" s="133" t="s">
        <v>40</v>
      </c>
      <c r="E302" s="134" t="s">
        <v>88</v>
      </c>
      <c r="F302" s="476" t="s">
        <v>67</v>
      </c>
      <c r="G302" s="135" t="str">
        <f>VLOOKUP(A302,Plano_V3!$A$26:$G$769,7,0)</f>
        <v>1. Concluído</v>
      </c>
      <c r="H302" s="135" t="s">
        <v>612</v>
      </c>
      <c r="I302" s="473"/>
      <c r="J302" s="142"/>
      <c r="K302" s="142"/>
      <c r="L302" s="142"/>
      <c r="M302" s="152" t="str">
        <f>IF(VLOOKUP(A302,'Aux - pivots1'!$A:$E,3,0)=0, "",VLOOKUP(A302,'Aux - pivots1'!$A:$E,3,0))</f>
        <v/>
      </c>
      <c r="N302" s="152" t="str">
        <f>IF(VLOOKUP(A302,'Aux - pivots1'!$A:$E,4,0)=0, "",VLOOKUP(A302,'Aux - pivots1'!$A:$E,4,0))</f>
        <v/>
      </c>
      <c r="O302" s="152" t="str">
        <f>IF(VLOOKUP(A302,'Aux - pivots1'!$A:$E,5,0)=0, "",VLOOKUP(A302,'Aux - pivots1'!$A:$E,5,0))</f>
        <v/>
      </c>
      <c r="P302" s="202"/>
      <c r="Q302" s="202"/>
      <c r="R302" s="202"/>
      <c r="S302" s="324"/>
      <c r="T302" s="324"/>
      <c r="U302" s="372" t="s">
        <v>2326</v>
      </c>
      <c r="V302" s="152"/>
    </row>
    <row r="303" spans="1:22" ht="16.350000000000001" hidden="1" customHeight="1">
      <c r="A303" s="29" t="str">
        <f t="shared" si="6"/>
        <v>PROCESS_PROPERTY_RELdata_assc</v>
      </c>
      <c r="B303" s="141" t="s">
        <v>26</v>
      </c>
      <c r="C303" s="137" t="s">
        <v>54</v>
      </c>
      <c r="D303" s="133" t="s">
        <v>40</v>
      </c>
      <c r="E303" s="134" t="s">
        <v>88</v>
      </c>
      <c r="F303" s="476" t="s">
        <v>89</v>
      </c>
      <c r="G303" s="135" t="str">
        <f>VLOOKUP(A303,Plano_V3!$A$26:$G$769,7,0)</f>
        <v>0. Cancelado</v>
      </c>
      <c r="H303" s="135" t="s">
        <v>611</v>
      </c>
      <c r="I303" s="473"/>
      <c r="J303" s="142"/>
      <c r="K303" s="142"/>
      <c r="L303" s="142"/>
      <c r="M303" s="152" t="str">
        <f>IF(VLOOKUP(A303,'Aux - pivots1'!$A:$E,3,0)=0, "",VLOOKUP(A303,'Aux - pivots1'!$A:$E,3,0))</f>
        <v/>
      </c>
      <c r="N303" s="152" t="str">
        <f>IF(VLOOKUP(A303,'Aux - pivots1'!$A:$E,4,0)=0, "",VLOOKUP(A303,'Aux - pivots1'!$A:$E,4,0))</f>
        <v/>
      </c>
      <c r="O303" s="152" t="str">
        <f>IF(VLOOKUP(A303,'Aux - pivots1'!$A:$E,5,0)=0, "",VLOOKUP(A303,'Aux - pivots1'!$A:$E,5,0))</f>
        <v/>
      </c>
      <c r="P303" s="202"/>
      <c r="Q303" s="202"/>
      <c r="R303" s="202"/>
      <c r="S303" s="324"/>
      <c r="T303" s="324"/>
      <c r="U303" s="372" t="s">
        <v>2326</v>
      </c>
      <c r="V303" s="152"/>
    </row>
    <row r="304" spans="1:22" ht="16.350000000000001" hidden="1" customHeight="1">
      <c r="A304" s="29" t="str">
        <f t="shared" si="6"/>
        <v>PROCESS_PROPERTY_RELSEIZED_PROPERTY_IND</v>
      </c>
      <c r="B304" s="141" t="s">
        <v>26</v>
      </c>
      <c r="C304" s="137" t="s">
        <v>54</v>
      </c>
      <c r="D304" s="133" t="s">
        <v>40</v>
      </c>
      <c r="E304" s="134" t="s">
        <v>88</v>
      </c>
      <c r="F304" s="476" t="s">
        <v>90</v>
      </c>
      <c r="G304" s="135" t="str">
        <f>VLOOKUP(A304,Plano_V3!$A$26:$G$769,7,0)</f>
        <v>1. Concluído</v>
      </c>
      <c r="H304" s="135" t="s">
        <v>612</v>
      </c>
      <c r="I304" s="473"/>
      <c r="J304" s="153"/>
      <c r="K304" s="153"/>
      <c r="L304" s="153"/>
      <c r="M304" s="152" t="str">
        <f>IF(VLOOKUP(A304,'Aux - pivots1'!$A:$E,3,0)=0, "",VLOOKUP(A304,'Aux - pivots1'!$A:$E,3,0))</f>
        <v/>
      </c>
      <c r="N304" s="152" t="str">
        <f>IF(VLOOKUP(A304,'Aux - pivots1'!$A:$E,4,0)=0, "",VLOOKUP(A304,'Aux - pivots1'!$A:$E,4,0))</f>
        <v/>
      </c>
      <c r="O304" s="152" t="str">
        <f>IF(VLOOKUP(A304,'Aux - pivots1'!$A:$E,5,0)=0, "",VLOOKUP(A304,'Aux - pivots1'!$A:$E,5,0))</f>
        <v/>
      </c>
      <c r="P304" s="202"/>
      <c r="Q304" s="202"/>
      <c r="R304" s="202"/>
      <c r="S304" s="324"/>
      <c r="T304" s="324"/>
      <c r="U304" s="372" t="s">
        <v>2326</v>
      </c>
      <c r="V304" s="152"/>
    </row>
    <row r="305" spans="1:22" ht="16.350000000000001" hidden="1" customHeight="1">
      <c r="A305" s="29" t="str">
        <f t="shared" si="6"/>
        <v>PROCESS_PROPERTY_RELCOLLATERAL_PROPERTY_IND</v>
      </c>
      <c r="B305" s="141" t="s">
        <v>26</v>
      </c>
      <c r="C305" s="137" t="s">
        <v>54</v>
      </c>
      <c r="D305" s="133" t="s">
        <v>40</v>
      </c>
      <c r="E305" s="134" t="s">
        <v>88</v>
      </c>
      <c r="F305" s="476" t="s">
        <v>91</v>
      </c>
      <c r="G305" s="135" t="str">
        <f>VLOOKUP(A305,Plano_V3!$A$26:$G$769,7,0)</f>
        <v>1. Concluído</v>
      </c>
      <c r="H305" s="135" t="s">
        <v>612</v>
      </c>
      <c r="I305" s="473"/>
      <c r="J305" s="153"/>
      <c r="K305" s="153"/>
      <c r="L305" s="153"/>
      <c r="M305" s="152" t="str">
        <f>IF(VLOOKUP(A305,'Aux - pivots1'!$A:$E,3,0)=0, "",VLOOKUP(A305,'Aux - pivots1'!$A:$E,3,0))</f>
        <v/>
      </c>
      <c r="N305" s="152" t="str">
        <f>IF(VLOOKUP(A305,'Aux - pivots1'!$A:$E,4,0)=0, "",VLOOKUP(A305,'Aux - pivots1'!$A:$E,4,0))</f>
        <v/>
      </c>
      <c r="O305" s="152" t="str">
        <f>IF(VLOOKUP(A305,'Aux - pivots1'!$A:$E,5,0)=0, "",VLOOKUP(A305,'Aux - pivots1'!$A:$E,5,0))</f>
        <v/>
      </c>
      <c r="P305" s="202"/>
      <c r="Q305" s="202"/>
      <c r="R305" s="202"/>
      <c r="S305" s="324"/>
      <c r="T305" s="324"/>
      <c r="U305" s="372" t="s">
        <v>2326</v>
      </c>
      <c r="V305" s="152"/>
    </row>
    <row r="306" spans="1:22" ht="16.350000000000001" hidden="1" customHeight="1">
      <c r="A306" s="29" t="str">
        <f t="shared" si="6"/>
        <v>PROCESS_PROPERTY_RELFINANCED_PROPERTY_IND</v>
      </c>
      <c r="B306" s="141" t="s">
        <v>26</v>
      </c>
      <c r="C306" s="137" t="s">
        <v>54</v>
      </c>
      <c r="D306" s="133" t="s">
        <v>40</v>
      </c>
      <c r="E306" s="134" t="s">
        <v>88</v>
      </c>
      <c r="F306" s="476" t="s">
        <v>92</v>
      </c>
      <c r="G306" s="135" t="str">
        <f>VLOOKUP(A306,Plano_V3!$A$26:$G$769,7,0)</f>
        <v>1. Concluído</v>
      </c>
      <c r="H306" s="135" t="s">
        <v>612</v>
      </c>
      <c r="I306" s="473"/>
      <c r="J306" s="153"/>
      <c r="K306" s="153"/>
      <c r="L306" s="153"/>
      <c r="M306" s="152" t="str">
        <f>IF(VLOOKUP(A306,'Aux - pivots1'!$A:$E,3,0)=0, "",VLOOKUP(A306,'Aux - pivots1'!$A:$E,3,0))</f>
        <v/>
      </c>
      <c r="N306" s="152" t="str">
        <f>IF(VLOOKUP(A306,'Aux - pivots1'!$A:$E,4,0)=0, "",VLOOKUP(A306,'Aux - pivots1'!$A:$E,4,0))</f>
        <v/>
      </c>
      <c r="O306" s="152" t="str">
        <f>IF(VLOOKUP(A306,'Aux - pivots1'!$A:$E,5,0)=0, "",VLOOKUP(A306,'Aux - pivots1'!$A:$E,5,0))</f>
        <v/>
      </c>
      <c r="P306" s="202"/>
      <c r="Q306" s="202"/>
      <c r="R306" s="202"/>
      <c r="S306" s="324"/>
      <c r="T306" s="324"/>
      <c r="U306" s="372" t="s">
        <v>2326</v>
      </c>
      <c r="V306" s="152"/>
    </row>
    <row r="307" spans="1:22" ht="16.350000000000001" hidden="1" customHeight="1">
      <c r="A307" s="29" t="str">
        <f t="shared" si="6"/>
        <v>PROCESS_PROPERTY_RELOWNED_PROPERTY_IND</v>
      </c>
      <c r="B307" s="141" t="s">
        <v>26</v>
      </c>
      <c r="C307" s="137" t="s">
        <v>54</v>
      </c>
      <c r="D307" s="133" t="s">
        <v>40</v>
      </c>
      <c r="E307" s="134" t="s">
        <v>88</v>
      </c>
      <c r="F307" s="476" t="s">
        <v>93</v>
      </c>
      <c r="G307" s="135" t="str">
        <f>VLOOKUP(A307,Plano_V3!$A$26:$G$769,7,0)</f>
        <v>1. Concluído</v>
      </c>
      <c r="H307" s="135" t="s">
        <v>612</v>
      </c>
      <c r="I307" s="473"/>
      <c r="J307" s="153"/>
      <c r="K307" s="153"/>
      <c r="L307" s="153"/>
      <c r="M307" s="152" t="str">
        <f>IF(VLOOKUP(A307,'Aux - pivots1'!$A:$E,3,0)=0, "",VLOOKUP(A307,'Aux - pivots1'!$A:$E,3,0))</f>
        <v/>
      </c>
      <c r="N307" s="152" t="str">
        <f>IF(VLOOKUP(A307,'Aux - pivots1'!$A:$E,4,0)=0, "",VLOOKUP(A307,'Aux - pivots1'!$A:$E,4,0))</f>
        <v/>
      </c>
      <c r="O307" s="152" t="str">
        <f>IF(VLOOKUP(A307,'Aux - pivots1'!$A:$E,5,0)=0, "",VLOOKUP(A307,'Aux - pivots1'!$A:$E,5,0))</f>
        <v/>
      </c>
      <c r="P307" s="202"/>
      <c r="Q307" s="202"/>
      <c r="R307" s="202"/>
      <c r="S307" s="324"/>
      <c r="T307" s="324"/>
      <c r="U307" s="372" t="s">
        <v>2326</v>
      </c>
      <c r="V307" s="152"/>
    </row>
    <row r="308" spans="1:22" ht="16.350000000000001" hidden="1" customHeight="1">
      <c r="A308" s="29" t="str">
        <f t="shared" si="6"/>
        <v>PROCESS_PROPERTY_RELSOURCE_CODE</v>
      </c>
      <c r="B308" s="141" t="s">
        <v>26</v>
      </c>
      <c r="C308" s="137" t="s">
        <v>54</v>
      </c>
      <c r="D308" s="133" t="s">
        <v>40</v>
      </c>
      <c r="E308" s="134" t="s">
        <v>88</v>
      </c>
      <c r="F308" s="476" t="s">
        <v>87</v>
      </c>
      <c r="G308" s="135" t="str">
        <f>VLOOKUP(A308,Plano_V3!$A$26:$G$769,7,0)</f>
        <v>1. Concluído</v>
      </c>
      <c r="H308" s="135" t="s">
        <v>612</v>
      </c>
      <c r="I308" s="473"/>
      <c r="J308" s="153"/>
      <c r="K308" s="153"/>
      <c r="L308" s="153"/>
      <c r="M308" s="152" t="str">
        <f>IF(VLOOKUP(A308,'Aux - pivots1'!$A:$E,3,0)=0, "",VLOOKUP(A308,'Aux - pivots1'!$A:$E,3,0))</f>
        <v/>
      </c>
      <c r="N308" s="152" t="str">
        <f>IF(VLOOKUP(A308,'Aux - pivots1'!$A:$E,4,0)=0, "",VLOOKUP(A308,'Aux - pivots1'!$A:$E,4,0))</f>
        <v/>
      </c>
      <c r="O308" s="152" t="str">
        <f>IF(VLOOKUP(A308,'Aux - pivots1'!$A:$E,5,0)=0, "",VLOOKUP(A308,'Aux - pivots1'!$A:$E,5,0))</f>
        <v/>
      </c>
      <c r="P308" s="202"/>
      <c r="Q308" s="202"/>
      <c r="R308" s="202"/>
      <c r="S308" s="324"/>
      <c r="T308" s="324"/>
      <c r="U308" s="372" t="s">
        <v>2326</v>
      </c>
      <c r="V308" s="152"/>
    </row>
    <row r="309" spans="1:22" ht="16.350000000000001" hidden="1" customHeight="1">
      <c r="A309" s="29" t="str">
        <f t="shared" si="6"/>
        <v>PROCESS_PROPERTY_RELDATA_DATE_PART</v>
      </c>
      <c r="B309" s="141" t="s">
        <v>26</v>
      </c>
      <c r="C309" s="137" t="s">
        <v>54</v>
      </c>
      <c r="D309" s="133" t="s">
        <v>40</v>
      </c>
      <c r="E309" s="134" t="s">
        <v>88</v>
      </c>
      <c r="F309" s="476" t="s">
        <v>73</v>
      </c>
      <c r="G309" s="135" t="str">
        <f>VLOOKUP(A309,Plano_V3!$A$26:$G$769,7,0)</f>
        <v>1. Concluído</v>
      </c>
      <c r="H309" s="135" t="s">
        <v>612</v>
      </c>
      <c r="I309" s="473"/>
      <c r="J309" s="153"/>
      <c r="K309" s="153"/>
      <c r="L309" s="153"/>
      <c r="M309" s="152" t="str">
        <f>IF(VLOOKUP(A309,'Aux - pivots1'!$A:$E,3,0)=0, "",VLOOKUP(A309,'Aux - pivots1'!$A:$E,3,0))</f>
        <v/>
      </c>
      <c r="N309" s="152" t="str">
        <f>IF(VLOOKUP(A309,'Aux - pivots1'!$A:$E,4,0)=0, "",VLOOKUP(A309,'Aux - pivots1'!$A:$E,4,0))</f>
        <v/>
      </c>
      <c r="O309" s="152" t="str">
        <f>IF(VLOOKUP(A309,'Aux - pivots1'!$A:$E,5,0)=0, "",VLOOKUP(A309,'Aux - pivots1'!$A:$E,5,0))</f>
        <v/>
      </c>
      <c r="P309" s="202"/>
      <c r="Q309" s="202"/>
      <c r="R309" s="202"/>
      <c r="S309" s="324"/>
      <c r="T309" s="324"/>
      <c r="U309" s="372" t="s">
        <v>2326</v>
      </c>
      <c r="V309" s="152"/>
    </row>
    <row r="310" spans="1:22" ht="16.350000000000001" hidden="1" customHeight="1">
      <c r="A310" s="29" t="str">
        <f t="shared" si="6"/>
        <v>PROPERTYn.a.</v>
      </c>
      <c r="B310" s="141" t="s">
        <v>26</v>
      </c>
      <c r="C310" s="137" t="s">
        <v>54</v>
      </c>
      <c r="D310" s="133" t="s">
        <v>36</v>
      </c>
      <c r="E310" s="134" t="s">
        <v>94</v>
      </c>
      <c r="F310" s="476" t="s">
        <v>38</v>
      </c>
      <c r="G310" s="135" t="str">
        <f>VLOOKUP(A310,Plano_V3!$A$26:$G$769,7,0)</f>
        <v>1. Concluído</v>
      </c>
      <c r="H310" s="135" t="s">
        <v>612</v>
      </c>
      <c r="I310" s="473"/>
      <c r="J310" s="142"/>
      <c r="K310" s="142"/>
      <c r="L310" s="142"/>
      <c r="M310" s="152" t="str">
        <f>IF(VLOOKUP(A310,'Aux - pivots1'!$A:$E,3,0)=0, "",VLOOKUP(A310,'Aux - pivots1'!$A:$E,3,0))</f>
        <v/>
      </c>
      <c r="N310" s="152" t="str">
        <f>IF(VLOOKUP(A310,'Aux - pivots1'!$A:$E,4,0)=0, "",VLOOKUP(A310,'Aux - pivots1'!$A:$E,4,0))</f>
        <v/>
      </c>
      <c r="O310" s="152" t="str">
        <f>IF(VLOOKUP(A310,'Aux - pivots1'!$A:$E,5,0)=0, "",VLOOKUP(A310,'Aux - pivots1'!$A:$E,5,0))</f>
        <v/>
      </c>
      <c r="P310" s="202"/>
      <c r="Q310" s="202"/>
      <c r="R310" s="202"/>
      <c r="S310" s="324"/>
      <c r="T310" s="324"/>
      <c r="U310" s="372" t="s">
        <v>2326</v>
      </c>
      <c r="V310" s="152"/>
    </row>
    <row r="311" spans="1:22" ht="16.350000000000001" hidden="1" customHeight="1">
      <c r="A311" s="29" t="str">
        <f t="shared" si="6"/>
        <v>PROPERTYCONSTRUCTION_YEAR</v>
      </c>
      <c r="B311" s="141" t="s">
        <v>26</v>
      </c>
      <c r="C311" s="137" t="s">
        <v>54</v>
      </c>
      <c r="D311" s="133" t="s">
        <v>40</v>
      </c>
      <c r="E311" s="134" t="s">
        <v>94</v>
      </c>
      <c r="F311" s="476" t="s">
        <v>96</v>
      </c>
      <c r="G311" s="135" t="str">
        <f>VLOOKUP(A311,Plano_V3!$A$26:$G$769,7,0)</f>
        <v>1. Concluído</v>
      </c>
      <c r="H311" s="135" t="s">
        <v>612</v>
      </c>
      <c r="I311" s="473"/>
      <c r="J311" s="142"/>
      <c r="K311" s="142"/>
      <c r="L311" s="142"/>
      <c r="M311" s="152" t="str">
        <f>IF(VLOOKUP(A311,'Aux - pivots1'!$A:$E,3,0)=0, "",VLOOKUP(A311,'Aux - pivots1'!$A:$E,3,0))</f>
        <v/>
      </c>
      <c r="N311" s="152" t="str">
        <f>IF(VLOOKUP(A311,'Aux - pivots1'!$A:$E,4,0)=0, "",VLOOKUP(A311,'Aux - pivots1'!$A:$E,4,0))</f>
        <v/>
      </c>
      <c r="O311" s="152" t="str">
        <f>IF(VLOOKUP(A311,'Aux - pivots1'!$A:$E,5,0)=0, "",VLOOKUP(A311,'Aux - pivots1'!$A:$E,5,0))</f>
        <v/>
      </c>
      <c r="P311" s="202"/>
      <c r="Q311" s="202"/>
      <c r="R311" s="202"/>
      <c r="S311" s="324"/>
      <c r="T311" s="324"/>
      <c r="U311" s="372" t="s">
        <v>2326</v>
      </c>
      <c r="V311" s="152"/>
    </row>
    <row r="312" spans="1:22" ht="16.350000000000001" hidden="1" customHeight="1">
      <c r="A312" s="29" t="str">
        <f t="shared" si="6"/>
        <v>PROPERTYNET_FLOOR_AREA</v>
      </c>
      <c r="B312" s="141" t="s">
        <v>26</v>
      </c>
      <c r="C312" s="137" t="s">
        <v>54</v>
      </c>
      <c r="D312" s="133" t="s">
        <v>40</v>
      </c>
      <c r="E312" s="134" t="s">
        <v>94</v>
      </c>
      <c r="F312" s="476" t="s">
        <v>97</v>
      </c>
      <c r="G312" s="135" t="str">
        <f>VLOOKUP(A312,Plano_V3!$A$26:$G$769,7,0)</f>
        <v>1. Concluído</v>
      </c>
      <c r="H312" s="135" t="s">
        <v>612</v>
      </c>
      <c r="I312" s="473"/>
      <c r="J312" s="142"/>
      <c r="K312" s="142"/>
      <c r="L312" s="142"/>
      <c r="M312" s="152" t="str">
        <f>IF(VLOOKUP(A312,'Aux - pivots1'!$A:$E,3,0)=0, "",VLOOKUP(A312,'Aux - pivots1'!$A:$E,3,0))</f>
        <v/>
      </c>
      <c r="N312" s="152" t="str">
        <f>IF(VLOOKUP(A312,'Aux - pivots1'!$A:$E,4,0)=0, "",VLOOKUP(A312,'Aux - pivots1'!$A:$E,4,0))</f>
        <v/>
      </c>
      <c r="O312" s="152" t="str">
        <f>IF(VLOOKUP(A312,'Aux - pivots1'!$A:$E,5,0)=0, "",VLOOKUP(A312,'Aux - pivots1'!$A:$E,5,0))</f>
        <v/>
      </c>
      <c r="P312" s="202"/>
      <c r="Q312" s="202"/>
      <c r="R312" s="202"/>
      <c r="S312" s="324"/>
      <c r="T312" s="324"/>
      <c r="U312" s="372" t="s">
        <v>2326</v>
      </c>
      <c r="V312" s="152"/>
    </row>
    <row r="313" spans="1:22" ht="16.350000000000001" hidden="1" customHeight="1">
      <c r="A313" s="29" t="str">
        <f t="shared" si="6"/>
        <v>PROPERTYPROPERTY_BANK_ID</v>
      </c>
      <c r="B313" s="141" t="s">
        <v>26</v>
      </c>
      <c r="C313" s="137" t="s">
        <v>54</v>
      </c>
      <c r="D313" s="133" t="s">
        <v>40</v>
      </c>
      <c r="E313" s="134" t="s">
        <v>94</v>
      </c>
      <c r="F313" s="476" t="s">
        <v>41</v>
      </c>
      <c r="G313" s="135" t="str">
        <f>VLOOKUP(A313,Plano_V3!$A$26:$G$769,7,0)</f>
        <v>1. Concluído</v>
      </c>
      <c r="H313" s="135" t="s">
        <v>612</v>
      </c>
      <c r="I313" s="473"/>
      <c r="J313" s="153"/>
      <c r="K313" s="153"/>
      <c r="L313" s="153"/>
      <c r="M313" s="152" t="str">
        <f>IF(VLOOKUP(A313,'Aux - pivots1'!$A:$E,3,0)=0, "",VLOOKUP(A313,'Aux - pivots1'!$A:$E,3,0))</f>
        <v/>
      </c>
      <c r="N313" s="152" t="str">
        <f>IF(VLOOKUP(A313,'Aux - pivots1'!$A:$E,4,0)=0, "",VLOOKUP(A313,'Aux - pivots1'!$A:$E,4,0))</f>
        <v/>
      </c>
      <c r="O313" s="152" t="str">
        <f>IF(VLOOKUP(A313,'Aux - pivots1'!$A:$E,5,0)=0, "",VLOOKUP(A313,'Aux - pivots1'!$A:$E,5,0))</f>
        <v/>
      </c>
      <c r="P313" s="202"/>
      <c r="Q313" s="202"/>
      <c r="R313" s="202"/>
      <c r="S313" s="324"/>
      <c r="T313" s="324"/>
      <c r="U313" s="372" t="s">
        <v>2326</v>
      </c>
      <c r="V313" s="152"/>
    </row>
    <row r="314" spans="1:22" ht="16.350000000000001" hidden="1" customHeight="1">
      <c r="A314" s="29" t="str">
        <f t="shared" si="6"/>
        <v>PROPERTYPROPERTY_BRANCH_CODE</v>
      </c>
      <c r="B314" s="141" t="s">
        <v>26</v>
      </c>
      <c r="C314" s="137" t="s">
        <v>54</v>
      </c>
      <c r="D314" s="133" t="s">
        <v>40</v>
      </c>
      <c r="E314" s="134" t="s">
        <v>94</v>
      </c>
      <c r="F314" s="476" t="s">
        <v>43</v>
      </c>
      <c r="G314" s="135" t="str">
        <f>VLOOKUP(A314,Plano_V3!$A$26:$G$769,7,0)</f>
        <v>1. Concluído</v>
      </c>
      <c r="H314" s="135" t="s">
        <v>612</v>
      </c>
      <c r="I314" s="473"/>
      <c r="J314" s="153"/>
      <c r="K314" s="153"/>
      <c r="L314" s="153"/>
      <c r="M314" s="152" t="str">
        <f>IF(VLOOKUP(A314,'Aux - pivots1'!$A:$E,3,0)=0, "",VLOOKUP(A314,'Aux - pivots1'!$A:$E,3,0))</f>
        <v/>
      </c>
      <c r="N314" s="152" t="str">
        <f>IF(VLOOKUP(A314,'Aux - pivots1'!$A:$E,4,0)=0, "",VLOOKUP(A314,'Aux - pivots1'!$A:$E,4,0))</f>
        <v/>
      </c>
      <c r="O314" s="152" t="str">
        <f>IF(VLOOKUP(A314,'Aux - pivots1'!$A:$E,5,0)=0, "",VLOOKUP(A314,'Aux - pivots1'!$A:$E,5,0))</f>
        <v/>
      </c>
      <c r="P314" s="202"/>
      <c r="Q314" s="202"/>
      <c r="R314" s="202"/>
      <c r="S314" s="324"/>
      <c r="T314" s="324"/>
      <c r="U314" s="372" t="s">
        <v>2326</v>
      </c>
      <c r="V314" s="152"/>
    </row>
    <row r="315" spans="1:22" ht="16.350000000000001" hidden="1" customHeight="1">
      <c r="A315" s="29" t="str">
        <f t="shared" si="6"/>
        <v>PROPERTYPROPERTY_CONTRACT_ID</v>
      </c>
      <c r="B315" s="141" t="s">
        <v>26</v>
      </c>
      <c r="C315" s="137" t="s">
        <v>54</v>
      </c>
      <c r="D315" s="133" t="s">
        <v>40</v>
      </c>
      <c r="E315" s="134" t="s">
        <v>94</v>
      </c>
      <c r="F315" s="476" t="s">
        <v>44</v>
      </c>
      <c r="G315" s="135" t="str">
        <f>VLOOKUP(A315,Plano_V3!$A$26:$G$769,7,0)</f>
        <v>1. Concluído</v>
      </c>
      <c r="H315" s="135" t="s">
        <v>612</v>
      </c>
      <c r="I315" s="473"/>
      <c r="J315" s="153"/>
      <c r="K315" s="153"/>
      <c r="L315" s="153"/>
      <c r="M315" s="152" t="str">
        <f>IF(VLOOKUP(A315,'Aux - pivots1'!$A:$E,3,0)=0, "",VLOOKUP(A315,'Aux - pivots1'!$A:$E,3,0))</f>
        <v/>
      </c>
      <c r="N315" s="152" t="str">
        <f>IF(VLOOKUP(A315,'Aux - pivots1'!$A:$E,4,0)=0, "",VLOOKUP(A315,'Aux - pivots1'!$A:$E,4,0))</f>
        <v/>
      </c>
      <c r="O315" s="152" t="str">
        <f>IF(VLOOKUP(A315,'Aux - pivots1'!$A:$E,5,0)=0, "",VLOOKUP(A315,'Aux - pivots1'!$A:$E,5,0))</f>
        <v/>
      </c>
      <c r="P315" s="202"/>
      <c r="Q315" s="202"/>
      <c r="R315" s="202"/>
      <c r="S315" s="324"/>
      <c r="T315" s="324"/>
      <c r="U315" s="372" t="s">
        <v>2326</v>
      </c>
      <c r="V315" s="152"/>
    </row>
    <row r="316" spans="1:22" ht="16.350000000000001" hidden="1" customHeight="1">
      <c r="A316" s="29" t="str">
        <f t="shared" si="6"/>
        <v>PROPERTYPROPERTY_REFERENCE_CODE</v>
      </c>
      <c r="B316" s="141" t="s">
        <v>26</v>
      </c>
      <c r="C316" s="137" t="s">
        <v>54</v>
      </c>
      <c r="D316" s="133" t="s">
        <v>40</v>
      </c>
      <c r="E316" s="134" t="s">
        <v>94</v>
      </c>
      <c r="F316" s="476" t="s">
        <v>45</v>
      </c>
      <c r="G316" s="135" t="str">
        <f>VLOOKUP(A316,Plano_V3!$A$26:$G$769,7,0)</f>
        <v>1. Concluído</v>
      </c>
      <c r="H316" s="135" t="s">
        <v>612</v>
      </c>
      <c r="I316" s="473"/>
      <c r="J316" s="153"/>
      <c r="K316" s="153"/>
      <c r="L316" s="153"/>
      <c r="M316" s="152" t="str">
        <f>IF(VLOOKUP(A316,'Aux - pivots1'!$A:$E,3,0)=0, "",VLOOKUP(A316,'Aux - pivots1'!$A:$E,3,0))</f>
        <v/>
      </c>
      <c r="N316" s="152" t="str">
        <f>IF(VLOOKUP(A316,'Aux - pivots1'!$A:$E,4,0)=0, "",VLOOKUP(A316,'Aux - pivots1'!$A:$E,4,0))</f>
        <v/>
      </c>
      <c r="O316" s="152" t="str">
        <f>IF(VLOOKUP(A316,'Aux - pivots1'!$A:$E,5,0)=0, "",VLOOKUP(A316,'Aux - pivots1'!$A:$E,5,0))</f>
        <v/>
      </c>
      <c r="P316" s="202"/>
      <c r="Q316" s="202"/>
      <c r="R316" s="202"/>
      <c r="S316" s="324"/>
      <c r="T316" s="324"/>
      <c r="U316" s="372" t="s">
        <v>2326</v>
      </c>
      <c r="V316" s="152"/>
    </row>
    <row r="317" spans="1:22" ht="16.350000000000001" hidden="1" customHeight="1">
      <c r="A317" s="29" t="str">
        <f t="shared" si="6"/>
        <v>PROPERTYCADASTRAL_REGISTER_CODE</v>
      </c>
      <c r="B317" s="141" t="s">
        <v>26</v>
      </c>
      <c r="C317" s="137" t="s">
        <v>54</v>
      </c>
      <c r="D317" s="133" t="s">
        <v>40</v>
      </c>
      <c r="E317" s="134" t="s">
        <v>94</v>
      </c>
      <c r="F317" s="476" t="s">
        <v>98</v>
      </c>
      <c r="G317" s="135" t="str">
        <f>VLOOKUP(A317,Plano_V3!$A$26:$G$769,7,0)</f>
        <v>1. Concluído</v>
      </c>
      <c r="H317" s="135" t="s">
        <v>612</v>
      </c>
      <c r="I317" s="473"/>
      <c r="J317" s="153"/>
      <c r="K317" s="153"/>
      <c r="L317" s="153"/>
      <c r="M317" s="152" t="str">
        <f>IF(VLOOKUP(A317,'Aux - pivots1'!$A:$E,3,0)=0, "",VLOOKUP(A317,'Aux - pivots1'!$A:$E,3,0))</f>
        <v/>
      </c>
      <c r="N317" s="152" t="str">
        <f>IF(VLOOKUP(A317,'Aux - pivots1'!$A:$E,4,0)=0, "",VLOOKUP(A317,'Aux - pivots1'!$A:$E,4,0))</f>
        <v/>
      </c>
      <c r="O317" s="152" t="str">
        <f>IF(VLOOKUP(A317,'Aux - pivots1'!$A:$E,5,0)=0, "",VLOOKUP(A317,'Aux - pivots1'!$A:$E,5,0))</f>
        <v/>
      </c>
      <c r="P317" s="202"/>
      <c r="Q317" s="202"/>
      <c r="R317" s="202"/>
      <c r="S317" s="324"/>
      <c r="T317" s="324"/>
      <c r="U317" s="372" t="s">
        <v>2326</v>
      </c>
      <c r="V317" s="152"/>
    </row>
    <row r="318" spans="1:22" ht="16.350000000000001" hidden="1" customHeight="1">
      <c r="A318" s="29" t="str">
        <f t="shared" si="6"/>
        <v>PROPERTYAPPRAISAL_CODE</v>
      </c>
      <c r="B318" s="141" t="s">
        <v>26</v>
      </c>
      <c r="C318" s="137" t="s">
        <v>54</v>
      </c>
      <c r="D318" s="133" t="s">
        <v>40</v>
      </c>
      <c r="E318" s="134" t="s">
        <v>94</v>
      </c>
      <c r="F318" s="476" t="s">
        <v>99</v>
      </c>
      <c r="G318" s="135" t="str">
        <f>VLOOKUP(A318,Plano_V3!$A$26:$G$769,7,0)</f>
        <v>1. Concluído</v>
      </c>
      <c r="H318" s="135" t="s">
        <v>612</v>
      </c>
      <c r="I318" s="473"/>
      <c r="J318" s="153"/>
      <c r="K318" s="153"/>
      <c r="L318" s="153"/>
      <c r="M318" s="152" t="str">
        <f>IF(VLOOKUP(A318,'Aux - pivots1'!$A:$E,3,0)=0, "",VLOOKUP(A318,'Aux - pivots1'!$A:$E,3,0))</f>
        <v/>
      </c>
      <c r="N318" s="152" t="str">
        <f>IF(VLOOKUP(A318,'Aux - pivots1'!$A:$E,4,0)=0, "",VLOOKUP(A318,'Aux - pivots1'!$A:$E,4,0))</f>
        <v/>
      </c>
      <c r="O318" s="152" t="str">
        <f>IF(VLOOKUP(A318,'Aux - pivots1'!$A:$E,5,0)=0, "",VLOOKUP(A318,'Aux - pivots1'!$A:$E,5,0))</f>
        <v/>
      </c>
      <c r="P318" s="202"/>
      <c r="Q318" s="202"/>
      <c r="R318" s="202"/>
      <c r="S318" s="324"/>
      <c r="T318" s="324"/>
      <c r="U318" s="372" t="s">
        <v>2326</v>
      </c>
      <c r="V318" s="152"/>
    </row>
    <row r="319" spans="1:22" ht="16.350000000000001" hidden="1" customHeight="1">
      <c r="A319" s="29" t="str">
        <f t="shared" si="6"/>
        <v>PROPERTYcod_bem</v>
      </c>
      <c r="B319" s="141" t="s">
        <v>26</v>
      </c>
      <c r="C319" s="137" t="s">
        <v>54</v>
      </c>
      <c r="D319" s="133" t="s">
        <v>40</v>
      </c>
      <c r="E319" s="134" t="s">
        <v>94</v>
      </c>
      <c r="F319" s="476" t="s">
        <v>100</v>
      </c>
      <c r="G319" s="135" t="str">
        <f>VLOOKUP(A319,Plano_V3!$A$26:$G$769,7,0)</f>
        <v>0. Cancelado</v>
      </c>
      <c r="H319" s="135" t="s">
        <v>611</v>
      </c>
      <c r="I319" s="473"/>
      <c r="J319" s="142"/>
      <c r="K319" s="142"/>
      <c r="L319" s="142"/>
      <c r="M319" s="152" t="str">
        <f>IF(VLOOKUP(A319,'Aux - pivots1'!$A:$E,3,0)=0, "",VLOOKUP(A319,'Aux - pivots1'!$A:$E,3,0))</f>
        <v/>
      </c>
      <c r="N319" s="152" t="str">
        <f>IF(VLOOKUP(A319,'Aux - pivots1'!$A:$E,4,0)=0, "",VLOOKUP(A319,'Aux - pivots1'!$A:$E,4,0))</f>
        <v/>
      </c>
      <c r="O319" s="152" t="str">
        <f>IF(VLOOKUP(A319,'Aux - pivots1'!$A:$E,5,0)=0, "",VLOOKUP(A319,'Aux - pivots1'!$A:$E,5,0))</f>
        <v/>
      </c>
      <c r="P319" s="202"/>
      <c r="Q319" s="202"/>
      <c r="R319" s="202"/>
      <c r="S319" s="324"/>
      <c r="T319" s="324"/>
      <c r="U319" s="372" t="s">
        <v>2326</v>
      </c>
      <c r="V319" s="152"/>
    </row>
    <row r="320" spans="1:22" ht="16.350000000000001" hidden="1" customHeight="1">
      <c r="A320" s="29" t="str">
        <f t="shared" si="6"/>
        <v>PROPERTYDISTRICT_MUNICIP_PARISH_CODE</v>
      </c>
      <c r="B320" s="141" t="s">
        <v>26</v>
      </c>
      <c r="C320" s="137" t="s">
        <v>54</v>
      </c>
      <c r="D320" s="133" t="s">
        <v>40</v>
      </c>
      <c r="E320" s="134" t="s">
        <v>94</v>
      </c>
      <c r="F320" s="476" t="s">
        <v>101</v>
      </c>
      <c r="G320" s="135" t="str">
        <f>VLOOKUP(A320,Plano_V3!$A$26:$G$769,7,0)</f>
        <v>1. Concluído</v>
      </c>
      <c r="H320" s="135" t="s">
        <v>612</v>
      </c>
      <c r="I320" s="473"/>
      <c r="J320" s="153"/>
      <c r="K320" s="153"/>
      <c r="L320" s="153"/>
      <c r="M320" s="152" t="str">
        <f>IF(VLOOKUP(A320,'Aux - pivots1'!$A:$E,3,0)=0, "",VLOOKUP(A320,'Aux - pivots1'!$A:$E,3,0))</f>
        <v/>
      </c>
      <c r="N320" s="152" t="str">
        <f>IF(VLOOKUP(A320,'Aux - pivots1'!$A:$E,4,0)=0, "",VLOOKUP(A320,'Aux - pivots1'!$A:$E,4,0))</f>
        <v/>
      </c>
      <c r="O320" s="152" t="str">
        <f>IF(VLOOKUP(A320,'Aux - pivots1'!$A:$E,5,0)=0, "",VLOOKUP(A320,'Aux - pivots1'!$A:$E,5,0))</f>
        <v/>
      </c>
      <c r="P320" s="202"/>
      <c r="Q320" s="202"/>
      <c r="R320" s="202"/>
      <c r="S320" s="324"/>
      <c r="T320" s="324"/>
      <c r="U320" s="372" t="s">
        <v>2326</v>
      </c>
      <c r="V320" s="152"/>
    </row>
    <row r="321" spans="1:22" ht="16.350000000000001" hidden="1" customHeight="1">
      <c r="A321" s="29" t="str">
        <f t="shared" si="6"/>
        <v>PROPERTYPROPERTY_PURPOSE_CODE</v>
      </c>
      <c r="B321" s="141" t="s">
        <v>26</v>
      </c>
      <c r="C321" s="137" t="s">
        <v>54</v>
      </c>
      <c r="D321" s="133" t="s">
        <v>40</v>
      </c>
      <c r="E321" s="134" t="s">
        <v>94</v>
      </c>
      <c r="F321" s="476" t="s">
        <v>102</v>
      </c>
      <c r="G321" s="135" t="str">
        <f>VLOOKUP(A321,Plano_V3!$A$26:$G$769,7,0)</f>
        <v>1. Concluído</v>
      </c>
      <c r="H321" s="135" t="s">
        <v>612</v>
      </c>
      <c r="I321" s="473"/>
      <c r="J321" s="153"/>
      <c r="K321" s="153"/>
      <c r="L321" s="153"/>
      <c r="M321" s="152" t="str">
        <f>IF(VLOOKUP(A321,'Aux - pivots1'!$A:$E,3,0)=0, "",VLOOKUP(A321,'Aux - pivots1'!$A:$E,3,0))</f>
        <v/>
      </c>
      <c r="N321" s="152" t="str">
        <f>IF(VLOOKUP(A321,'Aux - pivots1'!$A:$E,4,0)=0, "",VLOOKUP(A321,'Aux - pivots1'!$A:$E,4,0))</f>
        <v/>
      </c>
      <c r="O321" s="152" t="str">
        <f>IF(VLOOKUP(A321,'Aux - pivots1'!$A:$E,5,0)=0, "",VLOOKUP(A321,'Aux - pivots1'!$A:$E,5,0))</f>
        <v/>
      </c>
      <c r="P321" s="202"/>
      <c r="Q321" s="202"/>
      <c r="R321" s="202"/>
      <c r="S321" s="324"/>
      <c r="T321" s="324"/>
      <c r="U321" s="372" t="s">
        <v>2326</v>
      </c>
      <c r="V321" s="152"/>
    </row>
    <row r="322" spans="1:22" ht="16.350000000000001" hidden="1" customHeight="1">
      <c r="A322" s="29" t="str">
        <f t="shared" si="6"/>
        <v>PROPERTYPROPERTY_LIFETIME_CODE</v>
      </c>
      <c r="B322" s="141" t="s">
        <v>26</v>
      </c>
      <c r="C322" s="137" t="s">
        <v>54</v>
      </c>
      <c r="D322" s="133" t="s">
        <v>40</v>
      </c>
      <c r="E322" s="134" t="s">
        <v>94</v>
      </c>
      <c r="F322" s="476" t="s">
        <v>103</v>
      </c>
      <c r="G322" s="135" t="str">
        <f>VLOOKUP(A322,Plano_V3!$A$26:$G$769,7,0)</f>
        <v>1. Concluído</v>
      </c>
      <c r="H322" s="135" t="s">
        <v>612</v>
      </c>
      <c r="I322" s="473"/>
      <c r="J322" s="153"/>
      <c r="K322" s="153"/>
      <c r="L322" s="153"/>
      <c r="M322" s="152" t="str">
        <f>IF(VLOOKUP(A322,'Aux - pivots1'!$A:$E,3,0)=0, "",VLOOKUP(A322,'Aux - pivots1'!$A:$E,3,0))</f>
        <v/>
      </c>
      <c r="N322" s="152" t="str">
        <f>IF(VLOOKUP(A322,'Aux - pivots1'!$A:$E,4,0)=0, "",VLOOKUP(A322,'Aux - pivots1'!$A:$E,4,0))</f>
        <v/>
      </c>
      <c r="O322" s="152" t="str">
        <f>IF(VLOOKUP(A322,'Aux - pivots1'!$A:$E,5,0)=0, "",VLOOKUP(A322,'Aux - pivots1'!$A:$E,5,0))</f>
        <v/>
      </c>
      <c r="P322" s="202"/>
      <c r="Q322" s="202"/>
      <c r="R322" s="202"/>
      <c r="S322" s="324"/>
      <c r="T322" s="324"/>
      <c r="U322" s="372" t="s">
        <v>2326</v>
      </c>
      <c r="V322" s="152"/>
    </row>
    <row r="323" spans="1:22" ht="16.350000000000001" hidden="1" customHeight="1">
      <c r="A323" s="29" t="str">
        <f t="shared" si="6"/>
        <v>PROPERTYADDRESS_CODE</v>
      </c>
      <c r="B323" s="141" t="s">
        <v>26</v>
      </c>
      <c r="C323" s="137" t="s">
        <v>54</v>
      </c>
      <c r="D323" s="133" t="s">
        <v>40</v>
      </c>
      <c r="E323" s="134" t="s">
        <v>94</v>
      </c>
      <c r="F323" s="476" t="s">
        <v>104</v>
      </c>
      <c r="G323" s="135" t="str">
        <f>VLOOKUP(A323,Plano_V3!$A$26:$G$769,7,0)</f>
        <v>1. Concluído</v>
      </c>
      <c r="H323" s="135" t="s">
        <v>612</v>
      </c>
      <c r="I323" s="473"/>
      <c r="J323" s="153"/>
      <c r="K323" s="153"/>
      <c r="L323" s="153"/>
      <c r="M323" s="152" t="str">
        <f>IF(VLOOKUP(A323,'Aux - pivots1'!$A:$E,3,0)=0, "",VLOOKUP(A323,'Aux - pivots1'!$A:$E,3,0))</f>
        <v/>
      </c>
      <c r="N323" s="152" t="str">
        <f>IF(VLOOKUP(A323,'Aux - pivots1'!$A:$E,4,0)=0, "",VLOOKUP(A323,'Aux - pivots1'!$A:$E,4,0))</f>
        <v/>
      </c>
      <c r="O323" s="152" t="str">
        <f>IF(VLOOKUP(A323,'Aux - pivots1'!$A:$E,5,0)=0, "",VLOOKUP(A323,'Aux - pivots1'!$A:$E,5,0))</f>
        <v/>
      </c>
      <c r="P323" s="202"/>
      <c r="Q323" s="202"/>
      <c r="R323" s="202"/>
      <c r="S323" s="324"/>
      <c r="T323" s="324"/>
      <c r="U323" s="372" t="s">
        <v>2326</v>
      </c>
      <c r="V323" s="152"/>
    </row>
    <row r="324" spans="1:22" ht="16.350000000000001" hidden="1" customHeight="1">
      <c r="A324" s="29" t="str">
        <f t="shared" si="6"/>
        <v>PROPERTYCOUNTRY_CODE</v>
      </c>
      <c r="B324" s="141" t="s">
        <v>26</v>
      </c>
      <c r="C324" s="137" t="s">
        <v>54</v>
      </c>
      <c r="D324" s="133" t="s">
        <v>40</v>
      </c>
      <c r="E324" s="134" t="s">
        <v>94</v>
      </c>
      <c r="F324" s="476" t="s">
        <v>105</v>
      </c>
      <c r="G324" s="135" t="str">
        <f>VLOOKUP(A324,Plano_V3!$A$26:$G$769,7,0)</f>
        <v>1. Concluído</v>
      </c>
      <c r="H324" s="135" t="s">
        <v>612</v>
      </c>
      <c r="I324" s="473"/>
      <c r="J324" s="153"/>
      <c r="K324" s="153"/>
      <c r="L324" s="153"/>
      <c r="M324" s="152" t="str">
        <f>IF(VLOOKUP(A324,'Aux - pivots1'!$A:$E,3,0)=0, "",VLOOKUP(A324,'Aux - pivots1'!$A:$E,3,0))</f>
        <v/>
      </c>
      <c r="N324" s="152" t="str">
        <f>IF(VLOOKUP(A324,'Aux - pivots1'!$A:$E,4,0)=0, "",VLOOKUP(A324,'Aux - pivots1'!$A:$E,4,0))</f>
        <v/>
      </c>
      <c r="O324" s="152" t="str">
        <f>IF(VLOOKUP(A324,'Aux - pivots1'!$A:$E,5,0)=0, "",VLOOKUP(A324,'Aux - pivots1'!$A:$E,5,0))</f>
        <v/>
      </c>
      <c r="P324" s="202"/>
      <c r="Q324" s="202"/>
      <c r="R324" s="202"/>
      <c r="S324" s="324"/>
      <c r="T324" s="324"/>
      <c r="U324" s="372" t="s">
        <v>2326</v>
      </c>
      <c r="V324" s="152"/>
    </row>
    <row r="325" spans="1:22" ht="16.350000000000001" hidden="1" customHeight="1">
      <c r="A325" s="29" t="str">
        <f t="shared" si="6"/>
        <v>PROPERTYPOSTAL_CODE</v>
      </c>
      <c r="B325" s="141" t="s">
        <v>26</v>
      </c>
      <c r="C325" s="137" t="s">
        <v>54</v>
      </c>
      <c r="D325" s="133" t="s">
        <v>40</v>
      </c>
      <c r="E325" s="134" t="s">
        <v>94</v>
      </c>
      <c r="F325" s="476" t="s">
        <v>106</v>
      </c>
      <c r="G325" s="135" t="str">
        <f>VLOOKUP(A325,Plano_V3!$A$26:$G$769,7,0)</f>
        <v>1. Concluído</v>
      </c>
      <c r="H325" s="135" t="s">
        <v>612</v>
      </c>
      <c r="I325" s="473"/>
      <c r="J325" s="153"/>
      <c r="K325" s="153"/>
      <c r="L325" s="153"/>
      <c r="M325" s="152" t="str">
        <f>IF(VLOOKUP(A325,'Aux - pivots1'!$A:$E,3,0)=0, "",VLOOKUP(A325,'Aux - pivots1'!$A:$E,3,0))</f>
        <v/>
      </c>
      <c r="N325" s="152" t="str">
        <f>IF(VLOOKUP(A325,'Aux - pivots1'!$A:$E,4,0)=0, "",VLOOKUP(A325,'Aux - pivots1'!$A:$E,4,0))</f>
        <v/>
      </c>
      <c r="O325" s="152" t="str">
        <f>IF(VLOOKUP(A325,'Aux - pivots1'!$A:$E,5,0)=0, "",VLOOKUP(A325,'Aux - pivots1'!$A:$E,5,0))</f>
        <v/>
      </c>
      <c r="P325" s="202"/>
      <c r="Q325" s="202"/>
      <c r="R325" s="202"/>
      <c r="S325" s="324"/>
      <c r="T325" s="324"/>
      <c r="U325" s="372" t="s">
        <v>2326</v>
      </c>
      <c r="V325" s="152"/>
    </row>
    <row r="326" spans="1:22" ht="16.350000000000001" hidden="1" customHeight="1">
      <c r="A326" s="29" t="str">
        <f t="shared" si="6"/>
        <v>PROPERTYPROPERTY_TYPE_CODE</v>
      </c>
      <c r="B326" s="141" t="s">
        <v>26</v>
      </c>
      <c r="C326" s="137" t="s">
        <v>54</v>
      </c>
      <c r="D326" s="133" t="s">
        <v>40</v>
      </c>
      <c r="E326" s="134" t="s">
        <v>94</v>
      </c>
      <c r="F326" s="476" t="s">
        <v>107</v>
      </c>
      <c r="G326" s="135" t="str">
        <f>VLOOKUP(A326,Plano_V3!$A$26:$G$769,7,0)</f>
        <v>1. Concluído</v>
      </c>
      <c r="H326" s="135" t="s">
        <v>612</v>
      </c>
      <c r="I326" s="473"/>
      <c r="J326" s="153"/>
      <c r="K326" s="153"/>
      <c r="L326" s="153"/>
      <c r="M326" s="152" t="str">
        <f>IF(VLOOKUP(A326,'Aux - pivots1'!$A:$E,3,0)=0, "",VLOOKUP(A326,'Aux - pivots1'!$A:$E,3,0))</f>
        <v/>
      </c>
      <c r="N326" s="152" t="str">
        <f>IF(VLOOKUP(A326,'Aux - pivots1'!$A:$E,4,0)=0, "",VLOOKUP(A326,'Aux - pivots1'!$A:$E,4,0))</f>
        <v/>
      </c>
      <c r="O326" s="152" t="str">
        <f>IF(VLOOKUP(A326,'Aux - pivots1'!$A:$E,5,0)=0, "",VLOOKUP(A326,'Aux - pivots1'!$A:$E,5,0))</f>
        <v/>
      </c>
      <c r="P326" s="202"/>
      <c r="Q326" s="202"/>
      <c r="R326" s="202"/>
      <c r="S326" s="324"/>
      <c r="T326" s="324"/>
      <c r="U326" s="372" t="s">
        <v>2326</v>
      </c>
      <c r="V326" s="152"/>
    </row>
    <row r="327" spans="1:22" ht="16.350000000000001" hidden="1" customHeight="1">
      <c r="A327" s="29" t="str">
        <f t="shared" si="6"/>
        <v>PROPERTYLAST_APPRAISAL_DATE</v>
      </c>
      <c r="B327" s="141" t="s">
        <v>26</v>
      </c>
      <c r="C327" s="137" t="s">
        <v>54</v>
      </c>
      <c r="D327" s="133" t="s">
        <v>40</v>
      </c>
      <c r="E327" s="134" t="s">
        <v>94</v>
      </c>
      <c r="F327" s="476" t="s">
        <v>108</v>
      </c>
      <c r="G327" s="135" t="str">
        <f>VLOOKUP(A327,Plano_V3!$A$26:$G$769,7,0)</f>
        <v>1. Concluído</v>
      </c>
      <c r="H327" s="135" t="s">
        <v>612</v>
      </c>
      <c r="I327" s="473"/>
      <c r="J327" s="153"/>
      <c r="K327" s="153"/>
      <c r="L327" s="153"/>
      <c r="M327" s="152" t="str">
        <f>IF(VLOOKUP(A327,'Aux - pivots1'!$A:$E,3,0)=0, "",VLOOKUP(A327,'Aux - pivots1'!$A:$E,3,0))</f>
        <v/>
      </c>
      <c r="N327" s="152" t="str">
        <f>IF(VLOOKUP(A327,'Aux - pivots1'!$A:$E,4,0)=0, "",VLOOKUP(A327,'Aux - pivots1'!$A:$E,4,0))</f>
        <v/>
      </c>
      <c r="O327" s="152" t="str">
        <f>IF(VLOOKUP(A327,'Aux - pivots1'!$A:$E,5,0)=0, "",VLOOKUP(A327,'Aux - pivots1'!$A:$E,5,0))</f>
        <v/>
      </c>
      <c r="P327" s="202"/>
      <c r="Q327" s="202"/>
      <c r="R327" s="202"/>
      <c r="S327" s="324"/>
      <c r="T327" s="324"/>
      <c r="U327" s="372" t="s">
        <v>2326</v>
      </c>
      <c r="V327" s="152"/>
    </row>
    <row r="328" spans="1:22" ht="16.350000000000001" hidden="1" customHeight="1">
      <c r="A328" s="29" t="str">
        <f t="shared" si="6"/>
        <v>PROPERTYUSAGE_PERMIT_START_DATE</v>
      </c>
      <c r="B328" s="141" t="s">
        <v>26</v>
      </c>
      <c r="C328" s="137" t="s">
        <v>54</v>
      </c>
      <c r="D328" s="133" t="s">
        <v>40</v>
      </c>
      <c r="E328" s="134" t="s">
        <v>94</v>
      </c>
      <c r="F328" s="476" t="s">
        <v>109</v>
      </c>
      <c r="G328" s="135" t="str">
        <f>VLOOKUP(A328,Plano_V3!$A$26:$G$769,7,0)</f>
        <v>1. Concluído</v>
      </c>
      <c r="H328" s="135" t="s">
        <v>612</v>
      </c>
      <c r="I328" s="473"/>
      <c r="J328" s="153"/>
      <c r="K328" s="153"/>
      <c r="L328" s="153"/>
      <c r="M328" s="152" t="str">
        <f>IF(VLOOKUP(A328,'Aux - pivots1'!$A:$E,3,0)=0, "",VLOOKUP(A328,'Aux - pivots1'!$A:$E,3,0))</f>
        <v/>
      </c>
      <c r="N328" s="152" t="str">
        <f>IF(VLOOKUP(A328,'Aux - pivots1'!$A:$E,4,0)=0, "",VLOOKUP(A328,'Aux - pivots1'!$A:$E,4,0))</f>
        <v/>
      </c>
      <c r="O328" s="152" t="str">
        <f>IF(VLOOKUP(A328,'Aux - pivots1'!$A:$E,5,0)=0, "",VLOOKUP(A328,'Aux - pivots1'!$A:$E,5,0))</f>
        <v/>
      </c>
      <c r="P328" s="202"/>
      <c r="Q328" s="202"/>
      <c r="R328" s="202"/>
      <c r="S328" s="324"/>
      <c r="T328" s="324"/>
      <c r="U328" s="372" t="s">
        <v>2326</v>
      </c>
      <c r="V328" s="152"/>
    </row>
    <row r="329" spans="1:22" ht="16.350000000000001" hidden="1" customHeight="1">
      <c r="A329" s="29" t="str">
        <f t="shared" si="6"/>
        <v>PROPERTYCONSERVATORY_REG_FILE_ID</v>
      </c>
      <c r="B329" s="141" t="s">
        <v>26</v>
      </c>
      <c r="C329" s="137" t="s">
        <v>54</v>
      </c>
      <c r="D329" s="133" t="s">
        <v>40</v>
      </c>
      <c r="E329" s="134" t="s">
        <v>94</v>
      </c>
      <c r="F329" s="476" t="s">
        <v>110</v>
      </c>
      <c r="G329" s="135" t="str">
        <f>VLOOKUP(A329,Plano_V3!$A$26:$G$769,7,0)</f>
        <v>1. Concluído</v>
      </c>
      <c r="H329" s="135" t="s">
        <v>612</v>
      </c>
      <c r="I329" s="473"/>
      <c r="J329" s="153"/>
      <c r="K329" s="153"/>
      <c r="L329" s="153"/>
      <c r="M329" s="152" t="str">
        <f>IF(VLOOKUP(A329,'Aux - pivots1'!$A:$E,3,0)=0, "",VLOOKUP(A329,'Aux - pivots1'!$A:$E,3,0))</f>
        <v/>
      </c>
      <c r="N329" s="152" t="str">
        <f>IF(VLOOKUP(A329,'Aux - pivots1'!$A:$E,4,0)=0, "",VLOOKUP(A329,'Aux - pivots1'!$A:$E,4,0))</f>
        <v/>
      </c>
      <c r="O329" s="152" t="str">
        <f>IF(VLOOKUP(A329,'Aux - pivots1'!$A:$E,5,0)=0, "",VLOOKUP(A329,'Aux - pivots1'!$A:$E,5,0))</f>
        <v/>
      </c>
      <c r="P329" s="202"/>
      <c r="Q329" s="202"/>
      <c r="R329" s="202"/>
      <c r="S329" s="324"/>
      <c r="T329" s="324"/>
      <c r="U329" s="372" t="s">
        <v>2326</v>
      </c>
      <c r="V329" s="152"/>
    </row>
    <row r="330" spans="1:22" ht="16.350000000000001" hidden="1" customHeight="1">
      <c r="A330" s="29" t="str">
        <f t="shared" si="6"/>
        <v>PROPERTYFLOOR_NUMBER</v>
      </c>
      <c r="B330" s="141" t="s">
        <v>26</v>
      </c>
      <c r="C330" s="137" t="s">
        <v>54</v>
      </c>
      <c r="D330" s="133" t="s">
        <v>40</v>
      </c>
      <c r="E330" s="134" t="s">
        <v>94</v>
      </c>
      <c r="F330" s="476" t="s">
        <v>111</v>
      </c>
      <c r="G330" s="135" t="str">
        <f>VLOOKUP(A330,Plano_V3!$A$26:$G$769,7,0)</f>
        <v>1. Concluído</v>
      </c>
      <c r="H330" s="135" t="s">
        <v>612</v>
      </c>
      <c r="I330" s="473"/>
      <c r="J330" s="153"/>
      <c r="K330" s="153"/>
      <c r="L330" s="153"/>
      <c r="M330" s="152" t="str">
        <f>IF(VLOOKUP(A330,'Aux - pivots1'!$A:$E,3,0)=0, "",VLOOKUP(A330,'Aux - pivots1'!$A:$E,3,0))</f>
        <v/>
      </c>
      <c r="N330" s="152" t="str">
        <f>IF(VLOOKUP(A330,'Aux - pivots1'!$A:$E,4,0)=0, "",VLOOKUP(A330,'Aux - pivots1'!$A:$E,4,0))</f>
        <v/>
      </c>
      <c r="O330" s="152" t="str">
        <f>IF(VLOOKUP(A330,'Aux - pivots1'!$A:$E,5,0)=0, "",VLOOKUP(A330,'Aux - pivots1'!$A:$E,5,0))</f>
        <v/>
      </c>
      <c r="P330" s="202"/>
      <c r="Q330" s="202"/>
      <c r="R330" s="202"/>
      <c r="S330" s="324"/>
      <c r="T330" s="324"/>
      <c r="U330" s="372" t="s">
        <v>2326</v>
      </c>
      <c r="V330" s="152"/>
    </row>
    <row r="331" spans="1:22" ht="16.350000000000001" hidden="1" customHeight="1">
      <c r="A331" s="29" t="str">
        <f t="shared" ref="A331:A394" si="7">E331&amp;F331</f>
        <v>PROPERTYLOCALITY</v>
      </c>
      <c r="B331" s="141" t="s">
        <v>26</v>
      </c>
      <c r="C331" s="137" t="s">
        <v>54</v>
      </c>
      <c r="D331" s="133" t="s">
        <v>40</v>
      </c>
      <c r="E331" s="134" t="s">
        <v>94</v>
      </c>
      <c r="F331" s="476" t="s">
        <v>112</v>
      </c>
      <c r="G331" s="135" t="str">
        <f>VLOOKUP(A331,Plano_V3!$A$26:$G$769,7,0)</f>
        <v>1. Concluído</v>
      </c>
      <c r="H331" s="135" t="s">
        <v>612</v>
      </c>
      <c r="I331" s="473"/>
      <c r="J331" s="153"/>
      <c r="K331" s="153"/>
      <c r="L331" s="153"/>
      <c r="M331" s="152" t="str">
        <f>IF(VLOOKUP(A331,'Aux - pivots1'!$A:$E,3,0)=0, "",VLOOKUP(A331,'Aux - pivots1'!$A:$E,3,0))</f>
        <v/>
      </c>
      <c r="N331" s="152" t="str">
        <f>IF(VLOOKUP(A331,'Aux - pivots1'!$A:$E,4,0)=0, "",VLOOKUP(A331,'Aux - pivots1'!$A:$E,4,0))</f>
        <v/>
      </c>
      <c r="O331" s="152" t="str">
        <f>IF(VLOOKUP(A331,'Aux - pivots1'!$A:$E,5,0)=0, "",VLOOKUP(A331,'Aux - pivots1'!$A:$E,5,0))</f>
        <v/>
      </c>
      <c r="P331" s="202"/>
      <c r="Q331" s="202"/>
      <c r="R331" s="202"/>
      <c r="S331" s="324"/>
      <c r="T331" s="324"/>
      <c r="U331" s="372" t="s">
        <v>2326</v>
      </c>
      <c r="V331" s="152"/>
    </row>
    <row r="332" spans="1:22" ht="16.350000000000001" hidden="1" customHeight="1">
      <c r="A332" s="29" t="str">
        <f t="shared" si="7"/>
        <v>PROPERTYPROPERTY_LOT</v>
      </c>
      <c r="B332" s="141" t="s">
        <v>26</v>
      </c>
      <c r="C332" s="137" t="s">
        <v>54</v>
      </c>
      <c r="D332" s="133" t="s">
        <v>40</v>
      </c>
      <c r="E332" s="134" t="s">
        <v>94</v>
      </c>
      <c r="F332" s="476" t="s">
        <v>113</v>
      </c>
      <c r="G332" s="135" t="str">
        <f>VLOOKUP(A332,Plano_V3!$A$26:$G$769,7,0)</f>
        <v>1. Concluído</v>
      </c>
      <c r="H332" s="135" t="s">
        <v>612</v>
      </c>
      <c r="I332" s="473"/>
      <c r="J332" s="153"/>
      <c r="K332" s="153"/>
      <c r="L332" s="153"/>
      <c r="M332" s="152" t="str">
        <f>IF(VLOOKUP(A332,'Aux - pivots1'!$A:$E,3,0)=0, "",VLOOKUP(A332,'Aux - pivots1'!$A:$E,3,0))</f>
        <v/>
      </c>
      <c r="N332" s="152" t="str">
        <f>IF(VLOOKUP(A332,'Aux - pivots1'!$A:$E,4,0)=0, "",VLOOKUP(A332,'Aux - pivots1'!$A:$E,4,0))</f>
        <v/>
      </c>
      <c r="O332" s="152" t="str">
        <f>IF(VLOOKUP(A332,'Aux - pivots1'!$A:$E,5,0)=0, "",VLOOKUP(A332,'Aux - pivots1'!$A:$E,5,0))</f>
        <v/>
      </c>
      <c r="P332" s="202"/>
      <c r="Q332" s="202"/>
      <c r="R332" s="202"/>
      <c r="S332" s="324"/>
      <c r="T332" s="324"/>
      <c r="U332" s="372" t="s">
        <v>2326</v>
      </c>
      <c r="V332" s="152"/>
    </row>
    <row r="333" spans="1:22" ht="16.350000000000001" hidden="1" customHeight="1">
      <c r="A333" s="29" t="str">
        <f t="shared" si="7"/>
        <v>PROPERTYLAST_APPRAISAL_AMOUNT</v>
      </c>
      <c r="B333" s="141" t="s">
        <v>26</v>
      </c>
      <c r="C333" s="137" t="s">
        <v>54</v>
      </c>
      <c r="D333" s="133" t="s">
        <v>40</v>
      </c>
      <c r="E333" s="134" t="s">
        <v>94</v>
      </c>
      <c r="F333" s="476" t="s">
        <v>114</v>
      </c>
      <c r="G333" s="135" t="str">
        <f>VLOOKUP(A333,Plano_V3!$A$26:$G$769,7,0)</f>
        <v>1. Concluído</v>
      </c>
      <c r="H333" s="135" t="s">
        <v>612</v>
      </c>
      <c r="I333" s="473"/>
      <c r="J333" s="153"/>
      <c r="K333" s="153"/>
      <c r="L333" s="153"/>
      <c r="M333" s="152" t="str">
        <f>IF(VLOOKUP(A333,'Aux - pivots1'!$A:$E,3,0)=0, "",VLOOKUP(A333,'Aux - pivots1'!$A:$E,3,0))</f>
        <v/>
      </c>
      <c r="N333" s="152" t="str">
        <f>IF(VLOOKUP(A333,'Aux - pivots1'!$A:$E,4,0)=0, "",VLOOKUP(A333,'Aux - pivots1'!$A:$E,4,0))</f>
        <v/>
      </c>
      <c r="O333" s="152" t="str">
        <f>IF(VLOOKUP(A333,'Aux - pivots1'!$A:$E,5,0)=0, "",VLOOKUP(A333,'Aux - pivots1'!$A:$E,5,0))</f>
        <v/>
      </c>
      <c r="P333" s="202"/>
      <c r="Q333" s="202"/>
      <c r="R333" s="202"/>
      <c r="S333" s="324"/>
      <c r="T333" s="324"/>
      <c r="U333" s="372" t="s">
        <v>2326</v>
      </c>
      <c r="V333" s="152"/>
    </row>
    <row r="334" spans="1:22" ht="16.350000000000001" hidden="1" customHeight="1">
      <c r="A334" s="29" t="str">
        <f t="shared" si="7"/>
        <v>PROPERTYNET_APPRAISAL_AMOUNT</v>
      </c>
      <c r="B334" s="141" t="s">
        <v>26</v>
      </c>
      <c r="C334" s="137" t="s">
        <v>54</v>
      </c>
      <c r="D334" s="133" t="s">
        <v>40</v>
      </c>
      <c r="E334" s="134" t="s">
        <v>94</v>
      </c>
      <c r="F334" s="476" t="s">
        <v>115</v>
      </c>
      <c r="G334" s="135" t="str">
        <f>VLOOKUP(A334,Plano_V3!$A$26:$G$769,7,0)</f>
        <v>1. Concluído</v>
      </c>
      <c r="H334" s="135" t="s">
        <v>612</v>
      </c>
      <c r="I334" s="473"/>
      <c r="J334" s="153"/>
      <c r="K334" s="153"/>
      <c r="L334" s="153"/>
      <c r="M334" s="152" t="str">
        <f>IF(VLOOKUP(A334,'Aux - pivots1'!$A:$E,3,0)=0, "",VLOOKUP(A334,'Aux - pivots1'!$A:$E,3,0))</f>
        <v/>
      </c>
      <c r="N334" s="152" t="str">
        <f>IF(VLOOKUP(A334,'Aux - pivots1'!$A:$E,4,0)=0, "",VLOOKUP(A334,'Aux - pivots1'!$A:$E,4,0))</f>
        <v/>
      </c>
      <c r="O334" s="152" t="str">
        <f>IF(VLOOKUP(A334,'Aux - pivots1'!$A:$E,5,0)=0, "",VLOOKUP(A334,'Aux - pivots1'!$A:$E,5,0))</f>
        <v/>
      </c>
      <c r="P334" s="202"/>
      <c r="Q334" s="202"/>
      <c r="R334" s="202"/>
      <c r="S334" s="324"/>
      <c r="T334" s="324"/>
      <c r="U334" s="372" t="s">
        <v>2326</v>
      </c>
      <c r="V334" s="152"/>
    </row>
    <row r="335" spans="1:22" ht="16.350000000000001" hidden="1" customHeight="1">
      <c r="A335" s="29" t="str">
        <f t="shared" si="7"/>
        <v>PROPERTYCOLLATERAL_FAST_SALE_AMOUNT</v>
      </c>
      <c r="B335" s="141" t="s">
        <v>26</v>
      </c>
      <c r="C335" s="137" t="s">
        <v>54</v>
      </c>
      <c r="D335" s="133" t="s">
        <v>40</v>
      </c>
      <c r="E335" s="134" t="s">
        <v>94</v>
      </c>
      <c r="F335" s="476" t="s">
        <v>116</v>
      </c>
      <c r="G335" s="135" t="str">
        <f>VLOOKUP(A335,Plano_V3!$A$26:$G$769,7,0)</f>
        <v>1. Concluído</v>
      </c>
      <c r="H335" s="135" t="s">
        <v>612</v>
      </c>
      <c r="I335" s="473"/>
      <c r="J335" s="153"/>
      <c r="K335" s="153"/>
      <c r="L335" s="153"/>
      <c r="M335" s="152" t="str">
        <f>IF(VLOOKUP(A335,'Aux - pivots1'!$A:$E,3,0)=0, "",VLOOKUP(A335,'Aux - pivots1'!$A:$E,3,0))</f>
        <v/>
      </c>
      <c r="N335" s="152" t="str">
        <f>IF(VLOOKUP(A335,'Aux - pivots1'!$A:$E,4,0)=0, "",VLOOKUP(A335,'Aux - pivots1'!$A:$E,4,0))</f>
        <v/>
      </c>
      <c r="O335" s="152" t="str">
        <f>IF(VLOOKUP(A335,'Aux - pivots1'!$A:$E,5,0)=0, "",VLOOKUP(A335,'Aux - pivots1'!$A:$E,5,0))</f>
        <v/>
      </c>
      <c r="P335" s="202"/>
      <c r="Q335" s="202"/>
      <c r="R335" s="202"/>
      <c r="S335" s="324"/>
      <c r="T335" s="324"/>
      <c r="U335" s="372" t="s">
        <v>2326</v>
      </c>
      <c r="V335" s="152"/>
    </row>
    <row r="336" spans="1:22" ht="16.350000000000001" hidden="1" customHeight="1">
      <c r="A336" s="29" t="str">
        <f t="shared" si="7"/>
        <v>PROPERTYADDRESS</v>
      </c>
      <c r="B336" s="141" t="s">
        <v>26</v>
      </c>
      <c r="C336" s="137" t="s">
        <v>54</v>
      </c>
      <c r="D336" s="133" t="s">
        <v>40</v>
      </c>
      <c r="E336" s="134" t="s">
        <v>94</v>
      </c>
      <c r="F336" s="476" t="s">
        <v>117</v>
      </c>
      <c r="G336" s="135" t="str">
        <f>VLOOKUP(A336,Plano_V3!$A$26:$G$769,7,0)</f>
        <v>1. Concluído</v>
      </c>
      <c r="H336" s="135" t="s">
        <v>612</v>
      </c>
      <c r="I336" s="473"/>
      <c r="J336" s="153"/>
      <c r="K336" s="153"/>
      <c r="L336" s="153"/>
      <c r="M336" s="152" t="str">
        <f>IF(VLOOKUP(A336,'Aux - pivots1'!$A:$E,3,0)=0, "",VLOOKUP(A336,'Aux - pivots1'!$A:$E,3,0))</f>
        <v/>
      </c>
      <c r="N336" s="152" t="str">
        <f>IF(VLOOKUP(A336,'Aux - pivots1'!$A:$E,4,0)=0, "",VLOOKUP(A336,'Aux - pivots1'!$A:$E,4,0))</f>
        <v/>
      </c>
      <c r="O336" s="152" t="str">
        <f>IF(VLOOKUP(A336,'Aux - pivots1'!$A:$E,5,0)=0, "",VLOOKUP(A336,'Aux - pivots1'!$A:$E,5,0))</f>
        <v/>
      </c>
      <c r="P336" s="202"/>
      <c r="Q336" s="202"/>
      <c r="R336" s="202"/>
      <c r="S336" s="324"/>
      <c r="T336" s="324"/>
      <c r="U336" s="372" t="s">
        <v>2326</v>
      </c>
      <c r="V336" s="152"/>
    </row>
    <row r="337" spans="1:22" ht="16.350000000000001" hidden="1" customHeight="1">
      <c r="A337" s="29" t="str">
        <f t="shared" si="7"/>
        <v>PROPERTYPROPERTY_NUMBER</v>
      </c>
      <c r="B337" s="141" t="s">
        <v>26</v>
      </c>
      <c r="C337" s="137" t="s">
        <v>54</v>
      </c>
      <c r="D337" s="133" t="s">
        <v>40</v>
      </c>
      <c r="E337" s="134" t="s">
        <v>94</v>
      </c>
      <c r="F337" s="476" t="s">
        <v>118</v>
      </c>
      <c r="G337" s="135" t="str">
        <f>VLOOKUP(A337,Plano_V3!$A$26:$G$769,7,0)</f>
        <v>1. Concluído</v>
      </c>
      <c r="H337" s="135" t="s">
        <v>612</v>
      </c>
      <c r="I337" s="473"/>
      <c r="J337" s="153"/>
      <c r="K337" s="153"/>
      <c r="L337" s="153"/>
      <c r="M337" s="152" t="str">
        <f>IF(VLOOKUP(A337,'Aux - pivots1'!$A:$E,3,0)=0, "",VLOOKUP(A337,'Aux - pivots1'!$A:$E,3,0))</f>
        <v/>
      </c>
      <c r="N337" s="152" t="str">
        <f>IF(VLOOKUP(A337,'Aux - pivots1'!$A:$E,4,0)=0, "",VLOOKUP(A337,'Aux - pivots1'!$A:$E,4,0))</f>
        <v/>
      </c>
      <c r="O337" s="152" t="str">
        <f>IF(VLOOKUP(A337,'Aux - pivots1'!$A:$E,5,0)=0, "",VLOOKUP(A337,'Aux - pivots1'!$A:$E,5,0))</f>
        <v/>
      </c>
      <c r="P337" s="202"/>
      <c r="Q337" s="202"/>
      <c r="R337" s="202"/>
      <c r="S337" s="324"/>
      <c r="T337" s="324"/>
      <c r="U337" s="372" t="s">
        <v>2326</v>
      </c>
      <c r="V337" s="152"/>
    </row>
    <row r="338" spans="1:22" ht="16.350000000000001" hidden="1" customHeight="1">
      <c r="A338" s="29" t="str">
        <f t="shared" si="7"/>
        <v>PROPERTYOrigem</v>
      </c>
      <c r="B338" s="141" t="s">
        <v>26</v>
      </c>
      <c r="C338" s="137" t="s">
        <v>54</v>
      </c>
      <c r="D338" s="133" t="s">
        <v>40</v>
      </c>
      <c r="E338" s="134" t="s">
        <v>94</v>
      </c>
      <c r="F338" s="476" t="s">
        <v>119</v>
      </c>
      <c r="G338" s="135" t="str">
        <f>VLOOKUP(A338,Plano_V3!$A$26:$G$769,7,0)</f>
        <v>0. Cancelado</v>
      </c>
      <c r="H338" s="135" t="s">
        <v>611</v>
      </c>
      <c r="I338" s="473"/>
      <c r="J338" s="142"/>
      <c r="K338" s="142"/>
      <c r="L338" s="142"/>
      <c r="M338" s="152" t="str">
        <f>IF(VLOOKUP(A338,'Aux - pivots1'!$A:$E,3,0)=0, "",VLOOKUP(A338,'Aux - pivots1'!$A:$E,3,0))</f>
        <v/>
      </c>
      <c r="N338" s="152" t="str">
        <f>IF(VLOOKUP(A338,'Aux - pivots1'!$A:$E,4,0)=0, "",VLOOKUP(A338,'Aux - pivots1'!$A:$E,4,0))</f>
        <v/>
      </c>
      <c r="O338" s="152" t="str">
        <f>IF(VLOOKUP(A338,'Aux - pivots1'!$A:$E,5,0)=0, "",VLOOKUP(A338,'Aux - pivots1'!$A:$E,5,0))</f>
        <v/>
      </c>
      <c r="P338" s="202"/>
      <c r="Q338" s="202"/>
      <c r="R338" s="202"/>
      <c r="S338" s="324"/>
      <c r="T338" s="324"/>
      <c r="U338" s="372" t="s">
        <v>2326</v>
      </c>
      <c r="V338" s="152"/>
    </row>
    <row r="339" spans="1:22" ht="16.350000000000001" hidden="1" customHeight="1">
      <c r="A339" s="29" t="str">
        <f t="shared" si="7"/>
        <v>PROPERTYCURRENT_CONSTRUCTION_PCT</v>
      </c>
      <c r="B339" s="141" t="s">
        <v>26</v>
      </c>
      <c r="C339" s="137" t="s">
        <v>54</v>
      </c>
      <c r="D339" s="133" t="s">
        <v>40</v>
      </c>
      <c r="E339" s="134" t="s">
        <v>94</v>
      </c>
      <c r="F339" s="476" t="s">
        <v>120</v>
      </c>
      <c r="G339" s="135" t="str">
        <f>VLOOKUP(A339,Plano_V3!$A$26:$G$769,7,0)</f>
        <v>1. Concluído</v>
      </c>
      <c r="H339" s="135" t="s">
        <v>612</v>
      </c>
      <c r="I339" s="473"/>
      <c r="J339" s="142"/>
      <c r="K339" s="142"/>
      <c r="L339" s="142"/>
      <c r="M339" s="152" t="str">
        <f>IF(VLOOKUP(A339,'Aux - pivots1'!$A:$E,3,0)=0, "",VLOOKUP(A339,'Aux - pivots1'!$A:$E,3,0))</f>
        <v/>
      </c>
      <c r="N339" s="152" t="str">
        <f>IF(VLOOKUP(A339,'Aux - pivots1'!$A:$E,4,0)=0, "",VLOOKUP(A339,'Aux - pivots1'!$A:$E,4,0))</f>
        <v/>
      </c>
      <c r="O339" s="152" t="str">
        <f>IF(VLOOKUP(A339,'Aux - pivots1'!$A:$E,5,0)=0, "",VLOOKUP(A339,'Aux - pivots1'!$A:$E,5,0))</f>
        <v/>
      </c>
      <c r="P339" s="202"/>
      <c r="Q339" s="202"/>
      <c r="R339" s="202"/>
      <c r="S339" s="324"/>
      <c r="T339" s="324"/>
      <c r="U339" s="372" t="s">
        <v>2326</v>
      </c>
      <c r="V339" s="152"/>
    </row>
    <row r="340" spans="1:22" ht="16.350000000000001" hidden="1" customHeight="1">
      <c r="A340" s="29" t="str">
        <f t="shared" si="7"/>
        <v>PROPERTYCONSTRUCTION_COMPLETED_PCT</v>
      </c>
      <c r="B340" s="141" t="s">
        <v>26</v>
      </c>
      <c r="C340" s="137" t="s">
        <v>54</v>
      </c>
      <c r="D340" s="133" t="s">
        <v>40</v>
      </c>
      <c r="E340" s="134" t="s">
        <v>94</v>
      </c>
      <c r="F340" s="476" t="s">
        <v>121</v>
      </c>
      <c r="G340" s="135" t="str">
        <f>VLOOKUP(A340,Plano_V3!$A$26:$G$769,7,0)</f>
        <v>1. Concluído</v>
      </c>
      <c r="H340" s="135" t="s">
        <v>612</v>
      </c>
      <c r="I340" s="473"/>
      <c r="J340" s="142"/>
      <c r="K340" s="142"/>
      <c r="L340" s="142"/>
      <c r="M340" s="152" t="str">
        <f>IF(VLOOKUP(A340,'Aux - pivots1'!$A:$E,3,0)=0, "",VLOOKUP(A340,'Aux - pivots1'!$A:$E,3,0))</f>
        <v/>
      </c>
      <c r="N340" s="152" t="str">
        <f>IF(VLOOKUP(A340,'Aux - pivots1'!$A:$E,4,0)=0, "",VLOOKUP(A340,'Aux - pivots1'!$A:$E,4,0))</f>
        <v/>
      </c>
      <c r="O340" s="152" t="str">
        <f>IF(VLOOKUP(A340,'Aux - pivots1'!$A:$E,5,0)=0, "",VLOOKUP(A340,'Aux - pivots1'!$A:$E,5,0))</f>
        <v/>
      </c>
      <c r="P340" s="202"/>
      <c r="Q340" s="202"/>
      <c r="R340" s="202"/>
      <c r="S340" s="324"/>
      <c r="T340" s="324"/>
      <c r="U340" s="372" t="s">
        <v>2326</v>
      </c>
      <c r="V340" s="152"/>
    </row>
    <row r="341" spans="1:22" ht="16.350000000000001" hidden="1" customHeight="1">
      <c r="A341" s="29" t="str">
        <f t="shared" si="7"/>
        <v>PROPERTYDATA_DATE_PART</v>
      </c>
      <c r="B341" s="141" t="s">
        <v>26</v>
      </c>
      <c r="C341" s="137" t="s">
        <v>54</v>
      </c>
      <c r="D341" s="133" t="s">
        <v>40</v>
      </c>
      <c r="E341" s="134" t="s">
        <v>94</v>
      </c>
      <c r="F341" s="476" t="s">
        <v>73</v>
      </c>
      <c r="G341" s="135" t="str">
        <f>VLOOKUP(A341,Plano_V3!$A$26:$G$769,7,0)</f>
        <v>1. Concluído</v>
      </c>
      <c r="H341" s="135" t="s">
        <v>612</v>
      </c>
      <c r="I341" s="473"/>
      <c r="J341" s="153"/>
      <c r="K341" s="153"/>
      <c r="L341" s="153"/>
      <c r="M341" s="152" t="str">
        <f>IF(VLOOKUP(A341,'Aux - pivots1'!$A:$E,3,0)=0, "",VLOOKUP(A341,'Aux - pivots1'!$A:$E,3,0))</f>
        <v/>
      </c>
      <c r="N341" s="152" t="str">
        <f>IF(VLOOKUP(A341,'Aux - pivots1'!$A:$E,4,0)=0, "",VLOOKUP(A341,'Aux - pivots1'!$A:$E,4,0))</f>
        <v/>
      </c>
      <c r="O341" s="152" t="str">
        <f>IF(VLOOKUP(A341,'Aux - pivots1'!$A:$E,5,0)=0, "",VLOOKUP(A341,'Aux - pivots1'!$A:$E,5,0))</f>
        <v/>
      </c>
      <c r="P341" s="202"/>
      <c r="Q341" s="202"/>
      <c r="R341" s="202"/>
      <c r="S341" s="324"/>
      <c r="T341" s="324"/>
      <c r="U341" s="372" t="s">
        <v>2326</v>
      </c>
      <c r="V341" s="152"/>
    </row>
    <row r="342" spans="1:22" ht="16.350000000000001" hidden="1" customHeight="1">
      <c r="A342" s="29" t="str">
        <f t="shared" si="7"/>
        <v>PROPERTYPROPERTY_CODE</v>
      </c>
      <c r="B342" s="141" t="s">
        <v>26</v>
      </c>
      <c r="C342" s="137" t="s">
        <v>54</v>
      </c>
      <c r="D342" s="133" t="s">
        <v>40</v>
      </c>
      <c r="E342" s="134" t="s">
        <v>94</v>
      </c>
      <c r="F342" s="476" t="s">
        <v>2167</v>
      </c>
      <c r="G342" s="135" t="str">
        <f>VLOOKUP(A342,Plano_V3!$A$26:$G$769,7,0)</f>
        <v>1. Concluído</v>
      </c>
      <c r="H342" s="135" t="s">
        <v>612</v>
      </c>
      <c r="I342" s="473"/>
      <c r="J342" s="153"/>
      <c r="K342" s="153"/>
      <c r="L342" s="153"/>
      <c r="M342" s="152" t="str">
        <f>IF(VLOOKUP(A342,'Aux - pivots1'!$A:$E,3,0)=0, "",VLOOKUP(A342,'Aux - pivots1'!$A:$E,3,0))</f>
        <v/>
      </c>
      <c r="N342" s="152" t="str">
        <f>IF(VLOOKUP(A342,'Aux - pivots1'!$A:$E,4,0)=0, "",VLOOKUP(A342,'Aux - pivots1'!$A:$E,4,0))</f>
        <v/>
      </c>
      <c r="O342" s="152" t="str">
        <f>IF(VLOOKUP(A342,'Aux - pivots1'!$A:$E,5,0)=0, "",VLOOKUP(A342,'Aux - pivots1'!$A:$E,5,0))</f>
        <v/>
      </c>
      <c r="P342" s="202"/>
      <c r="Q342" s="202"/>
      <c r="R342" s="202"/>
      <c r="S342" s="324"/>
      <c r="T342" s="324"/>
      <c r="U342" s="372" t="s">
        <v>2326</v>
      </c>
      <c r="V342" s="152"/>
    </row>
    <row r="343" spans="1:22" ht="16.350000000000001" hidden="1" customHeight="1">
      <c r="A343" s="29" t="str">
        <f t="shared" si="7"/>
        <v>PROPERTYURBANIZATION</v>
      </c>
      <c r="B343" s="141" t="s">
        <v>26</v>
      </c>
      <c r="C343" s="137" t="s">
        <v>54</v>
      </c>
      <c r="D343" s="133" t="s">
        <v>40</v>
      </c>
      <c r="E343" s="134" t="s">
        <v>94</v>
      </c>
      <c r="F343" s="476" t="s">
        <v>122</v>
      </c>
      <c r="G343" s="135" t="str">
        <f>VLOOKUP(A343,Plano_V3!$A$26:$G$769,7,0)</f>
        <v>1. Concluído</v>
      </c>
      <c r="H343" s="135" t="s">
        <v>612</v>
      </c>
      <c r="I343" s="473"/>
      <c r="J343" s="153"/>
      <c r="K343" s="153"/>
      <c r="L343" s="153"/>
      <c r="M343" s="152" t="str">
        <f>IF(VLOOKUP(A343,'Aux - pivots1'!$A:$E,3,0)=0, "",VLOOKUP(A343,'Aux - pivots1'!$A:$E,3,0))</f>
        <v/>
      </c>
      <c r="N343" s="152" t="str">
        <f>IF(VLOOKUP(A343,'Aux - pivots1'!$A:$E,4,0)=0, "",VLOOKUP(A343,'Aux - pivots1'!$A:$E,4,0))</f>
        <v/>
      </c>
      <c r="O343" s="152" t="str">
        <f>IF(VLOOKUP(A343,'Aux - pivots1'!$A:$E,5,0)=0, "",VLOOKUP(A343,'Aux - pivots1'!$A:$E,5,0))</f>
        <v/>
      </c>
      <c r="P343" s="202"/>
      <c r="Q343" s="202"/>
      <c r="R343" s="202"/>
      <c r="S343" s="324"/>
      <c r="T343" s="324"/>
      <c r="U343" s="372" t="s">
        <v>2326</v>
      </c>
      <c r="V343" s="152"/>
    </row>
    <row r="344" spans="1:22" ht="16.350000000000001" hidden="1" customHeight="1">
      <c r="A344" s="29" t="str">
        <f t="shared" si="7"/>
        <v>PROPERTY_ENERGY_CERTIFICATEn.a.</v>
      </c>
      <c r="B344" s="141" t="s">
        <v>26</v>
      </c>
      <c r="C344" s="137" t="s">
        <v>54</v>
      </c>
      <c r="D344" s="133" t="s">
        <v>36</v>
      </c>
      <c r="E344" s="134" t="s">
        <v>123</v>
      </c>
      <c r="F344" s="476" t="s">
        <v>38</v>
      </c>
      <c r="G344" s="135" t="str">
        <f>VLOOKUP(A344,Plano_V3!$A$26:$G$769,7,0)</f>
        <v>1. Concluído</v>
      </c>
      <c r="H344" s="135" t="s">
        <v>612</v>
      </c>
      <c r="I344" s="473"/>
      <c r="J344" s="142"/>
      <c r="K344" s="142"/>
      <c r="L344" s="142"/>
      <c r="M344" s="152" t="str">
        <f>IF(VLOOKUP(A344,'Aux - pivots1'!$A:$E,3,0)=0, "",VLOOKUP(A344,'Aux - pivots1'!$A:$E,3,0))</f>
        <v/>
      </c>
      <c r="N344" s="152" t="str">
        <f>IF(VLOOKUP(A344,'Aux - pivots1'!$A:$E,4,0)=0, "",VLOOKUP(A344,'Aux - pivots1'!$A:$E,4,0))</f>
        <v/>
      </c>
      <c r="O344" s="152" t="str">
        <f>IF(VLOOKUP(A344,'Aux - pivots1'!$A:$E,5,0)=0, "",VLOOKUP(A344,'Aux - pivots1'!$A:$E,5,0))</f>
        <v/>
      </c>
      <c r="P344" s="202"/>
      <c r="Q344" s="202"/>
      <c r="R344" s="202"/>
      <c r="S344" s="324"/>
      <c r="T344" s="324"/>
      <c r="U344" s="372" t="s">
        <v>2326</v>
      </c>
      <c r="V344" s="152"/>
    </row>
    <row r="345" spans="1:22" ht="16.350000000000001" hidden="1" customHeight="1">
      <c r="A345" s="29" t="str">
        <f t="shared" si="7"/>
        <v>PROPERTY_ENERGY_CERTIFICATEPROPERTY_BANK_ID</v>
      </c>
      <c r="B345" s="141" t="s">
        <v>26</v>
      </c>
      <c r="C345" s="137" t="s">
        <v>54</v>
      </c>
      <c r="D345" s="133" t="s">
        <v>40</v>
      </c>
      <c r="E345" s="134" t="s">
        <v>123</v>
      </c>
      <c r="F345" s="476" t="s">
        <v>41</v>
      </c>
      <c r="G345" s="135" t="str">
        <f>VLOOKUP(A345,Plano_V3!$A$26:$G$769,7,0)</f>
        <v>1. Concluído</v>
      </c>
      <c r="H345" s="135" t="s">
        <v>612</v>
      </c>
      <c r="I345" s="473"/>
      <c r="J345" s="142"/>
      <c r="K345" s="142"/>
      <c r="L345" s="142"/>
      <c r="M345" s="152" t="str">
        <f>IF(VLOOKUP(A345,'Aux - pivots1'!$A:$E,3,0)=0, "",VLOOKUP(A345,'Aux - pivots1'!$A:$E,3,0))</f>
        <v/>
      </c>
      <c r="N345" s="152" t="str">
        <f>IF(VLOOKUP(A345,'Aux - pivots1'!$A:$E,4,0)=0, "",VLOOKUP(A345,'Aux - pivots1'!$A:$E,4,0))</f>
        <v/>
      </c>
      <c r="O345" s="152" t="str">
        <f>IF(VLOOKUP(A345,'Aux - pivots1'!$A:$E,5,0)=0, "",VLOOKUP(A345,'Aux - pivots1'!$A:$E,5,0))</f>
        <v/>
      </c>
      <c r="P345" s="202"/>
      <c r="Q345" s="202"/>
      <c r="R345" s="202"/>
      <c r="S345" s="324"/>
      <c r="T345" s="324"/>
      <c r="U345" s="372" t="s">
        <v>2326</v>
      </c>
      <c r="V345" s="152"/>
    </row>
    <row r="346" spans="1:22" ht="16.350000000000001" hidden="1" customHeight="1">
      <c r="A346" s="29" t="str">
        <f t="shared" si="7"/>
        <v>PROPERTY_ENERGY_CERTIFICATEPROPERTY_BRANCH_CODE</v>
      </c>
      <c r="B346" s="141" t="s">
        <v>26</v>
      </c>
      <c r="C346" s="137" t="s">
        <v>54</v>
      </c>
      <c r="D346" s="133" t="s">
        <v>40</v>
      </c>
      <c r="E346" s="134" t="s">
        <v>123</v>
      </c>
      <c r="F346" s="476" t="s">
        <v>43</v>
      </c>
      <c r="G346" s="135" t="str">
        <f>VLOOKUP(A346,Plano_V3!$A$26:$G$769,7,0)</f>
        <v>1. Concluído</v>
      </c>
      <c r="H346" s="135" t="s">
        <v>612</v>
      </c>
      <c r="I346" s="473"/>
      <c r="J346" s="142"/>
      <c r="K346" s="142"/>
      <c r="L346" s="142"/>
      <c r="M346" s="152" t="str">
        <f>IF(VLOOKUP(A346,'Aux - pivots1'!$A:$E,3,0)=0, "",VLOOKUP(A346,'Aux - pivots1'!$A:$E,3,0))</f>
        <v/>
      </c>
      <c r="N346" s="152" t="str">
        <f>IF(VLOOKUP(A346,'Aux - pivots1'!$A:$E,4,0)=0, "",VLOOKUP(A346,'Aux - pivots1'!$A:$E,4,0))</f>
        <v/>
      </c>
      <c r="O346" s="152" t="str">
        <f>IF(VLOOKUP(A346,'Aux - pivots1'!$A:$E,5,0)=0, "",VLOOKUP(A346,'Aux - pivots1'!$A:$E,5,0))</f>
        <v/>
      </c>
      <c r="P346" s="202"/>
      <c r="Q346" s="202"/>
      <c r="R346" s="202"/>
      <c r="S346" s="324"/>
      <c r="T346" s="324"/>
      <c r="U346" s="372" t="s">
        <v>2326</v>
      </c>
      <c r="V346" s="152"/>
    </row>
    <row r="347" spans="1:22" ht="16.350000000000001" hidden="1" customHeight="1">
      <c r="A347" s="29" t="str">
        <f t="shared" si="7"/>
        <v>PROPERTY_ENERGY_CERTIFICATEPROPERTY_CONTRACT_ID</v>
      </c>
      <c r="B347" s="141" t="s">
        <v>26</v>
      </c>
      <c r="C347" s="137" t="s">
        <v>54</v>
      </c>
      <c r="D347" s="133" t="s">
        <v>40</v>
      </c>
      <c r="E347" s="134" t="s">
        <v>123</v>
      </c>
      <c r="F347" s="476" t="s">
        <v>44</v>
      </c>
      <c r="G347" s="135" t="str">
        <f>VLOOKUP(A347,Plano_V3!$A$26:$G$769,7,0)</f>
        <v>1. Concluído</v>
      </c>
      <c r="H347" s="135" t="s">
        <v>612</v>
      </c>
      <c r="I347" s="473"/>
      <c r="J347" s="142"/>
      <c r="K347" s="142"/>
      <c r="L347" s="142"/>
      <c r="M347" s="152" t="str">
        <f>IF(VLOOKUP(A347,'Aux - pivots1'!$A:$E,3,0)=0, "",VLOOKUP(A347,'Aux - pivots1'!$A:$E,3,0))</f>
        <v/>
      </c>
      <c r="N347" s="152" t="str">
        <f>IF(VLOOKUP(A347,'Aux - pivots1'!$A:$E,4,0)=0, "",VLOOKUP(A347,'Aux - pivots1'!$A:$E,4,0))</f>
        <v/>
      </c>
      <c r="O347" s="152" t="str">
        <f>IF(VLOOKUP(A347,'Aux - pivots1'!$A:$E,5,0)=0, "",VLOOKUP(A347,'Aux - pivots1'!$A:$E,5,0))</f>
        <v/>
      </c>
      <c r="P347" s="202"/>
      <c r="Q347" s="202"/>
      <c r="R347" s="202"/>
      <c r="S347" s="324"/>
      <c r="T347" s="324"/>
      <c r="U347" s="372" t="s">
        <v>2326</v>
      </c>
      <c r="V347" s="152"/>
    </row>
    <row r="348" spans="1:22" ht="16.350000000000001" hidden="1" customHeight="1">
      <c r="A348" s="29" t="str">
        <f t="shared" si="7"/>
        <v>PROPERTY_ENERGY_CERTIFICATEPROPERTY_REFERENCE_CODE</v>
      </c>
      <c r="B348" s="141" t="s">
        <v>26</v>
      </c>
      <c r="C348" s="137" t="s">
        <v>54</v>
      </c>
      <c r="D348" s="133" t="s">
        <v>40</v>
      </c>
      <c r="E348" s="134" t="s">
        <v>123</v>
      </c>
      <c r="F348" s="476" t="s">
        <v>45</v>
      </c>
      <c r="G348" s="135" t="str">
        <f>VLOOKUP(A348,Plano_V3!$A$26:$G$769,7,0)</f>
        <v>1. Concluído</v>
      </c>
      <c r="H348" s="135" t="s">
        <v>612</v>
      </c>
      <c r="I348" s="473"/>
      <c r="J348" s="142"/>
      <c r="K348" s="142"/>
      <c r="L348" s="142"/>
      <c r="M348" s="152" t="str">
        <f>IF(VLOOKUP(A348,'Aux - pivots1'!$A:$E,3,0)=0, "",VLOOKUP(A348,'Aux - pivots1'!$A:$E,3,0))</f>
        <v/>
      </c>
      <c r="N348" s="152" t="str">
        <f>IF(VLOOKUP(A348,'Aux - pivots1'!$A:$E,4,0)=0, "",VLOOKUP(A348,'Aux - pivots1'!$A:$E,4,0))</f>
        <v/>
      </c>
      <c r="O348" s="152" t="str">
        <f>IF(VLOOKUP(A348,'Aux - pivots1'!$A:$E,5,0)=0, "",VLOOKUP(A348,'Aux - pivots1'!$A:$E,5,0))</f>
        <v/>
      </c>
      <c r="P348" s="202"/>
      <c r="Q348" s="202"/>
      <c r="R348" s="202"/>
      <c r="S348" s="324"/>
      <c r="T348" s="324"/>
      <c r="U348" s="372" t="s">
        <v>2326</v>
      </c>
      <c r="V348" s="152"/>
    </row>
    <row r="349" spans="1:22" ht="16.350000000000001" hidden="1" customHeight="1">
      <c r="A349" s="29" t="str">
        <f t="shared" si="7"/>
        <v>PROPERTY_ENERGY_CERTIFICATELAND_REGISTRY_OFFICE_CODE</v>
      </c>
      <c r="B349" s="141" t="s">
        <v>26</v>
      </c>
      <c r="C349" s="137" t="s">
        <v>54</v>
      </c>
      <c r="D349" s="133" t="s">
        <v>40</v>
      </c>
      <c r="E349" s="134" t="s">
        <v>123</v>
      </c>
      <c r="F349" s="476" t="s">
        <v>125</v>
      </c>
      <c r="G349" s="135" t="str">
        <f>VLOOKUP(A349,Plano_V3!$A$26:$G$769,7,0)</f>
        <v>1. Concluído</v>
      </c>
      <c r="H349" s="135" t="s">
        <v>612</v>
      </c>
      <c r="I349" s="473"/>
      <c r="J349" s="142"/>
      <c r="K349" s="142"/>
      <c r="L349" s="142"/>
      <c r="M349" s="152" t="str">
        <f>IF(VLOOKUP(A349,'Aux - pivots1'!$A:$E,3,0)=0, "",VLOOKUP(A349,'Aux - pivots1'!$A:$E,3,0))</f>
        <v/>
      </c>
      <c r="N349" s="152" t="str">
        <f>IF(VLOOKUP(A349,'Aux - pivots1'!$A:$E,4,0)=0, "",VLOOKUP(A349,'Aux - pivots1'!$A:$E,4,0))</f>
        <v/>
      </c>
      <c r="O349" s="152" t="str">
        <f>IF(VLOOKUP(A349,'Aux - pivots1'!$A:$E,5,0)=0, "",VLOOKUP(A349,'Aux - pivots1'!$A:$E,5,0))</f>
        <v/>
      </c>
      <c r="P349" s="202"/>
      <c r="Q349" s="202"/>
      <c r="R349" s="202"/>
      <c r="S349" s="324"/>
      <c r="T349" s="324"/>
      <c r="U349" s="372" t="s">
        <v>2326</v>
      </c>
      <c r="V349" s="152"/>
    </row>
    <row r="350" spans="1:22" ht="16.350000000000001" hidden="1" customHeight="1">
      <c r="A350" s="29" t="str">
        <f t="shared" si="7"/>
        <v>PROPERTY_ENERGY_CERTIFICATEPROPERTY_IDENTIFICATION_CODE</v>
      </c>
      <c r="B350" s="141" t="s">
        <v>26</v>
      </c>
      <c r="C350" s="137" t="s">
        <v>54</v>
      </c>
      <c r="D350" s="133" t="s">
        <v>40</v>
      </c>
      <c r="E350" s="134" t="s">
        <v>123</v>
      </c>
      <c r="F350" s="476" t="s">
        <v>126</v>
      </c>
      <c r="G350" s="135" t="str">
        <f>VLOOKUP(A350,Plano_V3!$A$26:$G$769,7,0)</f>
        <v>1. Concluído</v>
      </c>
      <c r="H350" s="135" t="s">
        <v>612</v>
      </c>
      <c r="I350" s="473"/>
      <c r="J350" s="142"/>
      <c r="K350" s="142"/>
      <c r="L350" s="142"/>
      <c r="M350" s="152" t="str">
        <f>IF(VLOOKUP(A350,'Aux - pivots1'!$A:$E,3,0)=0, "",VLOOKUP(A350,'Aux - pivots1'!$A:$E,3,0))</f>
        <v/>
      </c>
      <c r="N350" s="152" t="str">
        <f>IF(VLOOKUP(A350,'Aux - pivots1'!$A:$E,4,0)=0, "",VLOOKUP(A350,'Aux - pivots1'!$A:$E,4,0))</f>
        <v/>
      </c>
      <c r="O350" s="152" t="str">
        <f>IF(VLOOKUP(A350,'Aux - pivots1'!$A:$E,5,0)=0, "",VLOOKUP(A350,'Aux - pivots1'!$A:$E,5,0))</f>
        <v/>
      </c>
      <c r="P350" s="202"/>
      <c r="Q350" s="202"/>
      <c r="R350" s="202"/>
      <c r="S350" s="324"/>
      <c r="T350" s="324"/>
      <c r="U350" s="372" t="s">
        <v>2326</v>
      </c>
      <c r="V350" s="152"/>
    </row>
    <row r="351" spans="1:22" ht="16.350000000000001" hidden="1" customHeight="1">
      <c r="A351" s="29" t="str">
        <f t="shared" si="7"/>
        <v>PROPERTY_ENERGY_CERTIFICATEENERGY_CERTIFICATION_SYSTEM_CODE</v>
      </c>
      <c r="B351" s="141" t="s">
        <v>26</v>
      </c>
      <c r="C351" s="137" t="s">
        <v>54</v>
      </c>
      <c r="D351" s="133" t="s">
        <v>40</v>
      </c>
      <c r="E351" s="134" t="s">
        <v>123</v>
      </c>
      <c r="F351" s="476" t="s">
        <v>127</v>
      </c>
      <c r="G351" s="135" t="str">
        <f>VLOOKUP(A351,Plano_V3!$A$26:$G$769,7,0)</f>
        <v>1. Concluído</v>
      </c>
      <c r="H351" s="135" t="s">
        <v>612</v>
      </c>
      <c r="I351" s="473"/>
      <c r="J351" s="142"/>
      <c r="K351" s="142"/>
      <c r="L351" s="142"/>
      <c r="M351" s="152" t="str">
        <f>IF(VLOOKUP(A351,'Aux - pivots1'!$A:$E,3,0)=0, "",VLOOKUP(A351,'Aux - pivots1'!$A:$E,3,0))</f>
        <v/>
      </c>
      <c r="N351" s="152" t="str">
        <f>IF(VLOOKUP(A351,'Aux - pivots1'!$A:$E,4,0)=0, "",VLOOKUP(A351,'Aux - pivots1'!$A:$E,4,0))</f>
        <v/>
      </c>
      <c r="O351" s="152" t="str">
        <f>IF(VLOOKUP(A351,'Aux - pivots1'!$A:$E,5,0)=0, "",VLOOKUP(A351,'Aux - pivots1'!$A:$E,5,0))</f>
        <v/>
      </c>
      <c r="P351" s="202"/>
      <c r="Q351" s="202"/>
      <c r="R351" s="202"/>
      <c r="S351" s="324"/>
      <c r="T351" s="324"/>
      <c r="U351" s="372" t="s">
        <v>2326</v>
      </c>
      <c r="V351" s="152"/>
    </row>
    <row r="352" spans="1:22" ht="16.350000000000001" hidden="1" customHeight="1">
      <c r="A352" s="29" t="str">
        <f t="shared" si="7"/>
        <v>PROPERTY_ENERGY_CERTIFICATEEPC_ISSUING_DATE</v>
      </c>
      <c r="B352" s="141" t="s">
        <v>26</v>
      </c>
      <c r="C352" s="137" t="s">
        <v>54</v>
      </c>
      <c r="D352" s="133" t="s">
        <v>40</v>
      </c>
      <c r="E352" s="134" t="s">
        <v>123</v>
      </c>
      <c r="F352" s="476" t="s">
        <v>128</v>
      </c>
      <c r="G352" s="135" t="str">
        <f>VLOOKUP(A352,Plano_V3!$A$26:$G$769,7,0)</f>
        <v>1. Concluído</v>
      </c>
      <c r="H352" s="135" t="s">
        <v>612</v>
      </c>
      <c r="I352" s="473"/>
      <c r="J352" s="142"/>
      <c r="K352" s="142"/>
      <c r="L352" s="142"/>
      <c r="M352" s="152" t="str">
        <f>IF(VLOOKUP(A352,'Aux - pivots1'!$A:$E,3,0)=0, "",VLOOKUP(A352,'Aux - pivots1'!$A:$E,3,0))</f>
        <v/>
      </c>
      <c r="N352" s="152" t="str">
        <f>IF(VLOOKUP(A352,'Aux - pivots1'!$A:$E,4,0)=0, "",VLOOKUP(A352,'Aux - pivots1'!$A:$E,4,0))</f>
        <v/>
      </c>
      <c r="O352" s="152" t="str">
        <f>IF(VLOOKUP(A352,'Aux - pivots1'!$A:$E,5,0)=0, "",VLOOKUP(A352,'Aux - pivots1'!$A:$E,5,0))</f>
        <v/>
      </c>
      <c r="P352" s="202"/>
      <c r="Q352" s="202"/>
      <c r="R352" s="202"/>
      <c r="S352" s="324"/>
      <c r="T352" s="324"/>
      <c r="U352" s="372" t="s">
        <v>2326</v>
      </c>
      <c r="V352" s="152"/>
    </row>
    <row r="353" spans="1:22" ht="16.350000000000001" hidden="1" customHeight="1">
      <c r="A353" s="29" t="str">
        <f t="shared" si="7"/>
        <v>PROPERTY_ENERGY_CERTIFICATEEPC_EXPIRATION_DATE</v>
      </c>
      <c r="B353" s="141" t="s">
        <v>26</v>
      </c>
      <c r="C353" s="137" t="s">
        <v>54</v>
      </c>
      <c r="D353" s="133" t="s">
        <v>40</v>
      </c>
      <c r="E353" s="134" t="s">
        <v>123</v>
      </c>
      <c r="F353" s="476" t="s">
        <v>129</v>
      </c>
      <c r="G353" s="135" t="str">
        <f>VLOOKUP(A353,Plano_V3!$A$26:$G$769,7,0)</f>
        <v>1. Concluído</v>
      </c>
      <c r="H353" s="135" t="s">
        <v>612</v>
      </c>
      <c r="I353" s="473"/>
      <c r="J353" s="142"/>
      <c r="K353" s="142"/>
      <c r="L353" s="142"/>
      <c r="M353" s="152" t="str">
        <f>IF(VLOOKUP(A353,'Aux - pivots1'!$A:$E,3,0)=0, "",VLOOKUP(A353,'Aux - pivots1'!$A:$E,3,0))</f>
        <v/>
      </c>
      <c r="N353" s="152" t="str">
        <f>IF(VLOOKUP(A353,'Aux - pivots1'!$A:$E,4,0)=0, "",VLOOKUP(A353,'Aux - pivots1'!$A:$E,4,0))</f>
        <v/>
      </c>
      <c r="O353" s="152" t="str">
        <f>IF(VLOOKUP(A353,'Aux - pivots1'!$A:$E,5,0)=0, "",VLOOKUP(A353,'Aux - pivots1'!$A:$E,5,0))</f>
        <v/>
      </c>
      <c r="P353" s="202"/>
      <c r="Q353" s="202"/>
      <c r="R353" s="202"/>
      <c r="S353" s="324"/>
      <c r="T353" s="324"/>
      <c r="U353" s="372" t="s">
        <v>2326</v>
      </c>
      <c r="V353" s="152"/>
    </row>
    <row r="354" spans="1:22" ht="16.350000000000001" hidden="1" customHeight="1">
      <c r="A354" s="29" t="str">
        <f t="shared" si="7"/>
        <v>PROPERTY_ENERGY_CERTIFICATEENERGY_CONSUMPTION_TYPE_S_IND</v>
      </c>
      <c r="B354" s="141" t="s">
        <v>26</v>
      </c>
      <c r="C354" s="137" t="s">
        <v>54</v>
      </c>
      <c r="D354" s="133" t="s">
        <v>40</v>
      </c>
      <c r="E354" s="134" t="s">
        <v>123</v>
      </c>
      <c r="F354" s="476" t="s">
        <v>130</v>
      </c>
      <c r="G354" s="135" t="str">
        <f>VLOOKUP(A354,Plano_V3!$A$26:$G$769,7,0)</f>
        <v>1. Concluído</v>
      </c>
      <c r="H354" s="135" t="s">
        <v>612</v>
      </c>
      <c r="I354" s="473"/>
      <c r="J354" s="142"/>
      <c r="K354" s="142"/>
      <c r="L354" s="142"/>
      <c r="M354" s="152" t="str">
        <f>IF(VLOOKUP(A354,'Aux - pivots1'!$A:$E,3,0)=0, "",VLOOKUP(A354,'Aux - pivots1'!$A:$E,3,0))</f>
        <v/>
      </c>
      <c r="N354" s="152" t="str">
        <f>IF(VLOOKUP(A354,'Aux - pivots1'!$A:$E,4,0)=0, "",VLOOKUP(A354,'Aux - pivots1'!$A:$E,4,0))</f>
        <v/>
      </c>
      <c r="O354" s="152" t="str">
        <f>IF(VLOOKUP(A354,'Aux - pivots1'!$A:$E,5,0)=0, "",VLOOKUP(A354,'Aux - pivots1'!$A:$E,5,0))</f>
        <v/>
      </c>
      <c r="P354" s="202"/>
      <c r="Q354" s="202"/>
      <c r="R354" s="202"/>
      <c r="S354" s="324"/>
      <c r="T354" s="324"/>
      <c r="U354" s="372" t="s">
        <v>2326</v>
      </c>
      <c r="V354" s="152"/>
    </row>
    <row r="355" spans="1:22" ht="16.350000000000001" hidden="1" customHeight="1">
      <c r="A355" s="29" t="str">
        <f t="shared" si="7"/>
        <v>PROPERTY_ENERGY_CERTIFICATEENERGY_CONSUMPTION_TYPE_T_IND</v>
      </c>
      <c r="B355" s="141" t="s">
        <v>26</v>
      </c>
      <c r="C355" s="137" t="s">
        <v>54</v>
      </c>
      <c r="D355" s="133" t="s">
        <v>40</v>
      </c>
      <c r="E355" s="134" t="s">
        <v>123</v>
      </c>
      <c r="F355" s="476" t="s">
        <v>131</v>
      </c>
      <c r="G355" s="135" t="str">
        <f>VLOOKUP(A355,Plano_V3!$A$26:$G$769,7,0)</f>
        <v>1. Concluído</v>
      </c>
      <c r="H355" s="135" t="s">
        <v>612</v>
      </c>
      <c r="I355" s="473"/>
      <c r="J355" s="142"/>
      <c r="K355" s="142"/>
      <c r="L355" s="142"/>
      <c r="M355" s="152" t="str">
        <f>IF(VLOOKUP(A355,'Aux - pivots1'!$A:$E,3,0)=0, "",VLOOKUP(A355,'Aux - pivots1'!$A:$E,3,0))</f>
        <v/>
      </c>
      <c r="N355" s="152" t="str">
        <f>IF(VLOOKUP(A355,'Aux - pivots1'!$A:$E,4,0)=0, "",VLOOKUP(A355,'Aux - pivots1'!$A:$E,4,0))</f>
        <v/>
      </c>
      <c r="O355" s="152" t="str">
        <f>IF(VLOOKUP(A355,'Aux - pivots1'!$A:$E,5,0)=0, "",VLOOKUP(A355,'Aux - pivots1'!$A:$E,5,0))</f>
        <v/>
      </c>
      <c r="P355" s="202"/>
      <c r="Q355" s="202"/>
      <c r="R355" s="202"/>
      <c r="S355" s="324"/>
      <c r="T355" s="324"/>
      <c r="U355" s="372" t="s">
        <v>2326</v>
      </c>
      <c r="V355" s="152"/>
    </row>
    <row r="356" spans="1:22" ht="16.350000000000001" hidden="1" customHeight="1">
      <c r="A356" s="29" t="str">
        <f t="shared" si="7"/>
        <v>PROPERTY_ENERGY_CERTIFICATEENERGY_EFFICIENCY_IND</v>
      </c>
      <c r="B356" s="141" t="s">
        <v>26</v>
      </c>
      <c r="C356" s="137" t="s">
        <v>54</v>
      </c>
      <c r="D356" s="133" t="s">
        <v>40</v>
      </c>
      <c r="E356" s="134" t="s">
        <v>123</v>
      </c>
      <c r="F356" s="476" t="s">
        <v>132</v>
      </c>
      <c r="G356" s="135" t="str">
        <f>VLOOKUP(A356,Plano_V3!$A$26:$G$769,7,0)</f>
        <v>1. Concluído</v>
      </c>
      <c r="H356" s="135" t="s">
        <v>612</v>
      </c>
      <c r="I356" s="473"/>
      <c r="J356" s="142"/>
      <c r="K356" s="142"/>
      <c r="L356" s="142"/>
      <c r="M356" s="152" t="str">
        <f>IF(VLOOKUP(A356,'Aux - pivots1'!$A:$E,3,0)=0, "",VLOOKUP(A356,'Aux - pivots1'!$A:$E,3,0))</f>
        <v/>
      </c>
      <c r="N356" s="152" t="str">
        <f>IF(VLOOKUP(A356,'Aux - pivots1'!$A:$E,4,0)=0, "",VLOOKUP(A356,'Aux - pivots1'!$A:$E,4,0))</f>
        <v/>
      </c>
      <c r="O356" s="152" t="str">
        <f>IF(VLOOKUP(A356,'Aux - pivots1'!$A:$E,5,0)=0, "",VLOOKUP(A356,'Aux - pivots1'!$A:$E,5,0))</f>
        <v/>
      </c>
      <c r="P356" s="202"/>
      <c r="Q356" s="202"/>
      <c r="R356" s="202"/>
      <c r="S356" s="324"/>
      <c r="T356" s="324"/>
      <c r="U356" s="372" t="s">
        <v>2326</v>
      </c>
      <c r="V356" s="152"/>
    </row>
    <row r="357" spans="1:22" ht="16.350000000000001" hidden="1" customHeight="1">
      <c r="A357" s="29" t="str">
        <f t="shared" si="7"/>
        <v>PROPERTY_ENERGY_CERTIFICATEREN_ENERGY_EFFICIENCY_IND</v>
      </c>
      <c r="B357" s="141" t="s">
        <v>26</v>
      </c>
      <c r="C357" s="137" t="s">
        <v>54</v>
      </c>
      <c r="D357" s="133" t="s">
        <v>40</v>
      </c>
      <c r="E357" s="134" t="s">
        <v>123</v>
      </c>
      <c r="F357" s="476" t="s">
        <v>133</v>
      </c>
      <c r="G357" s="135" t="str">
        <f>VLOOKUP(A357,Plano_V3!$A$26:$G$769,7,0)</f>
        <v>1. Concluído</v>
      </c>
      <c r="H357" s="135" t="s">
        <v>612</v>
      </c>
      <c r="I357" s="473"/>
      <c r="J357" s="142"/>
      <c r="K357" s="142"/>
      <c r="L357" s="142"/>
      <c r="M357" s="152" t="str">
        <f>IF(VLOOKUP(A357,'Aux - pivots1'!$A:$E,3,0)=0, "",VLOOKUP(A357,'Aux - pivots1'!$A:$E,3,0))</f>
        <v/>
      </c>
      <c r="N357" s="152" t="str">
        <f>IF(VLOOKUP(A357,'Aux - pivots1'!$A:$E,4,0)=0, "",VLOOKUP(A357,'Aux - pivots1'!$A:$E,4,0))</f>
        <v/>
      </c>
      <c r="O357" s="152" t="str">
        <f>IF(VLOOKUP(A357,'Aux - pivots1'!$A:$E,5,0)=0, "",VLOOKUP(A357,'Aux - pivots1'!$A:$E,5,0))</f>
        <v/>
      </c>
      <c r="P357" s="202"/>
      <c r="Q357" s="202"/>
      <c r="R357" s="202"/>
      <c r="S357" s="324"/>
      <c r="T357" s="324"/>
      <c r="U357" s="372" t="s">
        <v>2326</v>
      </c>
      <c r="V357" s="152"/>
    </row>
    <row r="358" spans="1:22" ht="16.350000000000001" hidden="1" customHeight="1">
      <c r="A358" s="29" t="str">
        <f t="shared" si="7"/>
        <v>PROPERTY_ENERGY_CERTIFICATENZEB_IND</v>
      </c>
      <c r="B358" s="141" t="s">
        <v>26</v>
      </c>
      <c r="C358" s="137" t="s">
        <v>54</v>
      </c>
      <c r="D358" s="133" t="s">
        <v>40</v>
      </c>
      <c r="E358" s="134" t="s">
        <v>123</v>
      </c>
      <c r="F358" s="476" t="s">
        <v>134</v>
      </c>
      <c r="G358" s="135" t="str">
        <f>VLOOKUP(A358,Plano_V3!$A$26:$G$769,7,0)</f>
        <v>1. Concluído</v>
      </c>
      <c r="H358" s="135" t="s">
        <v>612</v>
      </c>
      <c r="I358" s="473"/>
      <c r="J358" s="142"/>
      <c r="K358" s="142"/>
      <c r="L358" s="142"/>
      <c r="M358" s="152" t="str">
        <f>IF(VLOOKUP(A358,'Aux - pivots1'!$A:$E,3,0)=0, "",VLOOKUP(A358,'Aux - pivots1'!$A:$E,3,0))</f>
        <v/>
      </c>
      <c r="N358" s="152" t="str">
        <f>IF(VLOOKUP(A358,'Aux - pivots1'!$A:$E,4,0)=0, "",VLOOKUP(A358,'Aux - pivots1'!$A:$E,4,0))</f>
        <v/>
      </c>
      <c r="O358" s="152" t="str">
        <f>IF(VLOOKUP(A358,'Aux - pivots1'!$A:$E,5,0)=0, "",VLOOKUP(A358,'Aux - pivots1'!$A:$E,5,0))</f>
        <v/>
      </c>
      <c r="P358" s="202"/>
      <c r="Q358" s="202"/>
      <c r="R358" s="202"/>
      <c r="S358" s="324"/>
      <c r="T358" s="324"/>
      <c r="U358" s="372" t="s">
        <v>2326</v>
      </c>
      <c r="V358" s="152"/>
    </row>
    <row r="359" spans="1:22" ht="16.350000000000001" hidden="1" customHeight="1">
      <c r="A359" s="29" t="str">
        <f t="shared" si="7"/>
        <v>PROPERTY_ENERGY_CERTIFICATEQUALITY_SCORE</v>
      </c>
      <c r="B359" s="141" t="s">
        <v>26</v>
      </c>
      <c r="C359" s="137" t="s">
        <v>54</v>
      </c>
      <c r="D359" s="133" t="s">
        <v>40</v>
      </c>
      <c r="E359" s="134" t="s">
        <v>123</v>
      </c>
      <c r="F359" s="476" t="s">
        <v>50</v>
      </c>
      <c r="G359" s="135" t="str">
        <f>VLOOKUP(A359,Plano_V3!$A$26:$G$769,7,0)</f>
        <v>1. Concluído</v>
      </c>
      <c r="H359" s="135" t="s">
        <v>612</v>
      </c>
      <c r="I359" s="473"/>
      <c r="J359" s="142"/>
      <c r="K359" s="142"/>
      <c r="L359" s="142"/>
      <c r="M359" s="152" t="str">
        <f>IF(VLOOKUP(A359,'Aux - pivots1'!$A:$E,3,0)=0, "",VLOOKUP(A359,'Aux - pivots1'!$A:$E,3,0))</f>
        <v/>
      </c>
      <c r="N359" s="152" t="str">
        <f>IF(VLOOKUP(A359,'Aux - pivots1'!$A:$E,4,0)=0, "",VLOOKUP(A359,'Aux - pivots1'!$A:$E,4,0))</f>
        <v/>
      </c>
      <c r="O359" s="152" t="str">
        <f>IF(VLOOKUP(A359,'Aux - pivots1'!$A:$E,5,0)=0, "",VLOOKUP(A359,'Aux - pivots1'!$A:$E,5,0))</f>
        <v/>
      </c>
      <c r="P359" s="202"/>
      <c r="Q359" s="202"/>
      <c r="R359" s="202"/>
      <c r="S359" s="324"/>
      <c r="T359" s="324"/>
      <c r="U359" s="372" t="s">
        <v>2326</v>
      </c>
      <c r="V359" s="152"/>
    </row>
    <row r="360" spans="1:22" ht="16.350000000000001" hidden="1" customHeight="1">
      <c r="A360" s="29" t="str">
        <f t="shared" si="7"/>
        <v>PROPERTY_ENERGY_CERTIFICATESOURCE_CODE</v>
      </c>
      <c r="B360" s="141" t="s">
        <v>26</v>
      </c>
      <c r="C360" s="137" t="s">
        <v>54</v>
      </c>
      <c r="D360" s="133" t="s">
        <v>40</v>
      </c>
      <c r="E360" s="134" t="s">
        <v>123</v>
      </c>
      <c r="F360" s="476" t="s">
        <v>87</v>
      </c>
      <c r="G360" s="135" t="str">
        <f>VLOOKUP(A360,Plano_V3!$A$26:$G$769,7,0)</f>
        <v>1. Concluído</v>
      </c>
      <c r="H360" s="135" t="s">
        <v>612</v>
      </c>
      <c r="I360" s="473"/>
      <c r="J360" s="142"/>
      <c r="K360" s="142"/>
      <c r="L360" s="142"/>
      <c r="M360" s="152" t="str">
        <f>IF(VLOOKUP(A360,'Aux - pivots1'!$A:$E,3,0)=0, "",VLOOKUP(A360,'Aux - pivots1'!$A:$E,3,0))</f>
        <v/>
      </c>
      <c r="N360" s="152" t="str">
        <f>IF(VLOOKUP(A360,'Aux - pivots1'!$A:$E,4,0)=0, "",VLOOKUP(A360,'Aux - pivots1'!$A:$E,4,0))</f>
        <v/>
      </c>
      <c r="O360" s="152" t="str">
        <f>IF(VLOOKUP(A360,'Aux - pivots1'!$A:$E,5,0)=0, "",VLOOKUP(A360,'Aux - pivots1'!$A:$E,5,0))</f>
        <v/>
      </c>
      <c r="P360" s="202"/>
      <c r="Q360" s="202"/>
      <c r="R360" s="202"/>
      <c r="S360" s="324"/>
      <c r="T360" s="324"/>
      <c r="U360" s="372" t="s">
        <v>2326</v>
      </c>
      <c r="V360" s="152"/>
    </row>
    <row r="361" spans="1:22" ht="16.350000000000001" hidden="1" customHeight="1">
      <c r="A361" s="29" t="str">
        <f t="shared" si="7"/>
        <v>PROPERTY_ENERGY_CERTIFICATEDATA_DATE_PART</v>
      </c>
      <c r="B361" s="141" t="s">
        <v>26</v>
      </c>
      <c r="C361" s="137" t="s">
        <v>54</v>
      </c>
      <c r="D361" s="133" t="s">
        <v>40</v>
      </c>
      <c r="E361" s="134" t="s">
        <v>123</v>
      </c>
      <c r="F361" s="476" t="s">
        <v>73</v>
      </c>
      <c r="G361" s="135" t="str">
        <f>VLOOKUP(A361,Plano_V3!$A$26:$G$769,7,0)</f>
        <v>1. Concluído</v>
      </c>
      <c r="H361" s="135" t="s">
        <v>612</v>
      </c>
      <c r="I361" s="473"/>
      <c r="J361" s="142"/>
      <c r="K361" s="142"/>
      <c r="L361" s="142"/>
      <c r="M361" s="152" t="str">
        <f>IF(VLOOKUP(A361,'Aux - pivots1'!$A:$E,3,0)=0, "",VLOOKUP(A361,'Aux - pivots1'!$A:$E,3,0))</f>
        <v/>
      </c>
      <c r="N361" s="152" t="str">
        <f>IF(VLOOKUP(A361,'Aux - pivots1'!$A:$E,4,0)=0, "",VLOOKUP(A361,'Aux - pivots1'!$A:$E,4,0))</f>
        <v/>
      </c>
      <c r="O361" s="152" t="str">
        <f>IF(VLOOKUP(A361,'Aux - pivots1'!$A:$E,5,0)=0, "",VLOOKUP(A361,'Aux - pivots1'!$A:$E,5,0))</f>
        <v/>
      </c>
      <c r="P361" s="202"/>
      <c r="Q361" s="202"/>
      <c r="R361" s="202"/>
      <c r="S361" s="324"/>
      <c r="T361" s="324"/>
      <c r="U361" s="372" t="s">
        <v>2326</v>
      </c>
      <c r="V361" s="152"/>
    </row>
    <row r="362" spans="1:22" ht="16.350000000000001" hidden="1" customHeight="1">
      <c r="A362" s="29" t="str">
        <f t="shared" si="7"/>
        <v>PROPERTY_ENERGY_CERTIFICATECERTIFICATE_TYPE</v>
      </c>
      <c r="B362" s="141" t="s">
        <v>26</v>
      </c>
      <c r="C362" s="137" t="s">
        <v>54</v>
      </c>
      <c r="D362" s="133" t="s">
        <v>40</v>
      </c>
      <c r="E362" s="134" t="s">
        <v>123</v>
      </c>
      <c r="F362" s="476" t="s">
        <v>136</v>
      </c>
      <c r="G362" s="135" t="str">
        <f>VLOOKUP(A362,Plano_V3!$A$26:$G$769,7,0)</f>
        <v>1. Concluído</v>
      </c>
      <c r="H362" s="135" t="s">
        <v>612</v>
      </c>
      <c r="I362" s="473"/>
      <c r="J362" s="142"/>
      <c r="K362" s="142"/>
      <c r="L362" s="142"/>
      <c r="M362" s="152" t="str">
        <f>IF(VLOOKUP(A362,'Aux - pivots1'!$A:$E,3,0)=0, "",VLOOKUP(A362,'Aux - pivots1'!$A:$E,3,0))</f>
        <v/>
      </c>
      <c r="N362" s="152" t="str">
        <f>IF(VLOOKUP(A362,'Aux - pivots1'!$A:$E,4,0)=0, "",VLOOKUP(A362,'Aux - pivots1'!$A:$E,4,0))</f>
        <v/>
      </c>
      <c r="O362" s="152" t="str">
        <f>IF(VLOOKUP(A362,'Aux - pivots1'!$A:$E,5,0)=0, "",VLOOKUP(A362,'Aux - pivots1'!$A:$E,5,0))</f>
        <v/>
      </c>
      <c r="P362" s="202"/>
      <c r="Q362" s="202"/>
      <c r="R362" s="202"/>
      <c r="S362" s="324"/>
      <c r="T362" s="324"/>
      <c r="U362" s="372" t="s">
        <v>2326</v>
      </c>
      <c r="V362" s="152"/>
    </row>
    <row r="363" spans="1:22" ht="16.350000000000001" hidden="1" customHeight="1">
      <c r="A363" s="29" t="str">
        <f t="shared" si="7"/>
        <v>PROPERTY_ENERGY_CERTIFICATEBUILDING_DOMEST_HOTWATER_VALUE</v>
      </c>
      <c r="B363" s="141" t="s">
        <v>26</v>
      </c>
      <c r="C363" s="137" t="s">
        <v>54</v>
      </c>
      <c r="D363" s="133" t="s">
        <v>40</v>
      </c>
      <c r="E363" s="134" t="s">
        <v>123</v>
      </c>
      <c r="F363" s="476" t="s">
        <v>137</v>
      </c>
      <c r="G363" s="135" t="str">
        <f>VLOOKUP(A363,Plano_V3!$A$26:$G$769,7,0)</f>
        <v>1. Concluído</v>
      </c>
      <c r="H363" s="135" t="s">
        <v>612</v>
      </c>
      <c r="I363" s="473"/>
      <c r="J363" s="142"/>
      <c r="K363" s="142"/>
      <c r="L363" s="142"/>
      <c r="M363" s="152" t="str">
        <f>IF(VLOOKUP(A363,'Aux - pivots1'!$A:$E,3,0)=0, "",VLOOKUP(A363,'Aux - pivots1'!$A:$E,3,0))</f>
        <v/>
      </c>
      <c r="N363" s="152" t="str">
        <f>IF(VLOOKUP(A363,'Aux - pivots1'!$A:$E,4,0)=0, "",VLOOKUP(A363,'Aux - pivots1'!$A:$E,4,0))</f>
        <v/>
      </c>
      <c r="O363" s="152" t="str">
        <f>IF(VLOOKUP(A363,'Aux - pivots1'!$A:$E,5,0)=0, "",VLOOKUP(A363,'Aux - pivots1'!$A:$E,5,0))</f>
        <v/>
      </c>
      <c r="P363" s="202"/>
      <c r="Q363" s="202"/>
      <c r="R363" s="202"/>
      <c r="S363" s="324"/>
      <c r="T363" s="324"/>
      <c r="U363" s="372" t="s">
        <v>2326</v>
      </c>
      <c r="V363" s="152"/>
    </row>
    <row r="364" spans="1:22" ht="16.350000000000001" hidden="1" customHeight="1">
      <c r="A364" s="29" t="str">
        <f t="shared" si="7"/>
        <v>PROPERTY_ENERGY_CERTIFICATERENEWABLE_DOMEST_HOTWATER_VALUE</v>
      </c>
      <c r="B364" s="141" t="s">
        <v>26</v>
      </c>
      <c r="C364" s="137" t="s">
        <v>54</v>
      </c>
      <c r="D364" s="133" t="s">
        <v>40</v>
      </c>
      <c r="E364" s="134" t="s">
        <v>123</v>
      </c>
      <c r="F364" s="476" t="s">
        <v>138</v>
      </c>
      <c r="G364" s="135" t="str">
        <f>VLOOKUP(A364,Plano_V3!$A$26:$G$769,7,0)</f>
        <v>1. Concluído</v>
      </c>
      <c r="H364" s="135" t="s">
        <v>612</v>
      </c>
      <c r="I364" s="473"/>
      <c r="J364" s="142"/>
      <c r="K364" s="142"/>
      <c r="L364" s="142"/>
      <c r="M364" s="152" t="str">
        <f>IF(VLOOKUP(A364,'Aux - pivots1'!$A:$E,3,0)=0, "",VLOOKUP(A364,'Aux - pivots1'!$A:$E,3,0))</f>
        <v/>
      </c>
      <c r="N364" s="152" t="str">
        <f>IF(VLOOKUP(A364,'Aux - pivots1'!$A:$E,4,0)=0, "",VLOOKUP(A364,'Aux - pivots1'!$A:$E,4,0))</f>
        <v/>
      </c>
      <c r="O364" s="152" t="str">
        <f>IF(VLOOKUP(A364,'Aux - pivots1'!$A:$E,5,0)=0, "",VLOOKUP(A364,'Aux - pivots1'!$A:$E,5,0))</f>
        <v/>
      </c>
      <c r="P364" s="202"/>
      <c r="Q364" s="202"/>
      <c r="R364" s="202"/>
      <c r="S364" s="324"/>
      <c r="T364" s="324"/>
      <c r="U364" s="372" t="s">
        <v>2326</v>
      </c>
      <c r="V364" s="152"/>
    </row>
    <row r="365" spans="1:22" ht="16.350000000000001" hidden="1" customHeight="1">
      <c r="A365" s="29" t="str">
        <f t="shared" si="7"/>
        <v>PROPERTY_ENERGY_CERTIFICATEDOMEST_HOTWATER_REF_VALUE</v>
      </c>
      <c r="B365" s="141" t="s">
        <v>26</v>
      </c>
      <c r="C365" s="137" t="s">
        <v>54</v>
      </c>
      <c r="D365" s="133" t="s">
        <v>40</v>
      </c>
      <c r="E365" s="134" t="s">
        <v>123</v>
      </c>
      <c r="F365" s="476" t="s">
        <v>139</v>
      </c>
      <c r="G365" s="135" t="str">
        <f>VLOOKUP(A365,Plano_V3!$A$26:$G$769,7,0)</f>
        <v>1. Concluído</v>
      </c>
      <c r="H365" s="135" t="s">
        <v>612</v>
      </c>
      <c r="I365" s="473"/>
      <c r="J365" s="142"/>
      <c r="K365" s="142"/>
      <c r="L365" s="142"/>
      <c r="M365" s="152" t="str">
        <f>IF(VLOOKUP(A365,'Aux - pivots1'!$A:$E,3,0)=0, "",VLOOKUP(A365,'Aux - pivots1'!$A:$E,3,0))</f>
        <v/>
      </c>
      <c r="N365" s="152" t="str">
        <f>IF(VLOOKUP(A365,'Aux - pivots1'!$A:$E,4,0)=0, "",VLOOKUP(A365,'Aux - pivots1'!$A:$E,4,0))</f>
        <v/>
      </c>
      <c r="O365" s="152" t="str">
        <f>IF(VLOOKUP(A365,'Aux - pivots1'!$A:$E,5,0)=0, "",VLOOKUP(A365,'Aux - pivots1'!$A:$E,5,0))</f>
        <v/>
      </c>
      <c r="P365" s="202"/>
      <c r="Q365" s="202"/>
      <c r="R365" s="202"/>
      <c r="S365" s="324"/>
      <c r="T365" s="324"/>
      <c r="U365" s="372" t="s">
        <v>2326</v>
      </c>
      <c r="V365" s="152"/>
    </row>
    <row r="366" spans="1:22" ht="16.350000000000001" hidden="1" customHeight="1">
      <c r="A366" s="29" t="str">
        <f t="shared" si="7"/>
        <v>PROPERTY_ENERGY_CERTIFICATEHEIGHT</v>
      </c>
      <c r="B366" s="141" t="s">
        <v>26</v>
      </c>
      <c r="C366" s="137" t="s">
        <v>54</v>
      </c>
      <c r="D366" s="133" t="s">
        <v>40</v>
      </c>
      <c r="E366" s="134" t="s">
        <v>123</v>
      </c>
      <c r="F366" s="476" t="s">
        <v>140</v>
      </c>
      <c r="G366" s="135" t="str">
        <f>VLOOKUP(A366,Plano_V3!$A$26:$G$769,7,0)</f>
        <v>1. Concluído</v>
      </c>
      <c r="H366" s="135" t="s">
        <v>612</v>
      </c>
      <c r="I366" s="473"/>
      <c r="J366" s="142"/>
      <c r="K366" s="142"/>
      <c r="L366" s="142"/>
      <c r="M366" s="152" t="str">
        <f>IF(VLOOKUP(A366,'Aux - pivots1'!$A:$E,3,0)=0, "",VLOOKUP(A366,'Aux - pivots1'!$A:$E,3,0))</f>
        <v/>
      </c>
      <c r="N366" s="152" t="str">
        <f>IF(VLOOKUP(A366,'Aux - pivots1'!$A:$E,4,0)=0, "",VLOOKUP(A366,'Aux - pivots1'!$A:$E,4,0))</f>
        <v/>
      </c>
      <c r="O366" s="152" t="str">
        <f>IF(VLOOKUP(A366,'Aux - pivots1'!$A:$E,5,0)=0, "",VLOOKUP(A366,'Aux - pivots1'!$A:$E,5,0))</f>
        <v/>
      </c>
      <c r="P366" s="202"/>
      <c r="Q366" s="202"/>
      <c r="R366" s="202"/>
      <c r="S366" s="324"/>
      <c r="T366" s="324"/>
      <c r="U366" s="372" t="s">
        <v>2326</v>
      </c>
      <c r="V366" s="152"/>
    </row>
    <row r="367" spans="1:22" ht="16.350000000000001" hidden="1" customHeight="1">
      <c r="A367" s="29" t="str">
        <f t="shared" si="7"/>
        <v>PROPERTY_ENERGY_CERTIFICATEBUILDING_SPACE_HEATING_VALUE</v>
      </c>
      <c r="B367" s="141" t="s">
        <v>26</v>
      </c>
      <c r="C367" s="137" t="s">
        <v>54</v>
      </c>
      <c r="D367" s="133" t="s">
        <v>40</v>
      </c>
      <c r="E367" s="134" t="s">
        <v>123</v>
      </c>
      <c r="F367" s="476" t="s">
        <v>141</v>
      </c>
      <c r="G367" s="135" t="str">
        <f>VLOOKUP(A367,Plano_V3!$A$26:$G$769,7,0)</f>
        <v>1. Concluído</v>
      </c>
      <c r="H367" s="135" t="s">
        <v>612</v>
      </c>
      <c r="I367" s="473"/>
      <c r="J367" s="142"/>
      <c r="K367" s="142"/>
      <c r="L367" s="142"/>
      <c r="M367" s="152" t="str">
        <f>IF(VLOOKUP(A367,'Aux - pivots1'!$A:$E,3,0)=0, "",VLOOKUP(A367,'Aux - pivots1'!$A:$E,3,0))</f>
        <v/>
      </c>
      <c r="N367" s="152" t="str">
        <f>IF(VLOOKUP(A367,'Aux - pivots1'!$A:$E,4,0)=0, "",VLOOKUP(A367,'Aux - pivots1'!$A:$E,4,0))</f>
        <v/>
      </c>
      <c r="O367" s="152" t="str">
        <f>IF(VLOOKUP(A367,'Aux - pivots1'!$A:$E,5,0)=0, "",VLOOKUP(A367,'Aux - pivots1'!$A:$E,5,0))</f>
        <v/>
      </c>
      <c r="P367" s="202"/>
      <c r="Q367" s="202"/>
      <c r="R367" s="202"/>
      <c r="S367" s="324"/>
      <c r="T367" s="324"/>
      <c r="U367" s="372" t="s">
        <v>2326</v>
      </c>
      <c r="V367" s="152"/>
    </row>
    <row r="368" spans="1:22" ht="16.350000000000001" hidden="1" customHeight="1">
      <c r="A368" s="29" t="str">
        <f t="shared" si="7"/>
        <v>PROPERTY_ENERGY_CERTIFICATESPACE_HEATING_REF_VALUE</v>
      </c>
      <c r="B368" s="141" t="s">
        <v>26</v>
      </c>
      <c r="C368" s="137" t="s">
        <v>54</v>
      </c>
      <c r="D368" s="133" t="s">
        <v>40</v>
      </c>
      <c r="E368" s="134" t="s">
        <v>123</v>
      </c>
      <c r="F368" s="476" t="s">
        <v>142</v>
      </c>
      <c r="G368" s="135" t="str">
        <f>VLOOKUP(A368,Plano_V3!$A$26:$G$769,7,0)</f>
        <v>1. Concluído</v>
      </c>
      <c r="H368" s="135" t="s">
        <v>612</v>
      </c>
      <c r="I368" s="473"/>
      <c r="J368" s="142"/>
      <c r="K368" s="142"/>
      <c r="L368" s="142"/>
      <c r="M368" s="152" t="str">
        <f>IF(VLOOKUP(A368,'Aux - pivots1'!$A:$E,3,0)=0, "",VLOOKUP(A368,'Aux - pivots1'!$A:$E,3,0))</f>
        <v/>
      </c>
      <c r="N368" s="152" t="str">
        <f>IF(VLOOKUP(A368,'Aux - pivots1'!$A:$E,4,0)=0, "",VLOOKUP(A368,'Aux - pivots1'!$A:$E,4,0))</f>
        <v/>
      </c>
      <c r="O368" s="152" t="str">
        <f>IF(VLOOKUP(A368,'Aux - pivots1'!$A:$E,5,0)=0, "",VLOOKUP(A368,'Aux - pivots1'!$A:$E,5,0))</f>
        <v/>
      </c>
      <c r="P368" s="202"/>
      <c r="Q368" s="202"/>
      <c r="R368" s="202"/>
      <c r="S368" s="324"/>
      <c r="T368" s="324"/>
      <c r="U368" s="372" t="s">
        <v>2326</v>
      </c>
      <c r="V368" s="152"/>
    </row>
    <row r="369" spans="1:22" ht="16.350000000000001" hidden="1" customHeight="1">
      <c r="A369" s="29" t="str">
        <f t="shared" si="7"/>
        <v>PROPERTY_ENERGY_CERTIFICATERENEWABLE_SPACE_HEATING_VALUE</v>
      </c>
      <c r="B369" s="141" t="s">
        <v>26</v>
      </c>
      <c r="C369" s="137" t="s">
        <v>54</v>
      </c>
      <c r="D369" s="133" t="s">
        <v>40</v>
      </c>
      <c r="E369" s="134" t="s">
        <v>123</v>
      </c>
      <c r="F369" s="476" t="s">
        <v>143</v>
      </c>
      <c r="G369" s="135" t="str">
        <f>VLOOKUP(A369,Plano_V3!$A$26:$G$769,7,0)</f>
        <v>1. Concluído</v>
      </c>
      <c r="H369" s="135" t="s">
        <v>612</v>
      </c>
      <c r="I369" s="473"/>
      <c r="J369" s="142"/>
      <c r="K369" s="142"/>
      <c r="L369" s="142"/>
      <c r="M369" s="152" t="str">
        <f>IF(VLOOKUP(A369,'Aux - pivots1'!$A:$E,3,0)=0, "",VLOOKUP(A369,'Aux - pivots1'!$A:$E,3,0))</f>
        <v/>
      </c>
      <c r="N369" s="152" t="str">
        <f>IF(VLOOKUP(A369,'Aux - pivots1'!$A:$E,4,0)=0, "",VLOOKUP(A369,'Aux - pivots1'!$A:$E,4,0))</f>
        <v/>
      </c>
      <c r="O369" s="152" t="str">
        <f>IF(VLOOKUP(A369,'Aux - pivots1'!$A:$E,5,0)=0, "",VLOOKUP(A369,'Aux - pivots1'!$A:$E,5,0))</f>
        <v/>
      </c>
      <c r="P369" s="202"/>
      <c r="Q369" s="202"/>
      <c r="R369" s="202"/>
      <c r="S369" s="324"/>
      <c r="T369" s="324"/>
      <c r="U369" s="372" t="s">
        <v>2326</v>
      </c>
      <c r="V369" s="152"/>
    </row>
    <row r="370" spans="1:22" ht="16.350000000000001" hidden="1" customHeight="1">
      <c r="A370" s="29" t="str">
        <f t="shared" si="7"/>
        <v>PROPERTY_ENERGY_CERTIFICATEBUILDING_SPACE_COOLING_VALUE</v>
      </c>
      <c r="B370" s="141" t="s">
        <v>26</v>
      </c>
      <c r="C370" s="137" t="s">
        <v>54</v>
      </c>
      <c r="D370" s="133" t="s">
        <v>40</v>
      </c>
      <c r="E370" s="134" t="s">
        <v>123</v>
      </c>
      <c r="F370" s="476" t="s">
        <v>144</v>
      </c>
      <c r="G370" s="135" t="str">
        <f>VLOOKUP(A370,Plano_V3!$A$26:$G$769,7,0)</f>
        <v>1. Concluído</v>
      </c>
      <c r="H370" s="135" t="s">
        <v>612</v>
      </c>
      <c r="I370" s="473"/>
      <c r="J370" s="142"/>
      <c r="K370" s="142"/>
      <c r="L370" s="142"/>
      <c r="M370" s="152" t="str">
        <f>IF(VLOOKUP(A370,'Aux - pivots1'!$A:$E,3,0)=0, "",VLOOKUP(A370,'Aux - pivots1'!$A:$E,3,0))</f>
        <v/>
      </c>
      <c r="N370" s="152" t="str">
        <f>IF(VLOOKUP(A370,'Aux - pivots1'!$A:$E,4,0)=0, "",VLOOKUP(A370,'Aux - pivots1'!$A:$E,4,0))</f>
        <v/>
      </c>
      <c r="O370" s="152" t="str">
        <f>IF(VLOOKUP(A370,'Aux - pivots1'!$A:$E,5,0)=0, "",VLOOKUP(A370,'Aux - pivots1'!$A:$E,5,0))</f>
        <v/>
      </c>
      <c r="P370" s="202"/>
      <c r="Q370" s="202"/>
      <c r="R370" s="202"/>
      <c r="S370" s="324"/>
      <c r="T370" s="324"/>
      <c r="U370" s="372" t="s">
        <v>2326</v>
      </c>
      <c r="V370" s="152"/>
    </row>
    <row r="371" spans="1:22" ht="16.350000000000001" hidden="1" customHeight="1">
      <c r="A371" s="29" t="str">
        <f t="shared" si="7"/>
        <v>PROPERTY_ENERGY_CERTIFICATERENEWABLE_SPACE_COOLING_VALUE</v>
      </c>
      <c r="B371" s="141" t="s">
        <v>26</v>
      </c>
      <c r="C371" s="137" t="s">
        <v>54</v>
      </c>
      <c r="D371" s="133" t="s">
        <v>40</v>
      </c>
      <c r="E371" s="134" t="s">
        <v>123</v>
      </c>
      <c r="F371" s="476" t="s">
        <v>145</v>
      </c>
      <c r="G371" s="135" t="str">
        <f>VLOOKUP(A371,Plano_V3!$A$26:$G$769,7,0)</f>
        <v>1. Concluído</v>
      </c>
      <c r="H371" s="135" t="s">
        <v>612</v>
      </c>
      <c r="I371" s="473"/>
      <c r="J371" s="142"/>
      <c r="K371" s="142"/>
      <c r="L371" s="142"/>
      <c r="M371" s="152" t="str">
        <f>IF(VLOOKUP(A371,'Aux - pivots1'!$A:$E,3,0)=0, "",VLOOKUP(A371,'Aux - pivots1'!$A:$E,3,0))</f>
        <v/>
      </c>
      <c r="N371" s="152" t="str">
        <f>IF(VLOOKUP(A371,'Aux - pivots1'!$A:$E,4,0)=0, "",VLOOKUP(A371,'Aux - pivots1'!$A:$E,4,0))</f>
        <v/>
      </c>
      <c r="O371" s="152" t="str">
        <f>IF(VLOOKUP(A371,'Aux - pivots1'!$A:$E,5,0)=0, "",VLOOKUP(A371,'Aux - pivots1'!$A:$E,5,0))</f>
        <v/>
      </c>
      <c r="P371" s="202"/>
      <c r="Q371" s="202"/>
      <c r="R371" s="202"/>
      <c r="S371" s="324"/>
      <c r="T371" s="324"/>
      <c r="U371" s="372" t="s">
        <v>2326</v>
      </c>
      <c r="V371" s="152"/>
    </row>
    <row r="372" spans="1:22" ht="16.350000000000001" hidden="1" customHeight="1">
      <c r="A372" s="29" t="str">
        <f t="shared" si="7"/>
        <v>PROPERTY_ENERGY_CERTIFICATESPACE_COOLING_REF_VALUE</v>
      </c>
      <c r="B372" s="141" t="s">
        <v>26</v>
      </c>
      <c r="C372" s="137" t="s">
        <v>54</v>
      </c>
      <c r="D372" s="133" t="s">
        <v>40</v>
      </c>
      <c r="E372" s="134" t="s">
        <v>123</v>
      </c>
      <c r="F372" s="476" t="s">
        <v>146</v>
      </c>
      <c r="G372" s="135" t="str">
        <f>VLOOKUP(A372,Plano_V3!$A$26:$G$769,7,0)</f>
        <v>1. Concluído</v>
      </c>
      <c r="H372" s="135" t="s">
        <v>612</v>
      </c>
      <c r="I372" s="473"/>
      <c r="J372" s="142"/>
      <c r="K372" s="142"/>
      <c r="L372" s="142"/>
      <c r="M372" s="152" t="str">
        <f>IF(VLOOKUP(A372,'Aux - pivots1'!$A:$E,3,0)=0, "",VLOOKUP(A372,'Aux - pivots1'!$A:$E,3,0))</f>
        <v/>
      </c>
      <c r="N372" s="152" t="str">
        <f>IF(VLOOKUP(A372,'Aux - pivots1'!$A:$E,4,0)=0, "",VLOOKUP(A372,'Aux - pivots1'!$A:$E,4,0))</f>
        <v/>
      </c>
      <c r="O372" s="152" t="str">
        <f>IF(VLOOKUP(A372,'Aux - pivots1'!$A:$E,5,0)=0, "",VLOOKUP(A372,'Aux - pivots1'!$A:$E,5,0))</f>
        <v/>
      </c>
      <c r="P372" s="202"/>
      <c r="Q372" s="202"/>
      <c r="R372" s="202"/>
      <c r="S372" s="324"/>
      <c r="T372" s="324"/>
      <c r="U372" s="372" t="s">
        <v>2326</v>
      </c>
      <c r="V372" s="152"/>
    </row>
    <row r="373" spans="1:22" ht="16.350000000000001" hidden="1" customHeight="1">
      <c r="A373" s="29" t="str">
        <f t="shared" si="7"/>
        <v>PROPERTY_ENERGY_CERTIFICATEENERGY_CLASS_AFTER_MEASUREMENT</v>
      </c>
      <c r="B373" s="141" t="s">
        <v>26</v>
      </c>
      <c r="C373" s="137" t="s">
        <v>54</v>
      </c>
      <c r="D373" s="133" t="s">
        <v>40</v>
      </c>
      <c r="E373" s="134" t="s">
        <v>123</v>
      </c>
      <c r="F373" s="476" t="s">
        <v>147</v>
      </c>
      <c r="G373" s="135" t="str">
        <f>VLOOKUP(A373,Plano_V3!$A$26:$G$769,7,0)</f>
        <v>1. Concluído</v>
      </c>
      <c r="H373" s="135" t="s">
        <v>612</v>
      </c>
      <c r="I373" s="473"/>
      <c r="J373" s="142"/>
      <c r="K373" s="142"/>
      <c r="L373" s="142"/>
      <c r="M373" s="152" t="str">
        <f>IF(VLOOKUP(A373,'Aux - pivots1'!$A:$E,3,0)=0, "",VLOOKUP(A373,'Aux - pivots1'!$A:$E,3,0))</f>
        <v/>
      </c>
      <c r="N373" s="152" t="str">
        <f>IF(VLOOKUP(A373,'Aux - pivots1'!$A:$E,4,0)=0, "",VLOOKUP(A373,'Aux - pivots1'!$A:$E,4,0))</f>
        <v/>
      </c>
      <c r="O373" s="152" t="str">
        <f>IF(VLOOKUP(A373,'Aux - pivots1'!$A:$E,5,0)=0, "",VLOOKUP(A373,'Aux - pivots1'!$A:$E,5,0))</f>
        <v/>
      </c>
      <c r="P373" s="202"/>
      <c r="Q373" s="202"/>
      <c r="R373" s="202"/>
      <c r="S373" s="324"/>
      <c r="T373" s="324"/>
      <c r="U373" s="372" t="s">
        <v>2326</v>
      </c>
      <c r="V373" s="152"/>
    </row>
    <row r="374" spans="1:22" ht="16.350000000000001" hidden="1" customHeight="1">
      <c r="A374" s="29" t="str">
        <f t="shared" si="7"/>
        <v>PROPERTY_ENERGY_CERTIFICATETHERMAL_BEHAVIOUR_ROOF</v>
      </c>
      <c r="B374" s="141" t="s">
        <v>26</v>
      </c>
      <c r="C374" s="137" t="s">
        <v>54</v>
      </c>
      <c r="D374" s="133" t="s">
        <v>40</v>
      </c>
      <c r="E374" s="134" t="s">
        <v>123</v>
      </c>
      <c r="F374" s="476" t="s">
        <v>148</v>
      </c>
      <c r="G374" s="135" t="str">
        <f>VLOOKUP(A374,Plano_V3!$A$26:$G$769,7,0)</f>
        <v>1. Concluído</v>
      </c>
      <c r="H374" s="135" t="s">
        <v>612</v>
      </c>
      <c r="I374" s="473"/>
      <c r="J374" s="142"/>
      <c r="K374" s="142"/>
      <c r="L374" s="142"/>
      <c r="M374" s="152" t="str">
        <f>IF(VLOOKUP(A374,'Aux - pivots1'!$A:$E,3,0)=0, "",VLOOKUP(A374,'Aux - pivots1'!$A:$E,3,0))</f>
        <v/>
      </c>
      <c r="N374" s="152" t="str">
        <f>IF(VLOOKUP(A374,'Aux - pivots1'!$A:$E,4,0)=0, "",VLOOKUP(A374,'Aux - pivots1'!$A:$E,4,0))</f>
        <v/>
      </c>
      <c r="O374" s="152" t="str">
        <f>IF(VLOOKUP(A374,'Aux - pivots1'!$A:$E,5,0)=0, "",VLOOKUP(A374,'Aux - pivots1'!$A:$E,5,0))</f>
        <v/>
      </c>
      <c r="P374" s="202"/>
      <c r="Q374" s="202"/>
      <c r="R374" s="202"/>
      <c r="S374" s="324"/>
      <c r="T374" s="324"/>
      <c r="U374" s="372" t="s">
        <v>2326</v>
      </c>
      <c r="V374" s="152"/>
    </row>
    <row r="375" spans="1:22" ht="16.350000000000001" hidden="1" customHeight="1">
      <c r="A375" s="29" t="str">
        <f t="shared" si="7"/>
        <v>PROPERTY_ENERGY_CERTIFICATETHERMAL_BEHAVIOUR_WINDOWS</v>
      </c>
      <c r="B375" s="141" t="s">
        <v>26</v>
      </c>
      <c r="C375" s="137" t="s">
        <v>54</v>
      </c>
      <c r="D375" s="133" t="s">
        <v>40</v>
      </c>
      <c r="E375" s="134" t="s">
        <v>123</v>
      </c>
      <c r="F375" s="476" t="s">
        <v>149</v>
      </c>
      <c r="G375" s="135" t="str">
        <f>VLOOKUP(A375,Plano_V3!$A$26:$G$769,7,0)</f>
        <v>1. Concluído</v>
      </c>
      <c r="H375" s="135" t="s">
        <v>612</v>
      </c>
      <c r="I375" s="473"/>
      <c r="J375" s="142"/>
      <c r="K375" s="142"/>
      <c r="L375" s="142"/>
      <c r="M375" s="152" t="str">
        <f>IF(VLOOKUP(A375,'Aux - pivots1'!$A:$E,3,0)=0, "",VLOOKUP(A375,'Aux - pivots1'!$A:$E,3,0))</f>
        <v/>
      </c>
      <c r="N375" s="152" t="str">
        <f>IF(VLOOKUP(A375,'Aux - pivots1'!$A:$E,4,0)=0, "",VLOOKUP(A375,'Aux - pivots1'!$A:$E,4,0))</f>
        <v/>
      </c>
      <c r="O375" s="152" t="str">
        <f>IF(VLOOKUP(A375,'Aux - pivots1'!$A:$E,5,0)=0, "",VLOOKUP(A375,'Aux - pivots1'!$A:$E,5,0))</f>
        <v/>
      </c>
      <c r="P375" s="202"/>
      <c r="Q375" s="202"/>
      <c r="R375" s="202"/>
      <c r="S375" s="324"/>
      <c r="T375" s="324"/>
      <c r="U375" s="372" t="s">
        <v>2326</v>
      </c>
      <c r="V375" s="152"/>
    </row>
    <row r="376" spans="1:22" ht="16.350000000000001" hidden="1" customHeight="1">
      <c r="A376" s="29" t="str">
        <f t="shared" si="7"/>
        <v>PROPERTY_ENERGY_CERTIFICATETHERMAL_BEHAVIOUR_WALL</v>
      </c>
      <c r="B376" s="141" t="s">
        <v>26</v>
      </c>
      <c r="C376" s="137" t="s">
        <v>54</v>
      </c>
      <c r="D376" s="133" t="s">
        <v>40</v>
      </c>
      <c r="E376" s="134" t="s">
        <v>123</v>
      </c>
      <c r="F376" s="476" t="s">
        <v>150</v>
      </c>
      <c r="G376" s="135" t="str">
        <f>VLOOKUP(A376,Plano_V3!$A$26:$G$769,7,0)</f>
        <v>1. Concluído</v>
      </c>
      <c r="H376" s="135" t="s">
        <v>612</v>
      </c>
      <c r="I376" s="473"/>
      <c r="J376" s="142"/>
      <c r="K376" s="142"/>
      <c r="L376" s="142"/>
      <c r="M376" s="152" t="str">
        <f>IF(VLOOKUP(A376,'Aux - pivots1'!$A:$E,3,0)=0, "",VLOOKUP(A376,'Aux - pivots1'!$A:$E,3,0))</f>
        <v/>
      </c>
      <c r="N376" s="152" t="str">
        <f>IF(VLOOKUP(A376,'Aux - pivots1'!$A:$E,4,0)=0, "",VLOOKUP(A376,'Aux - pivots1'!$A:$E,4,0))</f>
        <v/>
      </c>
      <c r="O376" s="152" t="str">
        <f>IF(VLOOKUP(A376,'Aux - pivots1'!$A:$E,5,0)=0, "",VLOOKUP(A376,'Aux - pivots1'!$A:$E,5,0))</f>
        <v/>
      </c>
      <c r="P376" s="202"/>
      <c r="Q376" s="202"/>
      <c r="R376" s="202"/>
      <c r="S376" s="324"/>
      <c r="T376" s="324"/>
      <c r="U376" s="372" t="s">
        <v>2326</v>
      </c>
      <c r="V376" s="152"/>
    </row>
    <row r="377" spans="1:22" ht="16.350000000000001" hidden="1" customHeight="1">
      <c r="A377" s="29" t="str">
        <f t="shared" si="7"/>
        <v>PROPERTY_ENERGY_CERTIFICATETHERMAL_BEHAVIOUR_FLOORS</v>
      </c>
      <c r="B377" s="141" t="s">
        <v>26</v>
      </c>
      <c r="C377" s="137" t="s">
        <v>54</v>
      </c>
      <c r="D377" s="133" t="s">
        <v>40</v>
      </c>
      <c r="E377" s="134" t="s">
        <v>123</v>
      </c>
      <c r="F377" s="476" t="s">
        <v>151</v>
      </c>
      <c r="G377" s="135" t="str">
        <f>VLOOKUP(A377,Plano_V3!$A$26:$G$769,7,0)</f>
        <v>1. Concluído</v>
      </c>
      <c r="H377" s="135" t="s">
        <v>612</v>
      </c>
      <c r="I377" s="473"/>
      <c r="J377" s="142"/>
      <c r="K377" s="142"/>
      <c r="L377" s="142"/>
      <c r="M377" s="152" t="str">
        <f>IF(VLOOKUP(A377,'Aux - pivots1'!$A:$E,3,0)=0, "",VLOOKUP(A377,'Aux - pivots1'!$A:$E,3,0))</f>
        <v/>
      </c>
      <c r="N377" s="152" t="str">
        <f>IF(VLOOKUP(A377,'Aux - pivots1'!$A:$E,4,0)=0, "",VLOOKUP(A377,'Aux - pivots1'!$A:$E,4,0))</f>
        <v/>
      </c>
      <c r="O377" s="152" t="str">
        <f>IF(VLOOKUP(A377,'Aux - pivots1'!$A:$E,5,0)=0, "",VLOOKUP(A377,'Aux - pivots1'!$A:$E,5,0))</f>
        <v/>
      </c>
      <c r="P377" s="202"/>
      <c r="Q377" s="202"/>
      <c r="R377" s="202"/>
      <c r="S377" s="324"/>
      <c r="T377" s="324"/>
      <c r="U377" s="372" t="s">
        <v>2326</v>
      </c>
      <c r="V377" s="152"/>
    </row>
    <row r="378" spans="1:22" ht="16.350000000000001" hidden="1" customHeight="1">
      <c r="A378" s="29" t="str">
        <f t="shared" si="7"/>
        <v>PROPERTY_ENERGY_CERTIFICATETHERMAL_BEHAVIOUR_TECH_SYS_VENT</v>
      </c>
      <c r="B378" s="141" t="s">
        <v>26</v>
      </c>
      <c r="C378" s="137" t="s">
        <v>54</v>
      </c>
      <c r="D378" s="133" t="s">
        <v>40</v>
      </c>
      <c r="E378" s="134" t="s">
        <v>123</v>
      </c>
      <c r="F378" s="476" t="s">
        <v>152</v>
      </c>
      <c r="G378" s="135" t="str">
        <f>VLOOKUP(A378,Plano_V3!$A$26:$G$769,7,0)</f>
        <v>1. Concluído</v>
      </c>
      <c r="H378" s="135" t="s">
        <v>612</v>
      </c>
      <c r="I378" s="473"/>
      <c r="J378" s="142"/>
      <c r="K378" s="142"/>
      <c r="L378" s="142"/>
      <c r="M378" s="152" t="str">
        <f>IF(VLOOKUP(A378,'Aux - pivots1'!$A:$E,3,0)=0, "",VLOOKUP(A378,'Aux - pivots1'!$A:$E,3,0))</f>
        <v/>
      </c>
      <c r="N378" s="152" t="str">
        <f>IF(VLOOKUP(A378,'Aux - pivots1'!$A:$E,4,0)=0, "",VLOOKUP(A378,'Aux - pivots1'!$A:$E,4,0))</f>
        <v/>
      </c>
      <c r="O378" s="152" t="str">
        <f>IF(VLOOKUP(A378,'Aux - pivots1'!$A:$E,5,0)=0, "",VLOOKUP(A378,'Aux - pivots1'!$A:$E,5,0))</f>
        <v/>
      </c>
      <c r="P378" s="202"/>
      <c r="Q378" s="202"/>
      <c r="R378" s="202"/>
      <c r="S378" s="324"/>
      <c r="T378" s="324"/>
      <c r="U378" s="372" t="s">
        <v>2326</v>
      </c>
      <c r="V378" s="152"/>
    </row>
    <row r="379" spans="1:22" ht="16.350000000000001" hidden="1" customHeight="1">
      <c r="A379" s="29" t="str">
        <f t="shared" si="7"/>
        <v>PROPERTY_ENERGY_CERTIFICATETOTAL_INVSTMNT_ESTMTD_VALUE</v>
      </c>
      <c r="B379" s="141" t="s">
        <v>26</v>
      </c>
      <c r="C379" s="137" t="s">
        <v>54</v>
      </c>
      <c r="D379" s="133" t="s">
        <v>40</v>
      </c>
      <c r="E379" s="134" t="s">
        <v>123</v>
      </c>
      <c r="F379" s="476" t="s">
        <v>153</v>
      </c>
      <c r="G379" s="135" t="str">
        <f>VLOOKUP(A379,Plano_V3!$A$26:$G$769,7,0)</f>
        <v>1. Concluído</v>
      </c>
      <c r="H379" s="135" t="s">
        <v>612</v>
      </c>
      <c r="I379" s="473"/>
      <c r="J379" s="142"/>
      <c r="K379" s="142"/>
      <c r="L379" s="142"/>
      <c r="M379" s="152" t="str">
        <f>IF(VLOOKUP(A379,'Aux - pivots1'!$A:$E,3,0)=0, "",VLOOKUP(A379,'Aux - pivots1'!$A:$E,3,0))</f>
        <v/>
      </c>
      <c r="N379" s="152" t="str">
        <f>IF(VLOOKUP(A379,'Aux - pivots1'!$A:$E,4,0)=0, "",VLOOKUP(A379,'Aux - pivots1'!$A:$E,4,0))</f>
        <v/>
      </c>
      <c r="O379" s="152" t="str">
        <f>IF(VLOOKUP(A379,'Aux - pivots1'!$A:$E,5,0)=0, "",VLOOKUP(A379,'Aux - pivots1'!$A:$E,5,0))</f>
        <v/>
      </c>
      <c r="P379" s="202"/>
      <c r="Q379" s="202"/>
      <c r="R379" s="202"/>
      <c r="S379" s="324"/>
      <c r="T379" s="324"/>
      <c r="U379" s="372" t="s">
        <v>2326</v>
      </c>
      <c r="V379" s="152"/>
    </row>
    <row r="380" spans="1:22" ht="16.350000000000001" hidden="1" customHeight="1">
      <c r="A380" s="29" t="str">
        <f t="shared" si="7"/>
        <v>PROPERTY_ENERGY_CERTIFICATEDURATION_SUMMER</v>
      </c>
      <c r="B380" s="141" t="s">
        <v>26</v>
      </c>
      <c r="C380" s="137" t="s">
        <v>54</v>
      </c>
      <c r="D380" s="133" t="s">
        <v>40</v>
      </c>
      <c r="E380" s="134" t="s">
        <v>123</v>
      </c>
      <c r="F380" s="476" t="s">
        <v>154</v>
      </c>
      <c r="G380" s="135" t="str">
        <f>VLOOKUP(A380,Plano_V3!$A$26:$G$769,7,0)</f>
        <v>1. Concluído</v>
      </c>
      <c r="H380" s="135" t="s">
        <v>612</v>
      </c>
      <c r="I380" s="473"/>
      <c r="J380" s="142"/>
      <c r="K380" s="142"/>
      <c r="L380" s="142"/>
      <c r="M380" s="152" t="str">
        <f>IF(VLOOKUP(A380,'Aux - pivots1'!$A:$E,3,0)=0, "",VLOOKUP(A380,'Aux - pivots1'!$A:$E,3,0))</f>
        <v/>
      </c>
      <c r="N380" s="152" t="str">
        <f>IF(VLOOKUP(A380,'Aux - pivots1'!$A:$E,4,0)=0, "",VLOOKUP(A380,'Aux - pivots1'!$A:$E,4,0))</f>
        <v/>
      </c>
      <c r="O380" s="152" t="str">
        <f>IF(VLOOKUP(A380,'Aux - pivots1'!$A:$E,5,0)=0, "",VLOOKUP(A380,'Aux - pivots1'!$A:$E,5,0))</f>
        <v/>
      </c>
      <c r="P380" s="202"/>
      <c r="Q380" s="202"/>
      <c r="R380" s="202"/>
      <c r="S380" s="324"/>
      <c r="T380" s="324"/>
      <c r="U380" s="372" t="s">
        <v>2326</v>
      </c>
      <c r="V380" s="152"/>
    </row>
    <row r="381" spans="1:22" ht="16.350000000000001" hidden="1" customHeight="1">
      <c r="A381" s="29" t="str">
        <f t="shared" si="7"/>
        <v>PROPERTY_ENERGY_CERTIFICATEDURATION_WINTER</v>
      </c>
      <c r="B381" s="141" t="s">
        <v>26</v>
      </c>
      <c r="C381" s="137" t="s">
        <v>54</v>
      </c>
      <c r="D381" s="133" t="s">
        <v>40</v>
      </c>
      <c r="E381" s="134" t="s">
        <v>123</v>
      </c>
      <c r="F381" s="476" t="s">
        <v>155</v>
      </c>
      <c r="G381" s="135" t="str">
        <f>VLOOKUP(A381,Plano_V3!$A$26:$G$769,7,0)</f>
        <v>1. Concluído</v>
      </c>
      <c r="H381" s="135" t="s">
        <v>612</v>
      </c>
      <c r="I381" s="473"/>
      <c r="J381" s="142"/>
      <c r="K381" s="142"/>
      <c r="L381" s="142"/>
      <c r="M381" s="152" t="str">
        <f>IF(VLOOKUP(A381,'Aux - pivots1'!$A:$E,3,0)=0, "",VLOOKUP(A381,'Aux - pivots1'!$A:$E,3,0))</f>
        <v/>
      </c>
      <c r="N381" s="152" t="str">
        <f>IF(VLOOKUP(A381,'Aux - pivots1'!$A:$E,4,0)=0, "",VLOOKUP(A381,'Aux - pivots1'!$A:$E,4,0))</f>
        <v/>
      </c>
      <c r="O381" s="152" t="str">
        <f>IF(VLOOKUP(A381,'Aux - pivots1'!$A:$E,5,0)=0, "",VLOOKUP(A381,'Aux - pivots1'!$A:$E,5,0))</f>
        <v/>
      </c>
      <c r="P381" s="202"/>
      <c r="Q381" s="202"/>
      <c r="R381" s="202"/>
      <c r="S381" s="324"/>
      <c r="T381" s="324"/>
      <c r="U381" s="372" t="s">
        <v>2326</v>
      </c>
      <c r="V381" s="152"/>
    </row>
    <row r="382" spans="1:22" ht="16.350000000000001" hidden="1" customHeight="1">
      <c r="A382" s="29" t="str">
        <f t="shared" si="7"/>
        <v>PROPERTY_ENERGY_CERTIFICATECARBON_EMISSION_VALUE</v>
      </c>
      <c r="B382" s="141" t="s">
        <v>26</v>
      </c>
      <c r="C382" s="137" t="s">
        <v>54</v>
      </c>
      <c r="D382" s="133" t="s">
        <v>40</v>
      </c>
      <c r="E382" s="134" t="s">
        <v>123</v>
      </c>
      <c r="F382" s="476" t="s">
        <v>156</v>
      </c>
      <c r="G382" s="135" t="str">
        <f>VLOOKUP(A382,Plano_V3!$A$26:$G$769,7,0)</f>
        <v>1. Concluído</v>
      </c>
      <c r="H382" s="135" t="s">
        <v>612</v>
      </c>
      <c r="I382" s="473"/>
      <c r="J382" s="142"/>
      <c r="K382" s="142"/>
      <c r="L382" s="142"/>
      <c r="M382" s="152" t="str">
        <f>IF(VLOOKUP(A382,'Aux - pivots1'!$A:$E,3,0)=0, "",VLOOKUP(A382,'Aux - pivots1'!$A:$E,3,0))</f>
        <v/>
      </c>
      <c r="N382" s="152" t="str">
        <f>IF(VLOOKUP(A382,'Aux - pivots1'!$A:$E,4,0)=0, "",VLOOKUP(A382,'Aux - pivots1'!$A:$E,4,0))</f>
        <v/>
      </c>
      <c r="O382" s="152" t="str">
        <f>IF(VLOOKUP(A382,'Aux - pivots1'!$A:$E,5,0)=0, "",VLOOKUP(A382,'Aux - pivots1'!$A:$E,5,0))</f>
        <v/>
      </c>
      <c r="P382" s="202"/>
      <c r="Q382" s="202"/>
      <c r="R382" s="202"/>
      <c r="S382" s="324"/>
      <c r="T382" s="324"/>
      <c r="U382" s="372" t="s">
        <v>2326</v>
      </c>
      <c r="V382" s="152"/>
    </row>
    <row r="383" spans="1:22" ht="16.350000000000001" hidden="1" customHeight="1">
      <c r="A383" s="29" t="str">
        <f t="shared" si="7"/>
        <v>PROPERTY_ENERGY_CERTIFICATEUSEFUL_ENERGY_FANS_REQ_VALUE</v>
      </c>
      <c r="B383" s="141" t="s">
        <v>26</v>
      </c>
      <c r="C383" s="137" t="s">
        <v>54</v>
      </c>
      <c r="D383" s="133" t="s">
        <v>40</v>
      </c>
      <c r="E383" s="134" t="s">
        <v>123</v>
      </c>
      <c r="F383" s="476" t="s">
        <v>157</v>
      </c>
      <c r="G383" s="135" t="str">
        <f>VLOOKUP(A383,Plano_V3!$A$26:$G$769,7,0)</f>
        <v>1. Concluído</v>
      </c>
      <c r="H383" s="135" t="s">
        <v>612</v>
      </c>
      <c r="I383" s="473"/>
      <c r="J383" s="142"/>
      <c r="K383" s="142"/>
      <c r="L383" s="142"/>
      <c r="M383" s="152" t="str">
        <f>IF(VLOOKUP(A383,'Aux - pivots1'!$A:$E,3,0)=0, "",VLOOKUP(A383,'Aux - pivots1'!$A:$E,3,0))</f>
        <v/>
      </c>
      <c r="N383" s="152" t="str">
        <f>IF(VLOOKUP(A383,'Aux - pivots1'!$A:$E,4,0)=0, "",VLOOKUP(A383,'Aux - pivots1'!$A:$E,4,0))</f>
        <v/>
      </c>
      <c r="O383" s="152" t="str">
        <f>IF(VLOOKUP(A383,'Aux - pivots1'!$A:$E,5,0)=0, "",VLOOKUP(A383,'Aux - pivots1'!$A:$E,5,0))</f>
        <v/>
      </c>
      <c r="P383" s="202"/>
      <c r="Q383" s="202"/>
      <c r="R383" s="202"/>
      <c r="S383" s="324"/>
      <c r="T383" s="324"/>
      <c r="U383" s="372" t="s">
        <v>2326</v>
      </c>
      <c r="V383" s="152"/>
    </row>
    <row r="384" spans="1:22" ht="16.350000000000001" hidden="1" customHeight="1">
      <c r="A384" s="29" t="str">
        <f t="shared" si="7"/>
        <v>PROPERTY_ENERGY_CERTIFICATEREN_ENERGY_PRODUCED_OTHER_VALUE</v>
      </c>
      <c r="B384" s="141" t="s">
        <v>26</v>
      </c>
      <c r="C384" s="137" t="s">
        <v>54</v>
      </c>
      <c r="D384" s="133" t="s">
        <v>40</v>
      </c>
      <c r="E384" s="134" t="s">
        <v>123</v>
      </c>
      <c r="F384" s="476" t="s">
        <v>158</v>
      </c>
      <c r="G384" s="135" t="str">
        <f>VLOOKUP(A384,Plano_V3!$A$26:$G$769,7,0)</f>
        <v>1. Concluído</v>
      </c>
      <c r="H384" s="135" t="s">
        <v>612</v>
      </c>
      <c r="I384" s="473"/>
      <c r="J384" s="142"/>
      <c r="K384" s="142"/>
      <c r="L384" s="142"/>
      <c r="M384" s="152" t="str">
        <f>IF(VLOOKUP(A384,'Aux - pivots1'!$A:$E,3,0)=0, "",VLOOKUP(A384,'Aux - pivots1'!$A:$E,3,0))</f>
        <v/>
      </c>
      <c r="N384" s="152" t="str">
        <f>IF(VLOOKUP(A384,'Aux - pivots1'!$A:$E,4,0)=0, "",VLOOKUP(A384,'Aux - pivots1'!$A:$E,4,0))</f>
        <v/>
      </c>
      <c r="O384" s="152" t="str">
        <f>IF(VLOOKUP(A384,'Aux - pivots1'!$A:$E,5,0)=0, "",VLOOKUP(A384,'Aux - pivots1'!$A:$E,5,0))</f>
        <v/>
      </c>
      <c r="P384" s="202"/>
      <c r="Q384" s="202"/>
      <c r="R384" s="202"/>
      <c r="S384" s="324"/>
      <c r="T384" s="324"/>
      <c r="U384" s="372" t="s">
        <v>2326</v>
      </c>
      <c r="V384" s="152"/>
    </row>
    <row r="385" spans="1:22" ht="16.350000000000001" hidden="1" customHeight="1">
      <c r="A385" s="29" t="str">
        <f t="shared" si="7"/>
        <v>PROPERTY_ENERGY_CERTIFICATEREN_ENERGY_PRODUCED_REG_VALUE</v>
      </c>
      <c r="B385" s="141" t="s">
        <v>26</v>
      </c>
      <c r="C385" s="137" t="s">
        <v>54</v>
      </c>
      <c r="D385" s="133" t="s">
        <v>40</v>
      </c>
      <c r="E385" s="134" t="s">
        <v>123</v>
      </c>
      <c r="F385" s="476" t="s">
        <v>159</v>
      </c>
      <c r="G385" s="135" t="str">
        <f>VLOOKUP(A385,Plano_V3!$A$26:$G$769,7,0)</f>
        <v>1. Concluído</v>
      </c>
      <c r="H385" s="135" t="s">
        <v>612</v>
      </c>
      <c r="I385" s="473"/>
      <c r="J385" s="142"/>
      <c r="K385" s="142"/>
      <c r="L385" s="142"/>
      <c r="M385" s="152" t="str">
        <f>IF(VLOOKUP(A385,'Aux - pivots1'!$A:$E,3,0)=0, "",VLOOKUP(A385,'Aux - pivots1'!$A:$E,3,0))</f>
        <v/>
      </c>
      <c r="N385" s="152" t="str">
        <f>IF(VLOOKUP(A385,'Aux - pivots1'!$A:$E,4,0)=0, "",VLOOKUP(A385,'Aux - pivots1'!$A:$E,4,0))</f>
        <v/>
      </c>
      <c r="O385" s="152" t="str">
        <f>IF(VLOOKUP(A385,'Aux - pivots1'!$A:$E,5,0)=0, "",VLOOKUP(A385,'Aux - pivots1'!$A:$E,5,0))</f>
        <v/>
      </c>
      <c r="P385" s="202"/>
      <c r="Q385" s="202"/>
      <c r="R385" s="202"/>
      <c r="S385" s="324"/>
      <c r="T385" s="324"/>
      <c r="U385" s="372" t="s">
        <v>2326</v>
      </c>
      <c r="V385" s="152"/>
    </row>
    <row r="386" spans="1:22" ht="16.350000000000001" hidden="1" customHeight="1">
      <c r="A386" s="29" t="str">
        <f t="shared" si="7"/>
        <v>PROPERTY_ENERGY_CERTIFICATEREN_ENERGY_PRODUCED_VALUE</v>
      </c>
      <c r="B386" s="141" t="s">
        <v>26</v>
      </c>
      <c r="C386" s="137" t="s">
        <v>54</v>
      </c>
      <c r="D386" s="133" t="s">
        <v>40</v>
      </c>
      <c r="E386" s="134" t="s">
        <v>123</v>
      </c>
      <c r="F386" s="476" t="s">
        <v>160</v>
      </c>
      <c r="G386" s="135" t="str">
        <f>VLOOKUP(A386,Plano_V3!$A$26:$G$769,7,0)</f>
        <v>1. Concluído</v>
      </c>
      <c r="H386" s="135" t="s">
        <v>612</v>
      </c>
      <c r="I386" s="473"/>
      <c r="J386" s="142"/>
      <c r="K386" s="142"/>
      <c r="L386" s="142"/>
      <c r="M386" s="152" t="str">
        <f>IF(VLOOKUP(A386,'Aux - pivots1'!$A:$E,3,0)=0, "",VLOOKUP(A386,'Aux - pivots1'!$A:$E,3,0))</f>
        <v/>
      </c>
      <c r="N386" s="152" t="str">
        <f>IF(VLOOKUP(A386,'Aux - pivots1'!$A:$E,4,0)=0, "",VLOOKUP(A386,'Aux - pivots1'!$A:$E,4,0))</f>
        <v/>
      </c>
      <c r="O386" s="152" t="str">
        <f>IF(VLOOKUP(A386,'Aux - pivots1'!$A:$E,5,0)=0, "",VLOOKUP(A386,'Aux - pivots1'!$A:$E,5,0))</f>
        <v/>
      </c>
      <c r="P386" s="202"/>
      <c r="Q386" s="202"/>
      <c r="R386" s="202"/>
      <c r="S386" s="324"/>
      <c r="T386" s="324"/>
      <c r="U386" s="372" t="s">
        <v>2326</v>
      </c>
      <c r="V386" s="152"/>
    </row>
    <row r="387" spans="1:22" ht="16.350000000000001" hidden="1" customHeight="1">
      <c r="A387" s="29" t="str">
        <f t="shared" si="7"/>
        <v>PROPERTY_ENERGY_CERTIFICATEUSEFUL_ENERGY_DOM_HOTWATER_VALUE</v>
      </c>
      <c r="B387" s="141" t="s">
        <v>26</v>
      </c>
      <c r="C387" s="137" t="s">
        <v>54</v>
      </c>
      <c r="D387" s="133" t="s">
        <v>40</v>
      </c>
      <c r="E387" s="134" t="s">
        <v>123</v>
      </c>
      <c r="F387" s="476" t="s">
        <v>161</v>
      </c>
      <c r="G387" s="135" t="str">
        <f>VLOOKUP(A387,Plano_V3!$A$26:$G$769,7,0)</f>
        <v>1. Concluído</v>
      </c>
      <c r="H387" s="135" t="s">
        <v>612</v>
      </c>
      <c r="I387" s="473"/>
      <c r="J387" s="142"/>
      <c r="K387" s="142"/>
      <c r="L387" s="142"/>
      <c r="M387" s="152" t="str">
        <f>IF(VLOOKUP(A387,'Aux - pivots1'!$A:$E,3,0)=0, "",VLOOKUP(A387,'Aux - pivots1'!$A:$E,3,0))</f>
        <v/>
      </c>
      <c r="N387" s="152" t="str">
        <f>IF(VLOOKUP(A387,'Aux - pivots1'!$A:$E,4,0)=0, "",VLOOKUP(A387,'Aux - pivots1'!$A:$E,4,0))</f>
        <v/>
      </c>
      <c r="O387" s="152" t="str">
        <f>IF(VLOOKUP(A387,'Aux - pivots1'!$A:$E,5,0)=0, "",VLOOKUP(A387,'Aux - pivots1'!$A:$E,5,0))</f>
        <v/>
      </c>
      <c r="P387" s="202"/>
      <c r="Q387" s="202"/>
      <c r="R387" s="202"/>
      <c r="S387" s="324"/>
      <c r="T387" s="324"/>
      <c r="U387" s="372" t="s">
        <v>2326</v>
      </c>
      <c r="V387" s="152"/>
    </row>
    <row r="388" spans="1:22" ht="16.350000000000001" hidden="1" customHeight="1">
      <c r="A388" s="29" t="str">
        <f t="shared" si="7"/>
        <v>PROPERTY_ENERGY_CERTIFICATEUSEFUL_ENERGY_COOLING_VALUE</v>
      </c>
      <c r="B388" s="141" t="s">
        <v>26</v>
      </c>
      <c r="C388" s="137" t="s">
        <v>54</v>
      </c>
      <c r="D388" s="133" t="s">
        <v>40</v>
      </c>
      <c r="E388" s="134" t="s">
        <v>123</v>
      </c>
      <c r="F388" s="476" t="s">
        <v>162</v>
      </c>
      <c r="G388" s="135" t="str">
        <f>VLOOKUP(A388,Plano_V3!$A$26:$G$769,7,0)</f>
        <v>1. Concluído</v>
      </c>
      <c r="H388" s="135" t="s">
        <v>612</v>
      </c>
      <c r="I388" s="473"/>
      <c r="J388" s="142"/>
      <c r="K388" s="142"/>
      <c r="L388" s="142"/>
      <c r="M388" s="152" t="str">
        <f>IF(VLOOKUP(A388,'Aux - pivots1'!$A:$E,3,0)=0, "",VLOOKUP(A388,'Aux - pivots1'!$A:$E,3,0))</f>
        <v/>
      </c>
      <c r="N388" s="152" t="str">
        <f>IF(VLOOKUP(A388,'Aux - pivots1'!$A:$E,4,0)=0, "",VLOOKUP(A388,'Aux - pivots1'!$A:$E,4,0))</f>
        <v/>
      </c>
      <c r="O388" s="152" t="str">
        <f>IF(VLOOKUP(A388,'Aux - pivots1'!$A:$E,5,0)=0, "",VLOOKUP(A388,'Aux - pivots1'!$A:$E,5,0))</f>
        <v/>
      </c>
      <c r="P388" s="202"/>
      <c r="Q388" s="202"/>
      <c r="R388" s="202"/>
      <c r="S388" s="324"/>
      <c r="T388" s="324"/>
      <c r="U388" s="372" t="s">
        <v>2326</v>
      </c>
      <c r="V388" s="152"/>
    </row>
    <row r="389" spans="1:22" ht="16.350000000000001" hidden="1" customHeight="1">
      <c r="A389" s="29" t="str">
        <f t="shared" si="7"/>
        <v>PROPERTY_ENERGY_CERTIFICATETEMPERATURE_DAY_VALUE</v>
      </c>
      <c r="B389" s="141" t="s">
        <v>26</v>
      </c>
      <c r="C389" s="137" t="s">
        <v>54</v>
      </c>
      <c r="D389" s="133" t="s">
        <v>40</v>
      </c>
      <c r="E389" s="134" t="s">
        <v>123</v>
      </c>
      <c r="F389" s="476" t="s">
        <v>163</v>
      </c>
      <c r="G389" s="135" t="str">
        <f>VLOOKUP(A389,Plano_V3!$A$26:$G$769,7,0)</f>
        <v>1. Concluído</v>
      </c>
      <c r="H389" s="135" t="s">
        <v>612</v>
      </c>
      <c r="I389" s="473"/>
      <c r="J389" s="142"/>
      <c r="K389" s="142"/>
      <c r="L389" s="142"/>
      <c r="M389" s="152" t="str">
        <f>IF(VLOOKUP(A389,'Aux - pivots1'!$A:$E,3,0)=0, "",VLOOKUP(A389,'Aux - pivots1'!$A:$E,3,0))</f>
        <v/>
      </c>
      <c r="N389" s="152" t="str">
        <f>IF(VLOOKUP(A389,'Aux - pivots1'!$A:$E,4,0)=0, "",VLOOKUP(A389,'Aux - pivots1'!$A:$E,4,0))</f>
        <v/>
      </c>
      <c r="O389" s="152" t="str">
        <f>IF(VLOOKUP(A389,'Aux - pivots1'!$A:$E,5,0)=0, "",VLOOKUP(A389,'Aux - pivots1'!$A:$E,5,0))</f>
        <v/>
      </c>
      <c r="P389" s="202"/>
      <c r="Q389" s="202"/>
      <c r="R389" s="202"/>
      <c r="S389" s="324"/>
      <c r="T389" s="324"/>
      <c r="U389" s="372" t="s">
        <v>2326</v>
      </c>
      <c r="V389" s="152"/>
    </row>
    <row r="390" spans="1:22" ht="16.350000000000001" hidden="1" customHeight="1">
      <c r="A390" s="29" t="str">
        <f t="shared" si="7"/>
        <v>PROPERTY_ENERGY_CERTIFICATEPRIMARY_ENERGY_REQ_VALUE</v>
      </c>
      <c r="B390" s="141" t="s">
        <v>26</v>
      </c>
      <c r="C390" s="137" t="s">
        <v>54</v>
      </c>
      <c r="D390" s="133" t="s">
        <v>40</v>
      </c>
      <c r="E390" s="134" t="s">
        <v>123</v>
      </c>
      <c r="F390" s="476" t="s">
        <v>164</v>
      </c>
      <c r="G390" s="135" t="str">
        <f>VLOOKUP(A390,Plano_V3!$A$26:$G$769,7,0)</f>
        <v>1. Concluído</v>
      </c>
      <c r="H390" s="135" t="s">
        <v>612</v>
      </c>
      <c r="I390" s="473"/>
      <c r="J390" s="142"/>
      <c r="K390" s="142"/>
      <c r="L390" s="142"/>
      <c r="M390" s="152" t="str">
        <f>IF(VLOOKUP(A390,'Aux - pivots1'!$A:$E,3,0)=0, "",VLOOKUP(A390,'Aux - pivots1'!$A:$E,3,0))</f>
        <v/>
      </c>
      <c r="N390" s="152" t="str">
        <f>IF(VLOOKUP(A390,'Aux - pivots1'!$A:$E,4,0)=0, "",VLOOKUP(A390,'Aux - pivots1'!$A:$E,4,0))</f>
        <v/>
      </c>
      <c r="O390" s="152" t="str">
        <f>IF(VLOOKUP(A390,'Aux - pivots1'!$A:$E,5,0)=0, "",VLOOKUP(A390,'Aux - pivots1'!$A:$E,5,0))</f>
        <v/>
      </c>
      <c r="P390" s="202"/>
      <c r="Q390" s="202"/>
      <c r="R390" s="202"/>
      <c r="S390" s="324"/>
      <c r="T390" s="324"/>
      <c r="U390" s="372" t="s">
        <v>2326</v>
      </c>
      <c r="V390" s="152"/>
    </row>
    <row r="391" spans="1:22" ht="16.350000000000001" hidden="1" customHeight="1">
      <c r="A391" s="29" t="str">
        <f t="shared" si="7"/>
        <v>PROPERTY_ENERGY_CERTIFICATEUSEFUL_ENERGY_HEATING_REQ_VALUE</v>
      </c>
      <c r="B391" s="141" t="s">
        <v>26</v>
      </c>
      <c r="C391" s="137" t="s">
        <v>54</v>
      </c>
      <c r="D391" s="133" t="s">
        <v>40</v>
      </c>
      <c r="E391" s="134" t="s">
        <v>123</v>
      </c>
      <c r="F391" s="476" t="s">
        <v>165</v>
      </c>
      <c r="G391" s="135" t="str">
        <f>VLOOKUP(A391,Plano_V3!$A$26:$G$769,7,0)</f>
        <v>1. Concluído</v>
      </c>
      <c r="H391" s="135" t="s">
        <v>612</v>
      </c>
      <c r="I391" s="473"/>
      <c r="J391" s="142"/>
      <c r="K391" s="142"/>
      <c r="L391" s="142"/>
      <c r="M391" s="152" t="str">
        <f>IF(VLOOKUP(A391,'Aux - pivots1'!$A:$E,3,0)=0, "",VLOOKUP(A391,'Aux - pivots1'!$A:$E,3,0))</f>
        <v/>
      </c>
      <c r="N391" s="152" t="str">
        <f>IF(VLOOKUP(A391,'Aux - pivots1'!$A:$E,4,0)=0, "",VLOOKUP(A391,'Aux - pivots1'!$A:$E,4,0))</f>
        <v/>
      </c>
      <c r="O391" s="152" t="str">
        <f>IF(VLOOKUP(A391,'Aux - pivots1'!$A:$E,5,0)=0, "",VLOOKUP(A391,'Aux - pivots1'!$A:$E,5,0))</f>
        <v/>
      </c>
      <c r="P391" s="202"/>
      <c r="Q391" s="202"/>
      <c r="R391" s="202"/>
      <c r="S391" s="324"/>
      <c r="T391" s="324"/>
      <c r="U391" s="372" t="s">
        <v>2326</v>
      </c>
      <c r="V391" s="152"/>
    </row>
    <row r="392" spans="1:22" ht="16.350000000000001" hidden="1" customHeight="1">
      <c r="A392" s="29" t="str">
        <f t="shared" si="7"/>
        <v>PROPERTY_ENERGY_CERTIFICATEPNL_WINTER_WALLS_DOORS_VALUE</v>
      </c>
      <c r="B392" s="141" t="s">
        <v>26</v>
      </c>
      <c r="C392" s="137" t="s">
        <v>54</v>
      </c>
      <c r="D392" s="133" t="s">
        <v>40</v>
      </c>
      <c r="E392" s="134" t="s">
        <v>123</v>
      </c>
      <c r="F392" s="476" t="s">
        <v>166</v>
      </c>
      <c r="G392" s="135" t="str">
        <f>VLOOKUP(A392,Plano_V3!$A$26:$G$769,7,0)</f>
        <v>1. Concluído</v>
      </c>
      <c r="H392" s="135" t="s">
        <v>612</v>
      </c>
      <c r="I392" s="473"/>
      <c r="J392" s="142"/>
      <c r="K392" s="142"/>
      <c r="L392" s="142"/>
      <c r="M392" s="152" t="str">
        <f>IF(VLOOKUP(A392,'Aux - pivots1'!$A:$E,3,0)=0, "",VLOOKUP(A392,'Aux - pivots1'!$A:$E,3,0))</f>
        <v/>
      </c>
      <c r="N392" s="152" t="str">
        <f>IF(VLOOKUP(A392,'Aux - pivots1'!$A:$E,4,0)=0, "",VLOOKUP(A392,'Aux - pivots1'!$A:$E,4,0))</f>
        <v/>
      </c>
      <c r="O392" s="152" t="str">
        <f>IF(VLOOKUP(A392,'Aux - pivots1'!$A:$E,5,0)=0, "",VLOOKUP(A392,'Aux - pivots1'!$A:$E,5,0))</f>
        <v/>
      </c>
      <c r="P392" s="202"/>
      <c r="Q392" s="202"/>
      <c r="R392" s="202"/>
      <c r="S392" s="324"/>
      <c r="T392" s="324"/>
      <c r="U392" s="372" t="s">
        <v>2326</v>
      </c>
      <c r="V392" s="152"/>
    </row>
    <row r="393" spans="1:22" ht="16.350000000000001" hidden="1" customHeight="1">
      <c r="A393" s="29" t="str">
        <f t="shared" si="7"/>
        <v>PROPERTY_ENERGY_CERTIFICATEPNL_WINTER_FLOORS_VALUE</v>
      </c>
      <c r="B393" s="141" t="s">
        <v>26</v>
      </c>
      <c r="C393" s="137" t="s">
        <v>54</v>
      </c>
      <c r="D393" s="133" t="s">
        <v>40</v>
      </c>
      <c r="E393" s="134" t="s">
        <v>123</v>
      </c>
      <c r="F393" s="476" t="s">
        <v>167</v>
      </c>
      <c r="G393" s="135" t="str">
        <f>VLOOKUP(A393,Plano_V3!$A$26:$G$769,7,0)</f>
        <v>1. Concluído</v>
      </c>
      <c r="H393" s="135" t="s">
        <v>612</v>
      </c>
      <c r="I393" s="473"/>
      <c r="J393" s="142"/>
      <c r="K393" s="142"/>
      <c r="L393" s="142"/>
      <c r="M393" s="152" t="str">
        <f>IF(VLOOKUP(A393,'Aux - pivots1'!$A:$E,3,0)=0, "",VLOOKUP(A393,'Aux - pivots1'!$A:$E,3,0))</f>
        <v/>
      </c>
      <c r="N393" s="152" t="str">
        <f>IF(VLOOKUP(A393,'Aux - pivots1'!$A:$E,4,0)=0, "",VLOOKUP(A393,'Aux - pivots1'!$A:$E,4,0))</f>
        <v/>
      </c>
      <c r="O393" s="152" t="str">
        <f>IF(VLOOKUP(A393,'Aux - pivots1'!$A:$E,5,0)=0, "",VLOOKUP(A393,'Aux - pivots1'!$A:$E,5,0))</f>
        <v/>
      </c>
      <c r="P393" s="202"/>
      <c r="Q393" s="202"/>
      <c r="R393" s="202"/>
      <c r="S393" s="324"/>
      <c r="T393" s="324"/>
      <c r="U393" s="372" t="s">
        <v>2326</v>
      </c>
      <c r="V393" s="152"/>
    </row>
    <row r="394" spans="1:22" ht="16.350000000000001" hidden="1" customHeight="1">
      <c r="A394" s="29" t="str">
        <f t="shared" si="7"/>
        <v>PROPERTY_ENERGY_CERTIFICATEPNL_WINTER_ROOF_VALUE</v>
      </c>
      <c r="B394" s="141" t="s">
        <v>26</v>
      </c>
      <c r="C394" s="137" t="s">
        <v>54</v>
      </c>
      <c r="D394" s="133" t="s">
        <v>40</v>
      </c>
      <c r="E394" s="134" t="s">
        <v>123</v>
      </c>
      <c r="F394" s="476" t="s">
        <v>168</v>
      </c>
      <c r="G394" s="135" t="str">
        <f>VLOOKUP(A394,Plano_V3!$A$26:$G$769,7,0)</f>
        <v>1. Concluído</v>
      </c>
      <c r="H394" s="135" t="s">
        <v>612</v>
      </c>
      <c r="I394" s="473"/>
      <c r="J394" s="142"/>
      <c r="K394" s="142"/>
      <c r="L394" s="142"/>
      <c r="M394" s="152" t="str">
        <f>IF(VLOOKUP(A394,'Aux - pivots1'!$A:$E,3,0)=0, "",VLOOKUP(A394,'Aux - pivots1'!$A:$E,3,0))</f>
        <v/>
      </c>
      <c r="N394" s="152" t="str">
        <f>IF(VLOOKUP(A394,'Aux - pivots1'!$A:$E,4,0)=0, "",VLOOKUP(A394,'Aux - pivots1'!$A:$E,4,0))</f>
        <v/>
      </c>
      <c r="O394" s="152" t="str">
        <f>IF(VLOOKUP(A394,'Aux - pivots1'!$A:$E,5,0)=0, "",VLOOKUP(A394,'Aux - pivots1'!$A:$E,5,0))</f>
        <v/>
      </c>
      <c r="P394" s="202"/>
      <c r="Q394" s="202"/>
      <c r="R394" s="202"/>
      <c r="S394" s="324"/>
      <c r="T394" s="324"/>
      <c r="U394" s="372" t="s">
        <v>2326</v>
      </c>
      <c r="V394" s="152"/>
    </row>
    <row r="395" spans="1:22" ht="16.350000000000001" hidden="1" customHeight="1">
      <c r="A395" s="29" t="str">
        <f t="shared" ref="A395:A458" si="8">E395&amp;F395</f>
        <v>PROPERTY_ENERGY_CERTIFICATEPNL_WINTER_WINDOWS_VALUE</v>
      </c>
      <c r="B395" s="141" t="s">
        <v>26</v>
      </c>
      <c r="C395" s="137" t="s">
        <v>54</v>
      </c>
      <c r="D395" s="133" t="s">
        <v>40</v>
      </c>
      <c r="E395" s="134" t="s">
        <v>123</v>
      </c>
      <c r="F395" s="476" t="s">
        <v>169</v>
      </c>
      <c r="G395" s="135" t="str">
        <f>VLOOKUP(A395,Plano_V3!$A$26:$G$769,7,0)</f>
        <v>1. Concluído</v>
      </c>
      <c r="H395" s="135" t="s">
        <v>612</v>
      </c>
      <c r="I395" s="473"/>
      <c r="J395" s="142"/>
      <c r="K395" s="142"/>
      <c r="L395" s="142"/>
      <c r="M395" s="152" t="str">
        <f>IF(VLOOKUP(A395,'Aux - pivots1'!$A:$E,3,0)=0, "",VLOOKUP(A395,'Aux - pivots1'!$A:$E,3,0))</f>
        <v/>
      </c>
      <c r="N395" s="152" t="str">
        <f>IF(VLOOKUP(A395,'Aux - pivots1'!$A:$E,4,0)=0, "",VLOOKUP(A395,'Aux - pivots1'!$A:$E,4,0))</f>
        <v/>
      </c>
      <c r="O395" s="152" t="str">
        <f>IF(VLOOKUP(A395,'Aux - pivots1'!$A:$E,5,0)=0, "",VLOOKUP(A395,'Aux - pivots1'!$A:$E,5,0))</f>
        <v/>
      </c>
      <c r="P395" s="202"/>
      <c r="Q395" s="202"/>
      <c r="R395" s="202"/>
      <c r="S395" s="324"/>
      <c r="T395" s="324"/>
      <c r="U395" s="372" t="s">
        <v>2326</v>
      </c>
      <c r="V395" s="152"/>
    </row>
    <row r="396" spans="1:22" ht="16.350000000000001" hidden="1" customHeight="1">
      <c r="A396" s="29" t="str">
        <f t="shared" si="8"/>
        <v>PROPERTY_ENERGY_CERTIFICATEPNL_WINTER_REF_VALUE</v>
      </c>
      <c r="B396" s="141" t="s">
        <v>26</v>
      </c>
      <c r="C396" s="137" t="s">
        <v>54</v>
      </c>
      <c r="D396" s="133" t="s">
        <v>40</v>
      </c>
      <c r="E396" s="134" t="s">
        <v>123</v>
      </c>
      <c r="F396" s="476" t="s">
        <v>170</v>
      </c>
      <c r="G396" s="135" t="str">
        <f>VLOOKUP(A396,Plano_V3!$A$26:$G$769,7,0)</f>
        <v>1. Concluído</v>
      </c>
      <c r="H396" s="135" t="s">
        <v>612</v>
      </c>
      <c r="I396" s="473"/>
      <c r="J396" s="142"/>
      <c r="K396" s="142"/>
      <c r="L396" s="142"/>
      <c r="M396" s="152" t="str">
        <f>IF(VLOOKUP(A396,'Aux - pivots1'!$A:$E,3,0)=0, "",VLOOKUP(A396,'Aux - pivots1'!$A:$E,3,0))</f>
        <v/>
      </c>
      <c r="N396" s="152" t="str">
        <f>IF(VLOOKUP(A396,'Aux - pivots1'!$A:$E,4,0)=0, "",VLOOKUP(A396,'Aux - pivots1'!$A:$E,4,0))</f>
        <v/>
      </c>
      <c r="O396" s="152" t="str">
        <f>IF(VLOOKUP(A396,'Aux - pivots1'!$A:$E,5,0)=0, "",VLOOKUP(A396,'Aux - pivots1'!$A:$E,5,0))</f>
        <v/>
      </c>
      <c r="P396" s="202"/>
      <c r="Q396" s="202"/>
      <c r="R396" s="202"/>
      <c r="S396" s="324"/>
      <c r="T396" s="324"/>
      <c r="U396" s="372" t="s">
        <v>2326</v>
      </c>
      <c r="V396" s="152"/>
    </row>
    <row r="397" spans="1:22" ht="16.350000000000001" hidden="1" customHeight="1">
      <c r="A397" s="29" t="str">
        <f t="shared" si="8"/>
        <v>PROPERTY_ENERGY_CERTIFICATEPNL_WINTER_FANS_VALUE</v>
      </c>
      <c r="B397" s="141" t="s">
        <v>26</v>
      </c>
      <c r="C397" s="137" t="s">
        <v>54</v>
      </c>
      <c r="D397" s="133" t="s">
        <v>40</v>
      </c>
      <c r="E397" s="134" t="s">
        <v>123</v>
      </c>
      <c r="F397" s="476" t="s">
        <v>171</v>
      </c>
      <c r="G397" s="135" t="str">
        <f>VLOOKUP(A397,Plano_V3!$A$26:$G$769,7,0)</f>
        <v>1. Concluído</v>
      </c>
      <c r="H397" s="135" t="s">
        <v>612</v>
      </c>
      <c r="I397" s="473"/>
      <c r="J397" s="142"/>
      <c r="K397" s="142"/>
      <c r="L397" s="142"/>
      <c r="M397" s="152" t="str">
        <f>IF(VLOOKUP(A397,'Aux - pivots1'!$A:$E,3,0)=0, "",VLOOKUP(A397,'Aux - pivots1'!$A:$E,3,0))</f>
        <v/>
      </c>
      <c r="N397" s="152" t="str">
        <f>IF(VLOOKUP(A397,'Aux - pivots1'!$A:$E,4,0)=0, "",VLOOKUP(A397,'Aux - pivots1'!$A:$E,4,0))</f>
        <v/>
      </c>
      <c r="O397" s="152" t="str">
        <f>IF(VLOOKUP(A397,'Aux - pivots1'!$A:$E,5,0)=0, "",VLOOKUP(A397,'Aux - pivots1'!$A:$E,5,0))</f>
        <v/>
      </c>
      <c r="P397" s="202"/>
      <c r="Q397" s="202"/>
      <c r="R397" s="202"/>
      <c r="S397" s="324"/>
      <c r="T397" s="324"/>
      <c r="U397" s="372" t="s">
        <v>2326</v>
      </c>
      <c r="V397" s="152"/>
    </row>
    <row r="398" spans="1:22" ht="16.350000000000001" hidden="1" customHeight="1">
      <c r="A398" s="29" t="str">
        <f t="shared" si="8"/>
        <v>PROPERTY_ENERGY_CERTIFICATEPNL_SUMMER_ROOF_VALUE</v>
      </c>
      <c r="B398" s="141" t="s">
        <v>26</v>
      </c>
      <c r="C398" s="137" t="s">
        <v>54</v>
      </c>
      <c r="D398" s="133" t="s">
        <v>40</v>
      </c>
      <c r="E398" s="134" t="s">
        <v>123</v>
      </c>
      <c r="F398" s="476" t="s">
        <v>172</v>
      </c>
      <c r="G398" s="135" t="str">
        <f>VLOOKUP(A398,Plano_V3!$A$26:$G$769,7,0)</f>
        <v>1. Concluído</v>
      </c>
      <c r="H398" s="135" t="s">
        <v>612</v>
      </c>
      <c r="I398" s="473"/>
      <c r="J398" s="142"/>
      <c r="K398" s="142"/>
      <c r="L398" s="142"/>
      <c r="M398" s="152" t="str">
        <f>IF(VLOOKUP(A398,'Aux - pivots1'!$A:$E,3,0)=0, "",VLOOKUP(A398,'Aux - pivots1'!$A:$E,3,0))</f>
        <v/>
      </c>
      <c r="N398" s="152" t="str">
        <f>IF(VLOOKUP(A398,'Aux - pivots1'!$A:$E,4,0)=0, "",VLOOKUP(A398,'Aux - pivots1'!$A:$E,4,0))</f>
        <v/>
      </c>
      <c r="O398" s="152" t="str">
        <f>IF(VLOOKUP(A398,'Aux - pivots1'!$A:$E,5,0)=0, "",VLOOKUP(A398,'Aux - pivots1'!$A:$E,5,0))</f>
        <v/>
      </c>
      <c r="P398" s="202"/>
      <c r="Q398" s="202"/>
      <c r="R398" s="202"/>
      <c r="S398" s="324"/>
      <c r="T398" s="324"/>
      <c r="U398" s="372" t="s">
        <v>2326</v>
      </c>
      <c r="V398" s="152"/>
    </row>
    <row r="399" spans="1:22" ht="16.350000000000001" hidden="1" customHeight="1">
      <c r="A399" s="29" t="str">
        <f t="shared" si="8"/>
        <v>PROPERTY_ENERGY_CERTIFICATEPNL_SUMMER_WINDOWS_VALUE</v>
      </c>
      <c r="B399" s="141" t="s">
        <v>26</v>
      </c>
      <c r="C399" s="137" t="s">
        <v>54</v>
      </c>
      <c r="D399" s="133" t="s">
        <v>40</v>
      </c>
      <c r="E399" s="134" t="s">
        <v>123</v>
      </c>
      <c r="F399" s="476" t="s">
        <v>173</v>
      </c>
      <c r="G399" s="135" t="str">
        <f>VLOOKUP(A399,Plano_V3!$A$26:$G$769,7,0)</f>
        <v>1. Concluído</v>
      </c>
      <c r="H399" s="135" t="s">
        <v>612</v>
      </c>
      <c r="I399" s="473"/>
      <c r="J399" s="142"/>
      <c r="K399" s="142"/>
      <c r="L399" s="142"/>
      <c r="M399" s="152" t="str">
        <f>IF(VLOOKUP(A399,'Aux - pivots1'!$A:$E,3,0)=0, "",VLOOKUP(A399,'Aux - pivots1'!$A:$E,3,0))</f>
        <v/>
      </c>
      <c r="N399" s="152" t="str">
        <f>IF(VLOOKUP(A399,'Aux - pivots1'!$A:$E,4,0)=0, "",VLOOKUP(A399,'Aux - pivots1'!$A:$E,4,0))</f>
        <v/>
      </c>
      <c r="O399" s="152" t="str">
        <f>IF(VLOOKUP(A399,'Aux - pivots1'!$A:$E,5,0)=0, "",VLOOKUP(A399,'Aux - pivots1'!$A:$E,5,0))</f>
        <v/>
      </c>
      <c r="P399" s="202"/>
      <c r="Q399" s="202"/>
      <c r="R399" s="202"/>
      <c r="S399" s="324"/>
      <c r="T399" s="324"/>
      <c r="U399" s="372" t="s">
        <v>2326</v>
      </c>
      <c r="V399" s="152"/>
    </row>
    <row r="400" spans="1:22" ht="16.350000000000001" hidden="1" customHeight="1">
      <c r="A400" s="29" t="str">
        <f t="shared" si="8"/>
        <v>PROPERTY_ENERGY_CERTIFICATEPNL_SUMMER_WALLS_DOORS_VALUE</v>
      </c>
      <c r="B400" s="141" t="s">
        <v>26</v>
      </c>
      <c r="C400" s="137" t="s">
        <v>54</v>
      </c>
      <c r="D400" s="133" t="s">
        <v>40</v>
      </c>
      <c r="E400" s="134" t="s">
        <v>123</v>
      </c>
      <c r="F400" s="476" t="s">
        <v>174</v>
      </c>
      <c r="G400" s="135" t="str">
        <f>VLOOKUP(A400,Plano_V3!$A$26:$G$769,7,0)</f>
        <v>1. Concluído</v>
      </c>
      <c r="H400" s="135" t="s">
        <v>612</v>
      </c>
      <c r="I400" s="473"/>
      <c r="J400" s="142"/>
      <c r="K400" s="142"/>
      <c r="L400" s="142"/>
      <c r="M400" s="152" t="str">
        <f>IF(VLOOKUP(A400,'Aux - pivots1'!$A:$E,3,0)=0, "",VLOOKUP(A400,'Aux - pivots1'!$A:$E,3,0))</f>
        <v/>
      </c>
      <c r="N400" s="152" t="str">
        <f>IF(VLOOKUP(A400,'Aux - pivots1'!$A:$E,4,0)=0, "",VLOOKUP(A400,'Aux - pivots1'!$A:$E,4,0))</f>
        <v/>
      </c>
      <c r="O400" s="152" t="str">
        <f>IF(VLOOKUP(A400,'Aux - pivots1'!$A:$E,5,0)=0, "",VLOOKUP(A400,'Aux - pivots1'!$A:$E,5,0))</f>
        <v/>
      </c>
      <c r="P400" s="202"/>
      <c r="Q400" s="202"/>
      <c r="R400" s="202"/>
      <c r="S400" s="324"/>
      <c r="T400" s="324"/>
      <c r="U400" s="372" t="s">
        <v>2326</v>
      </c>
      <c r="V400" s="152"/>
    </row>
    <row r="401" spans="1:22" ht="16.350000000000001" hidden="1" customHeight="1">
      <c r="A401" s="29" t="str">
        <f t="shared" si="8"/>
        <v>PROPERTY_ENERGY_CERTIFICATEPNL_SUMMER_REF_VALUE</v>
      </c>
      <c r="B401" s="141" t="s">
        <v>26</v>
      </c>
      <c r="C401" s="137" t="s">
        <v>54</v>
      </c>
      <c r="D401" s="133" t="s">
        <v>40</v>
      </c>
      <c r="E401" s="134" t="s">
        <v>123</v>
      </c>
      <c r="F401" s="476" t="s">
        <v>175</v>
      </c>
      <c r="G401" s="135" t="str">
        <f>VLOOKUP(A401,Plano_V3!$A$26:$G$769,7,0)</f>
        <v>1. Concluído</v>
      </c>
      <c r="H401" s="135" t="s">
        <v>612</v>
      </c>
      <c r="I401" s="473"/>
      <c r="J401" s="142"/>
      <c r="K401" s="142"/>
      <c r="L401" s="142"/>
      <c r="M401" s="152" t="str">
        <f>IF(VLOOKUP(A401,'Aux - pivots1'!$A:$E,3,0)=0, "",VLOOKUP(A401,'Aux - pivots1'!$A:$E,3,0))</f>
        <v/>
      </c>
      <c r="N401" s="152" t="str">
        <f>IF(VLOOKUP(A401,'Aux - pivots1'!$A:$E,4,0)=0, "",VLOOKUP(A401,'Aux - pivots1'!$A:$E,4,0))</f>
        <v/>
      </c>
      <c r="O401" s="152" t="str">
        <f>IF(VLOOKUP(A401,'Aux - pivots1'!$A:$E,5,0)=0, "",VLOOKUP(A401,'Aux - pivots1'!$A:$E,5,0))</f>
        <v/>
      </c>
      <c r="P401" s="202"/>
      <c r="Q401" s="202"/>
      <c r="R401" s="202"/>
      <c r="S401" s="324"/>
      <c r="T401" s="324"/>
      <c r="U401" s="372" t="s">
        <v>2326</v>
      </c>
      <c r="V401" s="152"/>
    </row>
    <row r="402" spans="1:22" ht="16.350000000000001" hidden="1" customHeight="1">
      <c r="A402" s="29" t="str">
        <f t="shared" si="8"/>
        <v>PROPERTY_ENERGY_CERTIFICATEINVOICE_RED_ANNUAL_ESTMTD_VALUE</v>
      </c>
      <c r="B402" s="141" t="s">
        <v>26</v>
      </c>
      <c r="C402" s="137" t="s">
        <v>54</v>
      </c>
      <c r="D402" s="133" t="s">
        <v>40</v>
      </c>
      <c r="E402" s="134" t="s">
        <v>123</v>
      </c>
      <c r="F402" s="476" t="s">
        <v>176</v>
      </c>
      <c r="G402" s="135" t="str">
        <f>VLOOKUP(A402,Plano_V3!$A$26:$G$769,7,0)</f>
        <v>1. Concluído</v>
      </c>
      <c r="H402" s="135" t="s">
        <v>612</v>
      </c>
      <c r="I402" s="473"/>
      <c r="J402" s="142"/>
      <c r="K402" s="142"/>
      <c r="L402" s="142"/>
      <c r="M402" s="152" t="str">
        <f>IF(VLOOKUP(A402,'Aux - pivots1'!$A:$E,3,0)=0, "",VLOOKUP(A402,'Aux - pivots1'!$A:$E,3,0))</f>
        <v/>
      </c>
      <c r="N402" s="152" t="str">
        <f>IF(VLOOKUP(A402,'Aux - pivots1'!$A:$E,4,0)=0, "",VLOOKUP(A402,'Aux - pivots1'!$A:$E,4,0))</f>
        <v/>
      </c>
      <c r="O402" s="152" t="str">
        <f>IF(VLOOKUP(A402,'Aux - pivots1'!$A:$E,5,0)=0, "",VLOOKUP(A402,'Aux - pivots1'!$A:$E,5,0))</f>
        <v/>
      </c>
      <c r="P402" s="202"/>
      <c r="Q402" s="202"/>
      <c r="R402" s="202"/>
      <c r="S402" s="324"/>
      <c r="T402" s="324"/>
      <c r="U402" s="372" t="s">
        <v>2326</v>
      </c>
      <c r="V402" s="152"/>
    </row>
    <row r="403" spans="1:22" ht="16.350000000000001" hidden="1" customHeight="1">
      <c r="A403" s="29" t="str">
        <f t="shared" si="8"/>
        <v>PROPERTY_ENERGY_CERTIFICATETEMPERATURE_OUTDOOR_AVG_VALUE</v>
      </c>
      <c r="B403" s="141" t="s">
        <v>26</v>
      </c>
      <c r="C403" s="137" t="s">
        <v>54</v>
      </c>
      <c r="D403" s="133" t="s">
        <v>40</v>
      </c>
      <c r="E403" s="134" t="s">
        <v>123</v>
      </c>
      <c r="F403" s="476" t="s">
        <v>177</v>
      </c>
      <c r="G403" s="135" t="str">
        <f>VLOOKUP(A403,Plano_V3!$A$26:$G$769,7,0)</f>
        <v>1. Concluído</v>
      </c>
      <c r="H403" s="135" t="s">
        <v>612</v>
      </c>
      <c r="I403" s="473"/>
      <c r="J403" s="142"/>
      <c r="K403" s="142"/>
      <c r="L403" s="142"/>
      <c r="M403" s="152" t="str">
        <f>IF(VLOOKUP(A403,'Aux - pivots1'!$A:$E,3,0)=0, "",VLOOKUP(A403,'Aux - pivots1'!$A:$E,3,0))</f>
        <v/>
      </c>
      <c r="N403" s="152" t="str">
        <f>IF(VLOOKUP(A403,'Aux - pivots1'!$A:$E,4,0)=0, "",VLOOKUP(A403,'Aux - pivots1'!$A:$E,4,0))</f>
        <v/>
      </c>
      <c r="O403" s="152" t="str">
        <f>IF(VLOOKUP(A403,'Aux - pivots1'!$A:$E,5,0)=0, "",VLOOKUP(A403,'Aux - pivots1'!$A:$E,5,0))</f>
        <v/>
      </c>
      <c r="P403" s="202"/>
      <c r="Q403" s="202"/>
      <c r="R403" s="202"/>
      <c r="S403" s="324"/>
      <c r="T403" s="324"/>
      <c r="U403" s="372" t="s">
        <v>2326</v>
      </c>
      <c r="V403" s="152"/>
    </row>
    <row r="404" spans="1:22" ht="16.350000000000001" hidden="1" customHeight="1">
      <c r="A404" s="29" t="str">
        <f t="shared" si="8"/>
        <v>PROPERTY_ENERGY_CERTIFICATECLIMATE_ZONE_WINTER</v>
      </c>
      <c r="B404" s="141" t="s">
        <v>26</v>
      </c>
      <c r="C404" s="137" t="s">
        <v>54</v>
      </c>
      <c r="D404" s="133" t="s">
        <v>40</v>
      </c>
      <c r="E404" s="134" t="s">
        <v>123</v>
      </c>
      <c r="F404" s="476" t="s">
        <v>178</v>
      </c>
      <c r="G404" s="135" t="str">
        <f>VLOOKUP(A404,Plano_V3!$A$26:$G$769,7,0)</f>
        <v>1. Concluído</v>
      </c>
      <c r="H404" s="135" t="s">
        <v>612</v>
      </c>
      <c r="I404" s="473"/>
      <c r="J404" s="142"/>
      <c r="K404" s="142"/>
      <c r="L404" s="142"/>
      <c r="M404" s="152" t="str">
        <f>IF(VLOOKUP(A404,'Aux - pivots1'!$A:$E,3,0)=0, "",VLOOKUP(A404,'Aux - pivots1'!$A:$E,3,0))</f>
        <v/>
      </c>
      <c r="N404" s="152" t="str">
        <f>IF(VLOOKUP(A404,'Aux - pivots1'!$A:$E,4,0)=0, "",VLOOKUP(A404,'Aux - pivots1'!$A:$E,4,0))</f>
        <v/>
      </c>
      <c r="O404" s="152" t="str">
        <f>IF(VLOOKUP(A404,'Aux - pivots1'!$A:$E,5,0)=0, "",VLOOKUP(A404,'Aux - pivots1'!$A:$E,5,0))</f>
        <v/>
      </c>
      <c r="P404" s="202"/>
      <c r="Q404" s="202"/>
      <c r="R404" s="202"/>
      <c r="S404" s="324"/>
      <c r="T404" s="324"/>
      <c r="U404" s="372" t="s">
        <v>2326</v>
      </c>
      <c r="V404" s="152"/>
    </row>
    <row r="405" spans="1:22" ht="16.350000000000001" hidden="1" customHeight="1">
      <c r="A405" s="29" t="str">
        <f t="shared" si="8"/>
        <v>PROPERTY_ENERGY_CERTIFICATENET_FLOOR_AREA</v>
      </c>
      <c r="B405" s="141" t="s">
        <v>26</v>
      </c>
      <c r="C405" s="137" t="s">
        <v>54</v>
      </c>
      <c r="D405" s="133" t="s">
        <v>40</v>
      </c>
      <c r="E405" s="134" t="s">
        <v>123</v>
      </c>
      <c r="F405" s="476" t="s">
        <v>97</v>
      </c>
      <c r="G405" s="135" t="str">
        <f>VLOOKUP(A405,Plano_V3!$A$26:$G$769,7,0)</f>
        <v>1. Concluído</v>
      </c>
      <c r="H405" s="135" t="s">
        <v>612</v>
      </c>
      <c r="I405" s="473"/>
      <c r="J405" s="142"/>
      <c r="K405" s="142"/>
      <c r="L405" s="142"/>
      <c r="M405" s="152" t="str">
        <f>IF(VLOOKUP(A405,'Aux - pivots1'!$A:$E,3,0)=0, "",VLOOKUP(A405,'Aux - pivots1'!$A:$E,3,0))</f>
        <v/>
      </c>
      <c r="N405" s="152" t="str">
        <f>IF(VLOOKUP(A405,'Aux - pivots1'!$A:$E,4,0)=0, "",VLOOKUP(A405,'Aux - pivots1'!$A:$E,4,0))</f>
        <v/>
      </c>
      <c r="O405" s="152" t="str">
        <f>IF(VLOOKUP(A405,'Aux - pivots1'!$A:$E,5,0)=0, "",VLOOKUP(A405,'Aux - pivots1'!$A:$E,5,0))</f>
        <v/>
      </c>
      <c r="P405" s="202"/>
      <c r="Q405" s="202"/>
      <c r="R405" s="202"/>
      <c r="S405" s="324"/>
      <c r="T405" s="324"/>
      <c r="U405" s="372" t="s">
        <v>2326</v>
      </c>
      <c r="V405" s="152"/>
    </row>
    <row r="406" spans="1:22" ht="16.350000000000001" hidden="1" customHeight="1">
      <c r="A406" s="29" t="str">
        <f t="shared" si="8"/>
        <v>PROPERTY_ENERGY_CERTIFICATECADASTRAL_REGISTER_CODE</v>
      </c>
      <c r="B406" s="141" t="s">
        <v>26</v>
      </c>
      <c r="C406" s="137" t="s">
        <v>54</v>
      </c>
      <c r="D406" s="133" t="s">
        <v>40</v>
      </c>
      <c r="E406" s="134" t="s">
        <v>123</v>
      </c>
      <c r="F406" s="476" t="s">
        <v>98</v>
      </c>
      <c r="G406" s="135" t="str">
        <f>VLOOKUP(A406,Plano_V3!$A$26:$G$769,7,0)</f>
        <v>1. Concluído</v>
      </c>
      <c r="H406" s="135" t="s">
        <v>612</v>
      </c>
      <c r="I406" s="473"/>
      <c r="J406" s="142"/>
      <c r="K406" s="142"/>
      <c r="L406" s="142"/>
      <c r="M406" s="152" t="str">
        <f>IF(VLOOKUP(A406,'Aux - pivots1'!$A:$E,3,0)=0, "",VLOOKUP(A406,'Aux - pivots1'!$A:$E,3,0))</f>
        <v/>
      </c>
      <c r="N406" s="152" t="str">
        <f>IF(VLOOKUP(A406,'Aux - pivots1'!$A:$E,4,0)=0, "",VLOOKUP(A406,'Aux - pivots1'!$A:$E,4,0))</f>
        <v/>
      </c>
      <c r="O406" s="152" t="str">
        <f>IF(VLOOKUP(A406,'Aux - pivots1'!$A:$E,5,0)=0, "",VLOOKUP(A406,'Aux - pivots1'!$A:$E,5,0))</f>
        <v/>
      </c>
      <c r="P406" s="202"/>
      <c r="Q406" s="202"/>
      <c r="R406" s="202"/>
      <c r="S406" s="324"/>
      <c r="T406" s="324"/>
      <c r="U406" s="372" t="s">
        <v>2326</v>
      </c>
      <c r="V406" s="152"/>
    </row>
    <row r="407" spans="1:22" ht="16.350000000000001" hidden="1" customHeight="1">
      <c r="A407" s="29" t="str">
        <f t="shared" si="8"/>
        <v>PROPERTY_ENERGY_CERTIFICATEDISTRICT_MUNICIP_PARISH_CODE</v>
      </c>
      <c r="B407" s="141" t="s">
        <v>26</v>
      </c>
      <c r="C407" s="137" t="s">
        <v>54</v>
      </c>
      <c r="D407" s="133" t="s">
        <v>40</v>
      </c>
      <c r="E407" s="134" t="s">
        <v>123</v>
      </c>
      <c r="F407" s="476" t="s">
        <v>101</v>
      </c>
      <c r="G407" s="135" t="str">
        <f>VLOOKUP(A407,Plano_V3!$A$26:$G$769,7,0)</f>
        <v>1. Concluído</v>
      </c>
      <c r="H407" s="135" t="s">
        <v>612</v>
      </c>
      <c r="I407" s="473"/>
      <c r="J407" s="142"/>
      <c r="K407" s="142"/>
      <c r="L407" s="142"/>
      <c r="M407" s="152" t="str">
        <f>IF(VLOOKUP(A407,'Aux - pivots1'!$A:$E,3,0)=0, "",VLOOKUP(A407,'Aux - pivots1'!$A:$E,3,0))</f>
        <v/>
      </c>
      <c r="N407" s="152" t="str">
        <f>IF(VLOOKUP(A407,'Aux - pivots1'!$A:$E,4,0)=0, "",VLOOKUP(A407,'Aux - pivots1'!$A:$E,4,0))</f>
        <v/>
      </c>
      <c r="O407" s="152" t="str">
        <f>IF(VLOOKUP(A407,'Aux - pivots1'!$A:$E,5,0)=0, "",VLOOKUP(A407,'Aux - pivots1'!$A:$E,5,0))</f>
        <v/>
      </c>
      <c r="P407" s="202"/>
      <c r="Q407" s="202"/>
      <c r="R407" s="202"/>
      <c r="S407" s="324"/>
      <c r="T407" s="324"/>
      <c r="U407" s="372" t="s">
        <v>2326</v>
      </c>
      <c r="V407" s="152"/>
    </row>
    <row r="408" spans="1:22" ht="16.350000000000001" hidden="1" customHeight="1">
      <c r="A408" s="29" t="str">
        <f t="shared" si="8"/>
        <v>PROPERTY_ENERGY_CERTIFICATEPROPERTY_PURPOSE_CODE</v>
      </c>
      <c r="B408" s="141" t="s">
        <v>26</v>
      </c>
      <c r="C408" s="137" t="s">
        <v>54</v>
      </c>
      <c r="D408" s="133" t="s">
        <v>40</v>
      </c>
      <c r="E408" s="134" t="s">
        <v>123</v>
      </c>
      <c r="F408" s="476" t="s">
        <v>102</v>
      </c>
      <c r="G408" s="135" t="str">
        <f>VLOOKUP(A408,Plano_V3!$A$26:$G$769,7,0)</f>
        <v>1. Concluído</v>
      </c>
      <c r="H408" s="135" t="s">
        <v>612</v>
      </c>
      <c r="I408" s="473"/>
      <c r="J408" s="142"/>
      <c r="K408" s="142"/>
      <c r="L408" s="142"/>
      <c r="M408" s="152" t="str">
        <f>IF(VLOOKUP(A408,'Aux - pivots1'!$A:$E,3,0)=0, "",VLOOKUP(A408,'Aux - pivots1'!$A:$E,3,0))</f>
        <v/>
      </c>
      <c r="N408" s="152" t="str">
        <f>IF(VLOOKUP(A408,'Aux - pivots1'!$A:$E,4,0)=0, "",VLOOKUP(A408,'Aux - pivots1'!$A:$E,4,0))</f>
        <v/>
      </c>
      <c r="O408" s="152" t="str">
        <f>IF(VLOOKUP(A408,'Aux - pivots1'!$A:$E,5,0)=0, "",VLOOKUP(A408,'Aux - pivots1'!$A:$E,5,0))</f>
        <v/>
      </c>
      <c r="P408" s="202"/>
      <c r="Q408" s="202"/>
      <c r="R408" s="202"/>
      <c r="S408" s="324"/>
      <c r="T408" s="324"/>
      <c r="U408" s="372" t="s">
        <v>2326</v>
      </c>
      <c r="V408" s="152"/>
    </row>
    <row r="409" spans="1:22" ht="16.350000000000001" hidden="1" customHeight="1">
      <c r="A409" s="29" t="str">
        <f t="shared" si="8"/>
        <v>PROPERTY_ENERGY_CERTIFICATEADDRESS_CODE</v>
      </c>
      <c r="B409" s="141" t="s">
        <v>26</v>
      </c>
      <c r="C409" s="137" t="s">
        <v>54</v>
      </c>
      <c r="D409" s="133" t="s">
        <v>40</v>
      </c>
      <c r="E409" s="134" t="s">
        <v>123</v>
      </c>
      <c r="F409" s="476" t="s">
        <v>104</v>
      </c>
      <c r="G409" s="135" t="str">
        <f>VLOOKUP(A409,Plano_V3!$A$26:$G$769,7,0)</f>
        <v>1. Concluído</v>
      </c>
      <c r="H409" s="135" t="s">
        <v>612</v>
      </c>
      <c r="I409" s="473"/>
      <c r="J409" s="142"/>
      <c r="K409" s="142"/>
      <c r="L409" s="142"/>
      <c r="M409" s="152" t="str">
        <f>IF(VLOOKUP(A409,'Aux - pivots1'!$A:$E,3,0)=0, "",VLOOKUP(A409,'Aux - pivots1'!$A:$E,3,0))</f>
        <v/>
      </c>
      <c r="N409" s="152" t="str">
        <f>IF(VLOOKUP(A409,'Aux - pivots1'!$A:$E,4,0)=0, "",VLOOKUP(A409,'Aux - pivots1'!$A:$E,4,0))</f>
        <v/>
      </c>
      <c r="O409" s="152" t="str">
        <f>IF(VLOOKUP(A409,'Aux - pivots1'!$A:$E,5,0)=0, "",VLOOKUP(A409,'Aux - pivots1'!$A:$E,5,0))</f>
        <v/>
      </c>
      <c r="P409" s="202"/>
      <c r="Q409" s="202"/>
      <c r="R409" s="202"/>
      <c r="S409" s="324"/>
      <c r="T409" s="324"/>
      <c r="U409" s="372" t="s">
        <v>2326</v>
      </c>
      <c r="V409" s="152"/>
    </row>
    <row r="410" spans="1:22" ht="16.350000000000001" hidden="1" customHeight="1">
      <c r="A410" s="29" t="str">
        <f t="shared" si="8"/>
        <v>PROPERTY_ENERGY_CERTIFICATEFLOOR_NUMBER</v>
      </c>
      <c r="B410" s="141" t="s">
        <v>26</v>
      </c>
      <c r="C410" s="137" t="s">
        <v>54</v>
      </c>
      <c r="D410" s="133" t="s">
        <v>40</v>
      </c>
      <c r="E410" s="134" t="s">
        <v>123</v>
      </c>
      <c r="F410" s="476" t="s">
        <v>111</v>
      </c>
      <c r="G410" s="135" t="str">
        <f>VLOOKUP(A410,Plano_V3!$A$26:$G$769,7,0)</f>
        <v>1. Concluído</v>
      </c>
      <c r="H410" s="135" t="s">
        <v>612</v>
      </c>
      <c r="I410" s="473"/>
      <c r="J410" s="142"/>
      <c r="K410" s="142"/>
      <c r="L410" s="142"/>
      <c r="M410" s="152" t="str">
        <f>IF(VLOOKUP(A410,'Aux - pivots1'!$A:$E,3,0)=0, "",VLOOKUP(A410,'Aux - pivots1'!$A:$E,3,0))</f>
        <v/>
      </c>
      <c r="N410" s="152" t="str">
        <f>IF(VLOOKUP(A410,'Aux - pivots1'!$A:$E,4,0)=0, "",VLOOKUP(A410,'Aux - pivots1'!$A:$E,4,0))</f>
        <v/>
      </c>
      <c r="O410" s="152" t="str">
        <f>IF(VLOOKUP(A410,'Aux - pivots1'!$A:$E,5,0)=0, "",VLOOKUP(A410,'Aux - pivots1'!$A:$E,5,0))</f>
        <v/>
      </c>
      <c r="P410" s="202"/>
      <c r="Q410" s="202"/>
      <c r="R410" s="202"/>
      <c r="S410" s="324"/>
      <c r="T410" s="324"/>
      <c r="U410" s="372" t="s">
        <v>2326</v>
      </c>
      <c r="V410" s="152"/>
    </row>
    <row r="411" spans="1:22" ht="16.350000000000001" hidden="1" customHeight="1">
      <c r="A411" s="29" t="str">
        <f t="shared" si="8"/>
        <v>PROPERTY_ENERGY_CERTIFICATELOCALITY</v>
      </c>
      <c r="B411" s="141" t="s">
        <v>26</v>
      </c>
      <c r="C411" s="137" t="s">
        <v>54</v>
      </c>
      <c r="D411" s="133" t="s">
        <v>40</v>
      </c>
      <c r="E411" s="134" t="s">
        <v>123</v>
      </c>
      <c r="F411" s="476" t="s">
        <v>112</v>
      </c>
      <c r="G411" s="135" t="str">
        <f>VLOOKUP(A411,Plano_V3!$A$26:$G$769,7,0)</f>
        <v>1. Concluído</v>
      </c>
      <c r="H411" s="135" t="s">
        <v>612</v>
      </c>
      <c r="I411" s="473"/>
      <c r="J411" s="142"/>
      <c r="K411" s="142"/>
      <c r="L411" s="142"/>
      <c r="M411" s="152" t="str">
        <f>IF(VLOOKUP(A411,'Aux - pivots1'!$A:$E,3,0)=0, "",VLOOKUP(A411,'Aux - pivots1'!$A:$E,3,0))</f>
        <v/>
      </c>
      <c r="N411" s="152" t="str">
        <f>IF(VLOOKUP(A411,'Aux - pivots1'!$A:$E,4,0)=0, "",VLOOKUP(A411,'Aux - pivots1'!$A:$E,4,0))</f>
        <v/>
      </c>
      <c r="O411" s="152" t="str">
        <f>IF(VLOOKUP(A411,'Aux - pivots1'!$A:$E,5,0)=0, "",VLOOKUP(A411,'Aux - pivots1'!$A:$E,5,0))</f>
        <v/>
      </c>
      <c r="P411" s="202"/>
      <c r="Q411" s="202"/>
      <c r="R411" s="202"/>
      <c r="S411" s="324"/>
      <c r="T411" s="324"/>
      <c r="U411" s="372" t="s">
        <v>2326</v>
      </c>
      <c r="V411" s="152"/>
    </row>
    <row r="412" spans="1:22" ht="16.350000000000001" hidden="1" customHeight="1">
      <c r="A412" s="29" t="str">
        <f t="shared" si="8"/>
        <v>PROPERTY_ENERGY_CERTIFICATECLIMATE_ZONE_SUMMER</v>
      </c>
      <c r="B412" s="141" t="s">
        <v>26</v>
      </c>
      <c r="C412" s="137" t="s">
        <v>54</v>
      </c>
      <c r="D412" s="133" t="s">
        <v>40</v>
      </c>
      <c r="E412" s="134" t="s">
        <v>123</v>
      </c>
      <c r="F412" s="476" t="s">
        <v>179</v>
      </c>
      <c r="G412" s="135" t="str">
        <f>VLOOKUP(A412,Plano_V3!$A$26:$G$769,7,0)</f>
        <v>1. Concluído</v>
      </c>
      <c r="H412" s="135" t="s">
        <v>612</v>
      </c>
      <c r="I412" s="473"/>
      <c r="J412" s="142"/>
      <c r="K412" s="142"/>
      <c r="L412" s="142"/>
      <c r="M412" s="152" t="str">
        <f>IF(VLOOKUP(A412,'Aux - pivots1'!$A:$E,3,0)=0, "",VLOOKUP(A412,'Aux - pivots1'!$A:$E,3,0))</f>
        <v/>
      </c>
      <c r="N412" s="152" t="str">
        <f>IF(VLOOKUP(A412,'Aux - pivots1'!$A:$E,4,0)=0, "",VLOOKUP(A412,'Aux - pivots1'!$A:$E,4,0))</f>
        <v/>
      </c>
      <c r="O412" s="152" t="str">
        <f>IF(VLOOKUP(A412,'Aux - pivots1'!$A:$E,5,0)=0, "",VLOOKUP(A412,'Aux - pivots1'!$A:$E,5,0))</f>
        <v/>
      </c>
      <c r="P412" s="202"/>
      <c r="Q412" s="202"/>
      <c r="R412" s="202"/>
      <c r="S412" s="324"/>
      <c r="T412" s="324"/>
      <c r="U412" s="372" t="s">
        <v>2326</v>
      </c>
      <c r="V412" s="152"/>
    </row>
    <row r="413" spans="1:22" ht="16.350000000000001" hidden="1" customHeight="1">
      <c r="A413" s="29" t="str">
        <f t="shared" si="8"/>
        <v>PROPERTY_ENERGY_CERTIFICATEGPS_LATITUDE</v>
      </c>
      <c r="B413" s="141" t="s">
        <v>26</v>
      </c>
      <c r="C413" s="137" t="s">
        <v>54</v>
      </c>
      <c r="D413" s="133" t="s">
        <v>40</v>
      </c>
      <c r="E413" s="134" t="s">
        <v>123</v>
      </c>
      <c r="F413" s="476" t="s">
        <v>2441</v>
      </c>
      <c r="G413" s="135" t="str">
        <f>VLOOKUP(A413,Plano_V3!$A$26:$G$769,7,0)</f>
        <v>1. Concluído</v>
      </c>
      <c r="H413" s="135" t="s">
        <v>612</v>
      </c>
      <c r="I413" s="473"/>
      <c r="J413" s="142"/>
      <c r="K413" s="142"/>
      <c r="L413" s="142"/>
      <c r="M413" s="152" t="str">
        <f>IF(VLOOKUP(A413,'Aux - pivots1'!$A:$E,3,0)=0, "",VLOOKUP(A413,'Aux - pivots1'!$A:$E,3,0))</f>
        <v/>
      </c>
      <c r="N413" s="152" t="str">
        <f>IF(VLOOKUP(A413,'Aux - pivots1'!$A:$E,4,0)=0, "",VLOOKUP(A413,'Aux - pivots1'!$A:$E,4,0))</f>
        <v/>
      </c>
      <c r="O413" s="152" t="str">
        <f>IF(VLOOKUP(A413,'Aux - pivots1'!$A:$E,5,0)=0, "",VLOOKUP(A413,'Aux - pivots1'!$A:$E,5,0))</f>
        <v/>
      </c>
      <c r="P413" s="202"/>
      <c r="Q413" s="202"/>
      <c r="R413" s="202"/>
      <c r="S413" s="324"/>
      <c r="T413" s="324"/>
      <c r="U413" s="372" t="s">
        <v>2326</v>
      </c>
      <c r="V413" s="152"/>
    </row>
    <row r="414" spans="1:22" ht="16.350000000000001" hidden="1" customHeight="1">
      <c r="A414" s="29" t="str">
        <f t="shared" si="8"/>
        <v>PROPERTY_ENERGY_CERTIFICATEGPS_LONGITUDE</v>
      </c>
      <c r="B414" s="141" t="s">
        <v>26</v>
      </c>
      <c r="C414" s="137" t="s">
        <v>54</v>
      </c>
      <c r="D414" s="133" t="s">
        <v>40</v>
      </c>
      <c r="E414" s="134" t="s">
        <v>123</v>
      </c>
      <c r="F414" s="476" t="s">
        <v>2442</v>
      </c>
      <c r="G414" s="135" t="str">
        <f>VLOOKUP(A414,Plano_V3!$A$26:$G$769,7,0)</f>
        <v>1. Concluído</v>
      </c>
      <c r="H414" s="135" t="s">
        <v>612</v>
      </c>
      <c r="I414" s="473"/>
      <c r="J414" s="359"/>
      <c r="K414" s="359"/>
      <c r="L414" s="359"/>
      <c r="M414" s="152" t="str">
        <f>IF(VLOOKUP(A414,'Aux - pivots1'!$A:$E,3,0)=0, "",VLOOKUP(A414,'Aux - pivots1'!$A:$E,3,0))</f>
        <v/>
      </c>
      <c r="N414" s="152" t="str">
        <f>IF(VLOOKUP(A414,'Aux - pivots1'!$A:$E,4,0)=0, "",VLOOKUP(A414,'Aux - pivots1'!$A:$E,4,0))</f>
        <v/>
      </c>
      <c r="O414" s="152" t="str">
        <f>IF(VLOOKUP(A414,'Aux - pivots1'!$A:$E,5,0)=0, "",VLOOKUP(A414,'Aux - pivots1'!$A:$E,5,0))</f>
        <v/>
      </c>
      <c r="P414" s="202"/>
      <c r="Q414" s="202"/>
      <c r="R414" s="202"/>
      <c r="S414" s="324"/>
      <c r="T414" s="324"/>
      <c r="U414" s="372" t="s">
        <v>2326</v>
      </c>
      <c r="V414" s="323"/>
    </row>
    <row r="415" spans="1:22" ht="16.350000000000001" hidden="1" customHeight="1">
      <c r="A415" s="29" t="str">
        <f t="shared" si="8"/>
        <v>modesg_param_sfics_taxon_europeiaordem</v>
      </c>
      <c r="B415" s="141" t="s">
        <v>26</v>
      </c>
      <c r="C415" s="137" t="s">
        <v>181</v>
      </c>
      <c r="D415" s="133" t="s">
        <v>40</v>
      </c>
      <c r="E415" s="134" t="s">
        <v>2102</v>
      </c>
      <c r="F415" s="476" t="s">
        <v>211</v>
      </c>
      <c r="G415" s="135" t="str">
        <f>VLOOKUP(A415,Plano_V3!$A$26:$G$769,7,0)</f>
        <v>0. Cancelado</v>
      </c>
      <c r="H415" s="135" t="s">
        <v>611</v>
      </c>
      <c r="I415" s="473"/>
      <c r="J415" s="153"/>
      <c r="K415" s="359"/>
      <c r="L415" s="491"/>
      <c r="M415" s="152"/>
      <c r="N415" s="152"/>
      <c r="O415" s="152"/>
      <c r="P415" s="202"/>
      <c r="Q415" s="202"/>
      <c r="R415" s="202"/>
      <c r="S415" s="324"/>
      <c r="T415" s="324"/>
      <c r="U415" s="372" t="s">
        <v>2326</v>
      </c>
      <c r="V415" s="323"/>
    </row>
    <row r="416" spans="1:22" ht="16.350000000000001" hidden="1" customHeight="1">
      <c r="A416" s="29" t="str">
        <f t="shared" si="8"/>
        <v>modesg_param_sfics_taxon_europeianome_purpose_esg</v>
      </c>
      <c r="B416" s="141" t="s">
        <v>26</v>
      </c>
      <c r="C416" s="137" t="s">
        <v>181</v>
      </c>
      <c r="D416" s="133" t="s">
        <v>40</v>
      </c>
      <c r="E416" s="134" t="s">
        <v>2102</v>
      </c>
      <c r="F416" s="476" t="s">
        <v>205</v>
      </c>
      <c r="G416" s="135" t="str">
        <f>VLOOKUP(A416,Plano_V3!$A$26:$G$769,7,0)</f>
        <v>0. Cancelado</v>
      </c>
      <c r="H416" s="135" t="s">
        <v>611</v>
      </c>
      <c r="I416" s="473"/>
      <c r="J416" s="153"/>
      <c r="K416" s="359"/>
      <c r="L416" s="153"/>
      <c r="M416" s="152"/>
      <c r="N416" s="152"/>
      <c r="O416" s="152"/>
      <c r="P416" s="202"/>
      <c r="Q416" s="202"/>
      <c r="R416" s="202"/>
      <c r="S416" s="324"/>
      <c r="T416" s="324"/>
      <c r="U416" s="372" t="s">
        <v>2326</v>
      </c>
      <c r="V416" s="323"/>
    </row>
    <row r="417" spans="1:22" ht="16.350000000000001" hidden="1" customHeight="1">
      <c r="A417" s="29" t="str">
        <f t="shared" si="8"/>
        <v>modesg_param_sfics_taxon_europeiadominio</v>
      </c>
      <c r="B417" s="141" t="s">
        <v>26</v>
      </c>
      <c r="C417" s="137" t="s">
        <v>181</v>
      </c>
      <c r="D417" s="133" t="s">
        <v>40</v>
      </c>
      <c r="E417" s="134" t="s">
        <v>2102</v>
      </c>
      <c r="F417" s="476" t="s">
        <v>196</v>
      </c>
      <c r="G417" s="135" t="str">
        <f>VLOOKUP(A417,Plano_V3!$A$26:$G$769,7,0)</f>
        <v>0. Cancelado</v>
      </c>
      <c r="H417" s="135" t="s">
        <v>611</v>
      </c>
      <c r="I417" s="473"/>
      <c r="J417" s="153"/>
      <c r="K417" s="359"/>
      <c r="L417" s="153"/>
      <c r="M417" s="152"/>
      <c r="N417" s="152"/>
      <c r="O417" s="152"/>
      <c r="P417" s="202"/>
      <c r="Q417" s="202"/>
      <c r="R417" s="202"/>
      <c r="S417" s="324"/>
      <c r="T417" s="324"/>
      <c r="U417" s="372" t="s">
        <v>2326</v>
      </c>
      <c r="V417" s="323"/>
    </row>
    <row r="418" spans="1:22" ht="16.350000000000001" hidden="1" customHeight="1">
      <c r="A418" s="29" t="str">
        <f t="shared" si="8"/>
        <v>modesg_inp_emss_vclsn.a.</v>
      </c>
      <c r="B418" s="141" t="s">
        <v>26</v>
      </c>
      <c r="C418" s="137" t="s">
        <v>181</v>
      </c>
      <c r="D418" s="133" t="s">
        <v>36</v>
      </c>
      <c r="E418" s="134" t="s">
        <v>212</v>
      </c>
      <c r="F418" s="476" t="s">
        <v>38</v>
      </c>
      <c r="G418" s="135" t="str">
        <f>VLOOKUP(A418,Plano_V3!$A$26:$G$769,7,0)</f>
        <v>1. Concluído</v>
      </c>
      <c r="H418" s="135" t="s">
        <v>612</v>
      </c>
      <c r="I418" s="473"/>
      <c r="J418" s="142"/>
      <c r="K418" s="142"/>
      <c r="L418" s="142"/>
      <c r="M418" s="152" t="str">
        <f>IF(VLOOKUP(A418,'Aux - pivots1'!$A:$E,3,0)=0, "",VLOOKUP(A418,'Aux - pivots1'!$A:$E,3,0))</f>
        <v/>
      </c>
      <c r="N418" s="152" t="str">
        <f>IF(VLOOKUP(A418,'Aux - pivots1'!$A:$E,4,0)=0, "",VLOOKUP(A418,'Aux - pivots1'!$A:$E,4,0))</f>
        <v/>
      </c>
      <c r="O418" s="152" t="str">
        <f>IF(VLOOKUP(A418,'Aux - pivots1'!$A:$E,5,0)=0, "",VLOOKUP(A418,'Aux - pivots1'!$A:$E,5,0))</f>
        <v/>
      </c>
      <c r="P418" s="202"/>
      <c r="Q418" s="202"/>
      <c r="R418" s="202"/>
      <c r="S418" s="324"/>
      <c r="T418" s="324"/>
      <c r="U418" s="372" t="s">
        <v>2326</v>
      </c>
      <c r="V418" s="323"/>
    </row>
    <row r="419" spans="1:22" ht="16.350000000000001" hidden="1" customHeight="1">
      <c r="A419" s="29" t="str">
        <f t="shared" si="8"/>
        <v>modesg_inp_km_medios_emss_vclsn.a.</v>
      </c>
      <c r="B419" s="141" t="s">
        <v>26</v>
      </c>
      <c r="C419" s="137" t="s">
        <v>181</v>
      </c>
      <c r="D419" s="133" t="s">
        <v>36</v>
      </c>
      <c r="E419" s="134" t="s">
        <v>213</v>
      </c>
      <c r="F419" s="476" t="s">
        <v>38</v>
      </c>
      <c r="G419" s="135" t="str">
        <f>VLOOKUP(A419,Plano_V3!$A$26:$G$769,7,0)</f>
        <v>1. Concluído</v>
      </c>
      <c r="H419" s="135" t="s">
        <v>612</v>
      </c>
      <c r="I419" s="473"/>
      <c r="J419" s="142"/>
      <c r="K419" s="142"/>
      <c r="L419" s="142"/>
      <c r="M419" s="152" t="str">
        <f>IF(VLOOKUP(A419,'Aux - pivots1'!$A:$E,3,0)=0, "",VLOOKUP(A419,'Aux - pivots1'!$A:$E,3,0))</f>
        <v/>
      </c>
      <c r="N419" s="152" t="str">
        <f>IF(VLOOKUP(A419,'Aux - pivots1'!$A:$E,4,0)=0, "",VLOOKUP(A419,'Aux - pivots1'!$A:$E,4,0))</f>
        <v/>
      </c>
      <c r="O419" s="152" t="str">
        <f>IF(VLOOKUP(A419,'Aux - pivots1'!$A:$E,5,0)=0, "",VLOOKUP(A419,'Aux - pivots1'!$A:$E,5,0))</f>
        <v/>
      </c>
      <c r="P419" s="202"/>
      <c r="Q419" s="202"/>
      <c r="R419" s="202"/>
      <c r="S419" s="324"/>
      <c r="T419" s="324"/>
      <c r="U419" s="372" t="s">
        <v>2326</v>
      </c>
      <c r="V419" s="323"/>
    </row>
    <row r="420" spans="1:22" ht="16.350000000000001" hidden="1" customHeight="1">
      <c r="A420" s="29" t="str">
        <f t="shared" si="8"/>
        <v>modesg_inp_empr_excl_parisn.a.</v>
      </c>
      <c r="B420" s="141" t="s">
        <v>26</v>
      </c>
      <c r="C420" s="137" t="s">
        <v>181</v>
      </c>
      <c r="D420" s="133" t="s">
        <v>36</v>
      </c>
      <c r="E420" s="134" t="s">
        <v>214</v>
      </c>
      <c r="F420" s="476" t="s">
        <v>38</v>
      </c>
      <c r="G420" s="135" t="str">
        <f>VLOOKUP(A420,Plano_V3!$A$26:$G$769,7,0)</f>
        <v>1. Concluído</v>
      </c>
      <c r="H420" s="135" t="s">
        <v>612</v>
      </c>
      <c r="I420" s="473"/>
      <c r="J420" s="153"/>
      <c r="K420" s="153"/>
      <c r="L420" s="153"/>
      <c r="M420" s="152" t="str">
        <f>IF(VLOOKUP(A420,'Aux - pivots1'!$A:$E,3,0)=0, "",VLOOKUP(A420,'Aux - pivots1'!$A:$E,3,0))</f>
        <v/>
      </c>
      <c r="N420" s="152" t="str">
        <f>IF(VLOOKUP(A420,'Aux - pivots1'!$A:$E,4,0)=0, "",VLOOKUP(A420,'Aux - pivots1'!$A:$E,4,0))</f>
        <v/>
      </c>
      <c r="O420" s="152" t="str">
        <f>IF(VLOOKUP(A420,'Aux - pivots1'!$A:$E,5,0)=0, "",VLOOKUP(A420,'Aux - pivots1'!$A:$E,5,0))</f>
        <v/>
      </c>
      <c r="P420" s="202"/>
      <c r="Q420" s="202"/>
      <c r="R420" s="202"/>
      <c r="S420" s="324"/>
      <c r="T420" s="324"/>
      <c r="U420" s="372" t="s">
        <v>2326</v>
      </c>
      <c r="V420" s="323"/>
    </row>
    <row r="421" spans="1:22" ht="16.350000000000001" hidden="1" customHeight="1">
      <c r="A421" s="29" t="str">
        <f t="shared" si="8"/>
        <v>modesg_inp_nfrd_alinhamento_taxn.a.</v>
      </c>
      <c r="B421" s="141" t="s">
        <v>26</v>
      </c>
      <c r="C421" s="137" t="s">
        <v>181</v>
      </c>
      <c r="D421" s="133" t="s">
        <v>36</v>
      </c>
      <c r="E421" s="134" t="s">
        <v>215</v>
      </c>
      <c r="F421" s="476" t="s">
        <v>38</v>
      </c>
      <c r="G421" s="135" t="str">
        <f>VLOOKUP(A421,Plano_V3!$A$26:$G$769,7,0)</f>
        <v>1. Concluído</v>
      </c>
      <c r="H421" s="135" t="s">
        <v>612</v>
      </c>
      <c r="I421" s="473"/>
      <c r="J421" s="142"/>
      <c r="K421" s="142"/>
      <c r="L421" s="142"/>
      <c r="M421" s="152" t="str">
        <f>IF(VLOOKUP(A421,'Aux - pivots1'!$A:$E,3,0)=0, "",VLOOKUP(A421,'Aux - pivots1'!$A:$E,3,0))</f>
        <v/>
      </c>
      <c r="N421" s="152" t="str">
        <f>IF(VLOOKUP(A421,'Aux - pivots1'!$A:$E,4,0)=0, "",VLOOKUP(A421,'Aux - pivots1'!$A:$E,4,0))</f>
        <v/>
      </c>
      <c r="O421" s="152" t="str">
        <f>IF(VLOOKUP(A421,'Aux - pivots1'!$A:$E,5,0)=0, "",VLOOKUP(A421,'Aux - pivots1'!$A:$E,5,0))</f>
        <v/>
      </c>
      <c r="P421" s="202"/>
      <c r="Q421" s="202"/>
      <c r="R421" s="202"/>
      <c r="S421" s="324"/>
      <c r="T421" s="324"/>
      <c r="U421" s="372" t="s">
        <v>2326</v>
      </c>
      <c r="V421" s="323"/>
    </row>
    <row r="422" spans="1:22" ht="16.350000000000001" hidden="1" customHeight="1">
      <c r="A422" s="29" t="str">
        <f t="shared" si="8"/>
        <v>modesg_inp_risco_fisicon.a.</v>
      </c>
      <c r="B422" s="141" t="s">
        <v>26</v>
      </c>
      <c r="C422" s="137" t="s">
        <v>181</v>
      </c>
      <c r="D422" s="133" t="s">
        <v>36</v>
      </c>
      <c r="E422" s="134" t="s">
        <v>216</v>
      </c>
      <c r="F422" s="476" t="s">
        <v>38</v>
      </c>
      <c r="G422" s="135" t="str">
        <f>VLOOKUP(A422,Plano_V3!$A$26:$G$769,7,0)</f>
        <v>1. Concluído</v>
      </c>
      <c r="H422" s="135" t="s">
        <v>612</v>
      </c>
      <c r="I422" s="473"/>
      <c r="J422" s="153"/>
      <c r="K422" s="153"/>
      <c r="L422" s="153"/>
      <c r="M422" s="152" t="str">
        <f>IF(VLOOKUP(A422,'Aux - pivots1'!$A:$E,3,0)=0, "",VLOOKUP(A422,'Aux - pivots1'!$A:$E,3,0))</f>
        <v/>
      </c>
      <c r="N422" s="152" t="str">
        <f>IF(VLOOKUP(A422,'Aux - pivots1'!$A:$E,4,0)=0, "",VLOOKUP(A422,'Aux - pivots1'!$A:$E,4,0))</f>
        <v/>
      </c>
      <c r="O422" s="152" t="str">
        <f>IF(VLOOKUP(A422,'Aux - pivots1'!$A:$E,5,0)=0, "",VLOOKUP(A422,'Aux - pivots1'!$A:$E,5,0))</f>
        <v/>
      </c>
      <c r="P422" s="202"/>
      <c r="Q422" s="202"/>
      <c r="R422" s="202"/>
      <c r="S422" s="324"/>
      <c r="T422" s="324"/>
      <c r="U422" s="372" t="s">
        <v>2326</v>
      </c>
      <c r="V422" s="323"/>
    </row>
    <row r="423" spans="1:22" ht="16.350000000000001" hidden="1" customHeight="1">
      <c r="A423" s="29" t="str">
        <f t="shared" si="8"/>
        <v>modesg_inp_emss_scibn.a.</v>
      </c>
      <c r="B423" s="141" t="s">
        <v>26</v>
      </c>
      <c r="C423" s="137" t="s">
        <v>181</v>
      </c>
      <c r="D423" s="133" t="s">
        <v>36</v>
      </c>
      <c r="E423" s="134" t="s">
        <v>217</v>
      </c>
      <c r="F423" s="476" t="s">
        <v>38</v>
      </c>
      <c r="G423" s="135" t="str">
        <f>VLOOKUP(A423,Plano_V3!$A$26:$G$769,7,0)</f>
        <v>1. Concluído</v>
      </c>
      <c r="H423" s="135" t="s">
        <v>612</v>
      </c>
      <c r="I423" s="473"/>
      <c r="J423" s="153"/>
      <c r="K423" s="153"/>
      <c r="L423" s="153"/>
      <c r="M423" s="152" t="str">
        <f>IF(VLOOKUP(A423,'Aux - pivots1'!$A:$E,3,0)=0, "",VLOOKUP(A423,'Aux - pivots1'!$A:$E,3,0))</f>
        <v/>
      </c>
      <c r="N423" s="152" t="str">
        <f>IF(VLOOKUP(A423,'Aux - pivots1'!$A:$E,4,0)=0, "",VLOOKUP(A423,'Aux - pivots1'!$A:$E,4,0))</f>
        <v/>
      </c>
      <c r="O423" s="152" t="str">
        <f>IF(VLOOKUP(A423,'Aux - pivots1'!$A:$E,5,0)=0, "",VLOOKUP(A423,'Aux - pivots1'!$A:$E,5,0))</f>
        <v/>
      </c>
      <c r="P423" s="202"/>
      <c r="Q423" s="202"/>
      <c r="R423" s="202"/>
      <c r="S423" s="324"/>
      <c r="T423" s="324"/>
      <c r="U423" s="372" t="s">
        <v>2326</v>
      </c>
      <c r="V423" s="323"/>
    </row>
    <row r="424" spans="1:22" ht="16.350000000000001" hidden="1" customHeight="1">
      <c r="A424" s="29" t="str">
        <f t="shared" si="8"/>
        <v>modesg_inp_emss_nacen.a.</v>
      </c>
      <c r="B424" s="141" t="s">
        <v>26</v>
      </c>
      <c r="C424" s="137" t="s">
        <v>181</v>
      </c>
      <c r="D424" s="133" t="s">
        <v>36</v>
      </c>
      <c r="E424" s="134" t="s">
        <v>218</v>
      </c>
      <c r="F424" s="476" t="s">
        <v>38</v>
      </c>
      <c r="G424" s="135" t="str">
        <f>VLOOKUP(A424,Plano_V3!$A$26:$G$769,7,0)</f>
        <v>1. Concluído</v>
      </c>
      <c r="H424" s="135" t="s">
        <v>612</v>
      </c>
      <c r="I424" s="473"/>
      <c r="J424" s="142"/>
      <c r="K424" s="142"/>
      <c r="L424" s="142" t="s">
        <v>2360</v>
      </c>
      <c r="M424" s="152" t="str">
        <f>IF(VLOOKUP(A424,'Aux - pivots1'!$A:$E,3,0)=0, "",VLOOKUP(A424,'Aux - pivots1'!$A:$E,3,0))</f>
        <v/>
      </c>
      <c r="N424" s="152" t="str">
        <f>IF(VLOOKUP(A424,'Aux - pivots1'!$A:$E,4,0)=0, "",VLOOKUP(A424,'Aux - pivots1'!$A:$E,4,0))</f>
        <v/>
      </c>
      <c r="O424" s="152" t="str">
        <f>IF(VLOOKUP(A424,'Aux - pivots1'!$A:$E,5,0)=0, "",VLOOKUP(A424,'Aux - pivots1'!$A:$E,5,0))</f>
        <v/>
      </c>
      <c r="P424" s="202"/>
      <c r="Q424" s="202"/>
      <c r="R424" s="202"/>
      <c r="S424" s="324"/>
      <c r="T424" s="324"/>
      <c r="U424" s="372" t="s">
        <v>2326</v>
      </c>
      <c r="V424" s="323"/>
    </row>
    <row r="425" spans="1:22" ht="16.350000000000001" hidden="1" customHeight="1">
      <c r="A425" s="29" t="str">
        <f t="shared" si="8"/>
        <v>modesg_inp_emss_bens_imoveisn.a.</v>
      </c>
      <c r="B425" s="141" t="s">
        <v>26</v>
      </c>
      <c r="C425" s="137" t="s">
        <v>181</v>
      </c>
      <c r="D425" s="133" t="s">
        <v>36</v>
      </c>
      <c r="E425" s="134" t="s">
        <v>219</v>
      </c>
      <c r="F425" s="476" t="s">
        <v>38</v>
      </c>
      <c r="G425" s="135" t="str">
        <f>VLOOKUP(A425,Plano_V3!$A$26:$G$769,7,0)</f>
        <v>1. Concluído</v>
      </c>
      <c r="H425" s="135" t="s">
        <v>612</v>
      </c>
      <c r="I425" s="473"/>
      <c r="J425" s="142"/>
      <c r="K425" s="142"/>
      <c r="L425" s="142"/>
      <c r="M425" s="152" t="str">
        <f>IF(VLOOKUP(A425,'Aux - pivots1'!$A:$E,3,0)=0, "",VLOOKUP(A425,'Aux - pivots1'!$A:$E,3,0))</f>
        <v/>
      </c>
      <c r="N425" s="152" t="str">
        <f>IF(VLOOKUP(A425,'Aux - pivots1'!$A:$E,4,0)=0, "",VLOOKUP(A425,'Aux - pivots1'!$A:$E,4,0))</f>
        <v/>
      </c>
      <c r="O425" s="152" t="str">
        <f>IF(VLOOKUP(A425,'Aux - pivots1'!$A:$E,5,0)=0, "",VLOOKUP(A425,'Aux - pivots1'!$A:$E,5,0))</f>
        <v/>
      </c>
      <c r="P425" s="202"/>
      <c r="Q425" s="202"/>
      <c r="R425" s="202"/>
      <c r="S425" s="324"/>
      <c r="T425" s="324"/>
      <c r="U425" s="372" t="s">
        <v>2326</v>
      </c>
      <c r="V425" s="323"/>
    </row>
    <row r="426" spans="1:22" ht="16.350000000000001" hidden="1" customHeight="1">
      <c r="A426" s="29" t="str">
        <f t="shared" si="8"/>
        <v>modesg_inp_emss_vclsref_date</v>
      </c>
      <c r="B426" s="141" t="s">
        <v>26</v>
      </c>
      <c r="C426" s="137" t="s">
        <v>181</v>
      </c>
      <c r="D426" s="133" t="s">
        <v>40</v>
      </c>
      <c r="E426" s="134" t="s">
        <v>212</v>
      </c>
      <c r="F426" s="476" t="s">
        <v>208</v>
      </c>
      <c r="G426" s="135" t="str">
        <f>VLOOKUP(A426,Plano_V3!$A$26:$G$769,7,0)</f>
        <v>1. Concluído</v>
      </c>
      <c r="H426" s="135" t="s">
        <v>612</v>
      </c>
      <c r="I426" s="473"/>
      <c r="J426" s="142"/>
      <c r="K426" s="142"/>
      <c r="L426" s="142"/>
      <c r="M426" s="152" t="str">
        <f>IF(VLOOKUP(A426,'Aux - pivots1'!$A:$E,3,0)=0, "",VLOOKUP(A426,'Aux - pivots1'!$A:$E,3,0))</f>
        <v/>
      </c>
      <c r="N426" s="152" t="str">
        <f>IF(VLOOKUP(A426,'Aux - pivots1'!$A:$E,4,0)=0, "",VLOOKUP(A426,'Aux - pivots1'!$A:$E,4,0))</f>
        <v/>
      </c>
      <c r="O426" s="152" t="str">
        <f>IF(VLOOKUP(A426,'Aux - pivots1'!$A:$E,5,0)=0, "",VLOOKUP(A426,'Aux - pivots1'!$A:$E,5,0))</f>
        <v/>
      </c>
      <c r="P426" s="202"/>
      <c r="Q426" s="202"/>
      <c r="R426" s="202"/>
      <c r="S426" s="324"/>
      <c r="T426" s="324"/>
      <c r="U426" s="372" t="s">
        <v>2326</v>
      </c>
      <c r="V426" s="323"/>
    </row>
    <row r="427" spans="1:22" ht="16.350000000000001" hidden="1" customHeight="1">
      <c r="A427" s="29" t="str">
        <f t="shared" si="8"/>
        <v>modesg_inp_emss_vclsnome_regiao</v>
      </c>
      <c r="B427" s="141" t="s">
        <v>26</v>
      </c>
      <c r="C427" s="137" t="s">
        <v>181</v>
      </c>
      <c r="D427" s="133" t="s">
        <v>40</v>
      </c>
      <c r="E427" s="134" t="s">
        <v>212</v>
      </c>
      <c r="F427" s="476" t="s">
        <v>220</v>
      </c>
      <c r="G427" s="135" t="str">
        <f>VLOOKUP(A427,Plano_V3!$A$26:$G$769,7,0)</f>
        <v>1. Concluído</v>
      </c>
      <c r="H427" s="135" t="s">
        <v>612</v>
      </c>
      <c r="I427" s="473"/>
      <c r="J427" s="142"/>
      <c r="K427" s="142"/>
      <c r="L427" s="142"/>
      <c r="M427" s="152" t="str">
        <f>IF(VLOOKUP(A427,'Aux - pivots1'!$A:$E,3,0)=0, "",VLOOKUP(A427,'Aux - pivots1'!$A:$E,3,0))</f>
        <v/>
      </c>
      <c r="N427" s="152" t="str">
        <f>IF(VLOOKUP(A427,'Aux - pivots1'!$A:$E,4,0)=0, "",VLOOKUP(A427,'Aux - pivots1'!$A:$E,4,0))</f>
        <v/>
      </c>
      <c r="O427" s="152" t="str">
        <f>IF(VLOOKUP(A427,'Aux - pivots1'!$A:$E,5,0)=0, "",VLOOKUP(A427,'Aux - pivots1'!$A:$E,5,0))</f>
        <v/>
      </c>
      <c r="P427" s="202"/>
      <c r="Q427" s="202"/>
      <c r="R427" s="202"/>
      <c r="S427" s="324"/>
      <c r="T427" s="324"/>
      <c r="U427" s="372" t="s">
        <v>2326</v>
      </c>
      <c r="V427" s="323"/>
    </row>
    <row r="428" spans="1:22" ht="16.350000000000001" hidden="1" customHeight="1">
      <c r="A428" s="29" t="str">
        <f t="shared" si="8"/>
        <v>modesg_inp_emss_vclsnome_pais</v>
      </c>
      <c r="B428" s="141" t="s">
        <v>26</v>
      </c>
      <c r="C428" s="137" t="s">
        <v>181</v>
      </c>
      <c r="D428" s="133" t="s">
        <v>40</v>
      </c>
      <c r="E428" s="134" t="s">
        <v>212</v>
      </c>
      <c r="F428" s="476" t="s">
        <v>221</v>
      </c>
      <c r="G428" s="135" t="str">
        <f>VLOOKUP(A428,Plano_V3!$A$26:$G$769,7,0)</f>
        <v>1. Concluído</v>
      </c>
      <c r="H428" s="135" t="s">
        <v>612</v>
      </c>
      <c r="I428" s="473"/>
      <c r="J428" s="142"/>
      <c r="K428" s="142"/>
      <c r="L428" s="142"/>
      <c r="M428" s="152" t="str">
        <f>IF(VLOOKUP(A428,'Aux - pivots1'!$A:$E,3,0)=0, "",VLOOKUP(A428,'Aux - pivots1'!$A:$E,3,0))</f>
        <v/>
      </c>
      <c r="N428" s="152" t="str">
        <f>IF(VLOOKUP(A428,'Aux - pivots1'!$A:$E,4,0)=0, "",VLOOKUP(A428,'Aux - pivots1'!$A:$E,4,0))</f>
        <v/>
      </c>
      <c r="O428" s="152" t="str">
        <f>IF(VLOOKUP(A428,'Aux - pivots1'!$A:$E,5,0)=0, "",VLOOKUP(A428,'Aux - pivots1'!$A:$E,5,0))</f>
        <v/>
      </c>
      <c r="P428" s="202"/>
      <c r="Q428" s="202"/>
      <c r="R428" s="202"/>
      <c r="S428" s="324"/>
      <c r="T428" s="324"/>
      <c r="U428" s="372" t="s">
        <v>2326</v>
      </c>
      <c r="V428" s="323"/>
    </row>
    <row r="429" spans="1:22" ht="16.350000000000001" hidden="1" customHeight="1">
      <c r="A429" s="29" t="str">
        <f t="shared" si="8"/>
        <v>modesg_inp_emss_vclsnome_estado</v>
      </c>
      <c r="B429" s="141" t="s">
        <v>26</v>
      </c>
      <c r="C429" s="137" t="s">
        <v>181</v>
      </c>
      <c r="D429" s="133" t="s">
        <v>40</v>
      </c>
      <c r="E429" s="134" t="s">
        <v>212</v>
      </c>
      <c r="F429" s="476" t="s">
        <v>222</v>
      </c>
      <c r="G429" s="135" t="str">
        <f>VLOOKUP(A429,Plano_V3!$A$26:$G$769,7,0)</f>
        <v>1. Concluído</v>
      </c>
      <c r="H429" s="135" t="s">
        <v>612</v>
      </c>
      <c r="I429" s="473"/>
      <c r="J429" s="142"/>
      <c r="K429" s="142"/>
      <c r="L429" s="142"/>
      <c r="M429" s="152" t="str">
        <f>IF(VLOOKUP(A429,'Aux - pivots1'!$A:$E,3,0)=0, "",VLOOKUP(A429,'Aux - pivots1'!$A:$E,3,0))</f>
        <v/>
      </c>
      <c r="N429" s="152" t="str">
        <f>IF(VLOOKUP(A429,'Aux - pivots1'!$A:$E,4,0)=0, "",VLOOKUP(A429,'Aux - pivots1'!$A:$E,4,0))</f>
        <v/>
      </c>
      <c r="O429" s="152" t="str">
        <f>IF(VLOOKUP(A429,'Aux - pivots1'!$A:$E,5,0)=0, "",VLOOKUP(A429,'Aux - pivots1'!$A:$E,5,0))</f>
        <v/>
      </c>
      <c r="P429" s="202"/>
      <c r="Q429" s="202"/>
      <c r="R429" s="202"/>
      <c r="S429" s="324"/>
      <c r="T429" s="324"/>
      <c r="U429" s="372" t="s">
        <v>2326</v>
      </c>
      <c r="V429" s="323"/>
    </row>
    <row r="430" spans="1:22" ht="16.350000000000001" hidden="1" customHeight="1">
      <c r="A430" s="29" t="str">
        <f t="shared" si="8"/>
        <v>modesg_inp_emss_vclstipo_veiculo</v>
      </c>
      <c r="B430" s="141" t="s">
        <v>26</v>
      </c>
      <c r="C430" s="137" t="s">
        <v>181</v>
      </c>
      <c r="D430" s="133" t="s">
        <v>40</v>
      </c>
      <c r="E430" s="134" t="s">
        <v>212</v>
      </c>
      <c r="F430" s="476" t="s">
        <v>223</v>
      </c>
      <c r="G430" s="135" t="str">
        <f>VLOOKUP(A430,Plano_V3!$A$26:$G$769,7,0)</f>
        <v>1. Concluído</v>
      </c>
      <c r="H430" s="135" t="s">
        <v>612</v>
      </c>
      <c r="I430" s="473"/>
      <c r="J430" s="142"/>
      <c r="K430" s="142"/>
      <c r="L430" s="142"/>
      <c r="M430" s="152" t="str">
        <f>IF(VLOOKUP(A430,'Aux - pivots1'!$A:$E,3,0)=0, "",VLOOKUP(A430,'Aux - pivots1'!$A:$E,3,0))</f>
        <v/>
      </c>
      <c r="N430" s="152" t="str">
        <f>IF(VLOOKUP(A430,'Aux - pivots1'!$A:$E,4,0)=0, "",VLOOKUP(A430,'Aux - pivots1'!$A:$E,4,0))</f>
        <v/>
      </c>
      <c r="O430" s="152" t="str">
        <f>IF(VLOOKUP(A430,'Aux - pivots1'!$A:$E,5,0)=0, "",VLOOKUP(A430,'Aux - pivots1'!$A:$E,5,0))</f>
        <v/>
      </c>
      <c r="P430" s="202"/>
      <c r="Q430" s="202"/>
      <c r="R430" s="202"/>
      <c r="S430" s="324"/>
      <c r="T430" s="324"/>
      <c r="U430" s="372" t="s">
        <v>2326</v>
      </c>
      <c r="V430" s="323"/>
    </row>
    <row r="431" spans="1:22" ht="16.350000000000001" hidden="1" customHeight="1">
      <c r="A431" s="29" t="str">
        <f t="shared" si="8"/>
        <v>modesg_inp_emss_vclstipo_motor</v>
      </c>
      <c r="B431" s="141" t="s">
        <v>26</v>
      </c>
      <c r="C431" s="137" t="s">
        <v>181</v>
      </c>
      <c r="D431" s="133" t="s">
        <v>40</v>
      </c>
      <c r="E431" s="134" t="s">
        <v>212</v>
      </c>
      <c r="F431" s="476" t="s">
        <v>224</v>
      </c>
      <c r="G431" s="135" t="str">
        <f>VLOOKUP(A431,Plano_V3!$A$26:$G$769,7,0)</f>
        <v>1. Concluído</v>
      </c>
      <c r="H431" s="135" t="s">
        <v>612</v>
      </c>
      <c r="I431" s="473"/>
      <c r="J431" s="142"/>
      <c r="K431" s="142"/>
      <c r="L431" s="142"/>
      <c r="M431" s="152" t="str">
        <f>IF(VLOOKUP(A431,'Aux - pivots1'!$A:$E,3,0)=0, "",VLOOKUP(A431,'Aux - pivots1'!$A:$E,3,0))</f>
        <v/>
      </c>
      <c r="N431" s="152" t="str">
        <f>IF(VLOOKUP(A431,'Aux - pivots1'!$A:$E,4,0)=0, "",VLOOKUP(A431,'Aux - pivots1'!$A:$E,4,0))</f>
        <v/>
      </c>
      <c r="O431" s="152" t="str">
        <f>IF(VLOOKUP(A431,'Aux - pivots1'!$A:$E,5,0)=0, "",VLOOKUP(A431,'Aux - pivots1'!$A:$E,5,0))</f>
        <v/>
      </c>
      <c r="P431" s="202"/>
      <c r="Q431" s="202"/>
      <c r="R431" s="202"/>
      <c r="S431" s="324"/>
      <c r="T431" s="324"/>
      <c r="U431" s="372" t="s">
        <v>2326</v>
      </c>
      <c r="V431" s="323"/>
    </row>
    <row r="432" spans="1:22" ht="16.350000000000001" hidden="1" customHeight="1">
      <c r="A432" s="29" t="str">
        <f t="shared" si="8"/>
        <v>modesg_inp_emss_vclsmarca</v>
      </c>
      <c r="B432" s="141" t="s">
        <v>26</v>
      </c>
      <c r="C432" s="137" t="s">
        <v>181</v>
      </c>
      <c r="D432" s="133" t="s">
        <v>40</v>
      </c>
      <c r="E432" s="134" t="s">
        <v>212</v>
      </c>
      <c r="F432" s="476" t="s">
        <v>225</v>
      </c>
      <c r="G432" s="135" t="str">
        <f>VLOOKUP(A432,Plano_V3!$A$26:$G$769,7,0)</f>
        <v>1. Concluído</v>
      </c>
      <c r="H432" s="135" t="s">
        <v>612</v>
      </c>
      <c r="I432" s="473"/>
      <c r="J432" s="142"/>
      <c r="K432" s="142"/>
      <c r="L432" s="142"/>
      <c r="M432" s="152" t="str">
        <f>IF(VLOOKUP(A432,'Aux - pivots1'!$A:$E,3,0)=0, "",VLOOKUP(A432,'Aux - pivots1'!$A:$E,3,0))</f>
        <v/>
      </c>
      <c r="N432" s="152" t="str">
        <f>IF(VLOOKUP(A432,'Aux - pivots1'!$A:$E,4,0)=0, "",VLOOKUP(A432,'Aux - pivots1'!$A:$E,4,0))</f>
        <v/>
      </c>
      <c r="O432" s="152" t="str">
        <f>IF(VLOOKUP(A432,'Aux - pivots1'!$A:$E,5,0)=0, "",VLOOKUP(A432,'Aux - pivots1'!$A:$E,5,0))</f>
        <v/>
      </c>
      <c r="P432" s="202"/>
      <c r="Q432" s="202"/>
      <c r="R432" s="202"/>
      <c r="S432" s="324"/>
      <c r="T432" s="324"/>
      <c r="U432" s="372" t="s">
        <v>2326</v>
      </c>
      <c r="V432" s="323"/>
    </row>
    <row r="433" spans="1:22" ht="16.350000000000001" hidden="1" customHeight="1">
      <c r="A433" s="29" t="str">
        <f t="shared" si="8"/>
        <v>modesg_inp_emss_vclsmodelo</v>
      </c>
      <c r="B433" s="141" t="s">
        <v>26</v>
      </c>
      <c r="C433" s="137" t="s">
        <v>181</v>
      </c>
      <c r="D433" s="133" t="s">
        <v>40</v>
      </c>
      <c r="E433" s="134" t="s">
        <v>212</v>
      </c>
      <c r="F433" s="476" t="s">
        <v>226</v>
      </c>
      <c r="G433" s="135" t="str">
        <f>VLOOKUP(A433,Plano_V3!$A$26:$G$769,7,0)</f>
        <v>1. Concluído</v>
      </c>
      <c r="H433" s="135" t="s">
        <v>612</v>
      </c>
      <c r="I433" s="473"/>
      <c r="J433" s="490"/>
      <c r="K433" s="490"/>
      <c r="L433" s="142"/>
      <c r="M433" s="152" t="str">
        <f>IF(VLOOKUP(A433,'Aux - pivots1'!$A:$E,3,0)=0, "",VLOOKUP(A433,'Aux - pivots1'!$A:$E,3,0))</f>
        <v/>
      </c>
      <c r="N433" s="152" t="str">
        <f>IF(VLOOKUP(A433,'Aux - pivots1'!$A:$E,4,0)=0, "",VLOOKUP(A433,'Aux - pivots1'!$A:$E,4,0))</f>
        <v/>
      </c>
      <c r="O433" s="152" t="str">
        <f>IF(VLOOKUP(A433,'Aux - pivots1'!$A:$E,5,0)=0, "",VLOOKUP(A433,'Aux - pivots1'!$A:$E,5,0))</f>
        <v/>
      </c>
      <c r="P433" s="202"/>
      <c r="Q433" s="202"/>
      <c r="R433" s="202"/>
      <c r="S433" s="324"/>
      <c r="T433" s="324"/>
      <c r="U433" s="372" t="s">
        <v>2326</v>
      </c>
      <c r="V433" s="323"/>
    </row>
    <row r="434" spans="1:22" ht="16.350000000000001" hidden="1" customHeight="1">
      <c r="A434" s="29" t="str">
        <f t="shared" si="8"/>
        <v>modesg_inp_emss_vclssubgrupo</v>
      </c>
      <c r="B434" s="141" t="s">
        <v>26</v>
      </c>
      <c r="C434" s="137" t="s">
        <v>181</v>
      </c>
      <c r="D434" s="133" t="s">
        <v>40</v>
      </c>
      <c r="E434" s="134" t="s">
        <v>212</v>
      </c>
      <c r="F434" s="476" t="s">
        <v>227</v>
      </c>
      <c r="G434" s="135" t="str">
        <f>VLOOKUP(A434,Plano_V3!$A$26:$G$769,7,0)</f>
        <v>1. Concluído</v>
      </c>
      <c r="H434" s="135" t="s">
        <v>612</v>
      </c>
      <c r="I434" s="473"/>
      <c r="J434" s="490"/>
      <c r="K434" s="490"/>
      <c r="L434" s="143"/>
      <c r="M434" s="152" t="str">
        <f>IF(VLOOKUP(A434,'Aux - pivots1'!$A:$E,3,0)=0, "",VLOOKUP(A434,'Aux - pivots1'!$A:$E,3,0))</f>
        <v/>
      </c>
      <c r="N434" s="152" t="str">
        <f>IF(VLOOKUP(A434,'Aux - pivots1'!$A:$E,4,0)=0, "",VLOOKUP(A434,'Aux - pivots1'!$A:$E,4,0))</f>
        <v/>
      </c>
      <c r="O434" s="152" t="str">
        <f>IF(VLOOKUP(A434,'Aux - pivots1'!$A:$E,5,0)=0, "",VLOOKUP(A434,'Aux - pivots1'!$A:$E,5,0))</f>
        <v/>
      </c>
      <c r="P434" s="202"/>
      <c r="Q434" s="202"/>
      <c r="R434" s="202"/>
      <c r="S434" s="324"/>
      <c r="T434" s="324"/>
      <c r="U434" s="372" t="s">
        <v>2326</v>
      </c>
      <c r="V434" s="323"/>
    </row>
    <row r="435" spans="1:22" ht="16.350000000000001" hidden="1" customHeight="1">
      <c r="A435" s="29" t="str">
        <f t="shared" si="8"/>
        <v>modesg_inp_emss_vclsnome_unidade_funcional</v>
      </c>
      <c r="B435" s="141" t="s">
        <v>26</v>
      </c>
      <c r="C435" s="137" t="s">
        <v>181</v>
      </c>
      <c r="D435" s="133" t="s">
        <v>40</v>
      </c>
      <c r="E435" s="134" t="s">
        <v>212</v>
      </c>
      <c r="F435" s="476" t="s">
        <v>228</v>
      </c>
      <c r="G435" s="135" t="str">
        <f>VLOOKUP(A435,Plano_V3!$A$26:$G$769,7,0)</f>
        <v>1. Concluído</v>
      </c>
      <c r="H435" s="135" t="s">
        <v>612</v>
      </c>
      <c r="I435" s="473"/>
      <c r="J435" s="490"/>
      <c r="K435" s="490"/>
      <c r="L435" s="142"/>
      <c r="M435" s="152" t="str">
        <f>IF(VLOOKUP(A435,'Aux - pivots1'!$A:$E,3,0)=0, "",VLOOKUP(A435,'Aux - pivots1'!$A:$E,3,0))</f>
        <v/>
      </c>
      <c r="N435" s="152" t="str">
        <f>IF(VLOOKUP(A435,'Aux - pivots1'!$A:$E,4,0)=0, "",VLOOKUP(A435,'Aux - pivots1'!$A:$E,4,0))</f>
        <v/>
      </c>
      <c r="O435" s="152" t="str">
        <f>IF(VLOOKUP(A435,'Aux - pivots1'!$A:$E,5,0)=0, "",VLOOKUP(A435,'Aux - pivots1'!$A:$E,5,0))</f>
        <v/>
      </c>
      <c r="P435" s="202"/>
      <c r="Q435" s="202"/>
      <c r="R435" s="202"/>
      <c r="S435" s="324"/>
      <c r="T435" s="324"/>
      <c r="U435" s="372" t="s">
        <v>2326</v>
      </c>
      <c r="V435" s="323"/>
    </row>
    <row r="436" spans="1:22" ht="16.350000000000001" hidden="1" customHeight="1">
      <c r="A436" s="29" t="str">
        <f t="shared" si="8"/>
        <v>modesg_inp_emss_vclsunidade_funcional</v>
      </c>
      <c r="B436" s="141" t="s">
        <v>26</v>
      </c>
      <c r="C436" s="137" t="s">
        <v>181</v>
      </c>
      <c r="D436" s="133" t="s">
        <v>40</v>
      </c>
      <c r="E436" s="134" t="s">
        <v>212</v>
      </c>
      <c r="F436" s="476" t="s">
        <v>229</v>
      </c>
      <c r="G436" s="135" t="str">
        <f>VLOOKUP(A436,Plano_V3!$A$26:$G$769,7,0)</f>
        <v>1. Concluído</v>
      </c>
      <c r="H436" s="135" t="s">
        <v>612</v>
      </c>
      <c r="I436" s="473"/>
      <c r="J436" s="490"/>
      <c r="K436" s="490"/>
      <c r="L436" s="142"/>
      <c r="M436" s="152" t="str">
        <f>IF(VLOOKUP(A436,'Aux - pivots1'!$A:$E,3,0)=0, "",VLOOKUP(A436,'Aux - pivots1'!$A:$E,3,0))</f>
        <v/>
      </c>
      <c r="N436" s="152" t="str">
        <f>IF(VLOOKUP(A436,'Aux - pivots1'!$A:$E,4,0)=0, "",VLOOKUP(A436,'Aux - pivots1'!$A:$E,4,0))</f>
        <v/>
      </c>
      <c r="O436" s="152" t="str">
        <f>IF(VLOOKUP(A436,'Aux - pivots1'!$A:$E,5,0)=0, "",VLOOKUP(A436,'Aux - pivots1'!$A:$E,5,0))</f>
        <v/>
      </c>
      <c r="P436" s="202"/>
      <c r="Q436" s="202"/>
      <c r="R436" s="202"/>
      <c r="S436" s="324"/>
      <c r="T436" s="324"/>
      <c r="U436" s="372" t="s">
        <v>2326</v>
      </c>
      <c r="V436" s="323"/>
    </row>
    <row r="437" spans="1:22" ht="16.350000000000001" hidden="1" customHeight="1">
      <c r="A437" s="29" t="str">
        <f t="shared" si="8"/>
        <v>modesg_inp_emss_vclsnome_fator_emissao</v>
      </c>
      <c r="B437" s="141" t="s">
        <v>26</v>
      </c>
      <c r="C437" s="137" t="s">
        <v>181</v>
      </c>
      <c r="D437" s="133" t="s">
        <v>40</v>
      </c>
      <c r="E437" s="134" t="s">
        <v>212</v>
      </c>
      <c r="F437" s="476" t="s">
        <v>230</v>
      </c>
      <c r="G437" s="135" t="str">
        <f>VLOOKUP(A437,Plano_V3!$A$26:$G$769,7,0)</f>
        <v>1. Concluído</v>
      </c>
      <c r="H437" s="135" t="s">
        <v>612</v>
      </c>
      <c r="I437" s="473"/>
      <c r="J437" s="490"/>
      <c r="K437" s="490"/>
      <c r="L437" s="142"/>
      <c r="M437" s="152" t="str">
        <f>IF(VLOOKUP(A437,'Aux - pivots1'!$A:$E,3,0)=0, "",VLOOKUP(A437,'Aux - pivots1'!$A:$E,3,0))</f>
        <v/>
      </c>
      <c r="N437" s="152" t="str">
        <f>IF(VLOOKUP(A437,'Aux - pivots1'!$A:$E,4,0)=0, "",VLOOKUP(A437,'Aux - pivots1'!$A:$E,4,0))</f>
        <v/>
      </c>
      <c r="O437" s="152" t="str">
        <f>IF(VLOOKUP(A437,'Aux - pivots1'!$A:$E,5,0)=0, "",VLOOKUP(A437,'Aux - pivots1'!$A:$E,5,0))</f>
        <v/>
      </c>
      <c r="P437" s="202"/>
      <c r="Q437" s="202"/>
      <c r="R437" s="202"/>
      <c r="S437" s="324"/>
      <c r="T437" s="324"/>
      <c r="U437" s="372" t="s">
        <v>2326</v>
      </c>
      <c r="V437" s="323"/>
    </row>
    <row r="438" spans="1:22" ht="16.350000000000001" hidden="1" customHeight="1">
      <c r="A438" s="29" t="str">
        <f t="shared" si="8"/>
        <v>modesg_inp_emss_vclsunidade_fator_de_emissao</v>
      </c>
      <c r="B438" s="141" t="s">
        <v>26</v>
      </c>
      <c r="C438" s="137" t="s">
        <v>181</v>
      </c>
      <c r="D438" s="133" t="s">
        <v>40</v>
      </c>
      <c r="E438" s="134" t="s">
        <v>212</v>
      </c>
      <c r="F438" s="476" t="s">
        <v>231</v>
      </c>
      <c r="G438" s="135" t="str">
        <f>VLOOKUP(A438,Plano_V3!$A$26:$G$769,7,0)</f>
        <v>1. Concluído</v>
      </c>
      <c r="H438" s="135" t="s">
        <v>612</v>
      </c>
      <c r="I438" s="473"/>
      <c r="J438" s="490"/>
      <c r="K438" s="490"/>
      <c r="L438" s="142"/>
      <c r="M438" s="152" t="str">
        <f>IF(VLOOKUP(A438,'Aux - pivots1'!$A:$E,3,0)=0, "",VLOOKUP(A438,'Aux - pivots1'!$A:$E,3,0))</f>
        <v/>
      </c>
      <c r="N438" s="152" t="str">
        <f>IF(VLOOKUP(A438,'Aux - pivots1'!$A:$E,4,0)=0, "",VLOOKUP(A438,'Aux - pivots1'!$A:$E,4,0))</f>
        <v/>
      </c>
      <c r="O438" s="152" t="str">
        <f>IF(VLOOKUP(A438,'Aux - pivots1'!$A:$E,5,0)=0, "",VLOOKUP(A438,'Aux - pivots1'!$A:$E,5,0))</f>
        <v/>
      </c>
      <c r="P438" s="202"/>
      <c r="Q438" s="202"/>
      <c r="R438" s="202"/>
      <c r="S438" s="324"/>
      <c r="T438" s="324"/>
      <c r="U438" s="372" t="s">
        <v>2326</v>
      </c>
      <c r="V438" s="323"/>
    </row>
    <row r="439" spans="1:22" ht="16.350000000000001" hidden="1" customHeight="1">
      <c r="A439" s="29" t="str">
        <f t="shared" si="8"/>
        <v>modesg_inp_emss_vclsscore_qualidade</v>
      </c>
      <c r="B439" s="141" t="s">
        <v>26</v>
      </c>
      <c r="C439" s="137" t="s">
        <v>181</v>
      </c>
      <c r="D439" s="133" t="s">
        <v>40</v>
      </c>
      <c r="E439" s="134" t="s">
        <v>212</v>
      </c>
      <c r="F439" s="476" t="s">
        <v>232</v>
      </c>
      <c r="G439" s="135" t="str">
        <f>VLOOKUP(A439,Plano_V3!$A$26:$G$769,7,0)</f>
        <v>1. Concluído</v>
      </c>
      <c r="H439" s="135" t="s">
        <v>612</v>
      </c>
      <c r="I439" s="473"/>
      <c r="J439" s="142"/>
      <c r="K439" s="142"/>
      <c r="L439" s="142"/>
      <c r="M439" s="152" t="str">
        <f>IF(VLOOKUP(A439,'Aux - pivots1'!$A:$E,3,0)=0, "",VLOOKUP(A439,'Aux - pivots1'!$A:$E,3,0))</f>
        <v/>
      </c>
      <c r="N439" s="152" t="str">
        <f>IF(VLOOKUP(A439,'Aux - pivots1'!$A:$E,4,0)=0, "",VLOOKUP(A439,'Aux - pivots1'!$A:$E,4,0))</f>
        <v/>
      </c>
      <c r="O439" s="152" t="str">
        <f>IF(VLOOKUP(A439,'Aux - pivots1'!$A:$E,5,0)=0, "",VLOOKUP(A439,'Aux - pivots1'!$A:$E,5,0))</f>
        <v/>
      </c>
      <c r="P439" s="202"/>
      <c r="Q439" s="202"/>
      <c r="R439" s="202"/>
      <c r="S439" s="324"/>
      <c r="T439" s="324"/>
      <c r="U439" s="372" t="s">
        <v>2326</v>
      </c>
      <c r="V439" s="323"/>
    </row>
    <row r="440" spans="1:22" ht="16.350000000000001" hidden="1" customHeight="1">
      <c r="A440" s="29" t="str">
        <f t="shared" si="8"/>
        <v>modesg_inp_emss_vclsscp1_ftr_emss</v>
      </c>
      <c r="B440" s="141" t="s">
        <v>26</v>
      </c>
      <c r="C440" s="137" t="s">
        <v>181</v>
      </c>
      <c r="D440" s="133" t="s">
        <v>40</v>
      </c>
      <c r="E440" s="134" t="s">
        <v>212</v>
      </c>
      <c r="F440" s="476" t="s">
        <v>233</v>
      </c>
      <c r="G440" s="135" t="str">
        <f>VLOOKUP(A440,Plano_V3!$A$26:$G$769,7,0)</f>
        <v>1. Concluído</v>
      </c>
      <c r="H440" s="135" t="s">
        <v>612</v>
      </c>
      <c r="I440" s="473"/>
      <c r="J440" s="142"/>
      <c r="K440" s="142"/>
      <c r="L440" s="142"/>
      <c r="M440" s="152" t="str">
        <f>IF(VLOOKUP(A440,'Aux - pivots1'!$A:$E,3,0)=0, "",VLOOKUP(A440,'Aux - pivots1'!$A:$E,3,0))</f>
        <v/>
      </c>
      <c r="N440" s="152" t="str">
        <f>IF(VLOOKUP(A440,'Aux - pivots1'!$A:$E,4,0)=0, "",VLOOKUP(A440,'Aux - pivots1'!$A:$E,4,0))</f>
        <v/>
      </c>
      <c r="O440" s="152" t="str">
        <f>IF(VLOOKUP(A440,'Aux - pivots1'!$A:$E,5,0)=0, "",VLOOKUP(A440,'Aux - pivots1'!$A:$E,5,0))</f>
        <v/>
      </c>
      <c r="P440" s="202"/>
      <c r="Q440" s="202"/>
      <c r="R440" s="202"/>
      <c r="S440" s="324"/>
      <c r="T440" s="324"/>
      <c r="U440" s="372" t="s">
        <v>2326</v>
      </c>
      <c r="V440" s="323"/>
    </row>
    <row r="441" spans="1:22" ht="16.350000000000001" hidden="1" customHeight="1">
      <c r="A441" s="29" t="str">
        <f t="shared" si="8"/>
        <v>modesg_inp_emss_vclsscp2_ftr_emss</v>
      </c>
      <c r="B441" s="141" t="s">
        <v>26</v>
      </c>
      <c r="C441" s="137" t="s">
        <v>181</v>
      </c>
      <c r="D441" s="133" t="s">
        <v>40</v>
      </c>
      <c r="E441" s="134" t="s">
        <v>212</v>
      </c>
      <c r="F441" s="476" t="s">
        <v>234</v>
      </c>
      <c r="G441" s="135" t="str">
        <f>VLOOKUP(A441,Plano_V3!$A$26:$G$769,7,0)</f>
        <v>1. Concluído</v>
      </c>
      <c r="H441" s="135" t="s">
        <v>612</v>
      </c>
      <c r="I441" s="473"/>
      <c r="J441" s="142"/>
      <c r="K441" s="142"/>
      <c r="L441" s="142"/>
      <c r="M441" s="152" t="str">
        <f>IF(VLOOKUP(A441,'Aux - pivots1'!$A:$E,3,0)=0, "",VLOOKUP(A441,'Aux - pivots1'!$A:$E,3,0))</f>
        <v/>
      </c>
      <c r="N441" s="152" t="str">
        <f>IF(VLOOKUP(A441,'Aux - pivots1'!$A:$E,4,0)=0, "",VLOOKUP(A441,'Aux - pivots1'!$A:$E,4,0))</f>
        <v/>
      </c>
      <c r="O441" s="152" t="str">
        <f>IF(VLOOKUP(A441,'Aux - pivots1'!$A:$E,5,0)=0, "",VLOOKUP(A441,'Aux - pivots1'!$A:$E,5,0))</f>
        <v/>
      </c>
      <c r="P441" s="202"/>
      <c r="Q441" s="202"/>
      <c r="R441" s="202"/>
      <c r="S441" s="324"/>
      <c r="T441" s="324"/>
      <c r="U441" s="372" t="s">
        <v>2326</v>
      </c>
      <c r="V441" s="323"/>
    </row>
    <row r="442" spans="1:22" ht="16.350000000000001" hidden="1" customHeight="1">
      <c r="A442" s="29" t="str">
        <f t="shared" si="8"/>
        <v>modesg_inp_emss_vclsscp3_ftr_emss</v>
      </c>
      <c r="B442" s="141" t="s">
        <v>26</v>
      </c>
      <c r="C442" s="137" t="s">
        <v>181</v>
      </c>
      <c r="D442" s="133" t="s">
        <v>40</v>
      </c>
      <c r="E442" s="134" t="s">
        <v>212</v>
      </c>
      <c r="F442" s="476" t="s">
        <v>235</v>
      </c>
      <c r="G442" s="135" t="str">
        <f>VLOOKUP(A442,Plano_V3!$A$26:$G$769,7,0)</f>
        <v>1. Concluído</v>
      </c>
      <c r="H442" s="135" t="s">
        <v>612</v>
      </c>
      <c r="I442" s="473"/>
      <c r="J442" s="142"/>
      <c r="K442" s="142"/>
      <c r="L442" s="142"/>
      <c r="M442" s="152" t="str">
        <f>IF(VLOOKUP(A442,'Aux - pivots1'!$A:$E,3,0)=0, "",VLOOKUP(A442,'Aux - pivots1'!$A:$E,3,0))</f>
        <v/>
      </c>
      <c r="N442" s="152" t="str">
        <f>IF(VLOOKUP(A442,'Aux - pivots1'!$A:$E,4,0)=0, "",VLOOKUP(A442,'Aux - pivots1'!$A:$E,4,0))</f>
        <v/>
      </c>
      <c r="O442" s="152" t="str">
        <f>IF(VLOOKUP(A442,'Aux - pivots1'!$A:$E,5,0)=0, "",VLOOKUP(A442,'Aux - pivots1'!$A:$E,5,0))</f>
        <v/>
      </c>
      <c r="P442" s="202"/>
      <c r="Q442" s="202"/>
      <c r="R442" s="202"/>
      <c r="S442" s="324"/>
      <c r="T442" s="324"/>
      <c r="U442" s="372" t="s">
        <v>2326</v>
      </c>
      <c r="V442" s="323"/>
    </row>
    <row r="443" spans="1:22" ht="16.350000000000001" hidden="1" customHeight="1">
      <c r="A443" s="29" t="str">
        <f t="shared" si="8"/>
        <v>modesg_inp_km_medios_emss_vclsref_date</v>
      </c>
      <c r="B443" s="141" t="s">
        <v>26</v>
      </c>
      <c r="C443" s="137" t="s">
        <v>181</v>
      </c>
      <c r="D443" s="133" t="s">
        <v>40</v>
      </c>
      <c r="E443" s="134" t="s">
        <v>213</v>
      </c>
      <c r="F443" s="476" t="s">
        <v>208</v>
      </c>
      <c r="G443" s="135" t="str">
        <f>VLOOKUP(A443,Plano_V3!$A$26:$G$769,7,0)</f>
        <v>1. Concluído</v>
      </c>
      <c r="H443" s="135" t="s">
        <v>612</v>
      </c>
      <c r="I443" s="473"/>
      <c r="J443" s="142"/>
      <c r="K443" s="142"/>
      <c r="L443" s="142"/>
      <c r="M443" s="152" t="str">
        <f>IF(VLOOKUP(A443,'Aux - pivots1'!$A:$E,3,0)=0, "",VLOOKUP(A443,'Aux - pivots1'!$A:$E,3,0))</f>
        <v/>
      </c>
      <c r="N443" s="152" t="str">
        <f>IF(VLOOKUP(A443,'Aux - pivots1'!$A:$E,4,0)=0, "",VLOOKUP(A443,'Aux - pivots1'!$A:$E,4,0))</f>
        <v/>
      </c>
      <c r="O443" s="152" t="str">
        <f>IF(VLOOKUP(A443,'Aux - pivots1'!$A:$E,5,0)=0, "",VLOOKUP(A443,'Aux - pivots1'!$A:$E,5,0))</f>
        <v/>
      </c>
      <c r="P443" s="202"/>
      <c r="Q443" s="202"/>
      <c r="R443" s="202"/>
      <c r="S443" s="324"/>
      <c r="T443" s="324"/>
      <c r="U443" s="372" t="s">
        <v>2326</v>
      </c>
      <c r="V443" s="323"/>
    </row>
    <row r="444" spans="1:22" ht="16.350000000000001" hidden="1" customHeight="1">
      <c r="A444" s="29" t="str">
        <f t="shared" si="8"/>
        <v>modesg_inp_km_medios_emss_vclsnome_pais</v>
      </c>
      <c r="B444" s="141" t="s">
        <v>26</v>
      </c>
      <c r="C444" s="137" t="s">
        <v>181</v>
      </c>
      <c r="D444" s="133" t="s">
        <v>40</v>
      </c>
      <c r="E444" s="134" t="s">
        <v>213</v>
      </c>
      <c r="F444" s="476" t="s">
        <v>221</v>
      </c>
      <c r="G444" s="135" t="str">
        <f>VLOOKUP(A444,Plano_V3!$A$26:$G$769,7,0)</f>
        <v>1. Concluído</v>
      </c>
      <c r="H444" s="135" t="s">
        <v>612</v>
      </c>
      <c r="I444" s="473"/>
      <c r="J444" s="142"/>
      <c r="K444" s="142"/>
      <c r="L444" s="142"/>
      <c r="M444" s="152" t="str">
        <f>IF(VLOOKUP(A444,'Aux - pivots1'!$A:$E,3,0)=0, "",VLOOKUP(A444,'Aux - pivots1'!$A:$E,3,0))</f>
        <v/>
      </c>
      <c r="N444" s="152" t="str">
        <f>IF(VLOOKUP(A444,'Aux - pivots1'!$A:$E,4,0)=0, "",VLOOKUP(A444,'Aux - pivots1'!$A:$E,4,0))</f>
        <v/>
      </c>
      <c r="O444" s="152" t="str">
        <f>IF(VLOOKUP(A444,'Aux - pivots1'!$A:$E,5,0)=0, "",VLOOKUP(A444,'Aux - pivots1'!$A:$E,5,0))</f>
        <v/>
      </c>
      <c r="P444" s="202"/>
      <c r="Q444" s="202"/>
      <c r="R444" s="202"/>
      <c r="S444" s="324"/>
      <c r="T444" s="324"/>
      <c r="U444" s="372" t="s">
        <v>2326</v>
      </c>
      <c r="V444" s="323"/>
    </row>
    <row r="445" spans="1:22" ht="16.350000000000001" hidden="1" customHeight="1">
      <c r="A445" s="29" t="str">
        <f t="shared" si="8"/>
        <v>modesg_inp_km_medios_emss_vclstipo_vcl</v>
      </c>
      <c r="B445" s="141" t="s">
        <v>26</v>
      </c>
      <c r="C445" s="137" t="s">
        <v>181</v>
      </c>
      <c r="D445" s="133" t="s">
        <v>40</v>
      </c>
      <c r="E445" s="134" t="s">
        <v>213</v>
      </c>
      <c r="F445" s="476" t="s">
        <v>236</v>
      </c>
      <c r="G445" s="135" t="str">
        <f>VLOOKUP(A445,Plano_V3!$A$26:$G$769,7,0)</f>
        <v>1. Concluído</v>
      </c>
      <c r="H445" s="135" t="s">
        <v>612</v>
      </c>
      <c r="I445" s="473"/>
      <c r="J445" s="142"/>
      <c r="K445" s="142"/>
      <c r="L445" s="142"/>
      <c r="M445" s="152" t="str">
        <f>IF(VLOOKUP(A445,'Aux - pivots1'!$A:$E,3,0)=0, "",VLOOKUP(A445,'Aux - pivots1'!$A:$E,3,0))</f>
        <v/>
      </c>
      <c r="N445" s="152" t="str">
        <f>IF(VLOOKUP(A445,'Aux - pivots1'!$A:$E,4,0)=0, "",VLOOKUP(A445,'Aux - pivots1'!$A:$E,4,0))</f>
        <v/>
      </c>
      <c r="O445" s="152" t="str">
        <f>IF(VLOOKUP(A445,'Aux - pivots1'!$A:$E,5,0)=0, "",VLOOKUP(A445,'Aux - pivots1'!$A:$E,5,0))</f>
        <v/>
      </c>
      <c r="P445" s="202"/>
      <c r="Q445" s="202"/>
      <c r="R445" s="202"/>
      <c r="S445" s="324"/>
      <c r="T445" s="324"/>
      <c r="U445" s="372" t="s">
        <v>2326</v>
      </c>
      <c r="V445" s="323"/>
    </row>
    <row r="446" spans="1:22" ht="16.350000000000001" hidden="1" customHeight="1">
      <c r="A446" s="29" t="str">
        <f t="shared" si="8"/>
        <v>modesg_inp_km_medios_emss_vclstipo_motor</v>
      </c>
      <c r="B446" s="141" t="s">
        <v>26</v>
      </c>
      <c r="C446" s="137" t="s">
        <v>181</v>
      </c>
      <c r="D446" s="133" t="s">
        <v>40</v>
      </c>
      <c r="E446" s="134" t="s">
        <v>213</v>
      </c>
      <c r="F446" s="476" t="s">
        <v>224</v>
      </c>
      <c r="G446" s="135" t="str">
        <f>VLOOKUP(A446,Plano_V3!$A$26:$G$769,7,0)</f>
        <v>1. Concluído</v>
      </c>
      <c r="H446" s="135" t="s">
        <v>612</v>
      </c>
      <c r="I446" s="473"/>
      <c r="J446" s="490"/>
      <c r="K446" s="490"/>
      <c r="L446" s="142"/>
      <c r="M446" s="152" t="str">
        <f>IF(VLOOKUP(A446,'Aux - pivots1'!$A:$E,3,0)=0, "",VLOOKUP(A446,'Aux - pivots1'!$A:$E,3,0))</f>
        <v/>
      </c>
      <c r="N446" s="152" t="str">
        <f>IF(VLOOKUP(A446,'Aux - pivots1'!$A:$E,4,0)=0, "",VLOOKUP(A446,'Aux - pivots1'!$A:$E,4,0))</f>
        <v/>
      </c>
      <c r="O446" s="152" t="str">
        <f>IF(VLOOKUP(A446,'Aux - pivots1'!$A:$E,5,0)=0, "",VLOOKUP(A446,'Aux - pivots1'!$A:$E,5,0))</f>
        <v/>
      </c>
      <c r="P446" s="202"/>
      <c r="Q446" s="202"/>
      <c r="R446" s="202"/>
      <c r="S446" s="324"/>
      <c r="T446" s="324"/>
      <c r="U446" s="372" t="s">
        <v>2326</v>
      </c>
      <c r="V446" s="323"/>
    </row>
    <row r="447" spans="1:22" ht="16.350000000000001" hidden="1" customHeight="1">
      <c r="A447" s="29" t="str">
        <f t="shared" si="8"/>
        <v>modesg_inp_km_medios_emss_vclssubgrupo</v>
      </c>
      <c r="B447" s="141" t="s">
        <v>26</v>
      </c>
      <c r="C447" s="137" t="s">
        <v>181</v>
      </c>
      <c r="D447" s="133" t="s">
        <v>40</v>
      </c>
      <c r="E447" s="134" t="s">
        <v>213</v>
      </c>
      <c r="F447" s="476" t="s">
        <v>227</v>
      </c>
      <c r="G447" s="135" t="str">
        <f>VLOOKUP(A447,Plano_V3!$A$26:$G$769,7,0)</f>
        <v>1. Concluído</v>
      </c>
      <c r="H447" s="135" t="s">
        <v>612</v>
      </c>
      <c r="I447" s="473"/>
      <c r="J447" s="490"/>
      <c r="K447" s="490"/>
      <c r="L447" s="143"/>
      <c r="M447" s="152" t="str">
        <f>IF(VLOOKUP(A447,'Aux - pivots1'!$A:$E,3,0)=0, "",VLOOKUP(A447,'Aux - pivots1'!$A:$E,3,0))</f>
        <v/>
      </c>
      <c r="N447" s="152" t="str">
        <f>IF(VLOOKUP(A447,'Aux - pivots1'!$A:$E,4,0)=0, "",VLOOKUP(A447,'Aux - pivots1'!$A:$E,4,0))</f>
        <v/>
      </c>
      <c r="O447" s="152" t="str">
        <f>IF(VLOOKUP(A447,'Aux - pivots1'!$A:$E,5,0)=0, "",VLOOKUP(A447,'Aux - pivots1'!$A:$E,5,0))</f>
        <v/>
      </c>
      <c r="P447" s="202"/>
      <c r="Q447" s="202"/>
      <c r="R447" s="202"/>
      <c r="S447" s="324"/>
      <c r="T447" s="324"/>
      <c r="U447" s="372" t="s">
        <v>2326</v>
      </c>
      <c r="V447" s="323"/>
    </row>
    <row r="448" spans="1:22" ht="16.350000000000001" hidden="1" customHeight="1">
      <c r="A448" s="29" t="str">
        <f t="shared" si="8"/>
        <v>modesg_inp_km_medios_emss_vclsmedia_km</v>
      </c>
      <c r="B448" s="141" t="s">
        <v>26</v>
      </c>
      <c r="C448" s="137" t="s">
        <v>181</v>
      </c>
      <c r="D448" s="133" t="s">
        <v>40</v>
      </c>
      <c r="E448" s="134" t="s">
        <v>213</v>
      </c>
      <c r="F448" s="476" t="s">
        <v>237</v>
      </c>
      <c r="G448" s="135" t="str">
        <f>VLOOKUP(A448,Plano_V3!$A$26:$G$769,7,0)</f>
        <v>1. Concluído</v>
      </c>
      <c r="H448" s="135" t="s">
        <v>612</v>
      </c>
      <c r="I448" s="473"/>
      <c r="J448" s="490"/>
      <c r="K448" s="490"/>
      <c r="L448" s="142"/>
      <c r="M448" s="152" t="str">
        <f>IF(VLOOKUP(A448,'Aux - pivots1'!$A:$E,3,0)=0, "",VLOOKUP(A448,'Aux - pivots1'!$A:$E,3,0))</f>
        <v/>
      </c>
      <c r="N448" s="152" t="str">
        <f>IF(VLOOKUP(A448,'Aux - pivots1'!$A:$E,4,0)=0, "",VLOOKUP(A448,'Aux - pivots1'!$A:$E,4,0))</f>
        <v/>
      </c>
      <c r="O448" s="152" t="str">
        <f>IF(VLOOKUP(A448,'Aux - pivots1'!$A:$E,5,0)=0, "",VLOOKUP(A448,'Aux - pivots1'!$A:$E,5,0))</f>
        <v/>
      </c>
      <c r="P448" s="202"/>
      <c r="Q448" s="202"/>
      <c r="R448" s="202"/>
      <c r="S448" s="324"/>
      <c r="T448" s="324"/>
      <c r="U448" s="372" t="s">
        <v>2326</v>
      </c>
      <c r="V448" s="323"/>
    </row>
    <row r="449" spans="1:22" ht="16.350000000000001" hidden="1" customHeight="1">
      <c r="A449" s="29" t="str">
        <f t="shared" si="8"/>
        <v>modesg_inp_empr_excl_parisref_date</v>
      </c>
      <c r="B449" s="141" t="s">
        <v>26</v>
      </c>
      <c r="C449" s="137" t="s">
        <v>181</v>
      </c>
      <c r="D449" s="133" t="s">
        <v>40</v>
      </c>
      <c r="E449" s="134" t="s">
        <v>214</v>
      </c>
      <c r="F449" s="476" t="s">
        <v>208</v>
      </c>
      <c r="G449" s="135" t="str">
        <f>VLOOKUP(A449,Plano_V3!$A$26:$G$769,7,0)</f>
        <v>1. Concluído</v>
      </c>
      <c r="H449" s="135" t="s">
        <v>612</v>
      </c>
      <c r="I449" s="473"/>
      <c r="J449" s="153"/>
      <c r="K449" s="153"/>
      <c r="L449" s="153"/>
      <c r="M449" s="152" t="str">
        <f>IF(VLOOKUP(A449,'Aux - pivots1'!$A:$E,3,0)=0, "",VLOOKUP(A449,'Aux - pivots1'!$A:$E,3,0))</f>
        <v/>
      </c>
      <c r="N449" s="152" t="str">
        <f>IF(VLOOKUP(A449,'Aux - pivots1'!$A:$E,4,0)=0, "",VLOOKUP(A449,'Aux - pivots1'!$A:$E,4,0))</f>
        <v/>
      </c>
      <c r="O449" s="152" t="str">
        <f>IF(VLOOKUP(A449,'Aux - pivots1'!$A:$E,5,0)=0, "",VLOOKUP(A449,'Aux - pivots1'!$A:$E,5,0))</f>
        <v/>
      </c>
      <c r="P449" s="202"/>
      <c r="Q449" s="202"/>
      <c r="R449" s="202"/>
      <c r="S449" s="324"/>
      <c r="T449" s="324"/>
      <c r="U449" s="372" t="s">
        <v>2326</v>
      </c>
      <c r="V449" s="323"/>
    </row>
    <row r="450" spans="1:22" ht="16.350000000000001" hidden="1" customHeight="1">
      <c r="A450" s="29" t="str">
        <f t="shared" si="8"/>
        <v>modesg_inp_empr_excl_parisisin</v>
      </c>
      <c r="B450" s="141" t="s">
        <v>26</v>
      </c>
      <c r="C450" s="137" t="s">
        <v>181</v>
      </c>
      <c r="D450" s="133" t="s">
        <v>40</v>
      </c>
      <c r="E450" s="134" t="s">
        <v>214</v>
      </c>
      <c r="F450" s="476" t="s">
        <v>238</v>
      </c>
      <c r="G450" s="135" t="str">
        <f>VLOOKUP(A450,Plano_V3!$A$26:$G$769,7,0)</f>
        <v>1. Concluído</v>
      </c>
      <c r="H450" s="135" t="s">
        <v>612</v>
      </c>
      <c r="I450" s="473"/>
      <c r="J450" s="153"/>
      <c r="K450" s="153"/>
      <c r="L450" s="153"/>
      <c r="M450" s="152" t="str">
        <f>IF(VLOOKUP(A450,'Aux - pivots1'!$A:$E,3,0)=0, "",VLOOKUP(A450,'Aux - pivots1'!$A:$E,3,0))</f>
        <v/>
      </c>
      <c r="N450" s="152" t="str">
        <f>IF(VLOOKUP(A450,'Aux - pivots1'!$A:$E,4,0)=0, "",VLOOKUP(A450,'Aux - pivots1'!$A:$E,4,0))</f>
        <v/>
      </c>
      <c r="O450" s="152" t="str">
        <f>IF(VLOOKUP(A450,'Aux - pivots1'!$A:$E,5,0)=0, "",VLOOKUP(A450,'Aux - pivots1'!$A:$E,5,0))</f>
        <v/>
      </c>
      <c r="P450" s="202"/>
      <c r="Q450" s="202"/>
      <c r="R450" s="202"/>
      <c r="S450" s="324"/>
      <c r="T450" s="324"/>
      <c r="U450" s="372" t="s">
        <v>2326</v>
      </c>
      <c r="V450" s="323"/>
    </row>
    <row r="451" spans="1:22" ht="16.350000000000001" hidden="1" customHeight="1">
      <c r="A451" s="29" t="str">
        <f t="shared" si="8"/>
        <v>modesg_inp_empr_excl_parisclei</v>
      </c>
      <c r="B451" s="141" t="s">
        <v>26</v>
      </c>
      <c r="C451" s="137" t="s">
        <v>181</v>
      </c>
      <c r="D451" s="133" t="s">
        <v>40</v>
      </c>
      <c r="E451" s="134" t="s">
        <v>214</v>
      </c>
      <c r="F451" s="476" t="s">
        <v>239</v>
      </c>
      <c r="G451" s="135" t="str">
        <f>VLOOKUP(A451,Plano_V3!$A$26:$G$769,7,0)</f>
        <v>1. Concluído</v>
      </c>
      <c r="H451" s="135" t="s">
        <v>612</v>
      </c>
      <c r="I451" s="473"/>
      <c r="J451" s="153"/>
      <c r="K451" s="153"/>
      <c r="L451" s="153"/>
      <c r="M451" s="152" t="str">
        <f>IF(VLOOKUP(A451,'Aux - pivots1'!$A:$E,3,0)=0, "",VLOOKUP(A451,'Aux - pivots1'!$A:$E,3,0))</f>
        <v/>
      </c>
      <c r="N451" s="152" t="str">
        <f>IF(VLOOKUP(A451,'Aux - pivots1'!$A:$E,4,0)=0, "",VLOOKUP(A451,'Aux - pivots1'!$A:$E,4,0))</f>
        <v/>
      </c>
      <c r="O451" s="152" t="str">
        <f>IF(VLOOKUP(A451,'Aux - pivots1'!$A:$E,5,0)=0, "",VLOOKUP(A451,'Aux - pivots1'!$A:$E,5,0))</f>
        <v/>
      </c>
      <c r="P451" s="202"/>
      <c r="Q451" s="202"/>
      <c r="R451" s="202"/>
      <c r="S451" s="324"/>
      <c r="T451" s="324"/>
      <c r="U451" s="372" t="s">
        <v>2326</v>
      </c>
      <c r="V451" s="323"/>
    </row>
    <row r="452" spans="1:22" ht="16.350000000000001" hidden="1" customHeight="1">
      <c r="A452" s="29" t="str">
        <f t="shared" si="8"/>
        <v>modesg_inp_empr_excl_parisccli_kgl</v>
      </c>
      <c r="B452" s="141" t="s">
        <v>26</v>
      </c>
      <c r="C452" s="137" t="s">
        <v>181</v>
      </c>
      <c r="D452" s="133" t="s">
        <v>40</v>
      </c>
      <c r="E452" s="134" t="s">
        <v>214</v>
      </c>
      <c r="F452" s="476" t="s">
        <v>240</v>
      </c>
      <c r="G452" s="135" t="str">
        <f>VLOOKUP(A452,Plano_V3!$A$26:$G$769,7,0)</f>
        <v>1. Concluído</v>
      </c>
      <c r="H452" s="135" t="s">
        <v>612</v>
      </c>
      <c r="I452" s="473"/>
      <c r="J452" s="153"/>
      <c r="K452" s="153"/>
      <c r="L452" s="153"/>
      <c r="M452" s="152" t="str">
        <f>IF(VLOOKUP(A452,'Aux - pivots1'!$A:$E,3,0)=0, "",VLOOKUP(A452,'Aux - pivots1'!$A:$E,3,0))</f>
        <v/>
      </c>
      <c r="N452" s="152" t="str">
        <f>IF(VLOOKUP(A452,'Aux - pivots1'!$A:$E,4,0)=0, "",VLOOKUP(A452,'Aux - pivots1'!$A:$E,4,0))</f>
        <v/>
      </c>
      <c r="O452" s="152" t="str">
        <f>IF(VLOOKUP(A452,'Aux - pivots1'!$A:$E,5,0)=0, "",VLOOKUP(A452,'Aux - pivots1'!$A:$E,5,0))</f>
        <v/>
      </c>
      <c r="P452" s="202"/>
      <c r="Q452" s="202"/>
      <c r="R452" s="202"/>
      <c r="S452" s="324"/>
      <c r="T452" s="324"/>
      <c r="U452" s="372" t="s">
        <v>2326</v>
      </c>
      <c r="V452" s="323"/>
    </row>
    <row r="453" spans="1:22" ht="16.350000000000001" hidden="1" customHeight="1">
      <c r="A453" s="29" t="str">
        <f t="shared" si="8"/>
        <v>modesg_inp_empr_excl_parisnome_entidade</v>
      </c>
      <c r="B453" s="141" t="s">
        <v>26</v>
      </c>
      <c r="C453" s="137" t="s">
        <v>181</v>
      </c>
      <c r="D453" s="133" t="s">
        <v>40</v>
      </c>
      <c r="E453" s="134" t="s">
        <v>214</v>
      </c>
      <c r="F453" s="476" t="s">
        <v>241</v>
      </c>
      <c r="G453" s="135" t="str">
        <f>VLOOKUP(A453,Plano_V3!$A$26:$G$769,7,0)</f>
        <v>1. Concluído</v>
      </c>
      <c r="H453" s="135" t="s">
        <v>612</v>
      </c>
      <c r="I453" s="473"/>
      <c r="J453" s="153"/>
      <c r="K453" s="153"/>
      <c r="L453" s="153"/>
      <c r="M453" s="152" t="str">
        <f>IF(VLOOKUP(A453,'Aux - pivots1'!$A:$E,3,0)=0, "",VLOOKUP(A453,'Aux - pivots1'!$A:$E,3,0))</f>
        <v/>
      </c>
      <c r="N453" s="152" t="str">
        <f>IF(VLOOKUP(A453,'Aux - pivots1'!$A:$E,4,0)=0, "",VLOOKUP(A453,'Aux - pivots1'!$A:$E,4,0))</f>
        <v/>
      </c>
      <c r="O453" s="152" t="str">
        <f>IF(VLOOKUP(A453,'Aux - pivots1'!$A:$E,5,0)=0, "",VLOOKUP(A453,'Aux - pivots1'!$A:$E,5,0))</f>
        <v/>
      </c>
      <c r="P453" s="202"/>
      <c r="Q453" s="202"/>
      <c r="R453" s="202"/>
      <c r="S453" s="324"/>
      <c r="T453" s="324"/>
      <c r="U453" s="372" t="s">
        <v>2326</v>
      </c>
      <c r="V453" s="323"/>
    </row>
    <row r="454" spans="1:22" ht="16.350000000000001" hidden="1" customHeight="1">
      <c r="A454" s="29" t="str">
        <f t="shared" si="8"/>
        <v>modesg_inp_empr_excl_parisflg_scib</v>
      </c>
      <c r="B454" s="141" t="s">
        <v>26</v>
      </c>
      <c r="C454" s="137" t="s">
        <v>181</v>
      </c>
      <c r="D454" s="133" t="s">
        <v>40</v>
      </c>
      <c r="E454" s="134" t="s">
        <v>214</v>
      </c>
      <c r="F454" s="476" t="s">
        <v>242</v>
      </c>
      <c r="G454" s="135" t="str">
        <f>VLOOKUP(A454,Plano_V3!$A$26:$G$769,7,0)</f>
        <v>1. Concluído</v>
      </c>
      <c r="H454" s="135" t="s">
        <v>612</v>
      </c>
      <c r="I454" s="473"/>
      <c r="J454" s="153"/>
      <c r="K454" s="153"/>
      <c r="L454" s="153"/>
      <c r="M454" s="152" t="str">
        <f>IF(VLOOKUP(A454,'Aux - pivots1'!$A:$E,3,0)=0, "",VLOOKUP(A454,'Aux - pivots1'!$A:$E,3,0))</f>
        <v/>
      </c>
      <c r="N454" s="152" t="str">
        <f>IF(VLOOKUP(A454,'Aux - pivots1'!$A:$E,4,0)=0, "",VLOOKUP(A454,'Aux - pivots1'!$A:$E,4,0))</f>
        <v/>
      </c>
      <c r="O454" s="152" t="str">
        <f>IF(VLOOKUP(A454,'Aux - pivots1'!$A:$E,5,0)=0, "",VLOOKUP(A454,'Aux - pivots1'!$A:$E,5,0))</f>
        <v/>
      </c>
      <c r="P454" s="202"/>
      <c r="Q454" s="202"/>
      <c r="R454" s="202"/>
      <c r="S454" s="324"/>
      <c r="T454" s="324"/>
      <c r="U454" s="372" t="s">
        <v>2326</v>
      </c>
      <c r="V454" s="323"/>
    </row>
    <row r="455" spans="1:22" ht="16.350000000000001" hidden="1" customHeight="1">
      <c r="A455" s="29" t="str">
        <f t="shared" si="8"/>
        <v>modesg_inp_empr_excl_parisnome_pais</v>
      </c>
      <c r="B455" s="141" t="s">
        <v>26</v>
      </c>
      <c r="C455" s="137" t="s">
        <v>181</v>
      </c>
      <c r="D455" s="133" t="s">
        <v>40</v>
      </c>
      <c r="E455" s="134" t="s">
        <v>214</v>
      </c>
      <c r="F455" s="476" t="s">
        <v>221</v>
      </c>
      <c r="G455" s="135" t="str">
        <f>VLOOKUP(A455,Plano_V3!$A$26:$G$769,7,0)</f>
        <v>1. Concluído</v>
      </c>
      <c r="H455" s="135" t="s">
        <v>612</v>
      </c>
      <c r="I455" s="473"/>
      <c r="J455" s="153"/>
      <c r="K455" s="153"/>
      <c r="L455" s="153"/>
      <c r="M455" s="152" t="str">
        <f>IF(VLOOKUP(A455,'Aux - pivots1'!$A:$E,3,0)=0, "",VLOOKUP(A455,'Aux - pivots1'!$A:$E,3,0))</f>
        <v/>
      </c>
      <c r="N455" s="152" t="str">
        <f>IF(VLOOKUP(A455,'Aux - pivots1'!$A:$E,4,0)=0, "",VLOOKUP(A455,'Aux - pivots1'!$A:$E,4,0))</f>
        <v/>
      </c>
      <c r="O455" s="152" t="str">
        <f>IF(VLOOKUP(A455,'Aux - pivots1'!$A:$E,5,0)=0, "",VLOOKUP(A455,'Aux - pivots1'!$A:$E,5,0))</f>
        <v/>
      </c>
      <c r="P455" s="202"/>
      <c r="Q455" s="202"/>
      <c r="R455" s="202"/>
      <c r="S455" s="324"/>
      <c r="T455" s="324"/>
      <c r="U455" s="372" t="s">
        <v>2326</v>
      </c>
      <c r="V455" s="323"/>
    </row>
    <row r="456" spans="1:22" ht="16.350000000000001" hidden="1" customHeight="1">
      <c r="A456" s="29" t="str">
        <f t="shared" si="8"/>
        <v>modesg_inp_nfrd_alinhamento_taxref_date</v>
      </c>
      <c r="B456" s="141" t="s">
        <v>26</v>
      </c>
      <c r="C456" s="137" t="s">
        <v>181</v>
      </c>
      <c r="D456" s="133" t="s">
        <v>40</v>
      </c>
      <c r="E456" s="134" t="s">
        <v>215</v>
      </c>
      <c r="F456" s="476" t="s">
        <v>208</v>
      </c>
      <c r="G456" s="135" t="str">
        <f>VLOOKUP(A456,Plano_V3!$A$26:$G$769,7,0)</f>
        <v>1. Concluído</v>
      </c>
      <c r="H456" s="135" t="s">
        <v>612</v>
      </c>
      <c r="I456" s="473"/>
      <c r="J456" s="142"/>
      <c r="K456" s="142"/>
      <c r="L456" s="142"/>
      <c r="M456" s="152" t="str">
        <f>IF(VLOOKUP(A456,'Aux - pivots1'!$A:$E,3,0)=0, "",VLOOKUP(A456,'Aux - pivots1'!$A:$E,3,0))</f>
        <v/>
      </c>
      <c r="N456" s="152" t="str">
        <f>IF(VLOOKUP(A456,'Aux - pivots1'!$A:$E,4,0)=0, "",VLOOKUP(A456,'Aux - pivots1'!$A:$E,4,0))</f>
        <v/>
      </c>
      <c r="O456" s="152" t="str">
        <f>IF(VLOOKUP(A456,'Aux - pivots1'!$A:$E,5,0)=0, "",VLOOKUP(A456,'Aux - pivots1'!$A:$E,5,0))</f>
        <v/>
      </c>
      <c r="P456" s="202"/>
      <c r="Q456" s="202"/>
      <c r="R456" s="202"/>
      <c r="S456" s="324"/>
      <c r="T456" s="324"/>
      <c r="U456" s="372" t="s">
        <v>2326</v>
      </c>
      <c r="V456" s="323"/>
    </row>
    <row r="457" spans="1:22" ht="16.350000000000001" hidden="1" customHeight="1">
      <c r="A457" s="29" t="str">
        <f t="shared" si="8"/>
        <v>modesg_inp_nfrd_alinhamento_taxccli_kgl</v>
      </c>
      <c r="B457" s="141" t="s">
        <v>26</v>
      </c>
      <c r="C457" s="137" t="s">
        <v>181</v>
      </c>
      <c r="D457" s="133" t="s">
        <v>40</v>
      </c>
      <c r="E457" s="134" t="s">
        <v>215</v>
      </c>
      <c r="F457" s="476" t="s">
        <v>240</v>
      </c>
      <c r="G457" s="135" t="str">
        <f>VLOOKUP(A457,Plano_V3!$A$26:$G$769,7,0)</f>
        <v>1. Concluído</v>
      </c>
      <c r="H457" s="135" t="s">
        <v>612</v>
      </c>
      <c r="I457" s="473"/>
      <c r="J457" s="142"/>
      <c r="K457" s="142"/>
      <c r="L457" s="142"/>
      <c r="M457" s="152" t="str">
        <f>IF(VLOOKUP(A457,'Aux - pivots1'!$A:$E,3,0)=0, "",VLOOKUP(A457,'Aux - pivots1'!$A:$E,3,0))</f>
        <v/>
      </c>
      <c r="N457" s="152" t="str">
        <f>IF(VLOOKUP(A457,'Aux - pivots1'!$A:$E,4,0)=0, "",VLOOKUP(A457,'Aux - pivots1'!$A:$E,4,0))</f>
        <v/>
      </c>
      <c r="O457" s="152" t="str">
        <f>IF(VLOOKUP(A457,'Aux - pivots1'!$A:$E,5,0)=0, "",VLOOKUP(A457,'Aux - pivots1'!$A:$E,5,0))</f>
        <v/>
      </c>
      <c r="P457" s="202"/>
      <c r="Q457" s="202"/>
      <c r="R457" s="202"/>
      <c r="S457" s="324"/>
      <c r="T457" s="324"/>
      <c r="U457" s="372" t="s">
        <v>2326</v>
      </c>
      <c r="V457" s="323"/>
    </row>
    <row r="458" spans="1:22" ht="16.350000000000001" hidden="1" customHeight="1">
      <c r="A458" s="29" t="str">
        <f t="shared" si="8"/>
        <v>modesg_inp_nfrd_alinhamento_taxclei</v>
      </c>
      <c r="B458" s="141" t="s">
        <v>26</v>
      </c>
      <c r="C458" s="137" t="s">
        <v>181</v>
      </c>
      <c r="D458" s="133" t="s">
        <v>40</v>
      </c>
      <c r="E458" s="134" t="s">
        <v>215</v>
      </c>
      <c r="F458" s="476" t="s">
        <v>239</v>
      </c>
      <c r="G458" s="135" t="str">
        <f>VLOOKUP(A458,Plano_V3!$A$26:$G$769,7,0)</f>
        <v>1. Concluído</v>
      </c>
      <c r="H458" s="135" t="s">
        <v>612</v>
      </c>
      <c r="I458" s="473"/>
      <c r="J458" s="142"/>
      <c r="K458" s="142"/>
      <c r="L458" s="142"/>
      <c r="M458" s="152" t="str">
        <f>IF(VLOOKUP(A458,'Aux - pivots1'!$A:$E,3,0)=0, "",VLOOKUP(A458,'Aux - pivots1'!$A:$E,3,0))</f>
        <v/>
      </c>
      <c r="N458" s="152" t="str">
        <f>IF(VLOOKUP(A458,'Aux - pivots1'!$A:$E,4,0)=0, "",VLOOKUP(A458,'Aux - pivots1'!$A:$E,4,0))</f>
        <v/>
      </c>
      <c r="O458" s="152" t="str">
        <f>IF(VLOOKUP(A458,'Aux - pivots1'!$A:$E,5,0)=0, "",VLOOKUP(A458,'Aux - pivots1'!$A:$E,5,0))</f>
        <v/>
      </c>
      <c r="P458" s="202"/>
      <c r="Q458" s="202"/>
      <c r="R458" s="202"/>
      <c r="S458" s="324"/>
      <c r="T458" s="324"/>
      <c r="U458" s="372" t="s">
        <v>2326</v>
      </c>
      <c r="V458" s="323"/>
    </row>
    <row r="459" spans="1:22" ht="16.350000000000001" hidden="1" customHeight="1">
      <c r="A459" s="29" t="str">
        <f t="shared" ref="A459:A524" si="9">E459&amp;F459</f>
        <v>modesg_inp_nfrd_alinhamento_taxperm_id</v>
      </c>
      <c r="B459" s="141" t="s">
        <v>26</v>
      </c>
      <c r="C459" s="137" t="s">
        <v>181</v>
      </c>
      <c r="D459" s="133" t="s">
        <v>40</v>
      </c>
      <c r="E459" s="134" t="s">
        <v>215</v>
      </c>
      <c r="F459" s="476" t="s">
        <v>243</v>
      </c>
      <c r="G459" s="135" t="str">
        <f>VLOOKUP(A459,Plano_V3!$A$26:$G$769,7,0)</f>
        <v>1. Concluído</v>
      </c>
      <c r="H459" s="135" t="s">
        <v>612</v>
      </c>
      <c r="I459" s="473"/>
      <c r="J459" s="142"/>
      <c r="K459" s="142"/>
      <c r="L459" s="142"/>
      <c r="M459" s="152" t="str">
        <f>IF(VLOOKUP(A459,'Aux - pivots1'!$A:$E,3,0)=0, "",VLOOKUP(A459,'Aux - pivots1'!$A:$E,3,0))</f>
        <v/>
      </c>
      <c r="N459" s="152" t="str">
        <f>IF(VLOOKUP(A459,'Aux - pivots1'!$A:$E,4,0)=0, "",VLOOKUP(A459,'Aux - pivots1'!$A:$E,4,0))</f>
        <v/>
      </c>
      <c r="O459" s="152" t="str">
        <f>IF(VLOOKUP(A459,'Aux - pivots1'!$A:$E,5,0)=0, "",VLOOKUP(A459,'Aux - pivots1'!$A:$E,5,0))</f>
        <v/>
      </c>
      <c r="P459" s="202"/>
      <c r="Q459" s="202"/>
      <c r="R459" s="202"/>
      <c r="S459" s="324"/>
      <c r="T459" s="324"/>
      <c r="U459" s="372" t="s">
        <v>2326</v>
      </c>
      <c r="V459" s="323"/>
    </row>
    <row r="460" spans="1:22" ht="16.350000000000001" hidden="1" customHeight="1">
      <c r="A460" s="29" t="str">
        <f t="shared" si="9"/>
        <v>modesg_inp_nfrd_alinhamento_taxnome_entidade</v>
      </c>
      <c r="B460" s="141" t="s">
        <v>26</v>
      </c>
      <c r="C460" s="137" t="s">
        <v>181</v>
      </c>
      <c r="D460" s="133" t="s">
        <v>40</v>
      </c>
      <c r="E460" s="134" t="s">
        <v>215</v>
      </c>
      <c r="F460" s="476" t="s">
        <v>241</v>
      </c>
      <c r="G460" s="135" t="str">
        <f>VLOOKUP(A460,Plano_V3!$A$26:$G$769,7,0)</f>
        <v>1. Concluído</v>
      </c>
      <c r="H460" s="135" t="s">
        <v>612</v>
      </c>
      <c r="I460" s="473"/>
      <c r="J460" s="142"/>
      <c r="K460" s="142"/>
      <c r="L460" s="142"/>
      <c r="M460" s="152" t="str">
        <f>IF(VLOOKUP(A460,'Aux - pivots1'!$A:$E,3,0)=0, "",VLOOKUP(A460,'Aux - pivots1'!$A:$E,3,0))</f>
        <v/>
      </c>
      <c r="N460" s="152" t="str">
        <f>IF(VLOOKUP(A460,'Aux - pivots1'!$A:$E,4,0)=0, "",VLOOKUP(A460,'Aux - pivots1'!$A:$E,4,0))</f>
        <v/>
      </c>
      <c r="O460" s="152" t="str">
        <f>IF(VLOOKUP(A460,'Aux - pivots1'!$A:$E,5,0)=0, "",VLOOKUP(A460,'Aux - pivots1'!$A:$E,5,0))</f>
        <v/>
      </c>
      <c r="P460" s="202"/>
      <c r="Q460" s="202"/>
      <c r="R460" s="202"/>
      <c r="S460" s="324"/>
      <c r="T460" s="324"/>
      <c r="U460" s="372" t="s">
        <v>2326</v>
      </c>
      <c r="V460" s="323"/>
    </row>
    <row r="461" spans="1:22" ht="16.350000000000001" hidden="1" customHeight="1">
      <c r="A461" s="29" t="str">
        <f t="shared" si="9"/>
        <v>modesg_inp_nfrd_alinhamento_taxnome_pais</v>
      </c>
      <c r="B461" s="141" t="s">
        <v>26</v>
      </c>
      <c r="C461" s="137" t="s">
        <v>181</v>
      </c>
      <c r="D461" s="133" t="s">
        <v>40</v>
      </c>
      <c r="E461" s="134" t="s">
        <v>215</v>
      </c>
      <c r="F461" s="476" t="s">
        <v>221</v>
      </c>
      <c r="G461" s="135" t="str">
        <f>VLOOKUP(A461,Plano_V3!$A$26:$G$769,7,0)</f>
        <v>1. Concluído</v>
      </c>
      <c r="H461" s="135" t="s">
        <v>612</v>
      </c>
      <c r="I461" s="473"/>
      <c r="J461" s="143"/>
      <c r="K461" s="143"/>
      <c r="L461" s="143"/>
      <c r="M461" s="152" t="str">
        <f>IF(VLOOKUP(A461,'Aux - pivots1'!$A:$E,3,0)=0, "",VLOOKUP(A461,'Aux - pivots1'!$A:$E,3,0))</f>
        <v/>
      </c>
      <c r="N461" s="152" t="str">
        <f>IF(VLOOKUP(A461,'Aux - pivots1'!$A:$E,4,0)=0, "",VLOOKUP(A461,'Aux - pivots1'!$A:$E,4,0))</f>
        <v/>
      </c>
      <c r="O461" s="152" t="str">
        <f>IF(VLOOKUP(A461,'Aux - pivots1'!$A:$E,5,0)=0, "",VLOOKUP(A461,'Aux - pivots1'!$A:$E,5,0))</f>
        <v/>
      </c>
      <c r="P461" s="202"/>
      <c r="Q461" s="202"/>
      <c r="R461" s="202"/>
      <c r="S461" s="324"/>
      <c r="T461" s="324"/>
      <c r="U461" s="372" t="s">
        <v>2326</v>
      </c>
      <c r="V461" s="323"/>
    </row>
    <row r="462" spans="1:22" ht="16.350000000000001" hidden="1" customHeight="1">
      <c r="A462" s="29" t="str">
        <f t="shared" si="9"/>
        <v>modesg_inp_nfrd_alinhamento_taxflg_nfrd</v>
      </c>
      <c r="B462" s="141" t="s">
        <v>26</v>
      </c>
      <c r="C462" s="137" t="s">
        <v>181</v>
      </c>
      <c r="D462" s="133" t="s">
        <v>40</v>
      </c>
      <c r="E462" s="134" t="s">
        <v>215</v>
      </c>
      <c r="F462" s="476" t="s">
        <v>244</v>
      </c>
      <c r="G462" s="135" t="str">
        <f>VLOOKUP(A462,Plano_V3!$A$26:$G$769,7,0)</f>
        <v>1. Concluído</v>
      </c>
      <c r="H462" s="135" t="s">
        <v>612</v>
      </c>
      <c r="I462" s="473"/>
      <c r="J462" s="142"/>
      <c r="K462" s="142"/>
      <c r="L462" s="142"/>
      <c r="M462" s="152" t="str">
        <f>IF(VLOOKUP(A462,'Aux - pivots1'!$A:$E,3,0)=0, "",VLOOKUP(A462,'Aux - pivots1'!$A:$E,3,0))</f>
        <v/>
      </c>
      <c r="N462" s="152" t="str">
        <f>IF(VLOOKUP(A462,'Aux - pivots1'!$A:$E,4,0)=0, "",VLOOKUP(A462,'Aux - pivots1'!$A:$E,4,0))</f>
        <v/>
      </c>
      <c r="O462" s="152" t="str">
        <f>IF(VLOOKUP(A462,'Aux - pivots1'!$A:$E,5,0)=0, "",VLOOKUP(A462,'Aux - pivots1'!$A:$E,5,0))</f>
        <v/>
      </c>
      <c r="P462" s="202"/>
      <c r="Q462" s="202"/>
      <c r="R462" s="202"/>
      <c r="S462" s="324"/>
      <c r="T462" s="324"/>
      <c r="U462" s="372" t="s">
        <v>2326</v>
      </c>
      <c r="V462" s="323"/>
    </row>
    <row r="463" spans="1:22" ht="16.350000000000001" hidden="1" customHeight="1">
      <c r="A463" s="29" t="str">
        <f t="shared" si="9"/>
        <v>modesg_inp_nfrd_alinhamento_taxcca_trnvr_ttl_elgbl</v>
      </c>
      <c r="B463" s="141" t="s">
        <v>26</v>
      </c>
      <c r="C463" s="137" t="s">
        <v>181</v>
      </c>
      <c r="D463" s="133" t="s">
        <v>40</v>
      </c>
      <c r="E463" s="134" t="s">
        <v>215</v>
      </c>
      <c r="F463" s="476" t="s">
        <v>245</v>
      </c>
      <c r="G463" s="135" t="str">
        <f>VLOOKUP(A463,Plano_V3!$A$26:$G$769,7,0)</f>
        <v>1. Concluído</v>
      </c>
      <c r="H463" s="135" t="s">
        <v>612</v>
      </c>
      <c r="I463" s="473"/>
      <c r="J463" s="142"/>
      <c r="K463" s="142"/>
      <c r="L463" s="142"/>
      <c r="M463" s="152" t="str">
        <f>IF(VLOOKUP(A463,'Aux - pivots1'!$A:$E,3,0)=0, "",VLOOKUP(A463,'Aux - pivots1'!$A:$E,3,0))</f>
        <v/>
      </c>
      <c r="N463" s="152" t="str">
        <f>IF(VLOOKUP(A463,'Aux - pivots1'!$A:$E,4,0)=0, "",VLOOKUP(A463,'Aux - pivots1'!$A:$E,4,0))</f>
        <v/>
      </c>
      <c r="O463" s="152" t="str">
        <f>IF(VLOOKUP(A463,'Aux - pivots1'!$A:$E,5,0)=0, "",VLOOKUP(A463,'Aux - pivots1'!$A:$E,5,0))</f>
        <v/>
      </c>
      <c r="P463" s="202"/>
      <c r="Q463" s="202"/>
      <c r="R463" s="202"/>
      <c r="S463" s="324"/>
      <c r="T463" s="324"/>
      <c r="U463" s="372" t="s">
        <v>2326</v>
      </c>
      <c r="V463" s="323"/>
    </row>
    <row r="464" spans="1:22" ht="16.350000000000001" hidden="1" customHeight="1">
      <c r="A464" s="29" t="str">
        <f t="shared" si="9"/>
        <v>modesg_inp_nfrd_alinhamento_taxcca_trnvr_enblng_alignd</v>
      </c>
      <c r="B464" s="141" t="s">
        <v>26</v>
      </c>
      <c r="C464" s="137" t="s">
        <v>181</v>
      </c>
      <c r="D464" s="133" t="s">
        <v>40</v>
      </c>
      <c r="E464" s="134" t="s">
        <v>215</v>
      </c>
      <c r="F464" s="476" t="s">
        <v>246</v>
      </c>
      <c r="G464" s="135" t="str">
        <f>VLOOKUP(A464,Plano_V3!$A$26:$G$769,7,0)</f>
        <v>1. Concluído</v>
      </c>
      <c r="H464" s="135" t="s">
        <v>612</v>
      </c>
      <c r="I464" s="473"/>
      <c r="J464" s="142"/>
      <c r="K464" s="142"/>
      <c r="L464" s="142"/>
      <c r="M464" s="152" t="str">
        <f>IF(VLOOKUP(A464,'Aux - pivots1'!$A:$E,3,0)=0, "",VLOOKUP(A464,'Aux - pivots1'!$A:$E,3,0))</f>
        <v/>
      </c>
      <c r="N464" s="152" t="str">
        <f>IF(VLOOKUP(A464,'Aux - pivots1'!$A:$E,4,0)=0, "",VLOOKUP(A464,'Aux - pivots1'!$A:$E,4,0))</f>
        <v/>
      </c>
      <c r="O464" s="152" t="str">
        <f>IF(VLOOKUP(A464,'Aux - pivots1'!$A:$E,5,0)=0, "",VLOOKUP(A464,'Aux - pivots1'!$A:$E,5,0))</f>
        <v/>
      </c>
      <c r="P464" s="202"/>
      <c r="Q464" s="202"/>
      <c r="R464" s="202"/>
      <c r="S464" s="324"/>
      <c r="T464" s="324"/>
      <c r="U464" s="372" t="s">
        <v>2326</v>
      </c>
      <c r="V464" s="323"/>
    </row>
    <row r="465" spans="1:22" ht="16.350000000000001" hidden="1" customHeight="1">
      <c r="A465" s="29" t="str">
        <f t="shared" si="9"/>
        <v>modesg_inp_nfrd_alinhamento_taxcca_turnover_own_prfrmnce_algnd</v>
      </c>
      <c r="B465" s="141" t="s">
        <v>26</v>
      </c>
      <c r="C465" s="137" t="s">
        <v>181</v>
      </c>
      <c r="D465" s="133" t="s">
        <v>40</v>
      </c>
      <c r="E465" s="134" t="s">
        <v>215</v>
      </c>
      <c r="F465" s="476" t="s">
        <v>247</v>
      </c>
      <c r="G465" s="135" t="str">
        <f>VLOOKUP(A465,Plano_V3!$A$26:$G$769,7,0)</f>
        <v>1. Concluído</v>
      </c>
      <c r="H465" s="135" t="s">
        <v>612</v>
      </c>
      <c r="I465" s="473"/>
      <c r="J465" s="142"/>
      <c r="K465" s="142"/>
      <c r="L465" s="142"/>
      <c r="M465" s="152" t="str">
        <f>IF(VLOOKUP(A465,'Aux - pivots1'!$A:$E,3,0)=0, "",VLOOKUP(A465,'Aux - pivots1'!$A:$E,3,0))</f>
        <v/>
      </c>
      <c r="N465" s="152" t="str">
        <f>IF(VLOOKUP(A465,'Aux - pivots1'!$A:$E,4,0)=0, "",VLOOKUP(A465,'Aux - pivots1'!$A:$E,4,0))</f>
        <v/>
      </c>
      <c r="O465" s="152" t="str">
        <f>IF(VLOOKUP(A465,'Aux - pivots1'!$A:$E,5,0)=0, "",VLOOKUP(A465,'Aux - pivots1'!$A:$E,5,0))</f>
        <v/>
      </c>
      <c r="P465" s="202"/>
      <c r="Q465" s="202"/>
      <c r="R465" s="202"/>
      <c r="S465" s="324"/>
      <c r="T465" s="324"/>
      <c r="U465" s="372" t="s">
        <v>2326</v>
      </c>
      <c r="V465" s="323"/>
    </row>
    <row r="466" spans="1:22" ht="16.350000000000001" hidden="1" customHeight="1">
      <c r="A466" s="29" t="str">
        <f t="shared" si="9"/>
        <v>modesg_inp_nfrd_alinhamento_taxcca_capex_ttl_elgbl</v>
      </c>
      <c r="B466" s="141" t="s">
        <v>26</v>
      </c>
      <c r="C466" s="137" t="s">
        <v>181</v>
      </c>
      <c r="D466" s="133" t="s">
        <v>40</v>
      </c>
      <c r="E466" s="134" t="s">
        <v>215</v>
      </c>
      <c r="F466" s="476" t="s">
        <v>248</v>
      </c>
      <c r="G466" s="135" t="str">
        <f>VLOOKUP(A466,Plano_V3!$A$26:$G$769,7,0)</f>
        <v>1. Concluído</v>
      </c>
      <c r="H466" s="135" t="s">
        <v>612</v>
      </c>
      <c r="I466" s="473"/>
      <c r="J466" s="142"/>
      <c r="K466" s="142"/>
      <c r="L466" s="142"/>
      <c r="M466" s="152" t="str">
        <f>IF(VLOOKUP(A466,'Aux - pivots1'!$A:$E,3,0)=0, "",VLOOKUP(A466,'Aux - pivots1'!$A:$E,3,0))</f>
        <v/>
      </c>
      <c r="N466" s="152" t="str">
        <f>IF(VLOOKUP(A466,'Aux - pivots1'!$A:$E,4,0)=0, "",VLOOKUP(A466,'Aux - pivots1'!$A:$E,4,0))</f>
        <v/>
      </c>
      <c r="O466" s="152" t="str">
        <f>IF(VLOOKUP(A466,'Aux - pivots1'!$A:$E,5,0)=0, "",VLOOKUP(A466,'Aux - pivots1'!$A:$E,5,0))</f>
        <v/>
      </c>
      <c r="P466" s="202"/>
      <c r="Q466" s="202"/>
      <c r="R466" s="202"/>
      <c r="S466" s="324"/>
      <c r="T466" s="324"/>
      <c r="U466" s="372" t="s">
        <v>2326</v>
      </c>
      <c r="V466" s="323"/>
    </row>
    <row r="467" spans="1:22" ht="16.350000000000001" hidden="1" customHeight="1">
      <c r="A467" s="29" t="str">
        <f t="shared" si="9"/>
        <v>modesg_inp_nfrd_alinhamento_taxcca_capex_enblng_algnd</v>
      </c>
      <c r="B467" s="141" t="s">
        <v>26</v>
      </c>
      <c r="C467" s="137" t="s">
        <v>181</v>
      </c>
      <c r="D467" s="133" t="s">
        <v>40</v>
      </c>
      <c r="E467" s="134" t="s">
        <v>215</v>
      </c>
      <c r="F467" s="476" t="s">
        <v>249</v>
      </c>
      <c r="G467" s="135" t="str">
        <f>VLOOKUP(A467,Plano_V3!$A$26:$G$769,7,0)</f>
        <v>1. Concluído</v>
      </c>
      <c r="H467" s="135" t="s">
        <v>612</v>
      </c>
      <c r="I467" s="473"/>
      <c r="J467" s="142"/>
      <c r="K467" s="142"/>
      <c r="L467" s="142"/>
      <c r="M467" s="152" t="str">
        <f>IF(VLOOKUP(A467,'Aux - pivots1'!$A:$E,3,0)=0, "",VLOOKUP(A467,'Aux - pivots1'!$A:$E,3,0))</f>
        <v/>
      </c>
      <c r="N467" s="152" t="str">
        <f>IF(VLOOKUP(A467,'Aux - pivots1'!$A:$E,4,0)=0, "",VLOOKUP(A467,'Aux - pivots1'!$A:$E,4,0))</f>
        <v/>
      </c>
      <c r="O467" s="152" t="str">
        <f>IF(VLOOKUP(A467,'Aux - pivots1'!$A:$E,5,0)=0, "",VLOOKUP(A467,'Aux - pivots1'!$A:$E,5,0))</f>
        <v/>
      </c>
      <c r="P467" s="202"/>
      <c r="Q467" s="202"/>
      <c r="R467" s="202"/>
      <c r="S467" s="324"/>
      <c r="T467" s="324"/>
      <c r="U467" s="372" t="s">
        <v>2326</v>
      </c>
      <c r="V467" s="323"/>
    </row>
    <row r="468" spans="1:22" ht="16.350000000000001" hidden="1" customHeight="1">
      <c r="A468" s="29" t="str">
        <f t="shared" si="9"/>
        <v>modesg_inp_nfrd_alinhamento_taxcca_capex_own_prfrmnce_algnd</v>
      </c>
      <c r="B468" s="141" t="s">
        <v>26</v>
      </c>
      <c r="C468" s="137" t="s">
        <v>181</v>
      </c>
      <c r="D468" s="133" t="s">
        <v>40</v>
      </c>
      <c r="E468" s="134" t="s">
        <v>215</v>
      </c>
      <c r="F468" s="476" t="s">
        <v>250</v>
      </c>
      <c r="G468" s="135" t="str">
        <f>VLOOKUP(A468,Plano_V3!$A$26:$G$769,7,0)</f>
        <v>1. Concluído</v>
      </c>
      <c r="H468" s="135" t="s">
        <v>612</v>
      </c>
      <c r="I468" s="473"/>
      <c r="J468" s="142"/>
      <c r="K468" s="142"/>
      <c r="L468" s="142"/>
      <c r="M468" s="152" t="str">
        <f>IF(VLOOKUP(A468,'Aux - pivots1'!$A:$E,3,0)=0, "",VLOOKUP(A468,'Aux - pivots1'!$A:$E,3,0))</f>
        <v/>
      </c>
      <c r="N468" s="152" t="str">
        <f>IF(VLOOKUP(A468,'Aux - pivots1'!$A:$E,4,0)=0, "",VLOOKUP(A468,'Aux - pivots1'!$A:$E,4,0))</f>
        <v/>
      </c>
      <c r="O468" s="152" t="str">
        <f>IF(VLOOKUP(A468,'Aux - pivots1'!$A:$E,5,0)=0, "",VLOOKUP(A468,'Aux - pivots1'!$A:$E,5,0))</f>
        <v/>
      </c>
      <c r="P468" s="202"/>
      <c r="Q468" s="202"/>
      <c r="R468" s="202"/>
      <c r="S468" s="324"/>
      <c r="T468" s="324"/>
      <c r="U468" s="372" t="s">
        <v>2326</v>
      </c>
      <c r="V468" s="323"/>
    </row>
    <row r="469" spans="1:22" ht="16.350000000000001" hidden="1" customHeight="1">
      <c r="A469" s="29" t="str">
        <f t="shared" si="9"/>
        <v>modesg_inp_nfrd_alinhamento_taxccm_trnvr_ttl_elgbl</v>
      </c>
      <c r="B469" s="141" t="s">
        <v>26</v>
      </c>
      <c r="C469" s="137" t="s">
        <v>181</v>
      </c>
      <c r="D469" s="133" t="s">
        <v>40</v>
      </c>
      <c r="E469" s="134" t="s">
        <v>215</v>
      </c>
      <c r="F469" s="476" t="s">
        <v>251</v>
      </c>
      <c r="G469" s="135" t="str">
        <f>VLOOKUP(A469,Plano_V3!$A$26:$G$769,7,0)</f>
        <v>1. Concluído</v>
      </c>
      <c r="H469" s="135" t="s">
        <v>612</v>
      </c>
      <c r="I469" s="473"/>
      <c r="J469" s="142"/>
      <c r="K469" s="142"/>
      <c r="L469" s="142"/>
      <c r="M469" s="152" t="str">
        <f>IF(VLOOKUP(A469,'Aux - pivots1'!$A:$E,3,0)=0, "",VLOOKUP(A469,'Aux - pivots1'!$A:$E,3,0))</f>
        <v/>
      </c>
      <c r="N469" s="152" t="str">
        <f>IF(VLOOKUP(A469,'Aux - pivots1'!$A:$E,4,0)=0, "",VLOOKUP(A469,'Aux - pivots1'!$A:$E,4,0))</f>
        <v/>
      </c>
      <c r="O469" s="152" t="str">
        <f>IF(VLOOKUP(A469,'Aux - pivots1'!$A:$E,5,0)=0, "",VLOOKUP(A469,'Aux - pivots1'!$A:$E,5,0))</f>
        <v/>
      </c>
      <c r="P469" s="202"/>
      <c r="Q469" s="202"/>
      <c r="R469" s="202"/>
      <c r="S469" s="324"/>
      <c r="T469" s="324"/>
      <c r="U469" s="372" t="s">
        <v>2326</v>
      </c>
      <c r="V469" s="323"/>
    </row>
    <row r="470" spans="1:22" ht="16.350000000000001" hidden="1" customHeight="1">
      <c r="A470" s="29" t="str">
        <f t="shared" si="9"/>
        <v>modesg_inp_nfrd_alinhamento_taxccm_trnvr_enblng_algnd</v>
      </c>
      <c r="B470" s="141" t="s">
        <v>26</v>
      </c>
      <c r="C470" s="137" t="s">
        <v>181</v>
      </c>
      <c r="D470" s="133" t="s">
        <v>40</v>
      </c>
      <c r="E470" s="134" t="s">
        <v>215</v>
      </c>
      <c r="F470" s="476" t="s">
        <v>252</v>
      </c>
      <c r="G470" s="135" t="str">
        <f>VLOOKUP(A470,Plano_V3!$A$26:$G$769,7,0)</f>
        <v>1. Concluído</v>
      </c>
      <c r="H470" s="135" t="s">
        <v>612</v>
      </c>
      <c r="I470" s="473"/>
      <c r="J470" s="142"/>
      <c r="K470" s="142"/>
      <c r="L470" s="142"/>
      <c r="M470" s="152" t="str">
        <f>IF(VLOOKUP(A470,'Aux - pivots1'!$A:$E,3,0)=0, "",VLOOKUP(A470,'Aux - pivots1'!$A:$E,3,0))</f>
        <v/>
      </c>
      <c r="N470" s="152" t="str">
        <f>IF(VLOOKUP(A470,'Aux - pivots1'!$A:$E,4,0)=0, "",VLOOKUP(A470,'Aux - pivots1'!$A:$E,4,0))</f>
        <v/>
      </c>
      <c r="O470" s="152" t="str">
        <f>IF(VLOOKUP(A470,'Aux - pivots1'!$A:$E,5,0)=0, "",VLOOKUP(A470,'Aux - pivots1'!$A:$E,5,0))</f>
        <v/>
      </c>
      <c r="P470" s="202"/>
      <c r="Q470" s="202"/>
      <c r="R470" s="202"/>
      <c r="S470" s="324"/>
      <c r="T470" s="324"/>
      <c r="U470" s="372" t="s">
        <v>2326</v>
      </c>
      <c r="V470" s="323"/>
    </row>
    <row r="471" spans="1:22" ht="16.350000000000001" hidden="1" customHeight="1">
      <c r="A471" s="29" t="str">
        <f t="shared" si="9"/>
        <v>modesg_inp_nfrd_alinhamento_taxccm_trnvr_trnstn_alignd</v>
      </c>
      <c r="B471" s="141" t="s">
        <v>26</v>
      </c>
      <c r="C471" s="137" t="s">
        <v>181</v>
      </c>
      <c r="D471" s="133" t="s">
        <v>40</v>
      </c>
      <c r="E471" s="134" t="s">
        <v>215</v>
      </c>
      <c r="F471" s="476" t="s">
        <v>253</v>
      </c>
      <c r="G471" s="135" t="str">
        <f>VLOOKUP(A471,Plano_V3!$A$26:$G$769,7,0)</f>
        <v>1. Concluído</v>
      </c>
      <c r="H471" s="135" t="s">
        <v>612</v>
      </c>
      <c r="I471" s="473"/>
      <c r="J471" s="142"/>
      <c r="K471" s="142"/>
      <c r="L471" s="135"/>
      <c r="M471" s="152" t="str">
        <f>IF(VLOOKUP(A471,'Aux - pivots1'!$A:$E,3,0)=0, "",VLOOKUP(A471,'Aux - pivots1'!$A:$E,3,0))</f>
        <v/>
      </c>
      <c r="N471" s="152" t="str">
        <f>IF(VLOOKUP(A471,'Aux - pivots1'!$A:$E,4,0)=0, "",VLOOKUP(A471,'Aux - pivots1'!$A:$E,4,0))</f>
        <v/>
      </c>
      <c r="O471" s="152" t="str">
        <f>IF(VLOOKUP(A471,'Aux - pivots1'!$A:$E,5,0)=0, "",VLOOKUP(A471,'Aux - pivots1'!$A:$E,5,0))</f>
        <v/>
      </c>
      <c r="P471" s="202"/>
      <c r="Q471" s="202"/>
      <c r="R471" s="202"/>
      <c r="S471" s="324"/>
      <c r="T471" s="324"/>
      <c r="U471" s="372" t="s">
        <v>2326</v>
      </c>
      <c r="V471" s="323"/>
    </row>
    <row r="472" spans="1:22" ht="16.350000000000001" hidden="1" customHeight="1">
      <c r="A472" s="29" t="str">
        <f t="shared" si="9"/>
        <v>modesg_inp_nfrd_alinhamento_taxccm_trnvr_own_prfrmnce_algnd</v>
      </c>
      <c r="B472" s="141" t="s">
        <v>26</v>
      </c>
      <c r="C472" s="137" t="s">
        <v>181</v>
      </c>
      <c r="D472" s="133" t="s">
        <v>40</v>
      </c>
      <c r="E472" s="134" t="s">
        <v>215</v>
      </c>
      <c r="F472" s="476" t="s">
        <v>254</v>
      </c>
      <c r="G472" s="135" t="str">
        <f>VLOOKUP(A472,Plano_V3!$A$26:$G$769,7,0)</f>
        <v>1. Concluído</v>
      </c>
      <c r="H472" s="135" t="s">
        <v>612</v>
      </c>
      <c r="I472" s="473"/>
      <c r="J472" s="142"/>
      <c r="K472" s="142"/>
      <c r="L472" s="142"/>
      <c r="M472" s="152" t="str">
        <f>IF(VLOOKUP(A472,'Aux - pivots1'!$A:$E,3,0)=0, "",VLOOKUP(A472,'Aux - pivots1'!$A:$E,3,0))</f>
        <v/>
      </c>
      <c r="N472" s="152" t="str">
        <f>IF(VLOOKUP(A472,'Aux - pivots1'!$A:$E,4,0)=0, "",VLOOKUP(A472,'Aux - pivots1'!$A:$E,4,0))</f>
        <v/>
      </c>
      <c r="O472" s="152" t="str">
        <f>IF(VLOOKUP(A472,'Aux - pivots1'!$A:$E,5,0)=0, "",VLOOKUP(A472,'Aux - pivots1'!$A:$E,5,0))</f>
        <v/>
      </c>
      <c r="P472" s="202"/>
      <c r="Q472" s="202"/>
      <c r="R472" s="202"/>
      <c r="S472" s="324"/>
      <c r="T472" s="324"/>
      <c r="U472" s="372" t="s">
        <v>2326</v>
      </c>
      <c r="V472" s="323"/>
    </row>
    <row r="473" spans="1:22" ht="16.350000000000001" hidden="1" customHeight="1">
      <c r="A473" s="29" t="str">
        <f t="shared" si="9"/>
        <v>modesg_inp_nfrd_alinhamento_taxccm_capex_ttl_elgbl</v>
      </c>
      <c r="B473" s="141" t="s">
        <v>26</v>
      </c>
      <c r="C473" s="137" t="s">
        <v>181</v>
      </c>
      <c r="D473" s="133" t="s">
        <v>40</v>
      </c>
      <c r="E473" s="134" t="s">
        <v>215</v>
      </c>
      <c r="F473" s="476" t="s">
        <v>255</v>
      </c>
      <c r="G473" s="135" t="str">
        <f>VLOOKUP(A473,Plano_V3!$A$26:$G$769,7,0)</f>
        <v>1. Concluído</v>
      </c>
      <c r="H473" s="135" t="s">
        <v>612</v>
      </c>
      <c r="I473" s="473"/>
      <c r="J473" s="142"/>
      <c r="K473" s="142"/>
      <c r="L473" s="142"/>
      <c r="M473" s="152" t="str">
        <f>IF(VLOOKUP(A473,'Aux - pivots1'!$A:$E,3,0)=0, "",VLOOKUP(A473,'Aux - pivots1'!$A:$E,3,0))</f>
        <v/>
      </c>
      <c r="N473" s="152" t="str">
        <f>IF(VLOOKUP(A473,'Aux - pivots1'!$A:$E,4,0)=0, "",VLOOKUP(A473,'Aux - pivots1'!$A:$E,4,0))</f>
        <v/>
      </c>
      <c r="O473" s="152" t="str">
        <f>IF(VLOOKUP(A473,'Aux - pivots1'!$A:$E,5,0)=0, "",VLOOKUP(A473,'Aux - pivots1'!$A:$E,5,0))</f>
        <v/>
      </c>
      <c r="P473" s="202"/>
      <c r="Q473" s="202"/>
      <c r="R473" s="202"/>
      <c r="S473" s="324"/>
      <c r="T473" s="324"/>
      <c r="U473" s="372" t="s">
        <v>2326</v>
      </c>
      <c r="V473" s="323"/>
    </row>
    <row r="474" spans="1:22" ht="16.350000000000001" hidden="1" customHeight="1">
      <c r="A474" s="29" t="str">
        <f t="shared" si="9"/>
        <v>modesg_inp_nfrd_alinhamento_taxccm_capex_enblng_algnd</v>
      </c>
      <c r="B474" s="141" t="s">
        <v>26</v>
      </c>
      <c r="C474" s="137" t="s">
        <v>181</v>
      </c>
      <c r="D474" s="133" t="s">
        <v>40</v>
      </c>
      <c r="E474" s="134" t="s">
        <v>215</v>
      </c>
      <c r="F474" s="476" t="s">
        <v>256</v>
      </c>
      <c r="G474" s="135" t="str">
        <f>VLOOKUP(A474,Plano_V3!$A$26:$G$769,7,0)</f>
        <v>1. Concluído</v>
      </c>
      <c r="H474" s="135" t="s">
        <v>612</v>
      </c>
      <c r="I474" s="473"/>
      <c r="J474" s="142"/>
      <c r="K474" s="142"/>
      <c r="L474" s="142"/>
      <c r="M474" s="152" t="str">
        <f>IF(VLOOKUP(A474,'Aux - pivots1'!$A:$E,3,0)=0, "",VLOOKUP(A474,'Aux - pivots1'!$A:$E,3,0))</f>
        <v/>
      </c>
      <c r="N474" s="152" t="str">
        <f>IF(VLOOKUP(A474,'Aux - pivots1'!$A:$E,4,0)=0, "",VLOOKUP(A474,'Aux - pivots1'!$A:$E,4,0))</f>
        <v/>
      </c>
      <c r="O474" s="152" t="str">
        <f>IF(VLOOKUP(A474,'Aux - pivots1'!$A:$E,5,0)=0, "",VLOOKUP(A474,'Aux - pivots1'!$A:$E,5,0))</f>
        <v/>
      </c>
      <c r="P474" s="202"/>
      <c r="Q474" s="202"/>
      <c r="R474" s="202"/>
      <c r="S474" s="324"/>
      <c r="T474" s="324"/>
      <c r="U474" s="372" t="s">
        <v>2326</v>
      </c>
      <c r="V474" s="323"/>
    </row>
    <row r="475" spans="1:22" ht="16.350000000000001" hidden="1" customHeight="1">
      <c r="A475" s="29" t="str">
        <f t="shared" si="9"/>
        <v>modesg_inp_nfrd_alinhamento_taxccm_capex_trnstn_algnd</v>
      </c>
      <c r="B475" s="141" t="s">
        <v>26</v>
      </c>
      <c r="C475" s="137" t="s">
        <v>181</v>
      </c>
      <c r="D475" s="133" t="s">
        <v>40</v>
      </c>
      <c r="E475" s="134" t="s">
        <v>215</v>
      </c>
      <c r="F475" s="476" t="s">
        <v>257</v>
      </c>
      <c r="G475" s="135" t="str">
        <f>VLOOKUP(A475,Plano_V3!$A$26:$G$769,7,0)</f>
        <v>1. Concluído</v>
      </c>
      <c r="H475" s="135" t="s">
        <v>612</v>
      </c>
      <c r="I475" s="473"/>
      <c r="J475" s="142"/>
      <c r="K475" s="142"/>
      <c r="L475" s="142"/>
      <c r="M475" s="152" t="str">
        <f>IF(VLOOKUP(A475,'Aux - pivots1'!$A:$E,3,0)=0, "",VLOOKUP(A475,'Aux - pivots1'!$A:$E,3,0))</f>
        <v/>
      </c>
      <c r="N475" s="152" t="str">
        <f>IF(VLOOKUP(A475,'Aux - pivots1'!$A:$E,4,0)=0, "",VLOOKUP(A475,'Aux - pivots1'!$A:$E,4,0))</f>
        <v/>
      </c>
      <c r="O475" s="152" t="str">
        <f>IF(VLOOKUP(A475,'Aux - pivots1'!$A:$E,5,0)=0, "",VLOOKUP(A475,'Aux - pivots1'!$A:$E,5,0))</f>
        <v/>
      </c>
      <c r="P475" s="202"/>
      <c r="Q475" s="202"/>
      <c r="R475" s="202"/>
      <c r="S475" s="324"/>
      <c r="T475" s="324"/>
      <c r="U475" s="372" t="s">
        <v>2326</v>
      </c>
      <c r="V475" s="323"/>
    </row>
    <row r="476" spans="1:22" ht="16.350000000000001" hidden="1" customHeight="1">
      <c r="A476" s="29" t="str">
        <f t="shared" si="9"/>
        <v>modesg_inp_nfrd_alinhamento_taxccm_capex_own_prfrmnce_algnd</v>
      </c>
      <c r="B476" s="141" t="s">
        <v>26</v>
      </c>
      <c r="C476" s="137" t="s">
        <v>181</v>
      </c>
      <c r="D476" s="133" t="s">
        <v>40</v>
      </c>
      <c r="E476" s="134" t="s">
        <v>215</v>
      </c>
      <c r="F476" s="476" t="s">
        <v>258</v>
      </c>
      <c r="G476" s="135" t="str">
        <f>VLOOKUP(A476,Plano_V3!$A$26:$G$769,7,0)</f>
        <v>1. Concluído</v>
      </c>
      <c r="H476" s="135" t="s">
        <v>612</v>
      </c>
      <c r="I476" s="473"/>
      <c r="J476" s="142"/>
      <c r="K476" s="142"/>
      <c r="L476" s="142"/>
      <c r="M476" s="152" t="str">
        <f>IF(VLOOKUP(A476,'Aux - pivots1'!$A:$E,3,0)=0, "",VLOOKUP(A476,'Aux - pivots1'!$A:$E,3,0))</f>
        <v/>
      </c>
      <c r="N476" s="152" t="str">
        <f>IF(VLOOKUP(A476,'Aux - pivots1'!$A:$E,4,0)=0, "",VLOOKUP(A476,'Aux - pivots1'!$A:$E,4,0))</f>
        <v/>
      </c>
      <c r="O476" s="152" t="str">
        <f>IF(VLOOKUP(A476,'Aux - pivots1'!$A:$E,5,0)=0, "",VLOOKUP(A476,'Aux - pivots1'!$A:$E,5,0))</f>
        <v/>
      </c>
      <c r="P476" s="202"/>
      <c r="Q476" s="202"/>
      <c r="R476" s="202"/>
      <c r="S476" s="324"/>
      <c r="T476" s="324"/>
      <c r="U476" s="372" t="s">
        <v>2326</v>
      </c>
      <c r="V476" s="323"/>
    </row>
    <row r="477" spans="1:22" ht="16.350000000000001" hidden="1" customHeight="1">
      <c r="A477" s="29" t="str">
        <f t="shared" si="9"/>
        <v>modesg_inp_nfrd_alinhamento_taxppc_trnvr_ttl_elgbl</v>
      </c>
      <c r="B477" s="141" t="s">
        <v>26</v>
      </c>
      <c r="C477" s="137" t="s">
        <v>181</v>
      </c>
      <c r="D477" s="133" t="s">
        <v>40</v>
      </c>
      <c r="E477" s="134" t="s">
        <v>215</v>
      </c>
      <c r="F477" s="476" t="s">
        <v>259</v>
      </c>
      <c r="G477" s="135" t="str">
        <f>VLOOKUP(A477,Plano_V3!$A$26:$G$769,7,0)</f>
        <v>1. Concluído</v>
      </c>
      <c r="H477" s="135" t="s">
        <v>612</v>
      </c>
      <c r="I477" s="473"/>
      <c r="J477" s="143"/>
      <c r="K477" s="143"/>
      <c r="L477" s="143"/>
      <c r="M477" s="152" t="str">
        <f>IF(VLOOKUP(A477,'Aux - pivots1'!$A:$E,3,0)=0, "",VLOOKUP(A477,'Aux - pivots1'!$A:$E,3,0))</f>
        <v/>
      </c>
      <c r="N477" s="152" t="str">
        <f>IF(VLOOKUP(A477,'Aux - pivots1'!$A:$E,4,0)=0, "",VLOOKUP(A477,'Aux - pivots1'!$A:$E,4,0))</f>
        <v/>
      </c>
      <c r="O477" s="152" t="str">
        <f>IF(VLOOKUP(A477,'Aux - pivots1'!$A:$E,5,0)=0, "",VLOOKUP(A477,'Aux - pivots1'!$A:$E,5,0))</f>
        <v/>
      </c>
      <c r="P477" s="202"/>
      <c r="Q477" s="202"/>
      <c r="R477" s="202"/>
      <c r="S477" s="324"/>
      <c r="T477" s="324"/>
      <c r="U477" s="372" t="s">
        <v>2326</v>
      </c>
      <c r="V477" s="323"/>
    </row>
    <row r="478" spans="1:22" ht="16.350000000000001" hidden="1" customHeight="1">
      <c r="A478" s="29" t="str">
        <f t="shared" si="9"/>
        <v>modesg_inp_nfrd_alinhamento_taxppc_turnover_own_prfrmnce_algnd</v>
      </c>
      <c r="B478" s="141" t="s">
        <v>26</v>
      </c>
      <c r="C478" s="137" t="s">
        <v>181</v>
      </c>
      <c r="D478" s="133" t="s">
        <v>40</v>
      </c>
      <c r="E478" s="134" t="s">
        <v>215</v>
      </c>
      <c r="F478" s="476" t="s">
        <v>260</v>
      </c>
      <c r="G478" s="135" t="str">
        <f>VLOOKUP(A478,Plano_V3!$A$26:$G$769,7,0)</f>
        <v>1. Concluído</v>
      </c>
      <c r="H478" s="135" t="s">
        <v>612</v>
      </c>
      <c r="I478" s="473"/>
      <c r="J478" s="143"/>
      <c r="K478" s="143"/>
      <c r="L478" s="143"/>
      <c r="M478" s="152" t="str">
        <f>IF(VLOOKUP(A478,'Aux - pivots1'!$A:$E,3,0)=0, "",VLOOKUP(A478,'Aux - pivots1'!$A:$E,3,0))</f>
        <v/>
      </c>
      <c r="N478" s="152" t="str">
        <f>IF(VLOOKUP(A478,'Aux - pivots1'!$A:$E,4,0)=0, "",VLOOKUP(A478,'Aux - pivots1'!$A:$E,4,0))</f>
        <v/>
      </c>
      <c r="O478" s="152" t="str">
        <f>IF(VLOOKUP(A478,'Aux - pivots1'!$A:$E,5,0)=0, "",VLOOKUP(A478,'Aux - pivots1'!$A:$E,5,0))</f>
        <v/>
      </c>
      <c r="P478" s="202"/>
      <c r="Q478" s="202"/>
      <c r="R478" s="202"/>
      <c r="S478" s="324"/>
      <c r="T478" s="324"/>
      <c r="U478" s="372" t="s">
        <v>2326</v>
      </c>
      <c r="V478" s="323"/>
    </row>
    <row r="479" spans="1:22" ht="16.350000000000001" hidden="1" customHeight="1">
      <c r="A479" s="29" t="str">
        <f t="shared" si="9"/>
        <v>modesg_inp_nfrd_alinhamento_taxppc_capex_ttl_elgbl</v>
      </c>
      <c r="B479" s="141" t="s">
        <v>26</v>
      </c>
      <c r="C479" s="137" t="s">
        <v>181</v>
      </c>
      <c r="D479" s="133" t="s">
        <v>40</v>
      </c>
      <c r="E479" s="134" t="s">
        <v>215</v>
      </c>
      <c r="F479" s="476" t="s">
        <v>261</v>
      </c>
      <c r="G479" s="135" t="str">
        <f>VLOOKUP(A479,Plano_V3!$A$26:$G$769,7,0)</f>
        <v>1. Concluído</v>
      </c>
      <c r="H479" s="135" t="s">
        <v>612</v>
      </c>
      <c r="I479" s="473"/>
      <c r="J479" s="143"/>
      <c r="K479" s="143"/>
      <c r="L479" s="143"/>
      <c r="M479" s="152" t="str">
        <f>IF(VLOOKUP(A479,'Aux - pivots1'!$A:$E,3,0)=0, "",VLOOKUP(A479,'Aux - pivots1'!$A:$E,3,0))</f>
        <v/>
      </c>
      <c r="N479" s="152" t="str">
        <f>IF(VLOOKUP(A479,'Aux - pivots1'!$A:$E,4,0)=0, "",VLOOKUP(A479,'Aux - pivots1'!$A:$E,4,0))</f>
        <v/>
      </c>
      <c r="O479" s="152" t="str">
        <f>IF(VLOOKUP(A479,'Aux - pivots1'!$A:$E,5,0)=0, "",VLOOKUP(A479,'Aux - pivots1'!$A:$E,5,0))</f>
        <v/>
      </c>
      <c r="P479" s="202"/>
      <c r="Q479" s="202"/>
      <c r="R479" s="202"/>
      <c r="S479" s="324"/>
      <c r="T479" s="324"/>
      <c r="U479" s="372" t="s">
        <v>2326</v>
      </c>
      <c r="V479" s="323"/>
    </row>
    <row r="480" spans="1:22" ht="16.350000000000001" hidden="1" customHeight="1">
      <c r="A480" s="29" t="str">
        <f t="shared" si="9"/>
        <v>modesg_inp_nfrd_alinhamento_taxppc_capex_own_prfrmnce_algnd</v>
      </c>
      <c r="B480" s="141" t="s">
        <v>26</v>
      </c>
      <c r="C480" s="137" t="s">
        <v>181</v>
      </c>
      <c r="D480" s="133" t="s">
        <v>40</v>
      </c>
      <c r="E480" s="134" t="s">
        <v>215</v>
      </c>
      <c r="F480" s="476" t="s">
        <v>262</v>
      </c>
      <c r="G480" s="135" t="str">
        <f>VLOOKUP(A480,Plano_V3!$A$26:$G$769,7,0)</f>
        <v>1. Concluído</v>
      </c>
      <c r="H480" s="135" t="s">
        <v>612</v>
      </c>
      <c r="I480" s="473"/>
      <c r="J480" s="143"/>
      <c r="K480" s="143"/>
      <c r="L480" s="143"/>
      <c r="M480" s="152" t="str">
        <f>IF(VLOOKUP(A480,'Aux - pivots1'!$A:$E,3,0)=0, "",VLOOKUP(A480,'Aux - pivots1'!$A:$E,3,0))</f>
        <v/>
      </c>
      <c r="N480" s="152" t="str">
        <f>IF(VLOOKUP(A480,'Aux - pivots1'!$A:$E,4,0)=0, "",VLOOKUP(A480,'Aux - pivots1'!$A:$E,4,0))</f>
        <v/>
      </c>
      <c r="O480" s="152" t="str">
        <f>IF(VLOOKUP(A480,'Aux - pivots1'!$A:$E,5,0)=0, "",VLOOKUP(A480,'Aux - pivots1'!$A:$E,5,0))</f>
        <v/>
      </c>
      <c r="P480" s="202"/>
      <c r="Q480" s="202"/>
      <c r="R480" s="202"/>
      <c r="S480" s="324"/>
      <c r="T480" s="324"/>
      <c r="U480" s="372" t="s">
        <v>2326</v>
      </c>
      <c r="V480" s="323"/>
    </row>
    <row r="481" spans="1:22" ht="16.350000000000001" hidden="1" customHeight="1">
      <c r="A481" s="29" t="str">
        <f t="shared" si="9"/>
        <v>modesg_inp_nfrd_alinhamento_taxbio_trnvr_ttl_elgbl</v>
      </c>
      <c r="B481" s="141" t="s">
        <v>26</v>
      </c>
      <c r="C481" s="137" t="s">
        <v>181</v>
      </c>
      <c r="D481" s="133" t="s">
        <v>40</v>
      </c>
      <c r="E481" s="134" t="s">
        <v>215</v>
      </c>
      <c r="F481" s="476" t="s">
        <v>263</v>
      </c>
      <c r="G481" s="135" t="str">
        <f>VLOOKUP(A481,Plano_V3!$A$26:$G$769,7,0)</f>
        <v>1. Concluído</v>
      </c>
      <c r="H481" s="135" t="s">
        <v>612</v>
      </c>
      <c r="I481" s="473"/>
      <c r="J481" s="143"/>
      <c r="K481" s="143"/>
      <c r="L481" s="143"/>
      <c r="M481" s="152" t="str">
        <f>IF(VLOOKUP(A481,'Aux - pivots1'!$A:$E,3,0)=0, "",VLOOKUP(A481,'Aux - pivots1'!$A:$E,3,0))</f>
        <v/>
      </c>
      <c r="N481" s="152" t="str">
        <f>IF(VLOOKUP(A481,'Aux - pivots1'!$A:$E,4,0)=0, "",VLOOKUP(A481,'Aux - pivots1'!$A:$E,4,0))</f>
        <v/>
      </c>
      <c r="O481" s="152" t="str">
        <f>IF(VLOOKUP(A481,'Aux - pivots1'!$A:$E,5,0)=0, "",VLOOKUP(A481,'Aux - pivots1'!$A:$E,5,0))</f>
        <v/>
      </c>
      <c r="P481" s="202"/>
      <c r="Q481" s="202"/>
      <c r="R481" s="202"/>
      <c r="S481" s="324"/>
      <c r="T481" s="324"/>
      <c r="U481" s="372" t="s">
        <v>2326</v>
      </c>
      <c r="V481" s="323"/>
    </row>
    <row r="482" spans="1:22" ht="16.350000000000001" hidden="1" customHeight="1">
      <c r="A482" s="29" t="str">
        <f t="shared" si="9"/>
        <v>modesg_inp_nfrd_alinhamento_taxbio_turnover_own_prfrmnce_algnd</v>
      </c>
      <c r="B482" s="141" t="s">
        <v>26</v>
      </c>
      <c r="C482" s="137" t="s">
        <v>181</v>
      </c>
      <c r="D482" s="133" t="s">
        <v>40</v>
      </c>
      <c r="E482" s="134" t="s">
        <v>215</v>
      </c>
      <c r="F482" s="476" t="s">
        <v>264</v>
      </c>
      <c r="G482" s="135" t="str">
        <f>VLOOKUP(A482,Plano_V3!$A$26:$G$769,7,0)</f>
        <v>1. Concluído</v>
      </c>
      <c r="H482" s="135" t="s">
        <v>612</v>
      </c>
      <c r="I482" s="473"/>
      <c r="J482" s="143"/>
      <c r="K482" s="143"/>
      <c r="L482" s="143"/>
      <c r="M482" s="152" t="str">
        <f>IF(VLOOKUP(A482,'Aux - pivots1'!$A:$E,3,0)=0, "",VLOOKUP(A482,'Aux - pivots1'!$A:$E,3,0))</f>
        <v/>
      </c>
      <c r="N482" s="152" t="str">
        <f>IF(VLOOKUP(A482,'Aux - pivots1'!$A:$E,4,0)=0, "",VLOOKUP(A482,'Aux - pivots1'!$A:$E,4,0))</f>
        <v/>
      </c>
      <c r="O482" s="152" t="str">
        <f>IF(VLOOKUP(A482,'Aux - pivots1'!$A:$E,5,0)=0, "",VLOOKUP(A482,'Aux - pivots1'!$A:$E,5,0))</f>
        <v/>
      </c>
      <c r="P482" s="202"/>
      <c r="Q482" s="202"/>
      <c r="R482" s="202"/>
      <c r="S482" s="324"/>
      <c r="T482" s="324"/>
      <c r="U482" s="372" t="s">
        <v>2326</v>
      </c>
      <c r="V482" s="323"/>
    </row>
    <row r="483" spans="1:22" ht="16.350000000000001" hidden="1" customHeight="1">
      <c r="A483" s="29" t="str">
        <f t="shared" si="9"/>
        <v>modesg_inp_nfrd_alinhamento_taxbio_capex_ttl_elgbl</v>
      </c>
      <c r="B483" s="141" t="s">
        <v>26</v>
      </c>
      <c r="C483" s="137" t="s">
        <v>181</v>
      </c>
      <c r="D483" s="133" t="s">
        <v>40</v>
      </c>
      <c r="E483" s="134" t="s">
        <v>215</v>
      </c>
      <c r="F483" s="476" t="s">
        <v>265</v>
      </c>
      <c r="G483" s="135" t="str">
        <f>VLOOKUP(A483,Plano_V3!$A$26:$G$769,7,0)</f>
        <v>1. Concluído</v>
      </c>
      <c r="H483" s="135" t="s">
        <v>612</v>
      </c>
      <c r="I483" s="473"/>
      <c r="J483" s="143"/>
      <c r="K483" s="143"/>
      <c r="L483" s="143"/>
      <c r="M483" s="152" t="str">
        <f>IF(VLOOKUP(A483,'Aux - pivots1'!$A:$E,3,0)=0, "",VLOOKUP(A483,'Aux - pivots1'!$A:$E,3,0))</f>
        <v/>
      </c>
      <c r="N483" s="152" t="str">
        <f>IF(VLOOKUP(A483,'Aux - pivots1'!$A:$E,4,0)=0, "",VLOOKUP(A483,'Aux - pivots1'!$A:$E,4,0))</f>
        <v/>
      </c>
      <c r="O483" s="152" t="str">
        <f>IF(VLOOKUP(A483,'Aux - pivots1'!$A:$E,5,0)=0, "",VLOOKUP(A483,'Aux - pivots1'!$A:$E,5,0))</f>
        <v/>
      </c>
      <c r="P483" s="202"/>
      <c r="Q483" s="202"/>
      <c r="R483" s="202"/>
      <c r="S483" s="324"/>
      <c r="T483" s="324"/>
      <c r="U483" s="372" t="s">
        <v>2326</v>
      </c>
      <c r="V483" s="323"/>
    </row>
    <row r="484" spans="1:22" ht="16.350000000000001" hidden="1" customHeight="1">
      <c r="A484" s="29" t="str">
        <f t="shared" si="9"/>
        <v>modesg_inp_nfrd_alinhamento_taxbio_capex_own_prfrmnce_algnd</v>
      </c>
      <c r="B484" s="141" t="s">
        <v>26</v>
      </c>
      <c r="C484" s="137" t="s">
        <v>181</v>
      </c>
      <c r="D484" s="133" t="s">
        <v>40</v>
      </c>
      <c r="E484" s="134" t="s">
        <v>215</v>
      </c>
      <c r="F484" s="476" t="s">
        <v>266</v>
      </c>
      <c r="G484" s="135" t="str">
        <f>VLOOKUP(A484,Plano_V3!$A$26:$G$769,7,0)</f>
        <v>1. Concluído</v>
      </c>
      <c r="H484" s="135" t="s">
        <v>612</v>
      </c>
      <c r="I484" s="473"/>
      <c r="J484" s="143"/>
      <c r="K484" s="143"/>
      <c r="L484" s="143"/>
      <c r="M484" s="152" t="str">
        <f>IF(VLOOKUP(A484,'Aux - pivots1'!$A:$E,3,0)=0, "",VLOOKUP(A484,'Aux - pivots1'!$A:$E,3,0))</f>
        <v/>
      </c>
      <c r="N484" s="152" t="str">
        <f>IF(VLOOKUP(A484,'Aux - pivots1'!$A:$E,4,0)=0, "",VLOOKUP(A484,'Aux - pivots1'!$A:$E,4,0))</f>
        <v/>
      </c>
      <c r="O484" s="152" t="str">
        <f>IF(VLOOKUP(A484,'Aux - pivots1'!$A:$E,5,0)=0, "",VLOOKUP(A484,'Aux - pivots1'!$A:$E,5,0))</f>
        <v/>
      </c>
      <c r="P484" s="202"/>
      <c r="Q484" s="202"/>
      <c r="R484" s="202"/>
      <c r="S484" s="324"/>
      <c r="T484" s="324"/>
      <c r="U484" s="372" t="s">
        <v>2326</v>
      </c>
      <c r="V484" s="323"/>
    </row>
    <row r="485" spans="1:22" ht="16.350000000000001" hidden="1" customHeight="1">
      <c r="A485" s="29" t="str">
        <f t="shared" si="9"/>
        <v>modesg_inp_nfrd_alinhamento_taxwtr_trnvr_ttl_elgbl</v>
      </c>
      <c r="B485" s="141" t="s">
        <v>26</v>
      </c>
      <c r="C485" s="137" t="s">
        <v>181</v>
      </c>
      <c r="D485" s="133" t="s">
        <v>40</v>
      </c>
      <c r="E485" s="134" t="s">
        <v>215</v>
      </c>
      <c r="F485" s="476" t="s">
        <v>267</v>
      </c>
      <c r="G485" s="135" t="str">
        <f>VLOOKUP(A485,Plano_V3!$A$26:$G$769,7,0)</f>
        <v>1. Concluído</v>
      </c>
      <c r="H485" s="135" t="s">
        <v>612</v>
      </c>
      <c r="I485" s="473"/>
      <c r="J485" s="143"/>
      <c r="K485" s="143"/>
      <c r="L485" s="143"/>
      <c r="M485" s="152" t="str">
        <f>IF(VLOOKUP(A485,'Aux - pivots1'!$A:$E,3,0)=0, "",VLOOKUP(A485,'Aux - pivots1'!$A:$E,3,0))</f>
        <v/>
      </c>
      <c r="N485" s="152" t="str">
        <f>IF(VLOOKUP(A485,'Aux - pivots1'!$A:$E,4,0)=0, "",VLOOKUP(A485,'Aux - pivots1'!$A:$E,4,0))</f>
        <v/>
      </c>
      <c r="O485" s="152" t="str">
        <f>IF(VLOOKUP(A485,'Aux - pivots1'!$A:$E,5,0)=0, "",VLOOKUP(A485,'Aux - pivots1'!$A:$E,5,0))</f>
        <v/>
      </c>
      <c r="P485" s="202"/>
      <c r="Q485" s="202"/>
      <c r="R485" s="202"/>
      <c r="S485" s="324"/>
      <c r="T485" s="324"/>
      <c r="U485" s="372" t="s">
        <v>2326</v>
      </c>
      <c r="V485" s="323"/>
    </row>
    <row r="486" spans="1:22" ht="16.350000000000001" hidden="1" customHeight="1">
      <c r="A486" s="29" t="str">
        <f t="shared" si="9"/>
        <v>modesg_inp_nfrd_alinhamento_taxwtr_trnvr_enblng_alignd</v>
      </c>
      <c r="B486" s="141" t="s">
        <v>26</v>
      </c>
      <c r="C486" s="137" t="s">
        <v>181</v>
      </c>
      <c r="D486" s="133" t="s">
        <v>40</v>
      </c>
      <c r="E486" s="134" t="s">
        <v>215</v>
      </c>
      <c r="F486" s="476" t="s">
        <v>268</v>
      </c>
      <c r="G486" s="135" t="str">
        <f>VLOOKUP(A486,Plano_V3!$A$26:$G$769,7,0)</f>
        <v>1. Concluído</v>
      </c>
      <c r="H486" s="135" t="s">
        <v>612</v>
      </c>
      <c r="I486" s="473"/>
      <c r="J486" s="143"/>
      <c r="K486" s="143"/>
      <c r="L486" s="143"/>
      <c r="M486" s="152" t="str">
        <f>IF(VLOOKUP(A486,'Aux - pivots1'!$A:$E,3,0)=0, "",VLOOKUP(A486,'Aux - pivots1'!$A:$E,3,0))</f>
        <v/>
      </c>
      <c r="N486" s="152" t="str">
        <f>IF(VLOOKUP(A486,'Aux - pivots1'!$A:$E,4,0)=0, "",VLOOKUP(A486,'Aux - pivots1'!$A:$E,4,0))</f>
        <v/>
      </c>
      <c r="O486" s="152" t="str">
        <f>IF(VLOOKUP(A486,'Aux - pivots1'!$A:$E,5,0)=0, "",VLOOKUP(A486,'Aux - pivots1'!$A:$E,5,0))</f>
        <v/>
      </c>
      <c r="P486" s="202"/>
      <c r="Q486" s="202"/>
      <c r="R486" s="202"/>
      <c r="S486" s="324"/>
      <c r="T486" s="324"/>
      <c r="U486" s="372" t="s">
        <v>2326</v>
      </c>
      <c r="V486" s="323"/>
    </row>
    <row r="487" spans="1:22" ht="16.350000000000001" hidden="1" customHeight="1">
      <c r="A487" s="29" t="str">
        <f t="shared" si="9"/>
        <v>modesg_inp_nfrd_alinhamento_taxwtr_turnover_own_prfrmnce_algnd</v>
      </c>
      <c r="B487" s="141" t="s">
        <v>26</v>
      </c>
      <c r="C487" s="137" t="s">
        <v>181</v>
      </c>
      <c r="D487" s="133" t="s">
        <v>40</v>
      </c>
      <c r="E487" s="134" t="s">
        <v>215</v>
      </c>
      <c r="F487" s="476" t="s">
        <v>269</v>
      </c>
      <c r="G487" s="135" t="str">
        <f>VLOOKUP(A487,Plano_V3!$A$26:$G$769,7,0)</f>
        <v>1. Concluído</v>
      </c>
      <c r="H487" s="135" t="s">
        <v>612</v>
      </c>
      <c r="I487" s="473"/>
      <c r="J487" s="143"/>
      <c r="K487" s="143"/>
      <c r="L487" s="143"/>
      <c r="M487" s="152" t="str">
        <f>IF(VLOOKUP(A487,'Aux - pivots1'!$A:$E,3,0)=0, "",VLOOKUP(A487,'Aux - pivots1'!$A:$E,3,0))</f>
        <v/>
      </c>
      <c r="N487" s="152" t="str">
        <f>IF(VLOOKUP(A487,'Aux - pivots1'!$A:$E,4,0)=0, "",VLOOKUP(A487,'Aux - pivots1'!$A:$E,4,0))</f>
        <v/>
      </c>
      <c r="O487" s="152" t="str">
        <f>IF(VLOOKUP(A487,'Aux - pivots1'!$A:$E,5,0)=0, "",VLOOKUP(A487,'Aux - pivots1'!$A:$E,5,0))</f>
        <v/>
      </c>
      <c r="P487" s="202"/>
      <c r="Q487" s="202"/>
      <c r="R487" s="202"/>
      <c r="S487" s="324"/>
      <c r="T487" s="324"/>
      <c r="U487" s="372" t="s">
        <v>2326</v>
      </c>
      <c r="V487" s="323"/>
    </row>
    <row r="488" spans="1:22" ht="16.350000000000001" hidden="1" customHeight="1">
      <c r="A488" s="29" t="str">
        <f t="shared" si="9"/>
        <v>modesg_inp_nfrd_alinhamento_taxwtr_capex_ttl_elgbl</v>
      </c>
      <c r="B488" s="141" t="s">
        <v>26</v>
      </c>
      <c r="C488" s="137" t="s">
        <v>181</v>
      </c>
      <c r="D488" s="133" t="s">
        <v>40</v>
      </c>
      <c r="E488" s="134" t="s">
        <v>215</v>
      </c>
      <c r="F488" s="476" t="s">
        <v>270</v>
      </c>
      <c r="G488" s="135" t="str">
        <f>VLOOKUP(A488,Plano_V3!$A$26:$G$769,7,0)</f>
        <v>1. Concluído</v>
      </c>
      <c r="H488" s="135" t="s">
        <v>612</v>
      </c>
      <c r="I488" s="473"/>
      <c r="J488" s="143"/>
      <c r="K488" s="143"/>
      <c r="L488" s="143"/>
      <c r="M488" s="152" t="str">
        <f>IF(VLOOKUP(A488,'Aux - pivots1'!$A:$E,3,0)=0, "",VLOOKUP(A488,'Aux - pivots1'!$A:$E,3,0))</f>
        <v/>
      </c>
      <c r="N488" s="152" t="str">
        <f>IF(VLOOKUP(A488,'Aux - pivots1'!$A:$E,4,0)=0, "",VLOOKUP(A488,'Aux - pivots1'!$A:$E,4,0))</f>
        <v/>
      </c>
      <c r="O488" s="152" t="str">
        <f>IF(VLOOKUP(A488,'Aux - pivots1'!$A:$E,5,0)=0, "",VLOOKUP(A488,'Aux - pivots1'!$A:$E,5,0))</f>
        <v/>
      </c>
      <c r="P488" s="202"/>
      <c r="Q488" s="202"/>
      <c r="R488" s="202"/>
      <c r="S488" s="324"/>
      <c r="T488" s="324"/>
      <c r="U488" s="372" t="s">
        <v>2326</v>
      </c>
      <c r="V488" s="323"/>
    </row>
    <row r="489" spans="1:22" ht="16.350000000000001" hidden="1" customHeight="1">
      <c r="A489" s="29" t="str">
        <f t="shared" si="9"/>
        <v>modesg_inp_nfrd_alinhamento_taxwtr_capex_enblng_algnd</v>
      </c>
      <c r="B489" s="141" t="s">
        <v>26</v>
      </c>
      <c r="C489" s="137" t="s">
        <v>181</v>
      </c>
      <c r="D489" s="133" t="s">
        <v>40</v>
      </c>
      <c r="E489" s="134" t="s">
        <v>215</v>
      </c>
      <c r="F489" s="476" t="s">
        <v>271</v>
      </c>
      <c r="G489" s="135" t="str">
        <f>VLOOKUP(A489,Plano_V3!$A$26:$G$769,7,0)</f>
        <v>1. Concluído</v>
      </c>
      <c r="H489" s="135" t="s">
        <v>612</v>
      </c>
      <c r="I489" s="473"/>
      <c r="J489" s="143"/>
      <c r="K489" s="143"/>
      <c r="L489" s="143"/>
      <c r="M489" s="152" t="str">
        <f>IF(VLOOKUP(A489,'Aux - pivots1'!$A:$E,3,0)=0, "",VLOOKUP(A489,'Aux - pivots1'!$A:$E,3,0))</f>
        <v/>
      </c>
      <c r="N489" s="152" t="str">
        <f>IF(VLOOKUP(A489,'Aux - pivots1'!$A:$E,4,0)=0, "",VLOOKUP(A489,'Aux - pivots1'!$A:$E,4,0))</f>
        <v/>
      </c>
      <c r="O489" s="152" t="str">
        <f>IF(VLOOKUP(A489,'Aux - pivots1'!$A:$E,5,0)=0, "",VLOOKUP(A489,'Aux - pivots1'!$A:$E,5,0))</f>
        <v/>
      </c>
      <c r="P489" s="202"/>
      <c r="Q489" s="202"/>
      <c r="R489" s="202"/>
      <c r="S489" s="324"/>
      <c r="T489" s="324"/>
      <c r="U489" s="372" t="s">
        <v>2326</v>
      </c>
      <c r="V489" s="323"/>
    </row>
    <row r="490" spans="1:22" ht="16.350000000000001" hidden="1" customHeight="1">
      <c r="A490" s="29" t="str">
        <f t="shared" si="9"/>
        <v>modesg_inp_nfrd_alinhamento_taxwtr_capex_own_prfrmnce_algnd</v>
      </c>
      <c r="B490" s="141" t="s">
        <v>26</v>
      </c>
      <c r="C490" s="137" t="s">
        <v>181</v>
      </c>
      <c r="D490" s="133" t="s">
        <v>40</v>
      </c>
      <c r="E490" s="134" t="s">
        <v>215</v>
      </c>
      <c r="F490" s="476" t="s">
        <v>272</v>
      </c>
      <c r="G490" s="135" t="str">
        <f>VLOOKUP(A490,Plano_V3!$A$26:$G$769,7,0)</f>
        <v>1. Concluído</v>
      </c>
      <c r="H490" s="135" t="s">
        <v>612</v>
      </c>
      <c r="I490" s="473"/>
      <c r="J490" s="143"/>
      <c r="K490" s="143"/>
      <c r="L490" s="143"/>
      <c r="M490" s="152" t="str">
        <f>IF(VLOOKUP(A490,'Aux - pivots1'!$A:$E,3,0)=0, "",VLOOKUP(A490,'Aux - pivots1'!$A:$E,3,0))</f>
        <v/>
      </c>
      <c r="N490" s="152" t="str">
        <f>IF(VLOOKUP(A490,'Aux - pivots1'!$A:$E,4,0)=0, "",VLOOKUP(A490,'Aux - pivots1'!$A:$E,4,0))</f>
        <v/>
      </c>
      <c r="O490" s="152" t="str">
        <f>IF(VLOOKUP(A490,'Aux - pivots1'!$A:$E,5,0)=0, "",VLOOKUP(A490,'Aux - pivots1'!$A:$E,5,0))</f>
        <v/>
      </c>
      <c r="P490" s="202"/>
      <c r="Q490" s="202"/>
      <c r="R490" s="202"/>
      <c r="S490" s="324"/>
      <c r="T490" s="324"/>
      <c r="U490" s="372" t="s">
        <v>2326</v>
      </c>
      <c r="V490" s="323"/>
    </row>
    <row r="491" spans="1:22" ht="16.350000000000001" hidden="1" customHeight="1">
      <c r="A491" s="29" t="str">
        <f t="shared" si="9"/>
        <v>modesg_inp_nfrd_alinhamento_taxce_trnvr_ttl_elgbl</v>
      </c>
      <c r="B491" s="141" t="s">
        <v>26</v>
      </c>
      <c r="C491" s="137" t="s">
        <v>181</v>
      </c>
      <c r="D491" s="133" t="s">
        <v>40</v>
      </c>
      <c r="E491" s="134" t="s">
        <v>215</v>
      </c>
      <c r="F491" s="476" t="s">
        <v>273</v>
      </c>
      <c r="G491" s="135" t="str">
        <f>VLOOKUP(A491,Plano_V3!$A$26:$G$769,7,0)</f>
        <v>1. Concluído</v>
      </c>
      <c r="H491" s="135" t="s">
        <v>612</v>
      </c>
      <c r="I491" s="473"/>
      <c r="J491" s="143"/>
      <c r="K491" s="143"/>
      <c r="L491" s="143"/>
      <c r="M491" s="152" t="str">
        <f>IF(VLOOKUP(A491,'Aux - pivots1'!$A:$E,3,0)=0, "",VLOOKUP(A491,'Aux - pivots1'!$A:$E,3,0))</f>
        <v/>
      </c>
      <c r="N491" s="152" t="str">
        <f>IF(VLOOKUP(A491,'Aux - pivots1'!$A:$E,4,0)=0, "",VLOOKUP(A491,'Aux - pivots1'!$A:$E,4,0))</f>
        <v/>
      </c>
      <c r="O491" s="152" t="str">
        <f>IF(VLOOKUP(A491,'Aux - pivots1'!$A:$E,5,0)=0, "",VLOOKUP(A491,'Aux - pivots1'!$A:$E,5,0))</f>
        <v/>
      </c>
      <c r="P491" s="202"/>
      <c r="Q491" s="202"/>
      <c r="R491" s="202"/>
      <c r="S491" s="324"/>
      <c r="T491" s="324"/>
      <c r="U491" s="372" t="s">
        <v>2326</v>
      </c>
      <c r="V491" s="323"/>
    </row>
    <row r="492" spans="1:22" ht="16.350000000000001" hidden="1" customHeight="1">
      <c r="A492" s="29" t="str">
        <f t="shared" si="9"/>
        <v>modesg_inp_nfrd_alinhamento_taxce_trnvr_enblng_alignd</v>
      </c>
      <c r="B492" s="141" t="s">
        <v>26</v>
      </c>
      <c r="C492" s="137" t="s">
        <v>181</v>
      </c>
      <c r="D492" s="133" t="s">
        <v>40</v>
      </c>
      <c r="E492" s="134" t="s">
        <v>215</v>
      </c>
      <c r="F492" s="476" t="s">
        <v>274</v>
      </c>
      <c r="G492" s="135" t="str">
        <f>VLOOKUP(A492,Plano_V3!$A$26:$G$769,7,0)</f>
        <v>1. Concluído</v>
      </c>
      <c r="H492" s="135" t="s">
        <v>612</v>
      </c>
      <c r="I492" s="473"/>
      <c r="J492" s="143"/>
      <c r="K492" s="143"/>
      <c r="L492" s="143"/>
      <c r="M492" s="152" t="str">
        <f>IF(VLOOKUP(A492,'Aux - pivots1'!$A:$E,3,0)=0, "",VLOOKUP(A492,'Aux - pivots1'!$A:$E,3,0))</f>
        <v/>
      </c>
      <c r="N492" s="152" t="str">
        <f>IF(VLOOKUP(A492,'Aux - pivots1'!$A:$E,4,0)=0, "",VLOOKUP(A492,'Aux - pivots1'!$A:$E,4,0))</f>
        <v/>
      </c>
      <c r="O492" s="152" t="str">
        <f>IF(VLOOKUP(A492,'Aux - pivots1'!$A:$E,5,0)=0, "",VLOOKUP(A492,'Aux - pivots1'!$A:$E,5,0))</f>
        <v/>
      </c>
      <c r="P492" s="202"/>
      <c r="Q492" s="202"/>
      <c r="R492" s="202"/>
      <c r="S492" s="324"/>
      <c r="T492" s="324"/>
      <c r="U492" s="372" t="s">
        <v>2326</v>
      </c>
      <c r="V492" s="323"/>
    </row>
    <row r="493" spans="1:22" ht="16.350000000000001" hidden="1" customHeight="1">
      <c r="A493" s="29" t="str">
        <f t="shared" si="9"/>
        <v>modesg_inp_nfrd_alinhamento_taxce_turnover_own_prfrmnce_algnd</v>
      </c>
      <c r="B493" s="141" t="s">
        <v>26</v>
      </c>
      <c r="C493" s="137" t="s">
        <v>181</v>
      </c>
      <c r="D493" s="133" t="s">
        <v>40</v>
      </c>
      <c r="E493" s="134" t="s">
        <v>215</v>
      </c>
      <c r="F493" s="476" t="s">
        <v>275</v>
      </c>
      <c r="G493" s="135" t="str">
        <f>VLOOKUP(A493,Plano_V3!$A$26:$G$769,7,0)</f>
        <v>1. Concluído</v>
      </c>
      <c r="H493" s="135" t="s">
        <v>612</v>
      </c>
      <c r="I493" s="473"/>
      <c r="J493" s="143"/>
      <c r="K493" s="143"/>
      <c r="L493" s="143"/>
      <c r="M493" s="152" t="str">
        <f>IF(VLOOKUP(A493,'Aux - pivots1'!$A:$E,3,0)=0, "",VLOOKUP(A493,'Aux - pivots1'!$A:$E,3,0))</f>
        <v/>
      </c>
      <c r="N493" s="152" t="str">
        <f>IF(VLOOKUP(A493,'Aux - pivots1'!$A:$E,4,0)=0, "",VLOOKUP(A493,'Aux - pivots1'!$A:$E,4,0))</f>
        <v/>
      </c>
      <c r="O493" s="152" t="str">
        <f>IF(VLOOKUP(A493,'Aux - pivots1'!$A:$E,5,0)=0, "",VLOOKUP(A493,'Aux - pivots1'!$A:$E,5,0))</f>
        <v/>
      </c>
      <c r="P493" s="202"/>
      <c r="Q493" s="202"/>
      <c r="R493" s="202"/>
      <c r="S493" s="324"/>
      <c r="T493" s="324"/>
      <c r="U493" s="372" t="s">
        <v>2326</v>
      </c>
      <c r="V493" s="323"/>
    </row>
    <row r="494" spans="1:22" ht="16.350000000000001" hidden="1" customHeight="1">
      <c r="A494" s="29" t="str">
        <f t="shared" si="9"/>
        <v>modesg_inp_nfrd_alinhamento_taxce_capex_ttl_elgbl</v>
      </c>
      <c r="B494" s="141" t="s">
        <v>26</v>
      </c>
      <c r="C494" s="137" t="s">
        <v>181</v>
      </c>
      <c r="D494" s="133" t="s">
        <v>40</v>
      </c>
      <c r="E494" s="134" t="s">
        <v>215</v>
      </c>
      <c r="F494" s="476" t="s">
        <v>276</v>
      </c>
      <c r="G494" s="135" t="str">
        <f>VLOOKUP(A494,Plano_V3!$A$26:$G$769,7,0)</f>
        <v>1. Concluído</v>
      </c>
      <c r="H494" s="135" t="s">
        <v>612</v>
      </c>
      <c r="I494" s="473"/>
      <c r="J494" s="143"/>
      <c r="K494" s="143"/>
      <c r="L494" s="143"/>
      <c r="M494" s="152" t="str">
        <f>IF(VLOOKUP(A494,'Aux - pivots1'!$A:$E,3,0)=0, "",VLOOKUP(A494,'Aux - pivots1'!$A:$E,3,0))</f>
        <v/>
      </c>
      <c r="N494" s="152" t="str">
        <f>IF(VLOOKUP(A494,'Aux - pivots1'!$A:$E,4,0)=0, "",VLOOKUP(A494,'Aux - pivots1'!$A:$E,4,0))</f>
        <v/>
      </c>
      <c r="O494" s="152" t="str">
        <f>IF(VLOOKUP(A494,'Aux - pivots1'!$A:$E,5,0)=0, "",VLOOKUP(A494,'Aux - pivots1'!$A:$E,5,0))</f>
        <v/>
      </c>
      <c r="P494" s="202"/>
      <c r="Q494" s="202"/>
      <c r="R494" s="202"/>
      <c r="S494" s="324"/>
      <c r="T494" s="324"/>
      <c r="U494" s="372" t="s">
        <v>2326</v>
      </c>
      <c r="V494" s="323"/>
    </row>
    <row r="495" spans="1:22" ht="16.350000000000001" hidden="1" customHeight="1">
      <c r="A495" s="29" t="str">
        <f t="shared" si="9"/>
        <v>modesg_inp_nfrd_alinhamento_taxce_capex_enblng_algnd</v>
      </c>
      <c r="B495" s="141" t="s">
        <v>26</v>
      </c>
      <c r="C495" s="137" t="s">
        <v>181</v>
      </c>
      <c r="D495" s="133" t="s">
        <v>40</v>
      </c>
      <c r="E495" s="134" t="s">
        <v>215</v>
      </c>
      <c r="F495" s="476" t="s">
        <v>277</v>
      </c>
      <c r="G495" s="135" t="str">
        <f>VLOOKUP(A495,Plano_V3!$A$26:$G$769,7,0)</f>
        <v>1. Concluído</v>
      </c>
      <c r="H495" s="135" t="s">
        <v>612</v>
      </c>
      <c r="I495" s="473"/>
      <c r="J495" s="143"/>
      <c r="K495" s="143"/>
      <c r="L495" s="143"/>
      <c r="M495" s="152" t="str">
        <f>IF(VLOOKUP(A495,'Aux - pivots1'!$A:$E,3,0)=0, "",VLOOKUP(A495,'Aux - pivots1'!$A:$E,3,0))</f>
        <v/>
      </c>
      <c r="N495" s="152" t="str">
        <f>IF(VLOOKUP(A495,'Aux - pivots1'!$A:$E,4,0)=0, "",VLOOKUP(A495,'Aux - pivots1'!$A:$E,4,0))</f>
        <v/>
      </c>
      <c r="O495" s="152" t="str">
        <f>IF(VLOOKUP(A495,'Aux - pivots1'!$A:$E,5,0)=0, "",VLOOKUP(A495,'Aux - pivots1'!$A:$E,5,0))</f>
        <v/>
      </c>
      <c r="P495" s="202"/>
      <c r="Q495" s="202"/>
      <c r="R495" s="202"/>
      <c r="S495" s="324"/>
      <c r="T495" s="324"/>
      <c r="U495" s="372" t="s">
        <v>2326</v>
      </c>
      <c r="V495" s="323"/>
    </row>
    <row r="496" spans="1:22" ht="16.350000000000001" hidden="1" customHeight="1">
      <c r="A496" s="29" t="str">
        <f t="shared" si="9"/>
        <v>modesg_inp_nfrd_alinhamento_taxce_capex_own_prfrmnce_algnd</v>
      </c>
      <c r="B496" s="141" t="s">
        <v>26</v>
      </c>
      <c r="C496" s="137" t="s">
        <v>181</v>
      </c>
      <c r="D496" s="133" t="s">
        <v>40</v>
      </c>
      <c r="E496" s="134" t="s">
        <v>215</v>
      </c>
      <c r="F496" s="476" t="s">
        <v>278</v>
      </c>
      <c r="G496" s="135" t="str">
        <f>VLOOKUP(A496,Plano_V3!$A$26:$G$769,7,0)</f>
        <v>1. Concluído</v>
      </c>
      <c r="H496" s="135" t="s">
        <v>612</v>
      </c>
      <c r="I496" s="473"/>
      <c r="J496" s="143"/>
      <c r="K496" s="143"/>
      <c r="L496" s="143"/>
      <c r="M496" s="152" t="str">
        <f>IF(VLOOKUP(A496,'Aux - pivots1'!$A:$E,3,0)=0, "",VLOOKUP(A496,'Aux - pivots1'!$A:$E,3,0))</f>
        <v/>
      </c>
      <c r="N496" s="152" t="str">
        <f>IF(VLOOKUP(A496,'Aux - pivots1'!$A:$E,4,0)=0, "",VLOOKUP(A496,'Aux - pivots1'!$A:$E,4,0))</f>
        <v/>
      </c>
      <c r="O496" s="152" t="str">
        <f>IF(VLOOKUP(A496,'Aux - pivots1'!$A:$E,5,0)=0, "",VLOOKUP(A496,'Aux - pivots1'!$A:$E,5,0))</f>
        <v/>
      </c>
      <c r="P496" s="202"/>
      <c r="Q496" s="202"/>
      <c r="R496" s="202"/>
      <c r="S496" s="324"/>
      <c r="T496" s="324"/>
      <c r="U496" s="372" t="s">
        <v>2326</v>
      </c>
      <c r="V496" s="323"/>
    </row>
    <row r="497" spans="1:22" ht="16.350000000000001" hidden="1" customHeight="1">
      <c r="A497" s="29" t="str">
        <f t="shared" si="9"/>
        <v>modesg_inp_risco_fisicoref_date</v>
      </c>
      <c r="B497" s="141" t="s">
        <v>26</v>
      </c>
      <c r="C497" s="137" t="s">
        <v>181</v>
      </c>
      <c r="D497" s="133" t="s">
        <v>40</v>
      </c>
      <c r="E497" s="134" t="s">
        <v>216</v>
      </c>
      <c r="F497" s="476" t="s">
        <v>208</v>
      </c>
      <c r="G497" s="135" t="str">
        <f>VLOOKUP(A497,Plano_V3!$A$26:$G$769,7,0)</f>
        <v>1. Concluído</v>
      </c>
      <c r="H497" s="135" t="s">
        <v>612</v>
      </c>
      <c r="I497" s="473"/>
      <c r="J497" s="153"/>
      <c r="K497" s="153"/>
      <c r="L497" s="153"/>
      <c r="M497" s="152" t="str">
        <f>IF(VLOOKUP(A497,'Aux - pivots1'!$A:$E,3,0)=0, "",VLOOKUP(A497,'Aux - pivots1'!$A:$E,3,0))</f>
        <v/>
      </c>
      <c r="N497" s="152" t="str">
        <f>IF(VLOOKUP(A497,'Aux - pivots1'!$A:$E,4,0)=0, "",VLOOKUP(A497,'Aux - pivots1'!$A:$E,4,0))</f>
        <v/>
      </c>
      <c r="O497" s="152" t="str">
        <f>IF(VLOOKUP(A497,'Aux - pivots1'!$A:$E,5,0)=0, "",VLOOKUP(A497,'Aux - pivots1'!$A:$E,5,0))</f>
        <v/>
      </c>
      <c r="P497" s="202"/>
      <c r="Q497" s="202"/>
      <c r="R497" s="202"/>
      <c r="S497" s="324"/>
      <c r="T497" s="324"/>
      <c r="U497" s="372" t="s">
        <v>2326</v>
      </c>
      <c r="V497" s="323"/>
    </row>
    <row r="498" spans="1:22" ht="16.350000000000001" hidden="1" customHeight="1">
      <c r="A498" s="29" t="str">
        <f t="shared" si="9"/>
        <v>modesg_inp_risco_fisicocod_pais</v>
      </c>
      <c r="B498" s="141" t="s">
        <v>26</v>
      </c>
      <c r="C498" s="137" t="s">
        <v>181</v>
      </c>
      <c r="D498" s="133" t="s">
        <v>40</v>
      </c>
      <c r="E498" s="134" t="s">
        <v>216</v>
      </c>
      <c r="F498" s="476" t="s">
        <v>279</v>
      </c>
      <c r="G498" s="135" t="str">
        <f>VLOOKUP(A498,Plano_V3!$A$26:$G$769,7,0)</f>
        <v>1. Concluído</v>
      </c>
      <c r="H498" s="135" t="s">
        <v>612</v>
      </c>
      <c r="I498" s="473"/>
      <c r="J498" s="153"/>
      <c r="K498" s="153"/>
      <c r="L498" s="153"/>
      <c r="M498" s="152" t="str">
        <f>IF(VLOOKUP(A498,'Aux - pivots1'!$A:$E,3,0)=0, "",VLOOKUP(A498,'Aux - pivots1'!$A:$E,3,0))</f>
        <v/>
      </c>
      <c r="N498" s="152" t="str">
        <f>IF(VLOOKUP(A498,'Aux - pivots1'!$A:$E,4,0)=0, "",VLOOKUP(A498,'Aux - pivots1'!$A:$E,4,0))</f>
        <v/>
      </c>
      <c r="O498" s="152" t="str">
        <f>IF(VLOOKUP(A498,'Aux - pivots1'!$A:$E,5,0)=0, "",VLOOKUP(A498,'Aux - pivots1'!$A:$E,5,0))</f>
        <v/>
      </c>
      <c r="P498" s="202"/>
      <c r="Q498" s="202"/>
      <c r="R498" s="202"/>
      <c r="S498" s="324"/>
      <c r="T498" s="324"/>
      <c r="U498" s="372" t="s">
        <v>2326</v>
      </c>
      <c r="V498" s="323"/>
    </row>
    <row r="499" spans="1:22" ht="16.350000000000001" hidden="1" customHeight="1">
      <c r="A499" s="29" t="str">
        <f t="shared" si="9"/>
        <v>modesg_inp_risco_fisicocod_nutiii</v>
      </c>
      <c r="B499" s="141" t="s">
        <v>26</v>
      </c>
      <c r="C499" s="137" t="s">
        <v>181</v>
      </c>
      <c r="D499" s="133" t="s">
        <v>40</v>
      </c>
      <c r="E499" s="134" t="s">
        <v>216</v>
      </c>
      <c r="F499" s="476" t="s">
        <v>280</v>
      </c>
      <c r="G499" s="135" t="str">
        <f>VLOOKUP(A499,Plano_V3!$A$26:$G$769,7,0)</f>
        <v>1. Concluído</v>
      </c>
      <c r="H499" s="135" t="s">
        <v>612</v>
      </c>
      <c r="I499" s="473"/>
      <c r="J499" s="153"/>
      <c r="K499" s="153"/>
      <c r="L499" s="153"/>
      <c r="M499" s="152" t="str">
        <f>IF(VLOOKUP(A499,'Aux - pivots1'!$A:$E,3,0)=0, "",VLOOKUP(A499,'Aux - pivots1'!$A:$E,3,0))</f>
        <v/>
      </c>
      <c r="N499" s="152" t="str">
        <f>IF(VLOOKUP(A499,'Aux - pivots1'!$A:$E,4,0)=0, "",VLOOKUP(A499,'Aux - pivots1'!$A:$E,4,0))</f>
        <v/>
      </c>
      <c r="O499" s="152" t="str">
        <f>IF(VLOOKUP(A499,'Aux - pivots1'!$A:$E,5,0)=0, "",VLOOKUP(A499,'Aux - pivots1'!$A:$E,5,0))</f>
        <v/>
      </c>
      <c r="P499" s="202"/>
      <c r="Q499" s="202"/>
      <c r="R499" s="202"/>
      <c r="S499" s="324"/>
      <c r="T499" s="324"/>
      <c r="U499" s="372" t="s">
        <v>2326</v>
      </c>
      <c r="V499" s="323"/>
    </row>
    <row r="500" spans="1:22" ht="16.350000000000001" hidden="1" customHeight="1">
      <c r="A500" s="29" t="str">
        <f t="shared" si="9"/>
        <v>modesg_inp_risco_fisicocod_nace_esg</v>
      </c>
      <c r="B500" s="141" t="s">
        <v>26</v>
      </c>
      <c r="C500" s="137" t="s">
        <v>181</v>
      </c>
      <c r="D500" s="133" t="s">
        <v>40</v>
      </c>
      <c r="E500" s="134" t="s">
        <v>216</v>
      </c>
      <c r="F500" s="476" t="s">
        <v>281</v>
      </c>
      <c r="G500" s="135" t="str">
        <f>VLOOKUP(A500,Plano_V3!$A$26:$G$769,7,0)</f>
        <v>1. Concluído</v>
      </c>
      <c r="H500" s="135" t="s">
        <v>612</v>
      </c>
      <c r="I500" s="473"/>
      <c r="J500" s="153"/>
      <c r="K500" s="153"/>
      <c r="L500" s="153"/>
      <c r="M500" s="152" t="str">
        <f>IF(VLOOKUP(A500,'Aux - pivots1'!$A:$E,3,0)=0, "",VLOOKUP(A500,'Aux - pivots1'!$A:$E,3,0))</f>
        <v/>
      </c>
      <c r="N500" s="152" t="str">
        <f>IF(VLOOKUP(A500,'Aux - pivots1'!$A:$E,4,0)=0, "",VLOOKUP(A500,'Aux - pivots1'!$A:$E,4,0))</f>
        <v/>
      </c>
      <c r="O500" s="152" t="str">
        <f>IF(VLOOKUP(A500,'Aux - pivots1'!$A:$E,5,0)=0, "",VLOOKUP(A500,'Aux - pivots1'!$A:$E,5,0))</f>
        <v/>
      </c>
      <c r="P500" s="202"/>
      <c r="Q500" s="202"/>
      <c r="R500" s="202"/>
      <c r="S500" s="324"/>
      <c r="T500" s="324"/>
      <c r="U500" s="372" t="s">
        <v>2326</v>
      </c>
      <c r="V500" s="323"/>
    </row>
    <row r="501" spans="1:22" ht="16.350000000000001" hidden="1" customHeight="1">
      <c r="A501" s="29" t="str">
        <f t="shared" si="9"/>
        <v>modesg_inp_risco_fisicoflg_rsc_fsc_agd</v>
      </c>
      <c r="B501" s="141" t="s">
        <v>26</v>
      </c>
      <c r="C501" s="137" t="s">
        <v>181</v>
      </c>
      <c r="D501" s="133" t="s">
        <v>40</v>
      </c>
      <c r="E501" s="134" t="s">
        <v>216</v>
      </c>
      <c r="F501" s="476" t="s">
        <v>282</v>
      </c>
      <c r="G501" s="135" t="str">
        <f>VLOOKUP(A501,Plano_V3!$A$26:$G$769,7,0)</f>
        <v>1. Concluído</v>
      </c>
      <c r="H501" s="135" t="s">
        <v>612</v>
      </c>
      <c r="I501" s="473"/>
      <c r="J501" s="153"/>
      <c r="K501" s="153"/>
      <c r="L501" s="153"/>
      <c r="M501" s="152" t="str">
        <f>IF(VLOOKUP(A501,'Aux - pivots1'!$A:$E,3,0)=0, "",VLOOKUP(A501,'Aux - pivots1'!$A:$E,3,0))</f>
        <v/>
      </c>
      <c r="N501" s="152" t="str">
        <f>IF(VLOOKUP(A501,'Aux - pivots1'!$A:$E,4,0)=0, "",VLOOKUP(A501,'Aux - pivots1'!$A:$E,4,0))</f>
        <v/>
      </c>
      <c r="O501" s="152" t="str">
        <f>IF(VLOOKUP(A501,'Aux - pivots1'!$A:$E,5,0)=0, "",VLOOKUP(A501,'Aux - pivots1'!$A:$E,5,0))</f>
        <v/>
      </c>
      <c r="P501" s="202"/>
      <c r="Q501" s="202"/>
      <c r="R501" s="202"/>
      <c r="S501" s="324"/>
      <c r="T501" s="324"/>
      <c r="U501" s="372" t="s">
        <v>2326</v>
      </c>
      <c r="V501" s="323"/>
    </row>
    <row r="502" spans="1:22" ht="16.350000000000001" hidden="1" customHeight="1">
      <c r="A502" s="29" t="str">
        <f t="shared" si="9"/>
        <v>modesg_inp_risco_fisicoflg_rsc_fsc_crnc</v>
      </c>
      <c r="B502" s="141" t="s">
        <v>26</v>
      </c>
      <c r="C502" s="137" t="s">
        <v>181</v>
      </c>
      <c r="D502" s="133" t="s">
        <v>40</v>
      </c>
      <c r="E502" s="134" t="s">
        <v>216</v>
      </c>
      <c r="F502" s="476" t="s">
        <v>283</v>
      </c>
      <c r="G502" s="135" t="str">
        <f>VLOOKUP(A502,Plano_V3!$A$26:$G$769,7,0)</f>
        <v>1. Concluído</v>
      </c>
      <c r="H502" s="135" t="s">
        <v>612</v>
      </c>
      <c r="I502" s="473"/>
      <c r="J502" s="153"/>
      <c r="K502" s="153"/>
      <c r="L502" s="153"/>
      <c r="M502" s="152" t="str">
        <f>IF(VLOOKUP(A502,'Aux - pivots1'!$A:$E,3,0)=0, "",VLOOKUP(A502,'Aux - pivots1'!$A:$E,3,0))</f>
        <v/>
      </c>
      <c r="N502" s="152" t="str">
        <f>IF(VLOOKUP(A502,'Aux - pivots1'!$A:$E,4,0)=0, "",VLOOKUP(A502,'Aux - pivots1'!$A:$E,4,0))</f>
        <v/>
      </c>
      <c r="O502" s="152" t="str">
        <f>IF(VLOOKUP(A502,'Aux - pivots1'!$A:$E,5,0)=0, "",VLOOKUP(A502,'Aux - pivots1'!$A:$E,5,0))</f>
        <v/>
      </c>
      <c r="P502" s="202"/>
      <c r="Q502" s="202"/>
      <c r="R502" s="202"/>
      <c r="S502" s="324"/>
      <c r="T502" s="324"/>
      <c r="U502" s="372" t="s">
        <v>2326</v>
      </c>
      <c r="V502" s="323"/>
    </row>
    <row r="503" spans="1:22" ht="16.350000000000001" hidden="1" customHeight="1">
      <c r="A503" s="29" t="str">
        <f t="shared" si="9"/>
        <v>modesg_inp_emss_scibref_date</v>
      </c>
      <c r="B503" s="141" t="s">
        <v>26</v>
      </c>
      <c r="C503" s="137" t="s">
        <v>181</v>
      </c>
      <c r="D503" s="133" t="s">
        <v>40</v>
      </c>
      <c r="E503" s="134" t="s">
        <v>217</v>
      </c>
      <c r="F503" s="476" t="s">
        <v>208</v>
      </c>
      <c r="G503" s="135" t="str">
        <f>VLOOKUP(A503,Plano_V3!$A$26:$G$769,7,0)</f>
        <v>1. Concluído</v>
      </c>
      <c r="H503" s="135" t="s">
        <v>612</v>
      </c>
      <c r="I503" s="473"/>
      <c r="J503" s="153"/>
      <c r="K503" s="153"/>
      <c r="L503" s="153"/>
      <c r="M503" s="152" t="str">
        <f>IF(VLOOKUP(A503,'Aux - pivots1'!$A:$E,3,0)=0, "",VLOOKUP(A503,'Aux - pivots1'!$A:$E,3,0))</f>
        <v/>
      </c>
      <c r="N503" s="152" t="str">
        <f>IF(VLOOKUP(A503,'Aux - pivots1'!$A:$E,4,0)=0, "",VLOOKUP(A503,'Aux - pivots1'!$A:$E,4,0))</f>
        <v/>
      </c>
      <c r="O503" s="152" t="str">
        <f>IF(VLOOKUP(A503,'Aux - pivots1'!$A:$E,5,0)=0, "",VLOOKUP(A503,'Aux - pivots1'!$A:$E,5,0))</f>
        <v/>
      </c>
      <c r="P503" s="202"/>
      <c r="Q503" s="202"/>
      <c r="R503" s="202"/>
      <c r="S503" s="324"/>
      <c r="T503" s="324"/>
      <c r="U503" s="372" t="s">
        <v>2326</v>
      </c>
      <c r="V503" s="323"/>
    </row>
    <row r="504" spans="1:22" ht="16.350000000000001" hidden="1" customHeight="1">
      <c r="A504" s="29" t="str">
        <f t="shared" si="9"/>
        <v>modesg_inp_emss_scibccli_kgl</v>
      </c>
      <c r="B504" s="141" t="s">
        <v>26</v>
      </c>
      <c r="C504" s="137" t="s">
        <v>181</v>
      </c>
      <c r="D504" s="133" t="s">
        <v>40</v>
      </c>
      <c r="E504" s="134" t="s">
        <v>217</v>
      </c>
      <c r="F504" s="476" t="s">
        <v>240</v>
      </c>
      <c r="G504" s="135" t="str">
        <f>VLOOKUP(A504,Plano_V3!$A$26:$G$769,7,0)</f>
        <v>1. Concluído</v>
      </c>
      <c r="H504" s="135" t="s">
        <v>612</v>
      </c>
      <c r="I504" s="473"/>
      <c r="J504" s="153"/>
      <c r="K504" s="153"/>
      <c r="L504" s="153"/>
      <c r="M504" s="152" t="str">
        <f>IF(VLOOKUP(A504,'Aux - pivots1'!$A:$E,3,0)=0, "",VLOOKUP(A504,'Aux - pivots1'!$A:$E,3,0))</f>
        <v/>
      </c>
      <c r="N504" s="152" t="str">
        <f>IF(VLOOKUP(A504,'Aux - pivots1'!$A:$E,4,0)=0, "",VLOOKUP(A504,'Aux - pivots1'!$A:$E,4,0))</f>
        <v/>
      </c>
      <c r="O504" s="152" t="str">
        <f>IF(VLOOKUP(A504,'Aux - pivots1'!$A:$E,5,0)=0, "",VLOOKUP(A504,'Aux - pivots1'!$A:$E,5,0))</f>
        <v/>
      </c>
      <c r="P504" s="202"/>
      <c r="Q504" s="202"/>
      <c r="R504" s="202"/>
      <c r="S504" s="324"/>
      <c r="T504" s="324"/>
      <c r="U504" s="372" t="s">
        <v>2326</v>
      </c>
      <c r="V504" s="323"/>
    </row>
    <row r="505" spans="1:22" ht="16.350000000000001" hidden="1" customHeight="1">
      <c r="A505" s="29" t="str">
        <f t="shared" si="9"/>
        <v>modesg_inp_emss_scibnome_grupo</v>
      </c>
      <c r="B505" s="141" t="s">
        <v>26</v>
      </c>
      <c r="C505" s="137" t="s">
        <v>181</v>
      </c>
      <c r="D505" s="133" t="s">
        <v>40</v>
      </c>
      <c r="E505" s="134" t="s">
        <v>217</v>
      </c>
      <c r="F505" s="476" t="s">
        <v>284</v>
      </c>
      <c r="G505" s="135" t="str">
        <f>VLOOKUP(A505,Plano_V3!$A$26:$G$769,7,0)</f>
        <v>1. Concluído</v>
      </c>
      <c r="H505" s="135" t="s">
        <v>612</v>
      </c>
      <c r="I505" s="473"/>
      <c r="J505" s="153"/>
      <c r="K505" s="153"/>
      <c r="L505" s="153"/>
      <c r="M505" s="152" t="str">
        <f>IF(VLOOKUP(A505,'Aux - pivots1'!$A:$E,3,0)=0, "",VLOOKUP(A505,'Aux - pivots1'!$A:$E,3,0))</f>
        <v/>
      </c>
      <c r="N505" s="152" t="str">
        <f>IF(VLOOKUP(A505,'Aux - pivots1'!$A:$E,4,0)=0, "",VLOOKUP(A505,'Aux - pivots1'!$A:$E,4,0))</f>
        <v/>
      </c>
      <c r="O505" s="152" t="str">
        <f>IF(VLOOKUP(A505,'Aux - pivots1'!$A:$E,5,0)=0, "",VLOOKUP(A505,'Aux - pivots1'!$A:$E,5,0))</f>
        <v/>
      </c>
      <c r="P505" s="202"/>
      <c r="Q505" s="202"/>
      <c r="R505" s="202"/>
      <c r="S505" s="324"/>
      <c r="T505" s="324"/>
      <c r="U505" s="372" t="s">
        <v>2326</v>
      </c>
      <c r="V505" s="323"/>
    </row>
    <row r="506" spans="1:22" ht="16.350000000000001" hidden="1" customHeight="1">
      <c r="A506" s="29" t="str">
        <f t="shared" si="9"/>
        <v>modesg_inp_emss_scibisin</v>
      </c>
      <c r="B506" s="141" t="s">
        <v>26</v>
      </c>
      <c r="C506" s="137" t="s">
        <v>181</v>
      </c>
      <c r="D506" s="133" t="s">
        <v>40</v>
      </c>
      <c r="E506" s="134" t="s">
        <v>217</v>
      </c>
      <c r="F506" s="476" t="s">
        <v>238</v>
      </c>
      <c r="G506" s="135" t="str">
        <f>VLOOKUP(A506,Plano_V3!$A$26:$G$769,7,0)</f>
        <v>1. Concluído</v>
      </c>
      <c r="H506" s="135" t="s">
        <v>612</v>
      </c>
      <c r="I506" s="473"/>
      <c r="J506" s="153"/>
      <c r="K506" s="153"/>
      <c r="L506" s="153"/>
      <c r="M506" s="152" t="str">
        <f>IF(VLOOKUP(A506,'Aux - pivots1'!$A:$E,3,0)=0, "",VLOOKUP(A506,'Aux - pivots1'!$A:$E,3,0))</f>
        <v/>
      </c>
      <c r="N506" s="152" t="str">
        <f>IF(VLOOKUP(A506,'Aux - pivots1'!$A:$E,4,0)=0, "",VLOOKUP(A506,'Aux - pivots1'!$A:$E,4,0))</f>
        <v/>
      </c>
      <c r="O506" s="152" t="str">
        <f>IF(VLOOKUP(A506,'Aux - pivots1'!$A:$E,5,0)=0, "",VLOOKUP(A506,'Aux - pivots1'!$A:$E,5,0))</f>
        <v/>
      </c>
      <c r="P506" s="202"/>
      <c r="Q506" s="202"/>
      <c r="R506" s="202"/>
      <c r="S506" s="324"/>
      <c r="T506" s="324"/>
      <c r="U506" s="372" t="s">
        <v>2326</v>
      </c>
      <c r="V506" s="323"/>
    </row>
    <row r="507" spans="1:22" ht="16.350000000000001" hidden="1" customHeight="1">
      <c r="A507" s="29" t="str">
        <f t="shared" si="9"/>
        <v>modesg_inp_emss_scibclei</v>
      </c>
      <c r="B507" s="141" t="s">
        <v>26</v>
      </c>
      <c r="C507" s="137" t="s">
        <v>181</v>
      </c>
      <c r="D507" s="133" t="s">
        <v>40</v>
      </c>
      <c r="E507" s="134" t="s">
        <v>217</v>
      </c>
      <c r="F507" s="476" t="s">
        <v>239</v>
      </c>
      <c r="G507" s="135" t="str">
        <f>VLOOKUP(A507,Plano_V3!$A$26:$G$769,7,0)</f>
        <v>1. Concluído</v>
      </c>
      <c r="H507" s="135" t="s">
        <v>612</v>
      </c>
      <c r="I507" s="473"/>
      <c r="J507" s="153"/>
      <c r="K507" s="153"/>
      <c r="L507" s="153"/>
      <c r="M507" s="152" t="str">
        <f>IF(VLOOKUP(A507,'Aux - pivots1'!$A:$E,3,0)=0, "",VLOOKUP(A507,'Aux - pivots1'!$A:$E,3,0))</f>
        <v/>
      </c>
      <c r="N507" s="152" t="str">
        <f>IF(VLOOKUP(A507,'Aux - pivots1'!$A:$E,4,0)=0, "",VLOOKUP(A507,'Aux - pivots1'!$A:$E,4,0))</f>
        <v/>
      </c>
      <c r="O507" s="152" t="str">
        <f>IF(VLOOKUP(A507,'Aux - pivots1'!$A:$E,5,0)=0, "",VLOOKUP(A507,'Aux - pivots1'!$A:$E,5,0))</f>
        <v/>
      </c>
      <c r="P507" s="202"/>
      <c r="Q507" s="202"/>
      <c r="R507" s="202"/>
      <c r="S507" s="324"/>
      <c r="T507" s="324"/>
      <c r="U507" s="372" t="s">
        <v>2326</v>
      </c>
      <c r="V507" s="323"/>
    </row>
    <row r="508" spans="1:22" ht="16.350000000000001" hidden="1" customHeight="1">
      <c r="A508" s="29" t="str">
        <f t="shared" si="9"/>
        <v>modesg_inp_emss_scibscp1_emss</v>
      </c>
      <c r="B508" s="141" t="s">
        <v>26</v>
      </c>
      <c r="C508" s="137" t="s">
        <v>181</v>
      </c>
      <c r="D508" s="133" t="s">
        <v>40</v>
      </c>
      <c r="E508" s="134" t="s">
        <v>217</v>
      </c>
      <c r="F508" s="476" t="s">
        <v>285</v>
      </c>
      <c r="G508" s="135" t="str">
        <f>VLOOKUP(A508,Plano_V3!$A$26:$G$769,7,0)</f>
        <v>1. Concluído</v>
      </c>
      <c r="H508" s="135" t="s">
        <v>612</v>
      </c>
      <c r="I508" s="473"/>
      <c r="J508" s="142"/>
      <c r="K508" s="142"/>
      <c r="L508" s="142"/>
      <c r="M508" s="152" t="str">
        <f>IF(VLOOKUP(A508,'Aux - pivots1'!$A:$E,3,0)=0, "",VLOOKUP(A508,'Aux - pivots1'!$A:$E,3,0))</f>
        <v/>
      </c>
      <c r="N508" s="152" t="str">
        <f>IF(VLOOKUP(A508,'Aux - pivots1'!$A:$E,4,0)=0, "",VLOOKUP(A508,'Aux - pivots1'!$A:$E,4,0))</f>
        <v/>
      </c>
      <c r="O508" s="152" t="str">
        <f>IF(VLOOKUP(A508,'Aux - pivots1'!$A:$E,5,0)=0, "",VLOOKUP(A508,'Aux - pivots1'!$A:$E,5,0))</f>
        <v/>
      </c>
      <c r="P508" s="202"/>
      <c r="Q508" s="202"/>
      <c r="R508" s="202"/>
      <c r="S508" s="324"/>
      <c r="T508" s="324"/>
      <c r="U508" s="372" t="s">
        <v>2326</v>
      </c>
      <c r="V508" s="323"/>
    </row>
    <row r="509" spans="1:22" ht="16.350000000000001" hidden="1" customHeight="1">
      <c r="A509" s="29" t="str">
        <f t="shared" si="9"/>
        <v>modesg_inp_emss_scibscp2_emss</v>
      </c>
      <c r="B509" s="141" t="s">
        <v>26</v>
      </c>
      <c r="C509" s="137" t="s">
        <v>181</v>
      </c>
      <c r="D509" s="133" t="s">
        <v>40</v>
      </c>
      <c r="E509" s="134" t="s">
        <v>217</v>
      </c>
      <c r="F509" s="476" t="s">
        <v>286</v>
      </c>
      <c r="G509" s="135" t="str">
        <f>VLOOKUP(A509,Plano_V3!$A$26:$G$769,7,0)</f>
        <v>1. Concluído</v>
      </c>
      <c r="H509" s="135" t="s">
        <v>612</v>
      </c>
      <c r="I509" s="473"/>
      <c r="J509" s="142"/>
      <c r="K509" s="142"/>
      <c r="L509" s="142"/>
      <c r="M509" s="152" t="str">
        <f>IF(VLOOKUP(A509,'Aux - pivots1'!$A:$E,3,0)=0, "",VLOOKUP(A509,'Aux - pivots1'!$A:$E,3,0))</f>
        <v/>
      </c>
      <c r="N509" s="152" t="str">
        <f>IF(VLOOKUP(A509,'Aux - pivots1'!$A:$E,4,0)=0, "",VLOOKUP(A509,'Aux - pivots1'!$A:$E,4,0))</f>
        <v/>
      </c>
      <c r="O509" s="152" t="str">
        <f>IF(VLOOKUP(A509,'Aux - pivots1'!$A:$E,5,0)=0, "",VLOOKUP(A509,'Aux - pivots1'!$A:$E,5,0))</f>
        <v/>
      </c>
      <c r="P509" s="202"/>
      <c r="Q509" s="202"/>
      <c r="R509" s="202"/>
      <c r="S509" s="324"/>
      <c r="T509" s="324"/>
      <c r="U509" s="372" t="s">
        <v>2326</v>
      </c>
      <c r="V509" s="323"/>
    </row>
    <row r="510" spans="1:22" ht="16.350000000000001" hidden="1" customHeight="1">
      <c r="A510" s="29" t="str">
        <f t="shared" si="9"/>
        <v>modesg_inp_emss_scibscp3_emss</v>
      </c>
      <c r="B510" s="141" t="s">
        <v>26</v>
      </c>
      <c r="C510" s="137" t="s">
        <v>181</v>
      </c>
      <c r="D510" s="133" t="s">
        <v>40</v>
      </c>
      <c r="E510" s="134" t="s">
        <v>217</v>
      </c>
      <c r="F510" s="476" t="s">
        <v>287</v>
      </c>
      <c r="G510" s="135" t="str">
        <f>VLOOKUP(A510,Plano_V3!$A$26:$G$769,7,0)</f>
        <v>1. Concluído</v>
      </c>
      <c r="H510" s="135" t="s">
        <v>612</v>
      </c>
      <c r="I510" s="473"/>
      <c r="J510" s="153"/>
      <c r="K510" s="153"/>
      <c r="L510" s="153"/>
      <c r="M510" s="152" t="str">
        <f>IF(VLOOKUP(A510,'Aux - pivots1'!$A:$E,3,0)=0, "",VLOOKUP(A510,'Aux - pivots1'!$A:$E,3,0))</f>
        <v/>
      </c>
      <c r="N510" s="152" t="str">
        <f>IF(VLOOKUP(A510,'Aux - pivots1'!$A:$E,4,0)=0, "",VLOOKUP(A510,'Aux - pivots1'!$A:$E,4,0))</f>
        <v/>
      </c>
      <c r="O510" s="152" t="str">
        <f>IF(VLOOKUP(A510,'Aux - pivots1'!$A:$E,5,0)=0, "",VLOOKUP(A510,'Aux - pivots1'!$A:$E,5,0))</f>
        <v/>
      </c>
      <c r="P510" s="202"/>
      <c r="Q510" s="202"/>
      <c r="R510" s="202"/>
      <c r="S510" s="324"/>
      <c r="T510" s="324"/>
      <c r="U510" s="372" t="s">
        <v>2326</v>
      </c>
      <c r="V510" s="323"/>
    </row>
    <row r="511" spans="1:22" ht="16.350000000000001" hidden="1" customHeight="1">
      <c r="A511" s="29" t="str">
        <f t="shared" si="9"/>
        <v>modesg_inp_emss_scibscore_scp1</v>
      </c>
      <c r="B511" s="141" t="s">
        <v>26</v>
      </c>
      <c r="C511" s="137" t="s">
        <v>181</v>
      </c>
      <c r="D511" s="133" t="s">
        <v>40</v>
      </c>
      <c r="E511" s="134" t="s">
        <v>217</v>
      </c>
      <c r="F511" s="476" t="s">
        <v>288</v>
      </c>
      <c r="G511" s="135" t="str">
        <f>VLOOKUP(A511,Plano_V3!$A$26:$G$769,7,0)</f>
        <v>1. Concluído</v>
      </c>
      <c r="H511" s="135" t="s">
        <v>612</v>
      </c>
      <c r="I511" s="473"/>
      <c r="J511" s="153"/>
      <c r="K511" s="153"/>
      <c r="L511" s="153"/>
      <c r="M511" s="152" t="str">
        <f>IF(VLOOKUP(A511,'Aux - pivots1'!$A:$E,3,0)=0, "",VLOOKUP(A511,'Aux - pivots1'!$A:$E,3,0))</f>
        <v/>
      </c>
      <c r="N511" s="152" t="str">
        <f>IF(VLOOKUP(A511,'Aux - pivots1'!$A:$E,4,0)=0, "",VLOOKUP(A511,'Aux - pivots1'!$A:$E,4,0))</f>
        <v/>
      </c>
      <c r="O511" s="152" t="str">
        <f>IF(VLOOKUP(A511,'Aux - pivots1'!$A:$E,5,0)=0, "",VLOOKUP(A511,'Aux - pivots1'!$A:$E,5,0))</f>
        <v/>
      </c>
      <c r="P511" s="202"/>
      <c r="Q511" s="202"/>
      <c r="R511" s="202"/>
      <c r="S511" s="324"/>
      <c r="T511" s="324"/>
      <c r="U511" s="372" t="s">
        <v>2326</v>
      </c>
      <c r="V511" s="323"/>
    </row>
    <row r="512" spans="1:22" ht="16.350000000000001" hidden="1" customHeight="1">
      <c r="A512" s="29" t="str">
        <f t="shared" si="9"/>
        <v>modesg_inp_emss_scibscore_scp2</v>
      </c>
      <c r="B512" s="141" t="s">
        <v>26</v>
      </c>
      <c r="C512" s="137" t="s">
        <v>181</v>
      </c>
      <c r="D512" s="133" t="s">
        <v>40</v>
      </c>
      <c r="E512" s="134" t="s">
        <v>217</v>
      </c>
      <c r="F512" s="476" t="s">
        <v>289</v>
      </c>
      <c r="G512" s="135" t="str">
        <f>VLOOKUP(A512,Plano_V3!$A$26:$G$769,7,0)</f>
        <v>1. Concluído</v>
      </c>
      <c r="H512" s="135" t="s">
        <v>612</v>
      </c>
      <c r="I512" s="473"/>
      <c r="J512" s="153"/>
      <c r="K512" s="153"/>
      <c r="L512" s="153"/>
      <c r="M512" s="152" t="str">
        <f>IF(VLOOKUP(A512,'Aux - pivots1'!$A:$E,3,0)=0, "",VLOOKUP(A512,'Aux - pivots1'!$A:$E,3,0))</f>
        <v/>
      </c>
      <c r="N512" s="152" t="str">
        <f>IF(VLOOKUP(A512,'Aux - pivots1'!$A:$E,4,0)=0, "",VLOOKUP(A512,'Aux - pivots1'!$A:$E,4,0))</f>
        <v/>
      </c>
      <c r="O512" s="152" t="str">
        <f>IF(VLOOKUP(A512,'Aux - pivots1'!$A:$E,5,0)=0, "",VLOOKUP(A512,'Aux - pivots1'!$A:$E,5,0))</f>
        <v/>
      </c>
      <c r="P512" s="202"/>
      <c r="Q512" s="202"/>
      <c r="R512" s="202"/>
      <c r="S512" s="324"/>
      <c r="T512" s="324"/>
      <c r="U512" s="372" t="s">
        <v>2326</v>
      </c>
      <c r="V512" s="323"/>
    </row>
    <row r="513" spans="1:22" ht="16.350000000000001" hidden="1" customHeight="1">
      <c r="A513" s="29" t="str">
        <f t="shared" si="9"/>
        <v>modesg_inp_emss_scibscore_scp3</v>
      </c>
      <c r="B513" s="141" t="s">
        <v>26</v>
      </c>
      <c r="C513" s="137" t="s">
        <v>181</v>
      </c>
      <c r="D513" s="133" t="s">
        <v>40</v>
      </c>
      <c r="E513" s="134" t="s">
        <v>217</v>
      </c>
      <c r="F513" s="476" t="s">
        <v>290</v>
      </c>
      <c r="G513" s="135" t="str">
        <f>VLOOKUP(A513,Plano_V3!$A$26:$G$769,7,0)</f>
        <v>1. Concluído</v>
      </c>
      <c r="H513" s="135" t="s">
        <v>612</v>
      </c>
      <c r="I513" s="473"/>
      <c r="J513" s="153"/>
      <c r="K513" s="153"/>
      <c r="L513" s="153"/>
      <c r="M513" s="152" t="str">
        <f>IF(VLOOKUP(A513,'Aux - pivots1'!$A:$E,3,0)=0, "",VLOOKUP(A513,'Aux - pivots1'!$A:$E,3,0))</f>
        <v/>
      </c>
      <c r="N513" s="152" t="str">
        <f>IF(VLOOKUP(A513,'Aux - pivots1'!$A:$E,4,0)=0, "",VLOOKUP(A513,'Aux - pivots1'!$A:$E,4,0))</f>
        <v/>
      </c>
      <c r="O513" s="152" t="str">
        <f>IF(VLOOKUP(A513,'Aux - pivots1'!$A:$E,5,0)=0, "",VLOOKUP(A513,'Aux - pivots1'!$A:$E,5,0))</f>
        <v/>
      </c>
      <c r="P513" s="202"/>
      <c r="Q513" s="202"/>
      <c r="R513" s="202"/>
      <c r="S513" s="324"/>
      <c r="T513" s="324"/>
      <c r="U513" s="372" t="s">
        <v>2326</v>
      </c>
      <c r="V513" s="323"/>
    </row>
    <row r="514" spans="1:22" ht="16.350000000000001" hidden="1" customHeight="1">
      <c r="A514" s="29" t="str">
        <f t="shared" si="9"/>
        <v>modesg_inp_emss_sciborigem_scp1</v>
      </c>
      <c r="B514" s="141" t="s">
        <v>26</v>
      </c>
      <c r="C514" s="137" t="s">
        <v>181</v>
      </c>
      <c r="D514" s="133" t="s">
        <v>40</v>
      </c>
      <c r="E514" s="134" t="s">
        <v>217</v>
      </c>
      <c r="F514" s="476" t="s">
        <v>291</v>
      </c>
      <c r="G514" s="135" t="str">
        <f>VLOOKUP(A514,Plano_V3!$A$26:$G$769,7,0)</f>
        <v>1. Concluído</v>
      </c>
      <c r="H514" s="135" t="s">
        <v>612</v>
      </c>
      <c r="I514" s="473"/>
      <c r="J514" s="153"/>
      <c r="K514" s="153"/>
      <c r="L514" s="153"/>
      <c r="M514" s="152" t="str">
        <f>IF(VLOOKUP(A514,'Aux - pivots1'!$A:$E,3,0)=0, "",VLOOKUP(A514,'Aux - pivots1'!$A:$E,3,0))</f>
        <v/>
      </c>
      <c r="N514" s="152" t="str">
        <f>IF(VLOOKUP(A514,'Aux - pivots1'!$A:$E,4,0)=0, "",VLOOKUP(A514,'Aux - pivots1'!$A:$E,4,0))</f>
        <v/>
      </c>
      <c r="O514" s="152" t="str">
        <f>IF(VLOOKUP(A514,'Aux - pivots1'!$A:$E,5,0)=0, "",VLOOKUP(A514,'Aux - pivots1'!$A:$E,5,0))</f>
        <v/>
      </c>
      <c r="P514" s="202"/>
      <c r="Q514" s="202"/>
      <c r="R514" s="202"/>
      <c r="S514" s="324"/>
      <c r="T514" s="324"/>
      <c r="U514" s="372" t="s">
        <v>2326</v>
      </c>
      <c r="V514" s="323"/>
    </row>
    <row r="515" spans="1:22" ht="16.350000000000001" hidden="1" customHeight="1">
      <c r="A515" s="29" t="str">
        <f t="shared" si="9"/>
        <v>modesg_inp_emss_sciborigem_scp2</v>
      </c>
      <c r="B515" s="141" t="s">
        <v>26</v>
      </c>
      <c r="C515" s="137" t="s">
        <v>181</v>
      </c>
      <c r="D515" s="133" t="s">
        <v>40</v>
      </c>
      <c r="E515" s="134" t="s">
        <v>217</v>
      </c>
      <c r="F515" s="476" t="s">
        <v>292</v>
      </c>
      <c r="G515" s="135" t="str">
        <f>VLOOKUP(A515,Plano_V3!$A$26:$G$769,7,0)</f>
        <v>1. Concluído</v>
      </c>
      <c r="H515" s="135" t="s">
        <v>612</v>
      </c>
      <c r="I515" s="473"/>
      <c r="J515" s="153"/>
      <c r="K515" s="153"/>
      <c r="L515" s="153"/>
      <c r="M515" s="152" t="str">
        <f>IF(VLOOKUP(A515,'Aux - pivots1'!$A:$E,3,0)=0, "",VLOOKUP(A515,'Aux - pivots1'!$A:$E,3,0))</f>
        <v/>
      </c>
      <c r="N515" s="152" t="str">
        <f>IF(VLOOKUP(A515,'Aux - pivots1'!$A:$E,4,0)=0, "",VLOOKUP(A515,'Aux - pivots1'!$A:$E,4,0))</f>
        <v/>
      </c>
      <c r="O515" s="152" t="str">
        <f>IF(VLOOKUP(A515,'Aux - pivots1'!$A:$E,5,0)=0, "",VLOOKUP(A515,'Aux - pivots1'!$A:$E,5,0))</f>
        <v/>
      </c>
      <c r="P515" s="202"/>
      <c r="Q515" s="202"/>
      <c r="R515" s="202"/>
      <c r="S515" s="324"/>
      <c r="T515" s="324"/>
      <c r="U515" s="372" t="s">
        <v>2326</v>
      </c>
      <c r="V515" s="323"/>
    </row>
    <row r="516" spans="1:22" ht="16.350000000000001" hidden="1" customHeight="1">
      <c r="A516" s="29" t="str">
        <f t="shared" si="9"/>
        <v>modesg_inp_emss_sciborigem_scp3</v>
      </c>
      <c r="B516" s="141" t="s">
        <v>26</v>
      </c>
      <c r="C516" s="137" t="s">
        <v>181</v>
      </c>
      <c r="D516" s="133" t="s">
        <v>40</v>
      </c>
      <c r="E516" s="134" t="s">
        <v>217</v>
      </c>
      <c r="F516" s="476" t="s">
        <v>293</v>
      </c>
      <c r="G516" s="135" t="str">
        <f>VLOOKUP(A516,Plano_V3!$A$26:$G$769,7,0)</f>
        <v>1. Concluído</v>
      </c>
      <c r="H516" s="135" t="s">
        <v>612</v>
      </c>
      <c r="I516" s="473"/>
      <c r="J516" s="153"/>
      <c r="K516" s="153"/>
      <c r="L516" s="153"/>
      <c r="M516" s="152" t="str">
        <f>IF(VLOOKUP(A516,'Aux - pivots1'!$A:$E,3,0)=0, "",VLOOKUP(A516,'Aux - pivots1'!$A:$E,3,0))</f>
        <v/>
      </c>
      <c r="N516" s="152" t="str">
        <f>IF(VLOOKUP(A516,'Aux - pivots1'!$A:$E,4,0)=0, "",VLOOKUP(A516,'Aux - pivots1'!$A:$E,4,0))</f>
        <v/>
      </c>
      <c r="O516" s="152" t="str">
        <f>IF(VLOOKUP(A516,'Aux - pivots1'!$A:$E,5,0)=0, "",VLOOKUP(A516,'Aux - pivots1'!$A:$E,5,0))</f>
        <v/>
      </c>
      <c r="P516" s="202"/>
      <c r="Q516" s="202"/>
      <c r="R516" s="202"/>
      <c r="S516" s="324"/>
      <c r="T516" s="324"/>
      <c r="U516" s="372" t="s">
        <v>2326</v>
      </c>
      <c r="V516" s="323"/>
    </row>
    <row r="517" spans="1:22" ht="16.350000000000001" hidden="1" customHeight="1">
      <c r="A517" s="29" t="str">
        <f t="shared" si="9"/>
        <v>modesg_inp_emss_scibano_info</v>
      </c>
      <c r="B517" s="141" t="s">
        <v>26</v>
      </c>
      <c r="C517" s="137" t="s">
        <v>181</v>
      </c>
      <c r="D517" s="133" t="s">
        <v>40</v>
      </c>
      <c r="E517" s="134" t="s">
        <v>217</v>
      </c>
      <c r="F517" s="476" t="s">
        <v>294</v>
      </c>
      <c r="G517" s="135" t="str">
        <f>VLOOKUP(A517,Plano_V3!$A$26:$G$769,7,0)</f>
        <v>1. Concluído</v>
      </c>
      <c r="H517" s="135" t="s">
        <v>612</v>
      </c>
      <c r="I517" s="473"/>
      <c r="J517" s="153"/>
      <c r="K517" s="153"/>
      <c r="L517" s="153"/>
      <c r="M517" s="152" t="str">
        <f>IF(VLOOKUP(A517,'Aux - pivots1'!$A:$E,3,0)=0, "",VLOOKUP(A517,'Aux - pivots1'!$A:$E,3,0))</f>
        <v/>
      </c>
      <c r="N517" s="152" t="str">
        <f>IF(VLOOKUP(A517,'Aux - pivots1'!$A:$E,4,0)=0, "",VLOOKUP(A517,'Aux - pivots1'!$A:$E,4,0))</f>
        <v/>
      </c>
      <c r="O517" s="152" t="str">
        <f>IF(VLOOKUP(A517,'Aux - pivots1'!$A:$E,5,0)=0, "",VLOOKUP(A517,'Aux - pivots1'!$A:$E,5,0))</f>
        <v/>
      </c>
      <c r="P517" s="202"/>
      <c r="Q517" s="202"/>
      <c r="R517" s="202"/>
      <c r="S517" s="324"/>
      <c r="T517" s="324"/>
      <c r="U517" s="372" t="s">
        <v>2326</v>
      </c>
      <c r="V517" s="323"/>
    </row>
    <row r="518" spans="1:22" ht="16.350000000000001" hidden="1" customHeight="1">
      <c r="A518" s="29" t="str">
        <f t="shared" si="9"/>
        <v>modesg_inp_emss_scibdivida_total</v>
      </c>
      <c r="B518" s="141" t="s">
        <v>26</v>
      </c>
      <c r="C518" s="137" t="s">
        <v>181</v>
      </c>
      <c r="D518" s="133" t="s">
        <v>40</v>
      </c>
      <c r="E518" s="134" t="s">
        <v>217</v>
      </c>
      <c r="F518" s="476" t="s">
        <v>295</v>
      </c>
      <c r="G518" s="135" t="str">
        <f>VLOOKUP(A518,Plano_V3!$A$26:$G$769,7,0)</f>
        <v>1. Concluído</v>
      </c>
      <c r="H518" s="135" t="s">
        <v>612</v>
      </c>
      <c r="I518" s="473"/>
      <c r="J518" s="153"/>
      <c r="K518" s="153"/>
      <c r="L518" s="153"/>
      <c r="M518" s="152" t="str">
        <f>IF(VLOOKUP(A518,'Aux - pivots1'!$A:$E,3,0)=0, "",VLOOKUP(A518,'Aux - pivots1'!$A:$E,3,0))</f>
        <v/>
      </c>
      <c r="N518" s="152" t="str">
        <f>IF(VLOOKUP(A518,'Aux - pivots1'!$A:$E,4,0)=0, "",VLOOKUP(A518,'Aux - pivots1'!$A:$E,4,0))</f>
        <v/>
      </c>
      <c r="O518" s="152" t="str">
        <f>IF(VLOOKUP(A518,'Aux - pivots1'!$A:$E,5,0)=0, "",VLOOKUP(A518,'Aux - pivots1'!$A:$E,5,0))</f>
        <v/>
      </c>
      <c r="P518" s="202"/>
      <c r="Q518" s="202"/>
      <c r="R518" s="202"/>
      <c r="S518" s="324"/>
      <c r="T518" s="324"/>
      <c r="U518" s="372" t="s">
        <v>2326</v>
      </c>
      <c r="V518" s="323"/>
    </row>
    <row r="519" spans="1:22" ht="16.350000000000001" hidden="1" customHeight="1">
      <c r="A519" s="29" t="str">
        <f t="shared" si="9"/>
        <v>modesg_inp_emss_scibcapital_proprio</v>
      </c>
      <c r="B519" s="141" t="s">
        <v>26</v>
      </c>
      <c r="C519" s="137" t="s">
        <v>181</v>
      </c>
      <c r="D519" s="133" t="s">
        <v>40</v>
      </c>
      <c r="E519" s="134" t="s">
        <v>217</v>
      </c>
      <c r="F519" s="476" t="s">
        <v>296</v>
      </c>
      <c r="G519" s="135" t="str">
        <f>VLOOKUP(A519,Plano_V3!$A$26:$G$769,7,0)</f>
        <v>1. Concluído</v>
      </c>
      <c r="H519" s="135" t="s">
        <v>612</v>
      </c>
      <c r="I519" s="473"/>
      <c r="J519" s="153"/>
      <c r="K519" s="153"/>
      <c r="L519" s="153"/>
      <c r="M519" s="152" t="str">
        <f>IF(VLOOKUP(A519,'Aux - pivots1'!$A:$E,3,0)=0, "",VLOOKUP(A519,'Aux - pivots1'!$A:$E,3,0))</f>
        <v/>
      </c>
      <c r="N519" s="152" t="str">
        <f>IF(VLOOKUP(A519,'Aux - pivots1'!$A:$E,4,0)=0, "",VLOOKUP(A519,'Aux - pivots1'!$A:$E,4,0))</f>
        <v/>
      </c>
      <c r="O519" s="152" t="str">
        <f>IF(VLOOKUP(A519,'Aux - pivots1'!$A:$E,5,0)=0, "",VLOOKUP(A519,'Aux - pivots1'!$A:$E,5,0))</f>
        <v/>
      </c>
      <c r="P519" s="202"/>
      <c r="Q519" s="202"/>
      <c r="R519" s="202"/>
      <c r="S519" s="324"/>
      <c r="T519" s="324"/>
      <c r="U519" s="372" t="s">
        <v>2326</v>
      </c>
      <c r="V519" s="323"/>
    </row>
    <row r="520" spans="1:22" ht="16.350000000000001" hidden="1" customHeight="1">
      <c r="A520" s="29" t="str">
        <f t="shared" si="9"/>
        <v>modesg_inp_emss_naceref_date</v>
      </c>
      <c r="B520" s="141" t="s">
        <v>26</v>
      </c>
      <c r="C520" s="137" t="s">
        <v>181</v>
      </c>
      <c r="D520" s="133" t="s">
        <v>40</v>
      </c>
      <c r="E520" s="134" t="s">
        <v>218</v>
      </c>
      <c r="F520" s="476" t="s">
        <v>208</v>
      </c>
      <c r="G520" s="135" t="str">
        <f>VLOOKUP(A520,Plano_V3!$A$26:$G$769,7,0)</f>
        <v>1. Concluído</v>
      </c>
      <c r="H520" s="135" t="s">
        <v>612</v>
      </c>
      <c r="I520" s="473"/>
      <c r="J520" s="142"/>
      <c r="K520" s="142"/>
      <c r="L520" s="142" t="s">
        <v>2360</v>
      </c>
      <c r="M520" s="152" t="str">
        <f>IF(VLOOKUP(A520,'Aux - pivots1'!$A:$E,3,0)=0, "",VLOOKUP(A520,'Aux - pivots1'!$A:$E,3,0))</f>
        <v/>
      </c>
      <c r="N520" s="152" t="str">
        <f>IF(VLOOKUP(A520,'Aux - pivots1'!$A:$E,4,0)=0, "",VLOOKUP(A520,'Aux - pivots1'!$A:$E,4,0))</f>
        <v/>
      </c>
      <c r="O520" s="152" t="str">
        <f>IF(VLOOKUP(A520,'Aux - pivots1'!$A:$E,5,0)=0, "",VLOOKUP(A520,'Aux - pivots1'!$A:$E,5,0))</f>
        <v/>
      </c>
      <c r="P520" s="202"/>
      <c r="Q520" s="202"/>
      <c r="R520" s="202"/>
      <c r="S520" s="324"/>
      <c r="T520" s="324"/>
      <c r="U520" s="372" t="s">
        <v>2326</v>
      </c>
      <c r="V520" s="323"/>
    </row>
    <row r="521" spans="1:22" ht="16.350000000000001" hidden="1" customHeight="1">
      <c r="A521" s="29" t="str">
        <f t="shared" si="9"/>
        <v>modesg_inp_emss_naceano</v>
      </c>
      <c r="B521" s="141" t="s">
        <v>26</v>
      </c>
      <c r="C521" s="137" t="s">
        <v>181</v>
      </c>
      <c r="D521" s="133" t="s">
        <v>40</v>
      </c>
      <c r="E521" s="134" t="s">
        <v>218</v>
      </c>
      <c r="F521" s="476" t="s">
        <v>297</v>
      </c>
      <c r="G521" s="135" t="str">
        <f>VLOOKUP(A521,Plano_V3!$A$26:$G$769,7,0)</f>
        <v>1. Concluído</v>
      </c>
      <c r="H521" s="135" t="s">
        <v>612</v>
      </c>
      <c r="I521" s="473"/>
      <c r="J521" s="490"/>
      <c r="K521" s="490"/>
      <c r="L521" s="142" t="s">
        <v>2360</v>
      </c>
      <c r="M521" s="152" t="str">
        <f>IF(VLOOKUP(A521,'Aux - pivots1'!$A:$E,3,0)=0, "",VLOOKUP(A521,'Aux - pivots1'!$A:$E,3,0))</f>
        <v/>
      </c>
      <c r="N521" s="152" t="str">
        <f>IF(VLOOKUP(A521,'Aux - pivots1'!$A:$E,4,0)=0, "",VLOOKUP(A521,'Aux - pivots1'!$A:$E,4,0))</f>
        <v/>
      </c>
      <c r="O521" s="152" t="str">
        <f>IF(VLOOKUP(A521,'Aux - pivots1'!$A:$E,5,0)=0, "",VLOOKUP(A521,'Aux - pivots1'!$A:$E,5,0))</f>
        <v/>
      </c>
      <c r="P521" s="202"/>
      <c r="Q521" s="202"/>
      <c r="R521" s="202"/>
      <c r="S521" s="324"/>
      <c r="T521" s="324"/>
      <c r="U521" s="372" t="s">
        <v>2326</v>
      </c>
      <c r="V521" s="323"/>
    </row>
    <row r="522" spans="1:22" ht="16.350000000000001" hidden="1" customHeight="1">
      <c r="A522" s="29" t="str">
        <f t="shared" si="9"/>
        <v>modesg_inp_emss_nacenome_pais</v>
      </c>
      <c r="B522" s="141" t="s">
        <v>26</v>
      </c>
      <c r="C522" s="137" t="s">
        <v>181</v>
      </c>
      <c r="D522" s="133" t="s">
        <v>40</v>
      </c>
      <c r="E522" s="134" t="s">
        <v>218</v>
      </c>
      <c r="F522" s="476" t="s">
        <v>221</v>
      </c>
      <c r="G522" s="135" t="str">
        <f>VLOOKUP(A522,Plano_V3!$A$26:$G$769,7,0)</f>
        <v>1. Concluído</v>
      </c>
      <c r="H522" s="135" t="s">
        <v>612</v>
      </c>
      <c r="I522" s="473"/>
      <c r="J522" s="490"/>
      <c r="K522" s="490"/>
      <c r="L522" s="142" t="s">
        <v>2360</v>
      </c>
      <c r="M522" s="152" t="str">
        <f>IF(VLOOKUP(A522,'Aux - pivots1'!$A:$E,3,0)=0, "",VLOOKUP(A522,'Aux - pivots1'!$A:$E,3,0))</f>
        <v/>
      </c>
      <c r="N522" s="152" t="str">
        <f>IF(VLOOKUP(A522,'Aux - pivots1'!$A:$E,4,0)=0, "",VLOOKUP(A522,'Aux - pivots1'!$A:$E,4,0))</f>
        <v/>
      </c>
      <c r="O522" s="152" t="str">
        <f>IF(VLOOKUP(A522,'Aux - pivots1'!$A:$E,5,0)=0, "",VLOOKUP(A522,'Aux - pivots1'!$A:$E,5,0))</f>
        <v/>
      </c>
      <c r="P522" s="202"/>
      <c r="Q522" s="202"/>
      <c r="R522" s="202"/>
      <c r="S522" s="324"/>
      <c r="T522" s="324"/>
      <c r="U522" s="372" t="s">
        <v>2326</v>
      </c>
      <c r="V522" s="323"/>
    </row>
    <row r="523" spans="1:22" ht="16.350000000000001" hidden="1" customHeight="1">
      <c r="A523" s="29" t="str">
        <f t="shared" si="9"/>
        <v>modesg_inp_emss_nacecod_nace_esg</v>
      </c>
      <c r="B523" s="141" t="s">
        <v>26</v>
      </c>
      <c r="C523" s="137" t="s">
        <v>181</v>
      </c>
      <c r="D523" s="133" t="s">
        <v>40</v>
      </c>
      <c r="E523" s="134" t="s">
        <v>218</v>
      </c>
      <c r="F523" s="476" t="s">
        <v>281</v>
      </c>
      <c r="G523" s="135" t="str">
        <f>VLOOKUP(A523,Plano_V3!$A$26:$G$769,7,0)</f>
        <v>1. Concluído</v>
      </c>
      <c r="H523" s="135" t="s">
        <v>612</v>
      </c>
      <c r="I523" s="473"/>
      <c r="J523" s="490"/>
      <c r="K523" s="490"/>
      <c r="L523" s="142" t="s">
        <v>2360</v>
      </c>
      <c r="M523" s="152" t="str">
        <f>IF(VLOOKUP(A523,'Aux - pivots1'!$A:$E,3,0)=0, "",VLOOKUP(A523,'Aux - pivots1'!$A:$E,3,0))</f>
        <v/>
      </c>
      <c r="N523" s="152" t="str">
        <f>IF(VLOOKUP(A523,'Aux - pivots1'!$A:$E,4,0)=0, "",VLOOKUP(A523,'Aux - pivots1'!$A:$E,4,0))</f>
        <v/>
      </c>
      <c r="O523" s="152" t="str">
        <f>IF(VLOOKUP(A523,'Aux - pivots1'!$A:$E,5,0)=0, "",VLOOKUP(A523,'Aux - pivots1'!$A:$E,5,0))</f>
        <v/>
      </c>
      <c r="P523" s="202"/>
      <c r="Q523" s="202"/>
      <c r="R523" s="202"/>
      <c r="S523" s="324"/>
      <c r="T523" s="324"/>
      <c r="U523" s="372" t="s">
        <v>2326</v>
      </c>
      <c r="V523" s="323"/>
    </row>
    <row r="524" spans="1:22" ht="16.350000000000001" hidden="1" customHeight="1">
      <c r="A524" s="29" t="str">
        <f t="shared" si="9"/>
        <v>modesg_inp_emss_nacecod_class_indust</v>
      </c>
      <c r="B524" s="141" t="s">
        <v>26</v>
      </c>
      <c r="C524" s="137" t="s">
        <v>181</v>
      </c>
      <c r="D524" s="133" t="s">
        <v>40</v>
      </c>
      <c r="E524" s="134" t="s">
        <v>218</v>
      </c>
      <c r="F524" s="476" t="s">
        <v>298</v>
      </c>
      <c r="G524" s="135" t="str">
        <f>VLOOKUP(A524,Plano_V3!$A$26:$G$769,7,0)</f>
        <v>1. Concluído</v>
      </c>
      <c r="H524" s="135" t="s">
        <v>612</v>
      </c>
      <c r="I524" s="473"/>
      <c r="J524" s="490"/>
      <c r="K524" s="490"/>
      <c r="L524" s="142" t="s">
        <v>2360</v>
      </c>
      <c r="M524" s="152" t="str">
        <f>IF(VLOOKUP(A524,'Aux - pivots1'!$A:$E,3,0)=0, "",VLOOKUP(A524,'Aux - pivots1'!$A:$E,3,0))</f>
        <v/>
      </c>
      <c r="N524" s="152" t="str">
        <f>IF(VLOOKUP(A524,'Aux - pivots1'!$A:$E,4,0)=0, "",VLOOKUP(A524,'Aux - pivots1'!$A:$E,4,0))</f>
        <v/>
      </c>
      <c r="O524" s="152" t="str">
        <f>IF(VLOOKUP(A524,'Aux - pivots1'!$A:$E,5,0)=0, "",VLOOKUP(A524,'Aux - pivots1'!$A:$E,5,0))</f>
        <v/>
      </c>
      <c r="P524" s="202"/>
      <c r="Q524" s="202"/>
      <c r="R524" s="202"/>
      <c r="S524" s="324"/>
      <c r="T524" s="324"/>
      <c r="U524" s="372" t="s">
        <v>2326</v>
      </c>
      <c r="V524" s="323"/>
    </row>
    <row r="525" spans="1:22" ht="16.350000000000001" hidden="1" customHeight="1">
      <c r="A525" s="29" t="str">
        <f t="shared" ref="A525:A588" si="10">E525&amp;F525</f>
        <v>modesg_inp_emss_nacenivel_classificacao_1</v>
      </c>
      <c r="B525" s="141" t="s">
        <v>26</v>
      </c>
      <c r="C525" s="137" t="s">
        <v>181</v>
      </c>
      <c r="D525" s="133" t="s">
        <v>40</v>
      </c>
      <c r="E525" s="134" t="s">
        <v>218</v>
      </c>
      <c r="F525" s="476" t="s">
        <v>299</v>
      </c>
      <c r="G525" s="135" t="str">
        <f>VLOOKUP(A525,Plano_V3!$A$26:$G$769,7,0)</f>
        <v>1. Concluído</v>
      </c>
      <c r="H525" s="135" t="s">
        <v>612</v>
      </c>
      <c r="I525" s="473"/>
      <c r="J525" s="490"/>
      <c r="K525" s="490"/>
      <c r="L525" s="142" t="s">
        <v>2360</v>
      </c>
      <c r="M525" s="152" t="str">
        <f>IF(VLOOKUP(A525,'Aux - pivots1'!$A:$E,3,0)=0, "",VLOOKUP(A525,'Aux - pivots1'!$A:$E,3,0))</f>
        <v/>
      </c>
      <c r="N525" s="152" t="str">
        <f>IF(VLOOKUP(A525,'Aux - pivots1'!$A:$E,4,0)=0, "",VLOOKUP(A525,'Aux - pivots1'!$A:$E,4,0))</f>
        <v/>
      </c>
      <c r="O525" s="152" t="str">
        <f>IF(VLOOKUP(A525,'Aux - pivots1'!$A:$E,5,0)=0, "",VLOOKUP(A525,'Aux - pivots1'!$A:$E,5,0))</f>
        <v/>
      </c>
      <c r="P525" s="202"/>
      <c r="Q525" s="202"/>
      <c r="R525" s="202"/>
      <c r="S525" s="324"/>
      <c r="T525" s="324"/>
      <c r="U525" s="372" t="s">
        <v>2326</v>
      </c>
      <c r="V525" s="323"/>
    </row>
    <row r="526" spans="1:22" ht="16.350000000000001" hidden="1" customHeight="1">
      <c r="A526" s="29" t="str">
        <f t="shared" si="10"/>
        <v>modesg_inp_emss_naceclasse_ativo</v>
      </c>
      <c r="B526" s="141" t="s">
        <v>26</v>
      </c>
      <c r="C526" s="137" t="s">
        <v>181</v>
      </c>
      <c r="D526" s="133" t="s">
        <v>40</v>
      </c>
      <c r="E526" s="134" t="s">
        <v>218</v>
      </c>
      <c r="F526" s="476" t="s">
        <v>300</v>
      </c>
      <c r="G526" s="135" t="str">
        <f>VLOOKUP(A526,Plano_V3!$A$26:$G$769,7,0)</f>
        <v>1. Concluído</v>
      </c>
      <c r="H526" s="135" t="s">
        <v>612</v>
      </c>
      <c r="I526" s="473"/>
      <c r="J526" s="490"/>
      <c r="K526" s="490"/>
      <c r="L526" s="142" t="s">
        <v>2360</v>
      </c>
      <c r="M526" s="152" t="str">
        <f>IF(VLOOKUP(A526,'Aux - pivots1'!$A:$E,3,0)=0, "",VLOOKUP(A526,'Aux - pivots1'!$A:$E,3,0))</f>
        <v/>
      </c>
      <c r="N526" s="152" t="str">
        <f>IF(VLOOKUP(A526,'Aux - pivots1'!$A:$E,4,0)=0, "",VLOOKUP(A526,'Aux - pivots1'!$A:$E,4,0))</f>
        <v/>
      </c>
      <c r="O526" s="152" t="str">
        <f>IF(VLOOKUP(A526,'Aux - pivots1'!$A:$E,5,0)=0, "",VLOOKUP(A526,'Aux - pivots1'!$A:$E,5,0))</f>
        <v/>
      </c>
      <c r="P526" s="202"/>
      <c r="Q526" s="202"/>
      <c r="R526" s="202"/>
      <c r="S526" s="324"/>
      <c r="T526" s="324"/>
      <c r="U526" s="372" t="s">
        <v>2326</v>
      </c>
      <c r="V526" s="323"/>
    </row>
    <row r="527" spans="1:22" ht="16.350000000000001" hidden="1" customHeight="1">
      <c r="A527" s="29" t="str">
        <f t="shared" si="10"/>
        <v>modesg_inp_emss_naceopcao_metodologia</v>
      </c>
      <c r="B527" s="141" t="s">
        <v>26</v>
      </c>
      <c r="C527" s="137" t="s">
        <v>181</v>
      </c>
      <c r="D527" s="133" t="s">
        <v>40</v>
      </c>
      <c r="E527" s="134" t="s">
        <v>218</v>
      </c>
      <c r="F527" s="476" t="s">
        <v>301</v>
      </c>
      <c r="G527" s="135" t="str">
        <f>VLOOKUP(A527,Plano_V3!$A$26:$G$769,7,0)</f>
        <v>1. Concluído</v>
      </c>
      <c r="H527" s="135" t="s">
        <v>612</v>
      </c>
      <c r="I527" s="473"/>
      <c r="J527" s="490"/>
      <c r="K527" s="490"/>
      <c r="L527" s="142" t="s">
        <v>2360</v>
      </c>
      <c r="M527" s="152" t="str">
        <f>IF(VLOOKUP(A527,'Aux - pivots1'!$A:$E,3,0)=0, "",VLOOKUP(A527,'Aux - pivots1'!$A:$E,3,0))</f>
        <v/>
      </c>
      <c r="N527" s="152" t="str">
        <f>IF(VLOOKUP(A527,'Aux - pivots1'!$A:$E,4,0)=0, "",VLOOKUP(A527,'Aux - pivots1'!$A:$E,4,0))</f>
        <v/>
      </c>
      <c r="O527" s="152" t="str">
        <f>IF(VLOOKUP(A527,'Aux - pivots1'!$A:$E,5,0)=0, "",VLOOKUP(A527,'Aux - pivots1'!$A:$E,5,0))</f>
        <v/>
      </c>
      <c r="P527" s="202"/>
      <c r="Q527" s="202"/>
      <c r="R527" s="202"/>
      <c r="S527" s="324"/>
      <c r="T527" s="324"/>
      <c r="U527" s="372" t="s">
        <v>2326</v>
      </c>
      <c r="V527" s="323"/>
    </row>
    <row r="528" spans="1:22" ht="16.350000000000001" hidden="1" customHeight="1">
      <c r="A528" s="29" t="str">
        <f t="shared" si="10"/>
        <v>modesg_inp_emss_naceunidade_funcional</v>
      </c>
      <c r="B528" s="141" t="s">
        <v>26</v>
      </c>
      <c r="C528" s="137" t="s">
        <v>181</v>
      </c>
      <c r="D528" s="133" t="s">
        <v>40</v>
      </c>
      <c r="E528" s="134" t="s">
        <v>218</v>
      </c>
      <c r="F528" s="476" t="s">
        <v>229</v>
      </c>
      <c r="G528" s="135" t="str">
        <f>VLOOKUP(A528,Plano_V3!$A$26:$G$769,7,0)</f>
        <v>1. Concluído</v>
      </c>
      <c r="H528" s="135" t="s">
        <v>612</v>
      </c>
      <c r="I528" s="473"/>
      <c r="J528" s="490"/>
      <c r="K528" s="490"/>
      <c r="L528" s="142" t="s">
        <v>2360</v>
      </c>
      <c r="M528" s="152" t="str">
        <f>IF(VLOOKUP(A528,'Aux - pivots1'!$A:$E,3,0)=0, "",VLOOKUP(A528,'Aux - pivots1'!$A:$E,3,0))</f>
        <v/>
      </c>
      <c r="N528" s="152" t="str">
        <f>IF(VLOOKUP(A528,'Aux - pivots1'!$A:$E,4,0)=0, "",VLOOKUP(A528,'Aux - pivots1'!$A:$E,4,0))</f>
        <v/>
      </c>
      <c r="O528" s="152" t="str">
        <f>IF(VLOOKUP(A528,'Aux - pivots1'!$A:$E,5,0)=0, "",VLOOKUP(A528,'Aux - pivots1'!$A:$E,5,0))</f>
        <v/>
      </c>
      <c r="P528" s="202"/>
      <c r="Q528" s="202"/>
      <c r="R528" s="202"/>
      <c r="S528" s="324"/>
      <c r="T528" s="324"/>
      <c r="U528" s="372" t="s">
        <v>2326</v>
      </c>
      <c r="V528" s="323"/>
    </row>
    <row r="529" spans="1:22" ht="16.350000000000001" hidden="1" customHeight="1">
      <c r="A529" s="29" t="str">
        <f t="shared" si="10"/>
        <v>modesg_inp_emss_naceunidades_fator_de_emissao</v>
      </c>
      <c r="B529" s="141" t="s">
        <v>26</v>
      </c>
      <c r="C529" s="137" t="s">
        <v>181</v>
      </c>
      <c r="D529" s="133" t="s">
        <v>40</v>
      </c>
      <c r="E529" s="134" t="s">
        <v>218</v>
      </c>
      <c r="F529" s="476" t="s">
        <v>302</v>
      </c>
      <c r="G529" s="135" t="str">
        <f>VLOOKUP(A529,Plano_V3!$A$26:$G$769,7,0)</f>
        <v>1. Concluído</v>
      </c>
      <c r="H529" s="135" t="s">
        <v>612</v>
      </c>
      <c r="I529" s="473"/>
      <c r="J529" s="490"/>
      <c r="K529" s="490"/>
      <c r="L529" s="142" t="s">
        <v>2360</v>
      </c>
      <c r="M529" s="152" t="str">
        <f>IF(VLOOKUP(A529,'Aux - pivots1'!$A:$E,3,0)=0, "",VLOOKUP(A529,'Aux - pivots1'!$A:$E,3,0))</f>
        <v/>
      </c>
      <c r="N529" s="152" t="str">
        <f>IF(VLOOKUP(A529,'Aux - pivots1'!$A:$E,4,0)=0, "",VLOOKUP(A529,'Aux - pivots1'!$A:$E,4,0))</f>
        <v/>
      </c>
      <c r="O529" s="152" t="str">
        <f>IF(VLOOKUP(A529,'Aux - pivots1'!$A:$E,5,0)=0, "",VLOOKUP(A529,'Aux - pivots1'!$A:$E,5,0))</f>
        <v/>
      </c>
      <c r="P529" s="202"/>
      <c r="Q529" s="202"/>
      <c r="R529" s="202"/>
      <c r="S529" s="324"/>
      <c r="T529" s="324"/>
      <c r="U529" s="372" t="s">
        <v>2326</v>
      </c>
      <c r="V529" s="323"/>
    </row>
    <row r="530" spans="1:22" ht="16.350000000000001" hidden="1" customHeight="1">
      <c r="A530" s="29" t="str">
        <f t="shared" si="10"/>
        <v>modesg_inp_emss_nacescore_qualidade</v>
      </c>
      <c r="B530" s="141" t="s">
        <v>26</v>
      </c>
      <c r="C530" s="137" t="s">
        <v>181</v>
      </c>
      <c r="D530" s="133" t="s">
        <v>40</v>
      </c>
      <c r="E530" s="134" t="s">
        <v>218</v>
      </c>
      <c r="F530" s="476" t="s">
        <v>232</v>
      </c>
      <c r="G530" s="135" t="str">
        <f>VLOOKUP(A530,Plano_V3!$A$26:$G$769,7,0)</f>
        <v>1. Concluído</v>
      </c>
      <c r="H530" s="135" t="s">
        <v>612</v>
      </c>
      <c r="I530" s="473"/>
      <c r="J530" s="490"/>
      <c r="K530" s="490"/>
      <c r="L530" s="142" t="s">
        <v>2360</v>
      </c>
      <c r="M530" s="152" t="str">
        <f>IF(VLOOKUP(A530,'Aux - pivots1'!$A:$E,3,0)=0, "",VLOOKUP(A530,'Aux - pivots1'!$A:$E,3,0))</f>
        <v/>
      </c>
      <c r="N530" s="152" t="str">
        <f>IF(VLOOKUP(A530,'Aux - pivots1'!$A:$E,4,0)=0, "",VLOOKUP(A530,'Aux - pivots1'!$A:$E,4,0))</f>
        <v/>
      </c>
      <c r="O530" s="152" t="str">
        <f>IF(VLOOKUP(A530,'Aux - pivots1'!$A:$E,5,0)=0, "",VLOOKUP(A530,'Aux - pivots1'!$A:$E,5,0))</f>
        <v/>
      </c>
      <c r="P530" s="202"/>
      <c r="Q530" s="202"/>
      <c r="R530" s="202"/>
      <c r="S530" s="324"/>
      <c r="T530" s="324"/>
      <c r="U530" s="372" t="s">
        <v>2326</v>
      </c>
      <c r="V530" s="323"/>
    </row>
    <row r="531" spans="1:22" ht="16.350000000000001" hidden="1" customHeight="1">
      <c r="A531" s="29" t="str">
        <f t="shared" si="10"/>
        <v>modesg_inp_emss_nacescp1_ftr_emss</v>
      </c>
      <c r="B531" s="141" t="s">
        <v>26</v>
      </c>
      <c r="C531" s="137" t="s">
        <v>181</v>
      </c>
      <c r="D531" s="133" t="s">
        <v>40</v>
      </c>
      <c r="E531" s="134" t="s">
        <v>218</v>
      </c>
      <c r="F531" s="476" t="s">
        <v>233</v>
      </c>
      <c r="G531" s="135" t="str">
        <f>VLOOKUP(A531,Plano_V3!$A$26:$G$769,7,0)</f>
        <v>1. Concluído</v>
      </c>
      <c r="H531" s="135" t="s">
        <v>612</v>
      </c>
      <c r="I531" s="473"/>
      <c r="J531" s="490"/>
      <c r="K531" s="490"/>
      <c r="L531" s="142" t="s">
        <v>2360</v>
      </c>
      <c r="M531" s="152" t="str">
        <f>IF(VLOOKUP(A531,'Aux - pivots1'!$A:$E,3,0)=0, "",VLOOKUP(A531,'Aux - pivots1'!$A:$E,3,0))</f>
        <v/>
      </c>
      <c r="N531" s="152" t="str">
        <f>IF(VLOOKUP(A531,'Aux - pivots1'!$A:$E,4,0)=0, "",VLOOKUP(A531,'Aux - pivots1'!$A:$E,4,0))</f>
        <v/>
      </c>
      <c r="O531" s="152" t="str">
        <f>IF(VLOOKUP(A531,'Aux - pivots1'!$A:$E,5,0)=0, "",VLOOKUP(A531,'Aux - pivots1'!$A:$E,5,0))</f>
        <v/>
      </c>
      <c r="P531" s="202"/>
      <c r="Q531" s="202"/>
      <c r="R531" s="202"/>
      <c r="S531" s="324"/>
      <c r="T531" s="324"/>
      <c r="U531" s="372" t="s">
        <v>2326</v>
      </c>
      <c r="V531" s="323"/>
    </row>
    <row r="532" spans="1:22" ht="16.350000000000001" hidden="1" customHeight="1">
      <c r="A532" s="29" t="str">
        <f t="shared" si="10"/>
        <v>modesg_inp_emss_nacescp2_ftr_emss</v>
      </c>
      <c r="B532" s="141" t="s">
        <v>26</v>
      </c>
      <c r="C532" s="137" t="s">
        <v>181</v>
      </c>
      <c r="D532" s="133" t="s">
        <v>40</v>
      </c>
      <c r="E532" s="134" t="s">
        <v>218</v>
      </c>
      <c r="F532" s="476" t="s">
        <v>234</v>
      </c>
      <c r="G532" s="135" t="str">
        <f>VLOOKUP(A532,Plano_V3!$A$26:$G$769,7,0)</f>
        <v>1. Concluído</v>
      </c>
      <c r="H532" s="135" t="s">
        <v>612</v>
      </c>
      <c r="I532" s="473"/>
      <c r="J532" s="490"/>
      <c r="K532" s="490"/>
      <c r="L532" s="142" t="s">
        <v>2360</v>
      </c>
      <c r="M532" s="152" t="str">
        <f>IF(VLOOKUP(A532,'Aux - pivots1'!$A:$E,3,0)=0, "",VLOOKUP(A532,'Aux - pivots1'!$A:$E,3,0))</f>
        <v/>
      </c>
      <c r="N532" s="152" t="str">
        <f>IF(VLOOKUP(A532,'Aux - pivots1'!$A:$E,4,0)=0, "",VLOOKUP(A532,'Aux - pivots1'!$A:$E,4,0))</f>
        <v/>
      </c>
      <c r="O532" s="152" t="str">
        <f>IF(VLOOKUP(A532,'Aux - pivots1'!$A:$E,5,0)=0, "",VLOOKUP(A532,'Aux - pivots1'!$A:$E,5,0))</f>
        <v/>
      </c>
      <c r="P532" s="202"/>
      <c r="Q532" s="202"/>
      <c r="R532" s="202"/>
      <c r="S532" s="324"/>
      <c r="T532" s="324"/>
      <c r="U532" s="372" t="s">
        <v>2326</v>
      </c>
      <c r="V532" s="323"/>
    </row>
    <row r="533" spans="1:22" ht="16.350000000000001" hidden="1" customHeight="1">
      <c r="A533" s="29" t="str">
        <f t="shared" si="10"/>
        <v>modesg_inp_emss_nacescp3_ftr_emss</v>
      </c>
      <c r="B533" s="141" t="s">
        <v>26</v>
      </c>
      <c r="C533" s="137" t="s">
        <v>181</v>
      </c>
      <c r="D533" s="133" t="s">
        <v>40</v>
      </c>
      <c r="E533" s="134" t="s">
        <v>218</v>
      </c>
      <c r="F533" s="476" t="s">
        <v>235</v>
      </c>
      <c r="G533" s="135" t="str">
        <f>VLOOKUP(A533,Plano_V3!$A$26:$G$769,7,0)</f>
        <v>1. Concluído</v>
      </c>
      <c r="H533" s="135" t="s">
        <v>612</v>
      </c>
      <c r="I533" s="473"/>
      <c r="J533" s="142"/>
      <c r="K533" s="142"/>
      <c r="L533" s="142" t="s">
        <v>2360</v>
      </c>
      <c r="M533" s="152" t="str">
        <f>IF(VLOOKUP(A533,'Aux - pivots1'!$A:$E,3,0)=0, "",VLOOKUP(A533,'Aux - pivots1'!$A:$E,3,0))</f>
        <v/>
      </c>
      <c r="N533" s="152" t="str">
        <f>IF(VLOOKUP(A533,'Aux - pivots1'!$A:$E,4,0)=0, "",VLOOKUP(A533,'Aux - pivots1'!$A:$E,4,0))</f>
        <v/>
      </c>
      <c r="O533" s="152" t="str">
        <f>IF(VLOOKUP(A533,'Aux - pivots1'!$A:$E,5,0)=0, "",VLOOKUP(A533,'Aux - pivots1'!$A:$E,5,0))</f>
        <v/>
      </c>
      <c r="P533" s="202"/>
      <c r="Q533" s="202"/>
      <c r="R533" s="202"/>
      <c r="S533" s="324"/>
      <c r="T533" s="324"/>
      <c r="U533" s="372" t="s">
        <v>2326</v>
      </c>
      <c r="V533" s="323"/>
    </row>
    <row r="534" spans="1:22" ht="16.350000000000001" hidden="1" customHeight="1">
      <c r="A534" s="29" t="str">
        <f t="shared" si="10"/>
        <v>modesg_inp_emss_bens_imoveisref_date</v>
      </c>
      <c r="B534" s="141" t="s">
        <v>26</v>
      </c>
      <c r="C534" s="137" t="s">
        <v>181</v>
      </c>
      <c r="D534" s="133" t="s">
        <v>40</v>
      </c>
      <c r="E534" s="134" t="s">
        <v>219</v>
      </c>
      <c r="F534" s="476" t="s">
        <v>208</v>
      </c>
      <c r="G534" s="135" t="str">
        <f>VLOOKUP(A534,Plano_V3!$A$26:$G$769,7,0)</f>
        <v>1. Concluído</v>
      </c>
      <c r="H534" s="135" t="s">
        <v>612</v>
      </c>
      <c r="I534" s="473"/>
      <c r="J534" s="142"/>
      <c r="K534" s="142"/>
      <c r="L534" s="142"/>
      <c r="M534" s="152" t="str">
        <f>IF(VLOOKUP(A534,'Aux - pivots1'!$A:$E,3,0)=0, "",VLOOKUP(A534,'Aux - pivots1'!$A:$E,3,0))</f>
        <v/>
      </c>
      <c r="N534" s="152" t="str">
        <f>IF(VLOOKUP(A534,'Aux - pivots1'!$A:$E,4,0)=0, "",VLOOKUP(A534,'Aux - pivots1'!$A:$E,4,0))</f>
        <v/>
      </c>
      <c r="O534" s="152" t="str">
        <f>IF(VLOOKUP(A534,'Aux - pivots1'!$A:$E,5,0)=0, "",VLOOKUP(A534,'Aux - pivots1'!$A:$E,5,0))</f>
        <v/>
      </c>
      <c r="P534" s="202"/>
      <c r="Q534" s="202"/>
      <c r="R534" s="202"/>
      <c r="S534" s="324"/>
      <c r="T534" s="324"/>
      <c r="U534" s="372" t="s">
        <v>2326</v>
      </c>
      <c r="V534" s="323"/>
    </row>
    <row r="535" spans="1:22" ht="16.350000000000001" hidden="1" customHeight="1">
      <c r="A535" s="29" t="str">
        <f t="shared" si="10"/>
        <v>modesg_inp_emss_bens_imoveisnome_pais</v>
      </c>
      <c r="B535" s="141" t="s">
        <v>26</v>
      </c>
      <c r="C535" s="137" t="s">
        <v>181</v>
      </c>
      <c r="D535" s="133" t="s">
        <v>40</v>
      </c>
      <c r="E535" s="134" t="s">
        <v>219</v>
      </c>
      <c r="F535" s="476" t="s">
        <v>221</v>
      </c>
      <c r="G535" s="135" t="str">
        <f>VLOOKUP(A535,Plano_V3!$A$26:$G$769,7,0)</f>
        <v>1. Concluído</v>
      </c>
      <c r="H535" s="135" t="s">
        <v>612</v>
      </c>
      <c r="I535" s="473"/>
      <c r="J535" s="142"/>
      <c r="K535" s="142"/>
      <c r="L535" s="142"/>
      <c r="M535" s="152" t="str">
        <f>IF(VLOOKUP(A535,'Aux - pivots1'!$A:$E,3,0)=0, "",VLOOKUP(A535,'Aux - pivots1'!$A:$E,3,0))</f>
        <v/>
      </c>
      <c r="N535" s="152" t="str">
        <f>IF(VLOOKUP(A535,'Aux - pivots1'!$A:$E,4,0)=0, "",VLOOKUP(A535,'Aux - pivots1'!$A:$E,4,0))</f>
        <v/>
      </c>
      <c r="O535" s="152" t="str">
        <f>IF(VLOOKUP(A535,'Aux - pivots1'!$A:$E,5,0)=0, "",VLOOKUP(A535,'Aux - pivots1'!$A:$E,5,0))</f>
        <v/>
      </c>
      <c r="P535" s="202"/>
      <c r="Q535" s="202"/>
      <c r="R535" s="202"/>
      <c r="S535" s="324"/>
      <c r="T535" s="324"/>
      <c r="U535" s="372" t="s">
        <v>2326</v>
      </c>
      <c r="V535" s="323"/>
    </row>
    <row r="536" spans="1:22" ht="16.350000000000001" hidden="1" customHeight="1">
      <c r="A536" s="29" t="str">
        <f t="shared" si="10"/>
        <v>modesg_inp_emss_bens_imoveisnome_estado</v>
      </c>
      <c r="B536" s="141" t="s">
        <v>26</v>
      </c>
      <c r="C536" s="137" t="s">
        <v>181</v>
      </c>
      <c r="D536" s="133" t="s">
        <v>40</v>
      </c>
      <c r="E536" s="134" t="s">
        <v>219</v>
      </c>
      <c r="F536" s="476" t="s">
        <v>222</v>
      </c>
      <c r="G536" s="135" t="str">
        <f>VLOOKUP(A536,Plano_V3!$A$26:$G$769,7,0)</f>
        <v>1. Concluído</v>
      </c>
      <c r="H536" s="135" t="s">
        <v>612</v>
      </c>
      <c r="I536" s="473"/>
      <c r="J536" s="142"/>
      <c r="K536" s="142"/>
      <c r="L536" s="142"/>
      <c r="M536" s="152" t="str">
        <f>IF(VLOOKUP(A536,'Aux - pivots1'!$A:$E,3,0)=0, "",VLOOKUP(A536,'Aux - pivots1'!$A:$E,3,0))</f>
        <v/>
      </c>
      <c r="N536" s="152" t="str">
        <f>IF(VLOOKUP(A536,'Aux - pivots1'!$A:$E,4,0)=0, "",VLOOKUP(A536,'Aux - pivots1'!$A:$E,4,0))</f>
        <v/>
      </c>
      <c r="O536" s="152" t="str">
        <f>IF(VLOOKUP(A536,'Aux - pivots1'!$A:$E,5,0)=0, "",VLOOKUP(A536,'Aux - pivots1'!$A:$E,5,0))</f>
        <v/>
      </c>
      <c r="P536" s="202"/>
      <c r="Q536" s="202"/>
      <c r="R536" s="202"/>
      <c r="S536" s="324"/>
      <c r="T536" s="324"/>
      <c r="U536" s="372" t="s">
        <v>2326</v>
      </c>
      <c r="V536" s="323"/>
    </row>
    <row r="537" spans="1:22" ht="16.350000000000001" hidden="1" customHeight="1">
      <c r="A537" s="29" t="str">
        <f t="shared" si="10"/>
        <v>modesg_inp_emss_bens_imoveisclasse_ativo</v>
      </c>
      <c r="B537" s="141" t="s">
        <v>26</v>
      </c>
      <c r="C537" s="137" t="s">
        <v>181</v>
      </c>
      <c r="D537" s="133" t="s">
        <v>40</v>
      </c>
      <c r="E537" s="134" t="s">
        <v>219</v>
      </c>
      <c r="F537" s="476" t="s">
        <v>300</v>
      </c>
      <c r="G537" s="135" t="str">
        <f>VLOOKUP(A537,Plano_V3!$A$26:$G$769,7,0)</f>
        <v>1. Concluído</v>
      </c>
      <c r="H537" s="135" t="s">
        <v>612</v>
      </c>
      <c r="I537" s="473"/>
      <c r="J537" s="490"/>
      <c r="K537" s="490"/>
      <c r="L537" s="143"/>
      <c r="M537" s="152" t="str">
        <f>IF(VLOOKUP(A537,'Aux - pivots1'!$A:$E,3,0)=0, "",VLOOKUP(A537,'Aux - pivots1'!$A:$E,3,0))</f>
        <v/>
      </c>
      <c r="N537" s="152" t="str">
        <f>IF(VLOOKUP(A537,'Aux - pivots1'!$A:$E,4,0)=0, "",VLOOKUP(A537,'Aux - pivots1'!$A:$E,4,0))</f>
        <v/>
      </c>
      <c r="O537" s="152" t="str">
        <f>IF(VLOOKUP(A537,'Aux - pivots1'!$A:$E,5,0)=0, "",VLOOKUP(A537,'Aux - pivots1'!$A:$E,5,0))</f>
        <v/>
      </c>
      <c r="P537" s="202"/>
      <c r="Q537" s="202"/>
      <c r="R537" s="202"/>
      <c r="S537" s="324"/>
      <c r="T537" s="324"/>
      <c r="U537" s="372" t="s">
        <v>2326</v>
      </c>
      <c r="V537" s="323"/>
    </row>
    <row r="538" spans="1:22" ht="16.350000000000001" hidden="1" customHeight="1">
      <c r="A538" s="29" t="str">
        <f t="shared" si="10"/>
        <v>modesg_inp_emss_bens_imoveistipo_fator_emissao</v>
      </c>
      <c r="B538" s="141" t="s">
        <v>26</v>
      </c>
      <c r="C538" s="137" t="s">
        <v>181</v>
      </c>
      <c r="D538" s="133" t="s">
        <v>40</v>
      </c>
      <c r="E538" s="134" t="s">
        <v>219</v>
      </c>
      <c r="F538" s="476" t="s">
        <v>303</v>
      </c>
      <c r="G538" s="135" t="str">
        <f>VLOOKUP(A538,Plano_V3!$A$26:$G$769,7,0)</f>
        <v>1. Concluído</v>
      </c>
      <c r="H538" s="135" t="s">
        <v>612</v>
      </c>
      <c r="I538" s="473"/>
      <c r="J538" s="490"/>
      <c r="K538" s="490"/>
      <c r="L538" s="143"/>
      <c r="M538" s="152" t="str">
        <f>IF(VLOOKUP(A538,'Aux - pivots1'!$A:$E,3,0)=0, "",VLOOKUP(A538,'Aux - pivots1'!$A:$E,3,0))</f>
        <v/>
      </c>
      <c r="N538" s="152" t="str">
        <f>IF(VLOOKUP(A538,'Aux - pivots1'!$A:$E,4,0)=0, "",VLOOKUP(A538,'Aux - pivots1'!$A:$E,4,0))</f>
        <v/>
      </c>
      <c r="O538" s="152" t="str">
        <f>IF(VLOOKUP(A538,'Aux - pivots1'!$A:$E,5,0)=0, "",VLOOKUP(A538,'Aux - pivots1'!$A:$E,5,0))</f>
        <v/>
      </c>
      <c r="P538" s="202"/>
      <c r="Q538" s="202"/>
      <c r="R538" s="202"/>
      <c r="S538" s="324"/>
      <c r="T538" s="324"/>
      <c r="U538" s="372" t="s">
        <v>2326</v>
      </c>
      <c r="V538" s="323"/>
    </row>
    <row r="539" spans="1:22" ht="16.350000000000001" hidden="1" customHeight="1">
      <c r="A539" s="29" t="str">
        <f t="shared" si="10"/>
        <v>modesg_inp_emss_bens_imoveisregiao</v>
      </c>
      <c r="B539" s="141" t="s">
        <v>26</v>
      </c>
      <c r="C539" s="137" t="s">
        <v>181</v>
      </c>
      <c r="D539" s="133" t="s">
        <v>40</v>
      </c>
      <c r="E539" s="134" t="s">
        <v>219</v>
      </c>
      <c r="F539" s="476" t="s">
        <v>304</v>
      </c>
      <c r="G539" s="135" t="str">
        <f>VLOOKUP(A539,Plano_V3!$A$26:$G$769,7,0)</f>
        <v>1. Concluído</v>
      </c>
      <c r="H539" s="135" t="s">
        <v>612</v>
      </c>
      <c r="I539" s="473"/>
      <c r="J539" s="490"/>
      <c r="K539" s="490"/>
      <c r="L539" s="143"/>
      <c r="M539" s="152" t="str">
        <f>IF(VLOOKUP(A539,'Aux - pivots1'!$A:$E,3,0)=0, "",VLOOKUP(A539,'Aux - pivots1'!$A:$E,3,0))</f>
        <v/>
      </c>
      <c r="N539" s="152" t="str">
        <f>IF(VLOOKUP(A539,'Aux - pivots1'!$A:$E,4,0)=0, "",VLOOKUP(A539,'Aux - pivots1'!$A:$E,4,0))</f>
        <v/>
      </c>
      <c r="O539" s="152" t="str">
        <f>IF(VLOOKUP(A539,'Aux - pivots1'!$A:$E,5,0)=0, "",VLOOKUP(A539,'Aux - pivots1'!$A:$E,5,0))</f>
        <v/>
      </c>
      <c r="P539" s="202"/>
      <c r="Q539" s="202"/>
      <c r="R539" s="202"/>
      <c r="S539" s="324"/>
      <c r="T539" s="324"/>
      <c r="U539" s="372" t="s">
        <v>2326</v>
      </c>
      <c r="V539" s="323"/>
    </row>
    <row r="540" spans="1:22" ht="16.350000000000001" hidden="1" customHeight="1">
      <c r="A540" s="29" t="str">
        <f t="shared" si="10"/>
        <v>modesg_inp_emss_bens_imoveistipo_bem</v>
      </c>
      <c r="B540" s="141" t="s">
        <v>26</v>
      </c>
      <c r="C540" s="137" t="s">
        <v>181</v>
      </c>
      <c r="D540" s="133" t="s">
        <v>40</v>
      </c>
      <c r="E540" s="134" t="s">
        <v>219</v>
      </c>
      <c r="F540" s="476" t="s">
        <v>305</v>
      </c>
      <c r="G540" s="135" t="str">
        <f>VLOOKUP(A540,Plano_V3!$A$26:$G$769,7,0)</f>
        <v>1. Concluído</v>
      </c>
      <c r="H540" s="135" t="s">
        <v>612</v>
      </c>
      <c r="I540" s="473"/>
      <c r="J540" s="490"/>
      <c r="K540" s="490"/>
      <c r="L540" s="142"/>
      <c r="M540" s="152" t="str">
        <f>IF(VLOOKUP(A540,'Aux - pivots1'!$A:$E,3,0)=0, "",VLOOKUP(A540,'Aux - pivots1'!$A:$E,3,0))</f>
        <v/>
      </c>
      <c r="N540" s="152" t="str">
        <f>IF(VLOOKUP(A540,'Aux - pivots1'!$A:$E,4,0)=0, "",VLOOKUP(A540,'Aux - pivots1'!$A:$E,4,0))</f>
        <v/>
      </c>
      <c r="O540" s="152" t="str">
        <f>IF(VLOOKUP(A540,'Aux - pivots1'!$A:$E,5,0)=0, "",VLOOKUP(A540,'Aux - pivots1'!$A:$E,5,0))</f>
        <v/>
      </c>
      <c r="P540" s="202"/>
      <c r="Q540" s="202"/>
      <c r="R540" s="202"/>
      <c r="S540" s="324"/>
      <c r="T540" s="324"/>
      <c r="U540" s="372" t="s">
        <v>2326</v>
      </c>
      <c r="V540" s="323"/>
    </row>
    <row r="541" spans="1:22" ht="16.350000000000001" hidden="1" customHeight="1">
      <c r="A541" s="29" t="str">
        <f t="shared" si="10"/>
        <v>modesg_inp_emss_bens_imoveistipo_finalidade_bem</v>
      </c>
      <c r="B541" s="141" t="s">
        <v>26</v>
      </c>
      <c r="C541" s="137" t="s">
        <v>181</v>
      </c>
      <c r="D541" s="133" t="s">
        <v>40</v>
      </c>
      <c r="E541" s="134" t="s">
        <v>219</v>
      </c>
      <c r="F541" s="476" t="s">
        <v>306</v>
      </c>
      <c r="G541" s="135" t="str">
        <f>VLOOKUP(A541,Plano_V3!$A$26:$G$769,7,0)</f>
        <v>1. Concluído</v>
      </c>
      <c r="H541" s="135" t="s">
        <v>612</v>
      </c>
      <c r="I541" s="473"/>
      <c r="J541" s="490"/>
      <c r="K541" s="490"/>
      <c r="L541" s="142"/>
      <c r="M541" s="152" t="str">
        <f>IF(VLOOKUP(A541,'Aux - pivots1'!$A:$E,3,0)=0, "",VLOOKUP(A541,'Aux - pivots1'!$A:$E,3,0))</f>
        <v/>
      </c>
      <c r="N541" s="152" t="str">
        <f>IF(VLOOKUP(A541,'Aux - pivots1'!$A:$E,4,0)=0, "",VLOOKUP(A541,'Aux - pivots1'!$A:$E,4,0))</f>
        <v/>
      </c>
      <c r="O541" s="152" t="str">
        <f>IF(VLOOKUP(A541,'Aux - pivots1'!$A:$E,5,0)=0, "",VLOOKUP(A541,'Aux - pivots1'!$A:$E,5,0))</f>
        <v/>
      </c>
      <c r="P541" s="202"/>
      <c r="Q541" s="202"/>
      <c r="R541" s="202"/>
      <c r="S541" s="324"/>
      <c r="T541" s="324"/>
      <c r="U541" s="372" t="s">
        <v>2326</v>
      </c>
      <c r="V541" s="323"/>
    </row>
    <row r="542" spans="1:22" ht="16.350000000000001" hidden="1" customHeight="1">
      <c r="A542" s="29" t="str">
        <f t="shared" si="10"/>
        <v>modesg_inp_emss_bens_imoveisepc</v>
      </c>
      <c r="B542" s="141" t="s">
        <v>26</v>
      </c>
      <c r="C542" s="137" t="s">
        <v>181</v>
      </c>
      <c r="D542" s="133" t="s">
        <v>40</v>
      </c>
      <c r="E542" s="134" t="s">
        <v>219</v>
      </c>
      <c r="F542" s="476" t="s">
        <v>198</v>
      </c>
      <c r="G542" s="135" t="str">
        <f>VLOOKUP(A542,Plano_V3!$A$26:$G$769,7,0)</f>
        <v>1. Concluído</v>
      </c>
      <c r="H542" s="135" t="s">
        <v>612</v>
      </c>
      <c r="I542" s="473"/>
      <c r="J542" s="490"/>
      <c r="K542" s="490"/>
      <c r="L542" s="142"/>
      <c r="M542" s="152" t="str">
        <f>IF(VLOOKUP(A542,'Aux - pivots1'!$A:$E,3,0)=0, "",VLOOKUP(A542,'Aux - pivots1'!$A:$E,3,0))</f>
        <v/>
      </c>
      <c r="N542" s="152" t="str">
        <f>IF(VLOOKUP(A542,'Aux - pivots1'!$A:$E,4,0)=0, "",VLOOKUP(A542,'Aux - pivots1'!$A:$E,4,0))</f>
        <v/>
      </c>
      <c r="O542" s="152" t="str">
        <f>IF(VLOOKUP(A542,'Aux - pivots1'!$A:$E,5,0)=0, "",VLOOKUP(A542,'Aux - pivots1'!$A:$E,5,0))</f>
        <v/>
      </c>
      <c r="P542" s="202"/>
      <c r="Q542" s="202"/>
      <c r="R542" s="202"/>
      <c r="S542" s="324"/>
      <c r="T542" s="324"/>
      <c r="U542" s="372" t="s">
        <v>2326</v>
      </c>
      <c r="V542" s="323"/>
    </row>
    <row r="543" spans="1:22" ht="16.350000000000001" hidden="1" customHeight="1">
      <c r="A543" s="29" t="str">
        <f t="shared" si="10"/>
        <v>modesg_inp_emss_bens_imoveisflg_ftr_emss_area</v>
      </c>
      <c r="B543" s="141" t="s">
        <v>26</v>
      </c>
      <c r="C543" s="137" t="s">
        <v>181</v>
      </c>
      <c r="D543" s="133" t="s">
        <v>40</v>
      </c>
      <c r="E543" s="134" t="s">
        <v>219</v>
      </c>
      <c r="F543" s="476" t="s">
        <v>307</v>
      </c>
      <c r="G543" s="135" t="str">
        <f>VLOOKUP(A543,Plano_V3!$A$26:$G$769,7,0)</f>
        <v>0. Cancelado</v>
      </c>
      <c r="H543" s="135" t="s">
        <v>611</v>
      </c>
      <c r="I543" s="473"/>
      <c r="J543" s="490"/>
      <c r="K543" s="490"/>
      <c r="L543" s="144"/>
      <c r="M543" s="152" t="str">
        <f>IF(VLOOKUP(A543,'Aux - pivots1'!$A:$E,3,0)=0, "",VLOOKUP(A543,'Aux - pivots1'!$A:$E,3,0))</f>
        <v/>
      </c>
      <c r="N543" s="152" t="str">
        <f>IF(VLOOKUP(A543,'Aux - pivots1'!$A:$E,4,0)=0, "",VLOOKUP(A543,'Aux - pivots1'!$A:$E,4,0))</f>
        <v/>
      </c>
      <c r="O543" s="152" t="str">
        <f>IF(VLOOKUP(A543,'Aux - pivots1'!$A:$E,5,0)=0, "",VLOOKUP(A543,'Aux - pivots1'!$A:$E,5,0))</f>
        <v/>
      </c>
      <c r="P543" s="202"/>
      <c r="Q543" s="202"/>
      <c r="R543" s="202"/>
      <c r="S543" s="324"/>
      <c r="T543" s="324"/>
      <c r="U543" s="372" t="s">
        <v>2326</v>
      </c>
      <c r="V543" s="323"/>
    </row>
    <row r="544" spans="1:22" ht="16.350000000000001" hidden="1" customHeight="1">
      <c r="A544" s="29" t="str">
        <f t="shared" si="10"/>
        <v>modesg_inp_emss_bens_imoveisnome_unidade_funcional</v>
      </c>
      <c r="B544" s="141" t="s">
        <v>26</v>
      </c>
      <c r="C544" s="137" t="s">
        <v>181</v>
      </c>
      <c r="D544" s="133" t="s">
        <v>40</v>
      </c>
      <c r="E544" s="134" t="s">
        <v>219</v>
      </c>
      <c r="F544" s="476" t="s">
        <v>228</v>
      </c>
      <c r="G544" s="135" t="str">
        <f>VLOOKUP(A544,Plano_V3!$A$26:$G$769,7,0)</f>
        <v>1. Concluído</v>
      </c>
      <c r="H544" s="135" t="s">
        <v>612</v>
      </c>
      <c r="I544" s="473"/>
      <c r="J544" s="490"/>
      <c r="K544" s="490"/>
      <c r="L544" s="142"/>
      <c r="M544" s="152" t="str">
        <f>IF(VLOOKUP(A544,'Aux - pivots1'!$A:$E,3,0)=0, "",VLOOKUP(A544,'Aux - pivots1'!$A:$E,3,0))</f>
        <v/>
      </c>
      <c r="N544" s="152" t="str">
        <f>IF(VLOOKUP(A544,'Aux - pivots1'!$A:$E,4,0)=0, "",VLOOKUP(A544,'Aux - pivots1'!$A:$E,4,0))</f>
        <v/>
      </c>
      <c r="O544" s="152" t="str">
        <f>IF(VLOOKUP(A544,'Aux - pivots1'!$A:$E,5,0)=0, "",VLOOKUP(A544,'Aux - pivots1'!$A:$E,5,0))</f>
        <v/>
      </c>
      <c r="P544" s="202"/>
      <c r="Q544" s="202"/>
      <c r="R544" s="202"/>
      <c r="S544" s="324"/>
      <c r="T544" s="324"/>
      <c r="U544" s="372" t="s">
        <v>2326</v>
      </c>
      <c r="V544" s="323"/>
    </row>
    <row r="545" spans="1:22" ht="16.350000000000001" hidden="1" customHeight="1">
      <c r="A545" s="29" t="str">
        <f t="shared" si="10"/>
        <v>modesg_inp_emss_bens_imoveisunidade_funcional</v>
      </c>
      <c r="B545" s="141" t="s">
        <v>26</v>
      </c>
      <c r="C545" s="137" t="s">
        <v>181</v>
      </c>
      <c r="D545" s="133" t="s">
        <v>40</v>
      </c>
      <c r="E545" s="134" t="s">
        <v>219</v>
      </c>
      <c r="F545" s="476" t="s">
        <v>229</v>
      </c>
      <c r="G545" s="135" t="str">
        <f>VLOOKUP(A545,Plano_V3!$A$26:$G$769,7,0)</f>
        <v>1. Concluído</v>
      </c>
      <c r="H545" s="135" t="s">
        <v>612</v>
      </c>
      <c r="I545" s="473"/>
      <c r="J545" s="490"/>
      <c r="K545" s="490"/>
      <c r="L545" s="142"/>
      <c r="M545" s="152" t="str">
        <f>IF(VLOOKUP(A545,'Aux - pivots1'!$A:$E,3,0)=0, "",VLOOKUP(A545,'Aux - pivots1'!$A:$E,3,0))</f>
        <v/>
      </c>
      <c r="N545" s="152" t="str">
        <f>IF(VLOOKUP(A545,'Aux - pivots1'!$A:$E,4,0)=0, "",VLOOKUP(A545,'Aux - pivots1'!$A:$E,4,0))</f>
        <v/>
      </c>
      <c r="O545" s="152" t="str">
        <f>IF(VLOOKUP(A545,'Aux - pivots1'!$A:$E,5,0)=0, "",VLOOKUP(A545,'Aux - pivots1'!$A:$E,5,0))</f>
        <v/>
      </c>
      <c r="P545" s="202"/>
      <c r="Q545" s="202"/>
      <c r="R545" s="202"/>
      <c r="S545" s="324"/>
      <c r="T545" s="324"/>
      <c r="U545" s="372" t="s">
        <v>2326</v>
      </c>
      <c r="V545" s="323"/>
    </row>
    <row r="546" spans="1:22" ht="16.350000000000001" hidden="1" customHeight="1">
      <c r="A546" s="29" t="str">
        <f t="shared" si="10"/>
        <v>modesg_inp_emss_bens_imoveisnome_fator_emissao</v>
      </c>
      <c r="B546" s="141" t="s">
        <v>26</v>
      </c>
      <c r="C546" s="137" t="s">
        <v>181</v>
      </c>
      <c r="D546" s="133" t="s">
        <v>40</v>
      </c>
      <c r="E546" s="134" t="s">
        <v>219</v>
      </c>
      <c r="F546" s="476" t="s">
        <v>230</v>
      </c>
      <c r="G546" s="135" t="str">
        <f>VLOOKUP(A546,Plano_V3!$A$26:$G$769,7,0)</f>
        <v>1. Concluído</v>
      </c>
      <c r="H546" s="135" t="s">
        <v>612</v>
      </c>
      <c r="I546" s="473"/>
      <c r="J546" s="490"/>
      <c r="K546" s="490"/>
      <c r="L546" s="142"/>
      <c r="M546" s="152" t="str">
        <f>IF(VLOOKUP(A546,'Aux - pivots1'!$A:$E,3,0)=0, "",VLOOKUP(A546,'Aux - pivots1'!$A:$E,3,0))</f>
        <v/>
      </c>
      <c r="N546" s="152" t="str">
        <f>IF(VLOOKUP(A546,'Aux - pivots1'!$A:$E,4,0)=0, "",VLOOKUP(A546,'Aux - pivots1'!$A:$E,4,0))</f>
        <v/>
      </c>
      <c r="O546" s="152" t="str">
        <f>IF(VLOOKUP(A546,'Aux - pivots1'!$A:$E,5,0)=0, "",VLOOKUP(A546,'Aux - pivots1'!$A:$E,5,0))</f>
        <v/>
      </c>
      <c r="P546" s="202"/>
      <c r="Q546" s="202"/>
      <c r="R546" s="202"/>
      <c r="S546" s="324"/>
      <c r="T546" s="324"/>
      <c r="U546" s="372" t="s">
        <v>2326</v>
      </c>
      <c r="V546" s="323"/>
    </row>
    <row r="547" spans="1:22" ht="16.350000000000001" hidden="1" customHeight="1">
      <c r="A547" s="29" t="str">
        <f t="shared" si="10"/>
        <v>modesg_inp_emss_bens_imoveisunidade_fator_de_emissao</v>
      </c>
      <c r="B547" s="141" t="s">
        <v>26</v>
      </c>
      <c r="C547" s="137" t="s">
        <v>181</v>
      </c>
      <c r="D547" s="133" t="s">
        <v>40</v>
      </c>
      <c r="E547" s="134" t="s">
        <v>219</v>
      </c>
      <c r="F547" s="476" t="s">
        <v>231</v>
      </c>
      <c r="G547" s="135" t="str">
        <f>VLOOKUP(A547,Plano_V3!$A$26:$G$769,7,0)</f>
        <v>1. Concluído</v>
      </c>
      <c r="H547" s="135" t="s">
        <v>612</v>
      </c>
      <c r="I547" s="473"/>
      <c r="J547" s="490"/>
      <c r="K547" s="490"/>
      <c r="L547" s="142"/>
      <c r="M547" s="152" t="str">
        <f>IF(VLOOKUP(A547,'Aux - pivots1'!$A:$E,3,0)=0, "",VLOOKUP(A547,'Aux - pivots1'!$A:$E,3,0))</f>
        <v/>
      </c>
      <c r="N547" s="152" t="str">
        <f>IF(VLOOKUP(A547,'Aux - pivots1'!$A:$E,4,0)=0, "",VLOOKUP(A547,'Aux - pivots1'!$A:$E,4,0))</f>
        <v/>
      </c>
      <c r="O547" s="152" t="str">
        <f>IF(VLOOKUP(A547,'Aux - pivots1'!$A:$E,5,0)=0, "",VLOOKUP(A547,'Aux - pivots1'!$A:$E,5,0))</f>
        <v/>
      </c>
      <c r="P547" s="202"/>
      <c r="Q547" s="202"/>
      <c r="R547" s="202"/>
      <c r="S547" s="324"/>
      <c r="T547" s="324"/>
      <c r="U547" s="372" t="s">
        <v>2326</v>
      </c>
      <c r="V547" s="323"/>
    </row>
    <row r="548" spans="1:22" ht="16.350000000000001" hidden="1" customHeight="1">
      <c r="A548" s="29" t="str">
        <f t="shared" si="10"/>
        <v>modesg_inp_emss_bens_imoveisscore_qualidade</v>
      </c>
      <c r="B548" s="141" t="s">
        <v>26</v>
      </c>
      <c r="C548" s="137" t="s">
        <v>181</v>
      </c>
      <c r="D548" s="133" t="s">
        <v>40</v>
      </c>
      <c r="E548" s="134" t="s">
        <v>219</v>
      </c>
      <c r="F548" s="476" t="s">
        <v>232</v>
      </c>
      <c r="G548" s="135" t="str">
        <f>VLOOKUP(A548,Plano_V3!$A$26:$G$769,7,0)</f>
        <v>1. Concluído</v>
      </c>
      <c r="H548" s="135" t="s">
        <v>612</v>
      </c>
      <c r="I548" s="473"/>
      <c r="J548" s="490"/>
      <c r="K548" s="490"/>
      <c r="L548" s="142"/>
      <c r="M548" s="152" t="str">
        <f>IF(VLOOKUP(A548,'Aux - pivots1'!$A:$E,3,0)=0, "",VLOOKUP(A548,'Aux - pivots1'!$A:$E,3,0))</f>
        <v/>
      </c>
      <c r="N548" s="152" t="str">
        <f>IF(VLOOKUP(A548,'Aux - pivots1'!$A:$E,4,0)=0, "",VLOOKUP(A548,'Aux - pivots1'!$A:$E,4,0))</f>
        <v/>
      </c>
      <c r="O548" s="152" t="str">
        <f>IF(VLOOKUP(A548,'Aux - pivots1'!$A:$E,5,0)=0, "",VLOOKUP(A548,'Aux - pivots1'!$A:$E,5,0))</f>
        <v/>
      </c>
      <c r="P548" s="202"/>
      <c r="Q548" s="202"/>
      <c r="R548" s="202"/>
      <c r="S548" s="324"/>
      <c r="T548" s="324"/>
      <c r="U548" s="372" t="s">
        <v>2326</v>
      </c>
      <c r="V548" s="323"/>
    </row>
    <row r="549" spans="1:22" ht="16.350000000000001" hidden="1" customHeight="1">
      <c r="A549" s="29" t="str">
        <f t="shared" si="10"/>
        <v>modesg_inp_emss_bens_imoveisano_fator_emissao</v>
      </c>
      <c r="B549" s="141" t="s">
        <v>26</v>
      </c>
      <c r="C549" s="137" t="s">
        <v>181</v>
      </c>
      <c r="D549" s="133" t="s">
        <v>40</v>
      </c>
      <c r="E549" s="134" t="s">
        <v>219</v>
      </c>
      <c r="F549" s="476" t="s">
        <v>308</v>
      </c>
      <c r="G549" s="135" t="str">
        <f>VLOOKUP(A549,Plano_V3!$A$26:$G$769,7,0)</f>
        <v>1. Concluído</v>
      </c>
      <c r="H549" s="135" t="s">
        <v>612</v>
      </c>
      <c r="I549" s="473"/>
      <c r="J549" s="490"/>
      <c r="K549" s="490"/>
      <c r="L549" s="143"/>
      <c r="M549" s="152" t="str">
        <f>IF(VLOOKUP(A549,'Aux - pivots1'!$A:$E,3,0)=0, "",VLOOKUP(A549,'Aux - pivots1'!$A:$E,3,0))</f>
        <v/>
      </c>
      <c r="N549" s="152" t="str">
        <f>IF(VLOOKUP(A549,'Aux - pivots1'!$A:$E,4,0)=0, "",VLOOKUP(A549,'Aux - pivots1'!$A:$E,4,0))</f>
        <v/>
      </c>
      <c r="O549" s="152" t="str">
        <f>IF(VLOOKUP(A549,'Aux - pivots1'!$A:$E,5,0)=0, "",VLOOKUP(A549,'Aux - pivots1'!$A:$E,5,0))</f>
        <v/>
      </c>
      <c r="P549" s="202"/>
      <c r="Q549" s="202"/>
      <c r="R549" s="202"/>
      <c r="S549" s="324"/>
      <c r="T549" s="324"/>
      <c r="U549" s="372" t="s">
        <v>2326</v>
      </c>
      <c r="V549" s="323"/>
    </row>
    <row r="550" spans="1:22" ht="16.350000000000001" hidden="1" customHeight="1">
      <c r="A550" s="29" t="str">
        <f t="shared" si="10"/>
        <v>modesg_inp_emss_bens_imoveisscp1_ftr_emss</v>
      </c>
      <c r="B550" s="141" t="s">
        <v>26</v>
      </c>
      <c r="C550" s="137" t="s">
        <v>181</v>
      </c>
      <c r="D550" s="133" t="s">
        <v>40</v>
      </c>
      <c r="E550" s="134" t="s">
        <v>219</v>
      </c>
      <c r="F550" s="476" t="s">
        <v>233</v>
      </c>
      <c r="G550" s="135" t="str">
        <f>VLOOKUP(A550,Plano_V3!$A$26:$G$769,7,0)</f>
        <v>1. Concluído</v>
      </c>
      <c r="H550" s="135" t="s">
        <v>612</v>
      </c>
      <c r="I550" s="473"/>
      <c r="J550" s="490"/>
      <c r="K550" s="490"/>
      <c r="L550" s="142"/>
      <c r="M550" s="152" t="str">
        <f>IF(VLOOKUP(A550,'Aux - pivots1'!$A:$E,3,0)=0, "",VLOOKUP(A550,'Aux - pivots1'!$A:$E,3,0))</f>
        <v/>
      </c>
      <c r="N550" s="152" t="str">
        <f>IF(VLOOKUP(A550,'Aux - pivots1'!$A:$E,4,0)=0, "",VLOOKUP(A550,'Aux - pivots1'!$A:$E,4,0))</f>
        <v/>
      </c>
      <c r="O550" s="152" t="str">
        <f>IF(VLOOKUP(A550,'Aux - pivots1'!$A:$E,5,0)=0, "",VLOOKUP(A550,'Aux - pivots1'!$A:$E,5,0))</f>
        <v/>
      </c>
      <c r="P550" s="202"/>
      <c r="Q550" s="202"/>
      <c r="R550" s="202"/>
      <c r="S550" s="324"/>
      <c r="T550" s="324"/>
      <c r="U550" s="372" t="s">
        <v>2326</v>
      </c>
      <c r="V550" s="323"/>
    </row>
    <row r="551" spans="1:22" ht="16.350000000000001" hidden="1" customHeight="1">
      <c r="A551" s="29" t="str">
        <f t="shared" si="10"/>
        <v>modesg_inp_emss_bens_imoveisscp2_ftr_emss</v>
      </c>
      <c r="B551" s="141" t="s">
        <v>26</v>
      </c>
      <c r="C551" s="137" t="s">
        <v>181</v>
      </c>
      <c r="D551" s="133" t="s">
        <v>40</v>
      </c>
      <c r="E551" s="134" t="s">
        <v>219</v>
      </c>
      <c r="F551" s="476" t="s">
        <v>234</v>
      </c>
      <c r="G551" s="135" t="str">
        <f>VLOOKUP(A551,Plano_V3!$A$26:$G$769,7,0)</f>
        <v>1. Concluído</v>
      </c>
      <c r="H551" s="135" t="s">
        <v>612</v>
      </c>
      <c r="I551" s="473"/>
      <c r="J551" s="490"/>
      <c r="K551" s="490"/>
      <c r="L551" s="142"/>
      <c r="M551" s="152" t="str">
        <f>IF(VLOOKUP(A551,'Aux - pivots1'!$A:$E,3,0)=0, "",VLOOKUP(A551,'Aux - pivots1'!$A:$E,3,0))</f>
        <v/>
      </c>
      <c r="N551" s="152" t="str">
        <f>IF(VLOOKUP(A551,'Aux - pivots1'!$A:$E,4,0)=0, "",VLOOKUP(A551,'Aux - pivots1'!$A:$E,4,0))</f>
        <v/>
      </c>
      <c r="O551" s="152" t="str">
        <f>IF(VLOOKUP(A551,'Aux - pivots1'!$A:$E,5,0)=0, "",VLOOKUP(A551,'Aux - pivots1'!$A:$E,5,0))</f>
        <v/>
      </c>
      <c r="P551" s="202"/>
      <c r="Q551" s="202"/>
      <c r="R551" s="202"/>
      <c r="S551" s="324"/>
      <c r="T551" s="324"/>
      <c r="U551" s="372" t="s">
        <v>2326</v>
      </c>
      <c r="V551" s="323"/>
    </row>
    <row r="552" spans="1:22" ht="16.350000000000001" hidden="1" customHeight="1">
      <c r="A552" s="29" t="str">
        <f t="shared" si="10"/>
        <v>modesg_inp_project_financecodigo_unidade</v>
      </c>
      <c r="B552" s="141" t="s">
        <v>26</v>
      </c>
      <c r="C552" s="137" t="s">
        <v>181</v>
      </c>
      <c r="D552" s="133" t="s">
        <v>40</v>
      </c>
      <c r="E552" s="134" t="s">
        <v>2066</v>
      </c>
      <c r="F552" s="476" t="s">
        <v>2067</v>
      </c>
      <c r="G552" s="135" t="str">
        <f>VLOOKUP(A552,Plano_V3!$A$26:$G$769,7,0)</f>
        <v>1. Concluído</v>
      </c>
      <c r="H552" s="135" t="s">
        <v>612</v>
      </c>
      <c r="I552" s="473"/>
      <c r="J552" s="142"/>
      <c r="K552" s="142"/>
      <c r="L552" s="142"/>
      <c r="M552" s="152" t="str">
        <f>IF(VLOOKUP(A552,'Aux - pivots1'!$A:$E,3,0)=0, "",VLOOKUP(A552,'Aux - pivots1'!$A:$E,3,0))</f>
        <v/>
      </c>
      <c r="N552" s="152" t="str">
        <f>IF(VLOOKUP(A552,'Aux - pivots1'!$A:$E,4,0)=0, "",VLOOKUP(A552,'Aux - pivots1'!$A:$E,4,0))</f>
        <v/>
      </c>
      <c r="O552" s="152" t="str">
        <f>IF(VLOOKUP(A552,'Aux - pivots1'!$A:$E,5,0)=0, "",VLOOKUP(A552,'Aux - pivots1'!$A:$E,5,0))</f>
        <v/>
      </c>
      <c r="P552" s="202"/>
      <c r="Q552" s="202"/>
      <c r="R552" s="202"/>
      <c r="S552" s="372"/>
      <c r="T552" s="372"/>
      <c r="U552" s="372" t="s">
        <v>2328</v>
      </c>
      <c r="V552" s="152" t="s">
        <v>1862</v>
      </c>
    </row>
    <row r="553" spans="1:22" ht="16.350000000000001" hidden="1" customHeight="1">
      <c r="A553" s="29" t="str">
        <f t="shared" si="10"/>
        <v>modesg_inp_project_financenome_unidade</v>
      </c>
      <c r="B553" s="141" t="s">
        <v>26</v>
      </c>
      <c r="C553" s="137" t="s">
        <v>181</v>
      </c>
      <c r="D553" s="133" t="s">
        <v>40</v>
      </c>
      <c r="E553" s="134" t="s">
        <v>2066</v>
      </c>
      <c r="F553" s="476" t="s">
        <v>2068</v>
      </c>
      <c r="G553" s="135" t="str">
        <f>VLOOKUP(A553,Plano_V3!$A$26:$G$769,7,0)</f>
        <v>1. Concluído</v>
      </c>
      <c r="H553" s="135" t="s">
        <v>612</v>
      </c>
      <c r="I553" s="473"/>
      <c r="J553" s="142"/>
      <c r="K553" s="142"/>
      <c r="L553" s="142"/>
      <c r="M553" s="152" t="str">
        <f>IF(VLOOKUP(A552,'Aux - pivots1'!$A:$E,3,0)=0, "",VLOOKUP(A552,'Aux - pivots1'!$A:$E,3,0))</f>
        <v/>
      </c>
      <c r="N553" s="152" t="str">
        <f>IF(VLOOKUP(A552,'Aux - pivots1'!$A:$E,4,0)=0, "",VLOOKUP(A552,'Aux - pivots1'!$A:$E,4,0))</f>
        <v/>
      </c>
      <c r="O553" s="152" t="str">
        <f>IF(VLOOKUP(A552,'Aux - pivots1'!$A:$E,5,0)=0, "",VLOOKUP(A552,'Aux - pivots1'!$A:$E,5,0))</f>
        <v/>
      </c>
      <c r="P553" s="202"/>
      <c r="Q553" s="202"/>
      <c r="R553" s="202"/>
      <c r="S553" s="372"/>
      <c r="T553" s="372"/>
      <c r="U553" s="372" t="s">
        <v>2328</v>
      </c>
      <c r="V553" s="152" t="s">
        <v>1862</v>
      </c>
    </row>
    <row r="554" spans="1:22" ht="16.350000000000001" hidden="1" customHeight="1">
      <c r="A554" s="29" t="str">
        <f t="shared" si="10"/>
        <v>modesg_inp_project_financekgl</v>
      </c>
      <c r="B554" s="141" t="s">
        <v>26</v>
      </c>
      <c r="C554" s="137" t="s">
        <v>181</v>
      </c>
      <c r="D554" s="133" t="s">
        <v>40</v>
      </c>
      <c r="E554" s="134" t="s">
        <v>2066</v>
      </c>
      <c r="F554" s="476" t="s">
        <v>2069</v>
      </c>
      <c r="G554" s="135" t="str">
        <f>VLOOKUP(A554,Plano_V3!$A$26:$G$769,7,0)</f>
        <v>1. Concluído</v>
      </c>
      <c r="H554" s="135" t="s">
        <v>612</v>
      </c>
      <c r="I554" s="473"/>
      <c r="J554" s="142"/>
      <c r="K554" s="142"/>
      <c r="L554" s="142"/>
      <c r="M554" s="152" t="str">
        <f>IF(VLOOKUP(A552,'Aux - pivots1'!$A:$E,3,0)=0, "",VLOOKUP(A552,'Aux - pivots1'!$A:$E,3,0))</f>
        <v/>
      </c>
      <c r="N554" s="152" t="str">
        <f>IF(VLOOKUP(A552,'Aux - pivots1'!$A:$E,4,0)=0, "",VLOOKUP(A552,'Aux - pivots1'!$A:$E,4,0))</f>
        <v/>
      </c>
      <c r="O554" s="152" t="str">
        <f>IF(VLOOKUP(A552,'Aux - pivots1'!$A:$E,5,0)=0, "",VLOOKUP(A552,'Aux - pivots1'!$A:$E,5,0))</f>
        <v/>
      </c>
      <c r="P554" s="202"/>
      <c r="Q554" s="202"/>
      <c r="R554" s="202"/>
      <c r="S554" s="372"/>
      <c r="T554" s="372"/>
      <c r="U554" s="372" t="s">
        <v>2328</v>
      </c>
      <c r="V554" s="152" t="s">
        <v>1862</v>
      </c>
    </row>
    <row r="555" spans="1:22" ht="16.350000000000001" hidden="1" customHeight="1">
      <c r="A555" s="29" t="str">
        <f t="shared" si="10"/>
        <v>modesg_inp_project_financenome_legal_kgl</v>
      </c>
      <c r="B555" s="141" t="s">
        <v>26</v>
      </c>
      <c r="C555" s="137" t="s">
        <v>181</v>
      </c>
      <c r="D555" s="133" t="s">
        <v>40</v>
      </c>
      <c r="E555" s="134" t="s">
        <v>2066</v>
      </c>
      <c r="F555" s="476" t="s">
        <v>2070</v>
      </c>
      <c r="G555" s="135" t="str">
        <f>VLOOKUP(A555,Plano_V3!$A$26:$G$769,7,0)</f>
        <v>1. Concluído</v>
      </c>
      <c r="H555" s="135" t="s">
        <v>612</v>
      </c>
      <c r="I555" s="473"/>
      <c r="J555" s="142"/>
      <c r="K555" s="142"/>
      <c r="L555" s="142"/>
      <c r="M555" s="152" t="str">
        <f>IF(VLOOKUP(A552,'Aux - pivots1'!$A:$E,3,0)=0, "",VLOOKUP(A552,'Aux - pivots1'!$A:$E,3,0))</f>
        <v/>
      </c>
      <c r="N555" s="152" t="str">
        <f>IF(VLOOKUP(A552,'Aux - pivots1'!$A:$E,4,0)=0, "",VLOOKUP(A552,'Aux - pivots1'!$A:$E,4,0))</f>
        <v/>
      </c>
      <c r="O555" s="152" t="str">
        <f>IF(VLOOKUP(A552,'Aux - pivots1'!$A:$E,5,0)=0, "",VLOOKUP(A552,'Aux - pivots1'!$A:$E,5,0))</f>
        <v/>
      </c>
      <c r="P555" s="202"/>
      <c r="Q555" s="202"/>
      <c r="R555" s="202"/>
      <c r="S555" s="372"/>
      <c r="T555" s="372"/>
      <c r="U555" s="372" t="s">
        <v>2328</v>
      </c>
      <c r="V555" s="152" t="s">
        <v>1862</v>
      </c>
    </row>
    <row r="556" spans="1:22" ht="16.350000000000001" hidden="1" customHeight="1">
      <c r="A556" s="29" t="str">
        <f t="shared" si="10"/>
        <v>modesg_inp_project_financekgl_top_entidade_principal</v>
      </c>
      <c r="B556" s="141" t="s">
        <v>26</v>
      </c>
      <c r="C556" s="137" t="s">
        <v>181</v>
      </c>
      <c r="D556" s="133" t="s">
        <v>40</v>
      </c>
      <c r="E556" s="134" t="s">
        <v>2066</v>
      </c>
      <c r="F556" s="476" t="s">
        <v>2071</v>
      </c>
      <c r="G556" s="135" t="str">
        <f>VLOOKUP(A556,Plano_V3!$A$26:$G$769,7,0)</f>
        <v>1. Concluído</v>
      </c>
      <c r="H556" s="135" t="s">
        <v>612</v>
      </c>
      <c r="I556" s="473"/>
      <c r="J556" s="142"/>
      <c r="K556" s="142"/>
      <c r="L556" s="142"/>
      <c r="M556" s="152" t="str">
        <f>IF(VLOOKUP(A552,'Aux - pivots1'!$A:$E,3,0)=0, "",VLOOKUP(A552,'Aux - pivots1'!$A:$E,3,0))</f>
        <v/>
      </c>
      <c r="N556" s="152" t="str">
        <f>IF(VLOOKUP(A552,'Aux - pivots1'!$A:$E,4,0)=0, "",VLOOKUP(A552,'Aux - pivots1'!$A:$E,4,0))</f>
        <v/>
      </c>
      <c r="O556" s="152" t="str">
        <f>IF(VLOOKUP(A552,'Aux - pivots1'!$A:$E,5,0)=0, "",VLOOKUP(A552,'Aux - pivots1'!$A:$E,5,0))</f>
        <v/>
      </c>
      <c r="P556" s="202"/>
      <c r="Q556" s="202"/>
      <c r="R556" s="202"/>
      <c r="S556" s="372"/>
      <c r="T556" s="372"/>
      <c r="U556" s="372" t="s">
        <v>2328</v>
      </c>
      <c r="V556" s="152" t="s">
        <v>1862</v>
      </c>
    </row>
    <row r="557" spans="1:22" ht="16.350000000000001" hidden="1" customHeight="1">
      <c r="A557" s="29" t="str">
        <f t="shared" si="10"/>
        <v>modesg_inp_project_financekgl_entidade_principal</v>
      </c>
      <c r="B557" s="141" t="s">
        <v>26</v>
      </c>
      <c r="C557" s="137" t="s">
        <v>181</v>
      </c>
      <c r="D557" s="133" t="s">
        <v>40</v>
      </c>
      <c r="E557" s="134" t="s">
        <v>2066</v>
      </c>
      <c r="F557" s="476" t="s">
        <v>2072</v>
      </c>
      <c r="G557" s="135" t="str">
        <f>VLOOKUP(A557,Plano_V3!$A$26:$G$769,7,0)</f>
        <v>1. Concluído</v>
      </c>
      <c r="H557" s="135" t="s">
        <v>612</v>
      </c>
      <c r="I557" s="473"/>
      <c r="J557" s="142"/>
      <c r="K557" s="142"/>
      <c r="L557" s="142"/>
      <c r="M557" s="152" t="str">
        <f>IF(VLOOKUP(A552,'Aux - pivots1'!$A:$E,3,0)=0, "",VLOOKUP(A552,'Aux - pivots1'!$A:$E,3,0))</f>
        <v/>
      </c>
      <c r="N557" s="152" t="str">
        <f>IF(VLOOKUP(A552,'Aux - pivots1'!$A:$E,4,0)=0, "",VLOOKUP(A552,'Aux - pivots1'!$A:$E,4,0))</f>
        <v/>
      </c>
      <c r="O557" s="152" t="str">
        <f>IF(VLOOKUP(A552,'Aux - pivots1'!$A:$E,5,0)=0, "",VLOOKUP(A552,'Aux - pivots1'!$A:$E,5,0))</f>
        <v/>
      </c>
      <c r="P557" s="202"/>
      <c r="Q557" s="202"/>
      <c r="R557" s="202"/>
      <c r="S557" s="372"/>
      <c r="T557" s="372"/>
      <c r="U557" s="372" t="s">
        <v>2328</v>
      </c>
      <c r="V557" s="152" t="s">
        <v>1862</v>
      </c>
    </row>
    <row r="558" spans="1:22" ht="16.350000000000001" hidden="1" customHeight="1">
      <c r="A558" s="29" t="str">
        <f t="shared" si="10"/>
        <v>modesg_inp_project_financenome_top_entidade_principal</v>
      </c>
      <c r="B558" s="141" t="s">
        <v>26</v>
      </c>
      <c r="C558" s="137" t="s">
        <v>181</v>
      </c>
      <c r="D558" s="133" t="s">
        <v>40</v>
      </c>
      <c r="E558" s="134" t="s">
        <v>2066</v>
      </c>
      <c r="F558" s="476" t="s">
        <v>2073</v>
      </c>
      <c r="G558" s="135" t="str">
        <f>VLOOKUP(A558,Plano_V3!$A$26:$G$769,7,0)</f>
        <v>1. Concluído</v>
      </c>
      <c r="H558" s="135" t="s">
        <v>612</v>
      </c>
      <c r="I558" s="473"/>
      <c r="J558" s="142"/>
      <c r="K558" s="142"/>
      <c r="L558" s="142"/>
      <c r="M558" s="152" t="str">
        <f>IF(VLOOKUP(A552,'Aux - pivots1'!$A:$E,3,0)=0, "",VLOOKUP(A552,'Aux - pivots1'!$A:$E,3,0))</f>
        <v/>
      </c>
      <c r="N558" s="152" t="str">
        <f>IF(VLOOKUP(A552,'Aux - pivots1'!$A:$E,4,0)=0, "",VLOOKUP(A552,'Aux - pivots1'!$A:$E,4,0))</f>
        <v/>
      </c>
      <c r="O558" s="152" t="str">
        <f>IF(VLOOKUP(A552,'Aux - pivots1'!$A:$E,5,0)=0, "",VLOOKUP(A552,'Aux - pivots1'!$A:$E,5,0))</f>
        <v/>
      </c>
      <c r="P558" s="202"/>
      <c r="Q558" s="202"/>
      <c r="R558" s="202"/>
      <c r="S558" s="372"/>
      <c r="T558" s="372"/>
      <c r="U558" s="372" t="s">
        <v>2328</v>
      </c>
      <c r="V558" s="152" t="s">
        <v>1862</v>
      </c>
    </row>
    <row r="559" spans="1:22" ht="16.350000000000001" hidden="1" customHeight="1">
      <c r="A559" s="29" t="str">
        <f t="shared" si="10"/>
        <v>modesg_inp_project_financecodigo_unidade_operativa</v>
      </c>
      <c r="B559" s="141" t="s">
        <v>26</v>
      </c>
      <c r="C559" s="137" t="s">
        <v>181</v>
      </c>
      <c r="D559" s="133" t="s">
        <v>40</v>
      </c>
      <c r="E559" s="134" t="s">
        <v>2066</v>
      </c>
      <c r="F559" s="476" t="s">
        <v>2074</v>
      </c>
      <c r="G559" s="135" t="str">
        <f>VLOOKUP(A559,Plano_V3!$A$26:$G$769,7,0)</f>
        <v>1. Concluído</v>
      </c>
      <c r="H559" s="135" t="s">
        <v>612</v>
      </c>
      <c r="I559" s="473"/>
      <c r="J559" s="142"/>
      <c r="K559" s="142"/>
      <c r="L559" s="142"/>
      <c r="M559" s="152" t="str">
        <f>IF(VLOOKUP(A552,'Aux - pivots1'!$A:$E,3,0)=0, "",VLOOKUP(A552,'Aux - pivots1'!$A:$E,3,0))</f>
        <v/>
      </c>
      <c r="N559" s="152" t="str">
        <f>IF(VLOOKUP(A552,'Aux - pivots1'!$A:$E,4,0)=0, "",VLOOKUP(A552,'Aux - pivots1'!$A:$E,4,0))</f>
        <v/>
      </c>
      <c r="O559" s="152" t="str">
        <f>IF(VLOOKUP(A552,'Aux - pivots1'!$A:$E,5,0)=0, "",VLOOKUP(A552,'Aux - pivots1'!$A:$E,5,0))</f>
        <v/>
      </c>
      <c r="P559" s="202"/>
      <c r="Q559" s="202"/>
      <c r="R559" s="202"/>
      <c r="S559" s="372"/>
      <c r="T559" s="372"/>
      <c r="U559" s="372" t="s">
        <v>2328</v>
      </c>
      <c r="V559" s="152" t="s">
        <v>1862</v>
      </c>
    </row>
    <row r="560" spans="1:22" ht="16.350000000000001" hidden="1" customHeight="1">
      <c r="A560" s="29" t="str">
        <f t="shared" si="10"/>
        <v>modesg_inp_project_financenome_entidade_operativa</v>
      </c>
      <c r="B560" s="141" t="s">
        <v>26</v>
      </c>
      <c r="C560" s="137" t="s">
        <v>181</v>
      </c>
      <c r="D560" s="133" t="s">
        <v>40</v>
      </c>
      <c r="E560" s="134" t="s">
        <v>2066</v>
      </c>
      <c r="F560" s="476" t="s">
        <v>2075</v>
      </c>
      <c r="G560" s="135" t="str">
        <f>VLOOKUP(A560,Plano_V3!$A$26:$G$769,7,0)</f>
        <v>1. Concluído</v>
      </c>
      <c r="H560" s="135" t="s">
        <v>612</v>
      </c>
      <c r="I560" s="473"/>
      <c r="J560" s="142"/>
      <c r="K560" s="142"/>
      <c r="L560" s="142"/>
      <c r="M560" s="152" t="str">
        <f>IF(VLOOKUP(A552,'Aux - pivots1'!$A:$E,3,0)=0, "",VLOOKUP(A552,'Aux - pivots1'!$A:$E,3,0))</f>
        <v/>
      </c>
      <c r="N560" s="152" t="str">
        <f>IF(VLOOKUP(A552,'Aux - pivots1'!$A:$E,4,0)=0, "",VLOOKUP(A552,'Aux - pivots1'!$A:$E,4,0))</f>
        <v/>
      </c>
      <c r="O560" s="152" t="str">
        <f>IF(VLOOKUP(A552,'Aux - pivots1'!$A:$E,5,0)=0, "",VLOOKUP(A552,'Aux - pivots1'!$A:$E,5,0))</f>
        <v/>
      </c>
      <c r="P560" s="202"/>
      <c r="Q560" s="202"/>
      <c r="R560" s="202"/>
      <c r="S560" s="372"/>
      <c r="T560" s="372"/>
      <c r="U560" s="372" t="s">
        <v>2328</v>
      </c>
      <c r="V560" s="152" t="s">
        <v>1862</v>
      </c>
    </row>
    <row r="561" spans="1:22" ht="16.350000000000001" hidden="1" customHeight="1">
      <c r="A561" s="29" t="str">
        <f t="shared" si="10"/>
        <v>modesg_out_bens_imoveisn.a.</v>
      </c>
      <c r="B561" s="141" t="s">
        <v>26</v>
      </c>
      <c r="C561" s="137" t="s">
        <v>310</v>
      </c>
      <c r="D561" s="133" t="s">
        <v>36</v>
      </c>
      <c r="E561" s="134" t="s">
        <v>311</v>
      </c>
      <c r="F561" s="476" t="s">
        <v>38</v>
      </c>
      <c r="G561" s="135" t="str">
        <f>VLOOKUP(A561,Plano_V3!$A$26:$G$769,7,0)</f>
        <v>1. Concluído</v>
      </c>
      <c r="H561" s="135" t="s">
        <v>612</v>
      </c>
      <c r="I561" s="473"/>
      <c r="J561" s="142"/>
      <c r="K561" s="142"/>
      <c r="L561" s="142"/>
      <c r="M561" s="152" t="str">
        <f>IF(VLOOKUP(A552,'Aux - pivots1'!$A:$E,3,0)=0, "",VLOOKUP(A552,'Aux - pivots1'!$A:$E,3,0))</f>
        <v/>
      </c>
      <c r="N561" s="152" t="str">
        <f>IF(VLOOKUP(A552,'Aux - pivots1'!$A:$E,4,0)=0, "",VLOOKUP(A552,'Aux - pivots1'!$A:$E,4,0))</f>
        <v/>
      </c>
      <c r="O561" s="152" t="str">
        <f>IF(VLOOKUP(A552,'Aux - pivots1'!$A:$E,5,0)=0, "",VLOOKUP(A552,'Aux - pivots1'!$A:$E,5,0))</f>
        <v/>
      </c>
      <c r="P561" s="202"/>
      <c r="Q561" s="202"/>
      <c r="R561" s="202"/>
      <c r="S561" s="324"/>
      <c r="T561" s="324"/>
      <c r="U561" s="372" t="s">
        <v>2326</v>
      </c>
      <c r="V561" s="323"/>
    </row>
    <row r="562" spans="1:22" ht="16.350000000000001" hidden="1" customHeight="1">
      <c r="A562" s="29" t="str">
        <f t="shared" si="10"/>
        <v>modesg_out_bens_imoveiscempbem</v>
      </c>
      <c r="B562" s="141" t="s">
        <v>26</v>
      </c>
      <c r="C562" s="137" t="s">
        <v>310</v>
      </c>
      <c r="D562" s="133" t="s">
        <v>40</v>
      </c>
      <c r="E562" s="134" t="s">
        <v>311</v>
      </c>
      <c r="F562" s="476" t="s">
        <v>313</v>
      </c>
      <c r="G562" s="135" t="str">
        <f>VLOOKUP(A562,Plano_V3!$A$26:$G$769,7,0)</f>
        <v>1. Concluído</v>
      </c>
      <c r="H562" s="135" t="s">
        <v>612</v>
      </c>
      <c r="I562" s="473"/>
      <c r="J562" s="153"/>
      <c r="K562" s="153"/>
      <c r="L562" s="153"/>
      <c r="M562" s="152" t="str">
        <f>IF(VLOOKUP(A553,'Aux - pivots1'!$A:$E,3,0)=0, "",VLOOKUP(A553,'Aux - pivots1'!$A:$E,3,0))</f>
        <v/>
      </c>
      <c r="N562" s="152" t="str">
        <f>IF(VLOOKUP(A553,'Aux - pivots1'!$A:$E,4,0)=0, "",VLOOKUP(A553,'Aux - pivots1'!$A:$E,4,0))</f>
        <v/>
      </c>
      <c r="O562" s="152" t="str">
        <f>IF(VLOOKUP(A553,'Aux - pivots1'!$A:$E,5,0)=0, "",VLOOKUP(A553,'Aux - pivots1'!$A:$E,5,0))</f>
        <v/>
      </c>
      <c r="P562" s="202"/>
      <c r="Q562" s="202"/>
      <c r="R562" s="202"/>
      <c r="S562" s="324"/>
      <c r="T562" s="324"/>
      <c r="U562" s="372" t="s">
        <v>2326</v>
      </c>
      <c r="V562" s="323"/>
    </row>
    <row r="563" spans="1:22" ht="16.350000000000001" hidden="1" customHeight="1">
      <c r="A563" s="29" t="str">
        <f t="shared" si="10"/>
        <v>modesg_out_bens_imoveisckbalbem</v>
      </c>
      <c r="B563" s="141" t="s">
        <v>26</v>
      </c>
      <c r="C563" s="137" t="s">
        <v>310</v>
      </c>
      <c r="D563" s="133" t="s">
        <v>40</v>
      </c>
      <c r="E563" s="134" t="s">
        <v>311</v>
      </c>
      <c r="F563" s="476" t="s">
        <v>314</v>
      </c>
      <c r="G563" s="135" t="str">
        <f>VLOOKUP(A563,Plano_V3!$A$26:$G$769,7,0)</f>
        <v>1. Concluído</v>
      </c>
      <c r="H563" s="135" t="s">
        <v>612</v>
      </c>
      <c r="I563" s="473"/>
      <c r="J563" s="153"/>
      <c r="K563" s="153"/>
      <c r="L563" s="153"/>
      <c r="M563" s="152" t="str">
        <f>IF(VLOOKUP(A554,'Aux - pivots1'!$A:$E,3,0)=0, "",VLOOKUP(A554,'Aux - pivots1'!$A:$E,3,0))</f>
        <v/>
      </c>
      <c r="N563" s="152" t="str">
        <f>IF(VLOOKUP(A554,'Aux - pivots1'!$A:$E,4,0)=0, "",VLOOKUP(A554,'Aux - pivots1'!$A:$E,4,0))</f>
        <v/>
      </c>
      <c r="O563" s="152" t="str">
        <f>IF(VLOOKUP(A554,'Aux - pivots1'!$A:$E,5,0)=0, "",VLOOKUP(A554,'Aux - pivots1'!$A:$E,5,0))</f>
        <v/>
      </c>
      <c r="P563" s="202"/>
      <c r="Q563" s="202"/>
      <c r="R563" s="202"/>
      <c r="S563" s="324"/>
      <c r="T563" s="324"/>
      <c r="U563" s="372" t="s">
        <v>2326</v>
      </c>
      <c r="V563" s="323"/>
    </row>
    <row r="564" spans="1:22" ht="16.350000000000001" hidden="1" customHeight="1">
      <c r="A564" s="29" t="str">
        <f t="shared" si="10"/>
        <v>modesg_out_bens_imoveisckctabem</v>
      </c>
      <c r="B564" s="141" t="s">
        <v>26</v>
      </c>
      <c r="C564" s="137" t="s">
        <v>310</v>
      </c>
      <c r="D564" s="133" t="s">
        <v>40</v>
      </c>
      <c r="E564" s="134" t="s">
        <v>311</v>
      </c>
      <c r="F564" s="476" t="s">
        <v>315</v>
      </c>
      <c r="G564" s="135" t="str">
        <f>VLOOKUP(A564,Plano_V3!$A$26:$G$769,7,0)</f>
        <v>1. Concluído</v>
      </c>
      <c r="H564" s="135" t="s">
        <v>612</v>
      </c>
      <c r="I564" s="473"/>
      <c r="J564" s="153"/>
      <c r="K564" s="153"/>
      <c r="L564" s="153"/>
      <c r="M564" s="152" t="str">
        <f>IF(VLOOKUP(A555,'Aux - pivots1'!$A:$E,3,0)=0, "",VLOOKUP(A555,'Aux - pivots1'!$A:$E,3,0))</f>
        <v/>
      </c>
      <c r="N564" s="152" t="str">
        <f>IF(VLOOKUP(A555,'Aux - pivots1'!$A:$E,4,0)=0, "",VLOOKUP(A555,'Aux - pivots1'!$A:$E,4,0))</f>
        <v/>
      </c>
      <c r="O564" s="152" t="str">
        <f>IF(VLOOKUP(A555,'Aux - pivots1'!$A:$E,5,0)=0, "",VLOOKUP(A555,'Aux - pivots1'!$A:$E,5,0))</f>
        <v/>
      </c>
      <c r="P564" s="202"/>
      <c r="Q564" s="202"/>
      <c r="R564" s="202"/>
      <c r="S564" s="324"/>
      <c r="T564" s="324"/>
      <c r="U564" s="372" t="s">
        <v>2326</v>
      </c>
      <c r="V564" s="323"/>
    </row>
    <row r="565" spans="1:22" ht="16.350000000000001" hidden="1" customHeight="1">
      <c r="A565" s="29" t="str">
        <f t="shared" si="10"/>
        <v>modesg_out_bens_imoveisckrefbem</v>
      </c>
      <c r="B565" s="141" t="s">
        <v>26</v>
      </c>
      <c r="C565" s="137" t="s">
        <v>310</v>
      </c>
      <c r="D565" s="133" t="s">
        <v>40</v>
      </c>
      <c r="E565" s="134" t="s">
        <v>311</v>
      </c>
      <c r="F565" s="476" t="s">
        <v>316</v>
      </c>
      <c r="G565" s="135" t="str">
        <f>VLOOKUP(A565,Plano_V3!$A$26:$G$769,7,0)</f>
        <v>1. Concluído</v>
      </c>
      <c r="H565" s="135" t="s">
        <v>612</v>
      </c>
      <c r="I565" s="473"/>
      <c r="J565" s="153"/>
      <c r="K565" s="153"/>
      <c r="L565" s="153"/>
      <c r="M565" s="152" t="str">
        <f>IF(VLOOKUP(A556,'Aux - pivots1'!$A:$E,3,0)=0, "",VLOOKUP(A556,'Aux - pivots1'!$A:$E,3,0))</f>
        <v/>
      </c>
      <c r="N565" s="152" t="str">
        <f>IF(VLOOKUP(A556,'Aux - pivots1'!$A:$E,4,0)=0, "",VLOOKUP(A556,'Aux - pivots1'!$A:$E,4,0))</f>
        <v/>
      </c>
      <c r="O565" s="152" t="str">
        <f>IF(VLOOKUP(A556,'Aux - pivots1'!$A:$E,5,0)=0, "",VLOOKUP(A556,'Aux - pivots1'!$A:$E,5,0))</f>
        <v/>
      </c>
      <c r="P565" s="202"/>
      <c r="Q565" s="202"/>
      <c r="R565" s="202"/>
      <c r="S565" s="324"/>
      <c r="T565" s="324"/>
      <c r="U565" s="372" t="s">
        <v>2326</v>
      </c>
      <c r="V565" s="323"/>
    </row>
    <row r="566" spans="1:22" ht="16.5" hidden="1" customHeight="1">
      <c r="A566" s="29" t="str">
        <f t="shared" si="10"/>
        <v>modesg_out_bens_imoveisorigem_scp1_emss</v>
      </c>
      <c r="B566" s="141" t="s">
        <v>26</v>
      </c>
      <c r="C566" s="137" t="s">
        <v>310</v>
      </c>
      <c r="D566" s="133" t="s">
        <v>40</v>
      </c>
      <c r="E566" s="134" t="s">
        <v>311</v>
      </c>
      <c r="F566" s="476" t="s">
        <v>319</v>
      </c>
      <c r="G566" s="135" t="str">
        <f>VLOOKUP(A566,Plano_V3!$A$26:$G$769,7,0)</f>
        <v>1. Concluído</v>
      </c>
      <c r="H566" s="135" t="s">
        <v>612</v>
      </c>
      <c r="I566" s="473"/>
      <c r="J566" s="142"/>
      <c r="K566" s="142"/>
      <c r="L566" s="142" t="s">
        <v>2360</v>
      </c>
      <c r="M566" s="152" t="str">
        <f>IF(VLOOKUP(A557,'Aux - pivots1'!$A:$E,3,0)=0, "",VLOOKUP(A557,'Aux - pivots1'!$A:$E,3,0))</f>
        <v/>
      </c>
      <c r="N566" s="152" t="str">
        <f>IF(VLOOKUP(A557,'Aux - pivots1'!$A:$E,4,0)=0, "",VLOOKUP(A557,'Aux - pivots1'!$A:$E,4,0))</f>
        <v/>
      </c>
      <c r="O566" s="152" t="str">
        <f>IF(VLOOKUP(A557,'Aux - pivots1'!$A:$E,5,0)=0, "",VLOOKUP(A557,'Aux - pivots1'!$A:$E,5,0))</f>
        <v/>
      </c>
      <c r="P566" s="202"/>
      <c r="Q566" s="202"/>
      <c r="R566" s="202"/>
      <c r="S566" s="324"/>
      <c r="T566" s="324"/>
      <c r="U566" s="372" t="s">
        <v>2326</v>
      </c>
      <c r="V566" s="323"/>
    </row>
    <row r="567" spans="1:22" ht="16.5" hidden="1" customHeight="1">
      <c r="A567" s="29" t="str">
        <f t="shared" si="10"/>
        <v>modesg_out_bens_imoveisorigem_scp2_emss</v>
      </c>
      <c r="B567" s="141" t="s">
        <v>26</v>
      </c>
      <c r="C567" s="137" t="s">
        <v>310</v>
      </c>
      <c r="D567" s="133" t="s">
        <v>40</v>
      </c>
      <c r="E567" s="134" t="s">
        <v>311</v>
      </c>
      <c r="F567" s="476" t="s">
        <v>320</v>
      </c>
      <c r="G567" s="135" t="str">
        <f>VLOOKUP(A567,Plano_V3!$A$26:$G$769,7,0)</f>
        <v>1. Concluído</v>
      </c>
      <c r="H567" s="135" t="s">
        <v>612</v>
      </c>
      <c r="I567" s="473"/>
      <c r="J567" s="142"/>
      <c r="K567" s="142"/>
      <c r="L567" s="142" t="s">
        <v>2360</v>
      </c>
      <c r="M567" s="152" t="str">
        <f>IF(VLOOKUP(A558,'Aux - pivots1'!$A:$E,3,0)=0, "",VLOOKUP(A558,'Aux - pivots1'!$A:$E,3,0))</f>
        <v/>
      </c>
      <c r="N567" s="152" t="str">
        <f>IF(VLOOKUP(A558,'Aux - pivots1'!$A:$E,4,0)=0, "",VLOOKUP(A558,'Aux - pivots1'!$A:$E,4,0))</f>
        <v/>
      </c>
      <c r="O567" s="152" t="str">
        <f>IF(VLOOKUP(A558,'Aux - pivots1'!$A:$E,5,0)=0, "",VLOOKUP(A558,'Aux - pivots1'!$A:$E,5,0))</f>
        <v/>
      </c>
      <c r="P567" s="202"/>
      <c r="Q567" s="202"/>
      <c r="R567" s="202"/>
      <c r="S567" s="324"/>
      <c r="T567" s="324"/>
      <c r="U567" s="372" t="s">
        <v>2326</v>
      </c>
      <c r="V567" s="323"/>
    </row>
    <row r="568" spans="1:22" ht="16.5" hidden="1" customHeight="1">
      <c r="A568" s="29" t="str">
        <f t="shared" si="10"/>
        <v>modesg_out_bens_imoveisorigem_scp3_emss</v>
      </c>
      <c r="B568" s="141" t="s">
        <v>26</v>
      </c>
      <c r="C568" s="137" t="s">
        <v>310</v>
      </c>
      <c r="D568" s="133" t="s">
        <v>40</v>
      </c>
      <c r="E568" s="134" t="s">
        <v>311</v>
      </c>
      <c r="F568" s="476" t="s">
        <v>321</v>
      </c>
      <c r="G568" s="135" t="str">
        <f>VLOOKUP(A568,Plano_V3!$A$26:$G$769,7,0)</f>
        <v>1. Concluído</v>
      </c>
      <c r="H568" s="135" t="s">
        <v>612</v>
      </c>
      <c r="I568" s="473"/>
      <c r="J568" s="142"/>
      <c r="K568" s="142"/>
      <c r="L568" s="142" t="s">
        <v>2360</v>
      </c>
      <c r="M568" s="152" t="str">
        <f>IF(VLOOKUP(A559,'Aux - pivots1'!$A:$E,3,0)=0, "",VLOOKUP(A559,'Aux - pivots1'!$A:$E,3,0))</f>
        <v/>
      </c>
      <c r="N568" s="152" t="str">
        <f>IF(VLOOKUP(A559,'Aux - pivots1'!$A:$E,4,0)=0, "",VLOOKUP(A559,'Aux - pivots1'!$A:$E,4,0))</f>
        <v/>
      </c>
      <c r="O568" s="152" t="str">
        <f>IF(VLOOKUP(A559,'Aux - pivots1'!$A:$E,5,0)=0, "",VLOOKUP(A559,'Aux - pivots1'!$A:$E,5,0))</f>
        <v/>
      </c>
      <c r="P568" s="202"/>
      <c r="Q568" s="202"/>
      <c r="R568" s="202"/>
      <c r="S568" s="324"/>
      <c r="T568" s="324"/>
      <c r="U568" s="372" t="s">
        <v>2326</v>
      </c>
      <c r="V568" s="323"/>
    </row>
    <row r="569" spans="1:22" ht="16.350000000000001" hidden="1" customHeight="1">
      <c r="A569" s="29" t="str">
        <f t="shared" si="10"/>
        <v>modesg_out_bens_imoveisref_date</v>
      </c>
      <c r="B569" s="141" t="s">
        <v>26</v>
      </c>
      <c r="C569" s="137" t="s">
        <v>310</v>
      </c>
      <c r="D569" s="133" t="s">
        <v>40</v>
      </c>
      <c r="E569" s="134" t="s">
        <v>311</v>
      </c>
      <c r="F569" s="476" t="s">
        <v>208</v>
      </c>
      <c r="G569" s="135" t="str">
        <f>VLOOKUP(A569,Plano_V3!$A$26:$G$769,7,0)</f>
        <v>1. Concluído</v>
      </c>
      <c r="H569" s="135" t="s">
        <v>612</v>
      </c>
      <c r="I569" s="473"/>
      <c r="J569" s="153"/>
      <c r="K569" s="153"/>
      <c r="L569" s="153"/>
      <c r="M569" s="152" t="str">
        <f>IF(VLOOKUP(A560,'Aux - pivots1'!$A:$E,3,0)=0, "",VLOOKUP(A560,'Aux - pivots1'!$A:$E,3,0))</f>
        <v/>
      </c>
      <c r="N569" s="152" t="str">
        <f>IF(VLOOKUP(A560,'Aux - pivots1'!$A:$E,4,0)=0, "",VLOOKUP(A560,'Aux - pivots1'!$A:$E,4,0))</f>
        <v/>
      </c>
      <c r="O569" s="152" t="str">
        <f>IF(VLOOKUP(A560,'Aux - pivots1'!$A:$E,5,0)=0, "",VLOOKUP(A560,'Aux - pivots1'!$A:$E,5,0))</f>
        <v/>
      </c>
      <c r="P569" s="202"/>
      <c r="Q569" s="202"/>
      <c r="R569" s="202"/>
      <c r="S569" s="324"/>
      <c r="T569" s="324"/>
      <c r="U569" s="372" t="s">
        <v>2326</v>
      </c>
      <c r="V569" s="323"/>
    </row>
    <row r="570" spans="1:22" ht="16.350000000000001" hidden="1" customHeight="1">
      <c r="A570" s="29" t="str">
        <f t="shared" si="10"/>
        <v>modesg_out_bens_imoveisscp1_emss</v>
      </c>
      <c r="B570" s="141" t="s">
        <v>26</v>
      </c>
      <c r="C570" s="137" t="s">
        <v>310</v>
      </c>
      <c r="D570" s="133" t="s">
        <v>40</v>
      </c>
      <c r="E570" s="134" t="s">
        <v>311</v>
      </c>
      <c r="F570" s="476" t="s">
        <v>285</v>
      </c>
      <c r="G570" s="135" t="str">
        <f>VLOOKUP(A570,Plano_V3!$A$26:$G$769,7,0)</f>
        <v>1. Concluído</v>
      </c>
      <c r="H570" s="135" t="s">
        <v>612</v>
      </c>
      <c r="I570" s="473"/>
      <c r="J570" s="142"/>
      <c r="K570" s="142"/>
      <c r="L570" s="142" t="s">
        <v>2360</v>
      </c>
      <c r="M570" s="152" t="str">
        <f>IF(VLOOKUP(A561,'Aux - pivots1'!$A:$E,3,0)=0, "",VLOOKUP(A561,'Aux - pivots1'!$A:$E,3,0))</f>
        <v/>
      </c>
      <c r="N570" s="152" t="str">
        <f>IF(VLOOKUP(A561,'Aux - pivots1'!$A:$E,4,0)=0, "",VLOOKUP(A561,'Aux - pivots1'!$A:$E,4,0))</f>
        <v/>
      </c>
      <c r="O570" s="152" t="str">
        <f>IF(VLOOKUP(A561,'Aux - pivots1'!$A:$E,5,0)=0, "",VLOOKUP(A561,'Aux - pivots1'!$A:$E,5,0))</f>
        <v/>
      </c>
      <c r="P570" s="202"/>
      <c r="Q570" s="202"/>
      <c r="R570" s="202"/>
      <c r="S570" s="324"/>
      <c r="T570" s="324"/>
      <c r="U570" s="372" t="s">
        <v>2326</v>
      </c>
      <c r="V570" s="323"/>
    </row>
    <row r="571" spans="1:22" ht="16.350000000000001" hidden="1" customHeight="1">
      <c r="A571" s="29" t="str">
        <f t="shared" si="10"/>
        <v>modesg_out_bens_imoveisscp2_emss</v>
      </c>
      <c r="B571" s="141" t="s">
        <v>26</v>
      </c>
      <c r="C571" s="137" t="s">
        <v>310</v>
      </c>
      <c r="D571" s="133" t="s">
        <v>40</v>
      </c>
      <c r="E571" s="134" t="s">
        <v>311</v>
      </c>
      <c r="F571" s="476" t="s">
        <v>286</v>
      </c>
      <c r="G571" s="135" t="str">
        <f>VLOOKUP(A571,Plano_V3!$A$26:$G$769,7,0)</f>
        <v>1. Concluído</v>
      </c>
      <c r="H571" s="135" t="s">
        <v>612</v>
      </c>
      <c r="I571" s="473"/>
      <c r="J571" s="142"/>
      <c r="K571" s="142"/>
      <c r="L571" s="142" t="s">
        <v>2360</v>
      </c>
      <c r="M571" s="152" t="str">
        <f>IF(VLOOKUP(A562,'Aux - pivots1'!$A:$E,3,0)=0, "",VLOOKUP(A562,'Aux - pivots1'!$A:$E,3,0))</f>
        <v/>
      </c>
      <c r="N571" s="152" t="str">
        <f>IF(VLOOKUP(A562,'Aux - pivots1'!$A:$E,4,0)=0, "",VLOOKUP(A562,'Aux - pivots1'!$A:$E,4,0))</f>
        <v/>
      </c>
      <c r="O571" s="152" t="str">
        <f>IF(VLOOKUP(A562,'Aux - pivots1'!$A:$E,5,0)=0, "",VLOOKUP(A562,'Aux - pivots1'!$A:$E,5,0))</f>
        <v/>
      </c>
      <c r="P571" s="202"/>
      <c r="Q571" s="202"/>
      <c r="R571" s="202"/>
      <c r="S571" s="324"/>
      <c r="T571" s="324"/>
      <c r="U571" s="372" t="s">
        <v>2326</v>
      </c>
      <c r="V571" s="323"/>
    </row>
    <row r="572" spans="1:22" ht="16.350000000000001" hidden="1" customHeight="1">
      <c r="A572" s="29" t="str">
        <f t="shared" si="10"/>
        <v>modesg_out_bens_imoveisscp3_emss</v>
      </c>
      <c r="B572" s="141" t="s">
        <v>26</v>
      </c>
      <c r="C572" s="137" t="s">
        <v>310</v>
      </c>
      <c r="D572" s="133" t="s">
        <v>40</v>
      </c>
      <c r="E572" s="134" t="s">
        <v>311</v>
      </c>
      <c r="F572" s="476" t="s">
        <v>287</v>
      </c>
      <c r="G572" s="135" t="str">
        <f>VLOOKUP(A572,Plano_V3!$A$26:$G$769,7,0)</f>
        <v>1. Concluído</v>
      </c>
      <c r="H572" s="135" t="s">
        <v>612</v>
      </c>
      <c r="I572" s="473"/>
      <c r="J572" s="153"/>
      <c r="K572" s="153"/>
      <c r="L572" s="142" t="s">
        <v>2360</v>
      </c>
      <c r="M572" s="152" t="str">
        <f>IF(VLOOKUP(A563,'Aux - pivots1'!$A:$E,3,0)=0, "",VLOOKUP(A563,'Aux - pivots1'!$A:$E,3,0))</f>
        <v/>
      </c>
      <c r="N572" s="152" t="str">
        <f>IF(VLOOKUP(A563,'Aux - pivots1'!$A:$E,4,0)=0, "",VLOOKUP(A563,'Aux - pivots1'!$A:$E,4,0))</f>
        <v/>
      </c>
      <c r="O572" s="152" t="str">
        <f>IF(VLOOKUP(A563,'Aux - pivots1'!$A:$E,5,0)=0, "",VLOOKUP(A563,'Aux - pivots1'!$A:$E,5,0))</f>
        <v/>
      </c>
      <c r="P572" s="202"/>
      <c r="Q572" s="202"/>
      <c r="R572" s="202"/>
      <c r="S572" s="324"/>
      <c r="T572" s="324"/>
      <c r="U572" s="372" t="s">
        <v>2326</v>
      </c>
      <c r="V572" s="323"/>
    </row>
    <row r="573" spans="1:22" ht="16.350000000000001" hidden="1" customHeight="1">
      <c r="A573" s="29" t="str">
        <f t="shared" si="10"/>
        <v>modesg_out_bens_imoveisunidade_funcional_scp1_emss</v>
      </c>
      <c r="B573" s="141" t="s">
        <v>26</v>
      </c>
      <c r="C573" s="137" t="s">
        <v>310</v>
      </c>
      <c r="D573" s="133" t="s">
        <v>40</v>
      </c>
      <c r="E573" s="134" t="s">
        <v>311</v>
      </c>
      <c r="F573" s="476" t="s">
        <v>322</v>
      </c>
      <c r="G573" s="135" t="str">
        <f>VLOOKUP(A573,Plano_V3!$A$26:$G$769,7,0)</f>
        <v>1. Concluído</v>
      </c>
      <c r="H573" s="135" t="s">
        <v>612</v>
      </c>
      <c r="I573" s="473"/>
      <c r="J573" s="142"/>
      <c r="K573" s="142"/>
      <c r="L573" s="142" t="s">
        <v>2360</v>
      </c>
      <c r="M573" s="152" t="str">
        <f>IF(VLOOKUP(A564,'Aux - pivots1'!$A:$E,3,0)=0, "",VLOOKUP(A564,'Aux - pivots1'!$A:$E,3,0))</f>
        <v/>
      </c>
      <c r="N573" s="152" t="str">
        <f>IF(VLOOKUP(A564,'Aux - pivots1'!$A:$E,4,0)=0, "",VLOOKUP(A564,'Aux - pivots1'!$A:$E,4,0))</f>
        <v/>
      </c>
      <c r="O573" s="152" t="str">
        <f>IF(VLOOKUP(A564,'Aux - pivots1'!$A:$E,5,0)=0, "",VLOOKUP(A564,'Aux - pivots1'!$A:$E,5,0))</f>
        <v/>
      </c>
      <c r="P573" s="202"/>
      <c r="Q573" s="202"/>
      <c r="R573" s="202"/>
      <c r="S573" s="324"/>
      <c r="T573" s="324"/>
      <c r="U573" s="372" t="s">
        <v>2326</v>
      </c>
      <c r="V573" s="323"/>
    </row>
    <row r="574" spans="1:22" ht="16.5" hidden="1" customHeight="1">
      <c r="A574" s="29" t="str">
        <f t="shared" si="10"/>
        <v>modesg_out_bens_imoveisunidade_funcional_scp2_emss</v>
      </c>
      <c r="B574" s="141" t="s">
        <v>26</v>
      </c>
      <c r="C574" s="137" t="s">
        <v>310</v>
      </c>
      <c r="D574" s="133" t="s">
        <v>40</v>
      </c>
      <c r="E574" s="134" t="s">
        <v>311</v>
      </c>
      <c r="F574" s="476" t="s">
        <v>323</v>
      </c>
      <c r="G574" s="135" t="str">
        <f>VLOOKUP(A574,Plano_V3!$A$26:$G$769,7,0)</f>
        <v>1. Concluído</v>
      </c>
      <c r="H574" s="135" t="s">
        <v>612</v>
      </c>
      <c r="I574" s="473"/>
      <c r="J574" s="142"/>
      <c r="K574" s="142"/>
      <c r="L574" s="142" t="s">
        <v>2360</v>
      </c>
      <c r="M574" s="152" t="str">
        <f>IF(VLOOKUP(A565,'Aux - pivots1'!$A:$E,3,0)=0, "",VLOOKUP(A565,'Aux - pivots1'!$A:$E,3,0))</f>
        <v/>
      </c>
      <c r="N574" s="152" t="str">
        <f>IF(VLOOKUP(A565,'Aux - pivots1'!$A:$E,4,0)=0, "",VLOOKUP(A565,'Aux - pivots1'!$A:$E,4,0))</f>
        <v/>
      </c>
      <c r="O574" s="152" t="str">
        <f>IF(VLOOKUP(A565,'Aux - pivots1'!$A:$E,5,0)=0, "",VLOOKUP(A565,'Aux - pivots1'!$A:$E,5,0))</f>
        <v/>
      </c>
      <c r="P574" s="202"/>
      <c r="Q574" s="202"/>
      <c r="R574" s="202"/>
      <c r="S574" s="324"/>
      <c r="T574" s="324"/>
      <c r="U574" s="372" t="s">
        <v>2326</v>
      </c>
      <c r="V574" s="323"/>
    </row>
    <row r="575" spans="1:22" ht="16.5" hidden="1" customHeight="1">
      <c r="A575" s="29" t="str">
        <f t="shared" si="10"/>
        <v>modesg_out_bens_imoveisunidade_funcional_scp3_emss</v>
      </c>
      <c r="B575" s="141" t="s">
        <v>26</v>
      </c>
      <c r="C575" s="137" t="s">
        <v>310</v>
      </c>
      <c r="D575" s="133" t="s">
        <v>40</v>
      </c>
      <c r="E575" s="134" t="s">
        <v>311</v>
      </c>
      <c r="F575" s="476" t="s">
        <v>324</v>
      </c>
      <c r="G575" s="135" t="str">
        <f>VLOOKUP(A575,Plano_V3!$A$26:$G$769,7,0)</f>
        <v>1. Concluído</v>
      </c>
      <c r="H575" s="135" t="s">
        <v>612</v>
      </c>
      <c r="I575" s="473"/>
      <c r="J575" s="142"/>
      <c r="K575" s="142"/>
      <c r="L575" s="142" t="s">
        <v>2360</v>
      </c>
      <c r="M575" s="152" t="str">
        <f>IF(VLOOKUP(A566,'Aux - pivots1'!$A:$E,3,0)=0, "",VLOOKUP(A566,'Aux - pivots1'!$A:$E,3,0))</f>
        <v/>
      </c>
      <c r="N575" s="152" t="str">
        <f>IF(VLOOKUP(A566,'Aux - pivots1'!$A:$E,4,0)=0, "",VLOOKUP(A566,'Aux - pivots1'!$A:$E,4,0))</f>
        <v/>
      </c>
      <c r="O575" s="152" t="str">
        <f>IF(VLOOKUP(A566,'Aux - pivots1'!$A:$E,5,0)=0, "",VLOOKUP(A566,'Aux - pivots1'!$A:$E,5,0))</f>
        <v/>
      </c>
      <c r="P575" s="202"/>
      <c r="Q575" s="202"/>
      <c r="R575" s="202"/>
      <c r="S575" s="324"/>
      <c r="T575" s="324"/>
      <c r="U575" s="372" t="s">
        <v>2326</v>
      </c>
      <c r="V575" s="323"/>
    </row>
    <row r="576" spans="1:22" ht="16.5" hidden="1" customHeight="1">
      <c r="A576" s="29" t="str">
        <f t="shared" si="10"/>
        <v>modesg_out_empr_info_nfinn.a.</v>
      </c>
      <c r="B576" s="141" t="s">
        <v>26</v>
      </c>
      <c r="C576" s="137" t="s">
        <v>310</v>
      </c>
      <c r="D576" s="133" t="s">
        <v>36</v>
      </c>
      <c r="E576" s="134" t="s">
        <v>325</v>
      </c>
      <c r="F576" s="476" t="s">
        <v>38</v>
      </c>
      <c r="G576" s="135" t="str">
        <f>VLOOKUP(A576,Plano_V3!$A$26:$G$769,7,0)</f>
        <v>1. Concluído</v>
      </c>
      <c r="H576" s="135" t="s">
        <v>612</v>
      </c>
      <c r="I576" s="473"/>
      <c r="J576" s="153"/>
      <c r="K576" s="153"/>
      <c r="L576" s="153"/>
      <c r="M576" s="152" t="str">
        <f>IF(VLOOKUP(A567,'Aux - pivots1'!$A:$E,3,0)=0, "",VLOOKUP(A567,'Aux - pivots1'!$A:$E,3,0))</f>
        <v/>
      </c>
      <c r="N576" s="152" t="str">
        <f>IF(VLOOKUP(A567,'Aux - pivots1'!$A:$E,4,0)=0, "",VLOOKUP(A567,'Aux - pivots1'!$A:$E,4,0))</f>
        <v/>
      </c>
      <c r="O576" s="152" t="str">
        <f>IF(VLOOKUP(A567,'Aux - pivots1'!$A:$E,5,0)=0, "",VLOOKUP(A567,'Aux - pivots1'!$A:$E,5,0))</f>
        <v/>
      </c>
      <c r="P576" s="202"/>
      <c r="Q576" s="202"/>
      <c r="R576" s="202"/>
      <c r="S576" s="324"/>
      <c r="T576" s="324"/>
      <c r="U576" s="372" t="s">
        <v>2326</v>
      </c>
      <c r="V576" s="323"/>
    </row>
    <row r="577" spans="1:22" ht="16.5" hidden="1" customHeight="1">
      <c r="A577" s="29" t="str">
        <f t="shared" si="10"/>
        <v>modesg_out_empr_info_nfincca_capex_enblng_algnd</v>
      </c>
      <c r="B577" s="141" t="s">
        <v>26</v>
      </c>
      <c r="C577" s="137" t="s">
        <v>310</v>
      </c>
      <c r="D577" s="133" t="s">
        <v>40</v>
      </c>
      <c r="E577" s="134" t="s">
        <v>325</v>
      </c>
      <c r="F577" s="476" t="s">
        <v>249</v>
      </c>
      <c r="G577" s="135" t="str">
        <f>VLOOKUP(A577,Plano_V3!$A$26:$G$769,7,0)</f>
        <v>1. Concluído</v>
      </c>
      <c r="H577" s="135" t="s">
        <v>612</v>
      </c>
      <c r="I577" s="473"/>
      <c r="J577" s="153"/>
      <c r="K577" s="153"/>
      <c r="L577" s="153"/>
      <c r="M577" s="152" t="str">
        <f>IF(VLOOKUP(A568,'Aux - pivots1'!$A:$E,3,0)=0, "",VLOOKUP(A568,'Aux - pivots1'!$A:$E,3,0))</f>
        <v/>
      </c>
      <c r="N577" s="152" t="str">
        <f>IF(VLOOKUP(A568,'Aux - pivots1'!$A:$E,4,0)=0, "",VLOOKUP(A568,'Aux - pivots1'!$A:$E,4,0))</f>
        <v/>
      </c>
      <c r="O577" s="152" t="str">
        <f>IF(VLOOKUP(A568,'Aux - pivots1'!$A:$E,5,0)=0, "",VLOOKUP(A568,'Aux - pivots1'!$A:$E,5,0))</f>
        <v/>
      </c>
      <c r="P577" s="202"/>
      <c r="Q577" s="202"/>
      <c r="R577" s="202"/>
      <c r="S577" s="324"/>
      <c r="T577" s="324"/>
      <c r="U577" s="372" t="s">
        <v>2326</v>
      </c>
      <c r="V577" s="323"/>
    </row>
    <row r="578" spans="1:22" ht="16.5" hidden="1" customHeight="1">
      <c r="A578" s="29" t="str">
        <f t="shared" si="10"/>
        <v>modesg_out_empr_info_nfincca_capex_own_prfrmnce_algnd</v>
      </c>
      <c r="B578" s="141" t="s">
        <v>26</v>
      </c>
      <c r="C578" s="137" t="s">
        <v>310</v>
      </c>
      <c r="D578" s="133" t="s">
        <v>40</v>
      </c>
      <c r="E578" s="134" t="s">
        <v>325</v>
      </c>
      <c r="F578" s="476" t="s">
        <v>250</v>
      </c>
      <c r="G578" s="135" t="str">
        <f>VLOOKUP(A578,Plano_V3!$A$26:$G$769,7,0)</f>
        <v>1. Concluído</v>
      </c>
      <c r="H578" s="135" t="s">
        <v>612</v>
      </c>
      <c r="I578" s="473"/>
      <c r="J578" s="153"/>
      <c r="K578" s="153"/>
      <c r="L578" s="153"/>
      <c r="M578" s="152" t="str">
        <f>IF(VLOOKUP(A569,'Aux - pivots1'!$A:$E,3,0)=0, "",VLOOKUP(A569,'Aux - pivots1'!$A:$E,3,0))</f>
        <v/>
      </c>
      <c r="N578" s="152" t="str">
        <f>IF(VLOOKUP(A569,'Aux - pivots1'!$A:$E,4,0)=0, "",VLOOKUP(A569,'Aux - pivots1'!$A:$E,4,0))</f>
        <v/>
      </c>
      <c r="O578" s="152" t="str">
        <f>IF(VLOOKUP(A569,'Aux - pivots1'!$A:$E,5,0)=0, "",VLOOKUP(A569,'Aux - pivots1'!$A:$E,5,0))</f>
        <v/>
      </c>
      <c r="P578" s="202"/>
      <c r="Q578" s="202"/>
      <c r="R578" s="202"/>
      <c r="S578" s="324"/>
      <c r="T578" s="324"/>
      <c r="U578" s="372" t="s">
        <v>2326</v>
      </c>
      <c r="V578" s="323"/>
    </row>
    <row r="579" spans="1:22" ht="16.5" hidden="1" customHeight="1">
      <c r="A579" s="29" t="str">
        <f t="shared" si="10"/>
        <v>modesg_out_empr_info_nfincca_capex_ttl_elgbl</v>
      </c>
      <c r="B579" s="141" t="s">
        <v>26</v>
      </c>
      <c r="C579" s="137" t="s">
        <v>310</v>
      </c>
      <c r="D579" s="133" t="s">
        <v>40</v>
      </c>
      <c r="E579" s="134" t="s">
        <v>325</v>
      </c>
      <c r="F579" s="476" t="s">
        <v>248</v>
      </c>
      <c r="G579" s="135" t="str">
        <f>VLOOKUP(A579,Plano_V3!$A$26:$G$769,7,0)</f>
        <v>1. Concluído</v>
      </c>
      <c r="H579" s="135" t="s">
        <v>612</v>
      </c>
      <c r="I579" s="473"/>
      <c r="J579" s="153"/>
      <c r="K579" s="153"/>
      <c r="L579" s="153"/>
      <c r="M579" s="152" t="str">
        <f>IF(VLOOKUP(A570,'Aux - pivots1'!$A:$E,3,0)=0, "",VLOOKUP(A570,'Aux - pivots1'!$A:$E,3,0))</f>
        <v/>
      </c>
      <c r="N579" s="152" t="str">
        <f>IF(VLOOKUP(A570,'Aux - pivots1'!$A:$E,4,0)=0, "",VLOOKUP(A570,'Aux - pivots1'!$A:$E,4,0))</f>
        <v/>
      </c>
      <c r="O579" s="152" t="str">
        <f>IF(VLOOKUP(A570,'Aux - pivots1'!$A:$E,5,0)=0, "",VLOOKUP(A570,'Aux - pivots1'!$A:$E,5,0))</f>
        <v/>
      </c>
      <c r="P579" s="202"/>
      <c r="Q579" s="202"/>
      <c r="R579" s="202"/>
      <c r="S579" s="324"/>
      <c r="T579" s="324"/>
      <c r="U579" s="372" t="s">
        <v>2326</v>
      </c>
      <c r="V579" s="323"/>
    </row>
    <row r="580" spans="1:22" ht="16.5" hidden="1" customHeight="1">
      <c r="A580" s="29" t="str">
        <f t="shared" si="10"/>
        <v>modesg_out_empr_info_nfincca_trnvr_enblng_alignd</v>
      </c>
      <c r="B580" s="141" t="s">
        <v>26</v>
      </c>
      <c r="C580" s="137" t="s">
        <v>310</v>
      </c>
      <c r="D580" s="133" t="s">
        <v>40</v>
      </c>
      <c r="E580" s="134" t="s">
        <v>325</v>
      </c>
      <c r="F580" s="476" t="s">
        <v>246</v>
      </c>
      <c r="G580" s="135" t="str">
        <f>VLOOKUP(A580,Plano_V3!$A$26:$G$769,7,0)</f>
        <v>1. Concluído</v>
      </c>
      <c r="H580" s="135" t="s">
        <v>612</v>
      </c>
      <c r="I580" s="473"/>
      <c r="J580" s="153"/>
      <c r="K580" s="153"/>
      <c r="L580" s="153"/>
      <c r="M580" s="152" t="str">
        <f>IF(VLOOKUP(A571,'Aux - pivots1'!$A:$E,3,0)=0, "",VLOOKUP(A571,'Aux - pivots1'!$A:$E,3,0))</f>
        <v/>
      </c>
      <c r="N580" s="152" t="str">
        <f>IF(VLOOKUP(A571,'Aux - pivots1'!$A:$E,4,0)=0, "",VLOOKUP(A571,'Aux - pivots1'!$A:$E,4,0))</f>
        <v/>
      </c>
      <c r="O580" s="152" t="str">
        <f>IF(VLOOKUP(A571,'Aux - pivots1'!$A:$E,5,0)=0, "",VLOOKUP(A571,'Aux - pivots1'!$A:$E,5,0))</f>
        <v/>
      </c>
      <c r="P580" s="202"/>
      <c r="Q580" s="202"/>
      <c r="R580" s="202"/>
      <c r="S580" s="324"/>
      <c r="T580" s="324"/>
      <c r="U580" s="372" t="s">
        <v>2326</v>
      </c>
      <c r="V580" s="323"/>
    </row>
    <row r="581" spans="1:22" ht="16.5" hidden="1" customHeight="1">
      <c r="A581" s="29" t="str">
        <f t="shared" si="10"/>
        <v>modesg_out_empr_info_nfincca_trnvr_ttl_elgbl</v>
      </c>
      <c r="B581" s="141" t="s">
        <v>26</v>
      </c>
      <c r="C581" s="137" t="s">
        <v>310</v>
      </c>
      <c r="D581" s="133" t="s">
        <v>40</v>
      </c>
      <c r="E581" s="134" t="s">
        <v>325</v>
      </c>
      <c r="F581" s="476" t="s">
        <v>245</v>
      </c>
      <c r="G581" s="135" t="str">
        <f>VLOOKUP(A581,Plano_V3!$A$26:$G$769,7,0)</f>
        <v>1. Concluído</v>
      </c>
      <c r="H581" s="135" t="s">
        <v>612</v>
      </c>
      <c r="I581" s="473"/>
      <c r="J581" s="153"/>
      <c r="K581" s="153"/>
      <c r="L581" s="153"/>
      <c r="M581" s="152" t="str">
        <f>IF(VLOOKUP(A572,'Aux - pivots1'!$A:$E,3,0)=0, "",VLOOKUP(A572,'Aux - pivots1'!$A:$E,3,0))</f>
        <v/>
      </c>
      <c r="N581" s="152" t="str">
        <f>IF(VLOOKUP(A572,'Aux - pivots1'!$A:$E,4,0)=0, "",VLOOKUP(A572,'Aux - pivots1'!$A:$E,4,0))</f>
        <v/>
      </c>
      <c r="O581" s="152" t="str">
        <f>IF(VLOOKUP(A572,'Aux - pivots1'!$A:$E,5,0)=0, "",VLOOKUP(A572,'Aux - pivots1'!$A:$E,5,0))</f>
        <v/>
      </c>
      <c r="P581" s="202"/>
      <c r="Q581" s="202"/>
      <c r="R581" s="202"/>
      <c r="S581" s="324"/>
      <c r="T581" s="324"/>
      <c r="U581" s="372" t="s">
        <v>2326</v>
      </c>
      <c r="V581" s="323"/>
    </row>
    <row r="582" spans="1:22" ht="16.5" hidden="1" customHeight="1">
      <c r="A582" s="29" t="str">
        <f t="shared" si="10"/>
        <v>modesg_out_empr_info_nfincca_turnover_own_prfrmnce_algnd</v>
      </c>
      <c r="B582" s="141" t="s">
        <v>26</v>
      </c>
      <c r="C582" s="137" t="s">
        <v>310</v>
      </c>
      <c r="D582" s="133" t="s">
        <v>40</v>
      </c>
      <c r="E582" s="134" t="s">
        <v>325</v>
      </c>
      <c r="F582" s="476" t="s">
        <v>247</v>
      </c>
      <c r="G582" s="135" t="str">
        <f>VLOOKUP(A582,Plano_V3!$A$26:$G$769,7,0)</f>
        <v>1. Concluído</v>
      </c>
      <c r="H582" s="135" t="s">
        <v>612</v>
      </c>
      <c r="I582" s="473"/>
      <c r="J582" s="153"/>
      <c r="K582" s="153"/>
      <c r="L582" s="153"/>
      <c r="M582" s="152" t="str">
        <f>IF(VLOOKUP(A573,'Aux - pivots1'!$A:$E,3,0)=0, "",VLOOKUP(A573,'Aux - pivots1'!$A:$E,3,0))</f>
        <v/>
      </c>
      <c r="N582" s="152" t="str">
        <f>IF(VLOOKUP(A573,'Aux - pivots1'!$A:$E,4,0)=0, "",VLOOKUP(A573,'Aux - pivots1'!$A:$E,4,0))</f>
        <v/>
      </c>
      <c r="O582" s="152" t="str">
        <f>IF(VLOOKUP(A573,'Aux - pivots1'!$A:$E,5,0)=0, "",VLOOKUP(A573,'Aux - pivots1'!$A:$E,5,0))</f>
        <v/>
      </c>
      <c r="P582" s="202"/>
      <c r="Q582" s="202"/>
      <c r="R582" s="202"/>
      <c r="S582" s="324"/>
      <c r="T582" s="324"/>
      <c r="U582" s="372" t="s">
        <v>2326</v>
      </c>
      <c r="V582" s="323"/>
    </row>
    <row r="583" spans="1:22" ht="16.5" hidden="1" customHeight="1">
      <c r="A583" s="29" t="str">
        <f t="shared" si="10"/>
        <v>modesg_out_empr_info_nfinccm_capex_enblng_algnd</v>
      </c>
      <c r="B583" s="141" t="s">
        <v>26</v>
      </c>
      <c r="C583" s="137" t="s">
        <v>310</v>
      </c>
      <c r="D583" s="133" t="s">
        <v>40</v>
      </c>
      <c r="E583" s="134" t="s">
        <v>325</v>
      </c>
      <c r="F583" s="476" t="s">
        <v>256</v>
      </c>
      <c r="G583" s="135" t="str">
        <f>VLOOKUP(A583,Plano_V3!$A$26:$G$769,7,0)</f>
        <v>1. Concluído</v>
      </c>
      <c r="H583" s="135" t="s">
        <v>612</v>
      </c>
      <c r="I583" s="473"/>
      <c r="J583" s="153"/>
      <c r="K583" s="153"/>
      <c r="L583" s="153"/>
      <c r="M583" s="152" t="str">
        <f>IF(VLOOKUP(A574,'Aux - pivots1'!$A:$E,3,0)=0, "",VLOOKUP(A574,'Aux - pivots1'!$A:$E,3,0))</f>
        <v/>
      </c>
      <c r="N583" s="152" t="str">
        <f>IF(VLOOKUP(A574,'Aux - pivots1'!$A:$E,4,0)=0, "",VLOOKUP(A574,'Aux - pivots1'!$A:$E,4,0))</f>
        <v/>
      </c>
      <c r="O583" s="152" t="str">
        <f>IF(VLOOKUP(A574,'Aux - pivots1'!$A:$E,5,0)=0, "",VLOOKUP(A574,'Aux - pivots1'!$A:$E,5,0))</f>
        <v/>
      </c>
      <c r="P583" s="202"/>
      <c r="Q583" s="202"/>
      <c r="R583" s="202"/>
      <c r="S583" s="324"/>
      <c r="T583" s="324"/>
      <c r="U583" s="372" t="s">
        <v>2326</v>
      </c>
      <c r="V583" s="323"/>
    </row>
    <row r="584" spans="1:22" ht="16.5" hidden="1" customHeight="1">
      <c r="A584" s="29" t="str">
        <f t="shared" si="10"/>
        <v>modesg_out_empr_info_nfinccm_capex_own_prfrmnce_algnd</v>
      </c>
      <c r="B584" s="141" t="s">
        <v>26</v>
      </c>
      <c r="C584" s="137" t="s">
        <v>310</v>
      </c>
      <c r="D584" s="133" t="s">
        <v>40</v>
      </c>
      <c r="E584" s="134" t="s">
        <v>325</v>
      </c>
      <c r="F584" s="476" t="s">
        <v>258</v>
      </c>
      <c r="G584" s="135" t="str">
        <f>VLOOKUP(A584,Plano_V3!$A$26:$G$769,7,0)</f>
        <v>1. Concluído</v>
      </c>
      <c r="H584" s="135" t="s">
        <v>612</v>
      </c>
      <c r="I584" s="473"/>
      <c r="J584" s="153"/>
      <c r="K584" s="153"/>
      <c r="L584" s="153"/>
      <c r="M584" s="152" t="str">
        <f>IF(VLOOKUP(A575,'Aux - pivots1'!$A:$E,3,0)=0, "",VLOOKUP(A575,'Aux - pivots1'!$A:$E,3,0))</f>
        <v/>
      </c>
      <c r="N584" s="152" t="str">
        <f>IF(VLOOKUP(A575,'Aux - pivots1'!$A:$E,4,0)=0, "",VLOOKUP(A575,'Aux - pivots1'!$A:$E,4,0))</f>
        <v/>
      </c>
      <c r="O584" s="152" t="str">
        <f>IF(VLOOKUP(A575,'Aux - pivots1'!$A:$E,5,0)=0, "",VLOOKUP(A575,'Aux - pivots1'!$A:$E,5,0))</f>
        <v/>
      </c>
      <c r="P584" s="202"/>
      <c r="Q584" s="202"/>
      <c r="R584" s="202"/>
      <c r="S584" s="324"/>
      <c r="T584" s="324"/>
      <c r="U584" s="372" t="s">
        <v>2326</v>
      </c>
      <c r="V584" s="323"/>
    </row>
    <row r="585" spans="1:22" ht="16.350000000000001" hidden="1" customHeight="1">
      <c r="A585" s="29" t="str">
        <f t="shared" si="10"/>
        <v>modesg_out_empr_info_nfinccm_capex_trnstn_algnd</v>
      </c>
      <c r="B585" s="141" t="s">
        <v>26</v>
      </c>
      <c r="C585" s="137" t="s">
        <v>310</v>
      </c>
      <c r="D585" s="133" t="s">
        <v>40</v>
      </c>
      <c r="E585" s="134" t="s">
        <v>325</v>
      </c>
      <c r="F585" s="476" t="s">
        <v>257</v>
      </c>
      <c r="G585" s="135" t="str">
        <f>VLOOKUP(A585,Plano_V3!$A$26:$G$769,7,0)</f>
        <v>1. Concluído</v>
      </c>
      <c r="H585" s="135" t="s">
        <v>612</v>
      </c>
      <c r="I585" s="473"/>
      <c r="J585" s="153"/>
      <c r="K585" s="153"/>
      <c r="L585" s="153"/>
      <c r="M585" s="152" t="str">
        <f>IF(VLOOKUP(A576,'Aux - pivots1'!$A:$E,3,0)=0, "",VLOOKUP(A576,'Aux - pivots1'!$A:$E,3,0))</f>
        <v/>
      </c>
      <c r="N585" s="152" t="str">
        <f>IF(VLOOKUP(A576,'Aux - pivots1'!$A:$E,4,0)=0, "",VLOOKUP(A576,'Aux - pivots1'!$A:$E,4,0))</f>
        <v/>
      </c>
      <c r="O585" s="152" t="str">
        <f>IF(VLOOKUP(A576,'Aux - pivots1'!$A:$E,5,0)=0, "",VLOOKUP(A576,'Aux - pivots1'!$A:$E,5,0))</f>
        <v/>
      </c>
      <c r="P585" s="202"/>
      <c r="Q585" s="202"/>
      <c r="R585" s="202"/>
      <c r="S585" s="324"/>
      <c r="T585" s="324"/>
      <c r="U585" s="372" t="s">
        <v>2326</v>
      </c>
      <c r="V585" s="323"/>
    </row>
    <row r="586" spans="1:22" ht="16.350000000000001" hidden="1" customHeight="1">
      <c r="A586" s="29" t="str">
        <f t="shared" si="10"/>
        <v>modesg_out_empr_info_nfinccm_capex_ttl_elgbl</v>
      </c>
      <c r="B586" s="141" t="s">
        <v>26</v>
      </c>
      <c r="C586" s="137" t="s">
        <v>310</v>
      </c>
      <c r="D586" s="133" t="s">
        <v>40</v>
      </c>
      <c r="E586" s="134" t="s">
        <v>325</v>
      </c>
      <c r="F586" s="476" t="s">
        <v>255</v>
      </c>
      <c r="G586" s="135" t="str">
        <f>VLOOKUP(A586,Plano_V3!$A$26:$G$769,7,0)</f>
        <v>1. Concluído</v>
      </c>
      <c r="H586" s="135" t="s">
        <v>612</v>
      </c>
      <c r="I586" s="473"/>
      <c r="J586" s="153"/>
      <c r="K586" s="153"/>
      <c r="L586" s="153"/>
      <c r="M586" s="152" t="str">
        <f>IF(VLOOKUP(A577,'Aux - pivots1'!$A:$E,3,0)=0, "",VLOOKUP(A577,'Aux - pivots1'!$A:$E,3,0))</f>
        <v/>
      </c>
      <c r="N586" s="152" t="str">
        <f>IF(VLOOKUP(A577,'Aux - pivots1'!$A:$E,4,0)=0, "",VLOOKUP(A577,'Aux - pivots1'!$A:$E,4,0))</f>
        <v/>
      </c>
      <c r="O586" s="152" t="str">
        <f>IF(VLOOKUP(A577,'Aux - pivots1'!$A:$E,5,0)=0, "",VLOOKUP(A577,'Aux - pivots1'!$A:$E,5,0))</f>
        <v/>
      </c>
      <c r="P586" s="202"/>
      <c r="Q586" s="202"/>
      <c r="R586" s="202"/>
      <c r="S586" s="324"/>
      <c r="T586" s="324"/>
      <c r="U586" s="372" t="s">
        <v>2326</v>
      </c>
      <c r="V586" s="323"/>
    </row>
    <row r="587" spans="1:22" ht="16.350000000000001" hidden="1" customHeight="1">
      <c r="A587" s="29" t="str">
        <f t="shared" si="10"/>
        <v>modesg_out_empr_info_nfinccm_trnvr_enblng_algnd</v>
      </c>
      <c r="B587" s="141" t="s">
        <v>26</v>
      </c>
      <c r="C587" s="137" t="s">
        <v>310</v>
      </c>
      <c r="D587" s="133" t="s">
        <v>40</v>
      </c>
      <c r="E587" s="134" t="s">
        <v>325</v>
      </c>
      <c r="F587" s="476" t="s">
        <v>252</v>
      </c>
      <c r="G587" s="135" t="str">
        <f>VLOOKUP(A587,Plano_V3!$A$26:$G$769,7,0)</f>
        <v>1. Concluído</v>
      </c>
      <c r="H587" s="135" t="s">
        <v>612</v>
      </c>
      <c r="I587" s="473"/>
      <c r="J587" s="153"/>
      <c r="K587" s="153"/>
      <c r="L587" s="153"/>
      <c r="M587" s="152" t="str">
        <f>IF(VLOOKUP(A578,'Aux - pivots1'!$A:$E,3,0)=0, "",VLOOKUP(A578,'Aux - pivots1'!$A:$E,3,0))</f>
        <v/>
      </c>
      <c r="N587" s="152" t="str">
        <f>IF(VLOOKUP(A578,'Aux - pivots1'!$A:$E,4,0)=0, "",VLOOKUP(A578,'Aux - pivots1'!$A:$E,4,0))</f>
        <v/>
      </c>
      <c r="O587" s="152" t="str">
        <f>IF(VLOOKUP(A578,'Aux - pivots1'!$A:$E,5,0)=0, "",VLOOKUP(A578,'Aux - pivots1'!$A:$E,5,0))</f>
        <v/>
      </c>
      <c r="P587" s="202"/>
      <c r="Q587" s="202"/>
      <c r="R587" s="202"/>
      <c r="S587" s="324"/>
      <c r="T587" s="324"/>
      <c r="U587" s="372" t="s">
        <v>2326</v>
      </c>
      <c r="V587" s="323"/>
    </row>
    <row r="588" spans="1:22" ht="16.350000000000001" hidden="1" customHeight="1">
      <c r="A588" s="29" t="str">
        <f t="shared" si="10"/>
        <v>modesg_out_empr_info_nfinccm_trnvr_own_prfrmnce_algnd</v>
      </c>
      <c r="B588" s="141" t="s">
        <v>26</v>
      </c>
      <c r="C588" s="137" t="s">
        <v>310</v>
      </c>
      <c r="D588" s="133" t="s">
        <v>40</v>
      </c>
      <c r="E588" s="134" t="s">
        <v>325</v>
      </c>
      <c r="F588" s="476" t="s">
        <v>254</v>
      </c>
      <c r="G588" s="135" t="str">
        <f>VLOOKUP(A588,Plano_V3!$A$26:$G$769,7,0)</f>
        <v>1. Concluído</v>
      </c>
      <c r="H588" s="135" t="s">
        <v>612</v>
      </c>
      <c r="I588" s="473"/>
      <c r="J588" s="153"/>
      <c r="K588" s="153"/>
      <c r="L588" s="153"/>
      <c r="M588" s="152" t="str">
        <f>IF(VLOOKUP(A579,'Aux - pivots1'!$A:$E,3,0)=0, "",VLOOKUP(A579,'Aux - pivots1'!$A:$E,3,0))</f>
        <v/>
      </c>
      <c r="N588" s="152" t="str">
        <f>IF(VLOOKUP(A579,'Aux - pivots1'!$A:$E,4,0)=0, "",VLOOKUP(A579,'Aux - pivots1'!$A:$E,4,0))</f>
        <v/>
      </c>
      <c r="O588" s="152" t="str">
        <f>IF(VLOOKUP(A579,'Aux - pivots1'!$A:$E,5,0)=0, "",VLOOKUP(A579,'Aux - pivots1'!$A:$E,5,0))</f>
        <v/>
      </c>
      <c r="P588" s="202"/>
      <c r="Q588" s="202"/>
      <c r="R588" s="202"/>
      <c r="S588" s="324"/>
      <c r="T588" s="324"/>
      <c r="U588" s="372" t="s">
        <v>2326</v>
      </c>
      <c r="V588" s="323"/>
    </row>
    <row r="589" spans="1:22" ht="16.350000000000001" hidden="1" customHeight="1">
      <c r="A589" s="29" t="str">
        <f t="shared" ref="A589:A652" si="11">E589&amp;F589</f>
        <v>modesg_out_empr_info_nfinccm_trnvr_trnstn_alignd</v>
      </c>
      <c r="B589" s="141" t="s">
        <v>26</v>
      </c>
      <c r="C589" s="137" t="s">
        <v>310</v>
      </c>
      <c r="D589" s="133" t="s">
        <v>40</v>
      </c>
      <c r="E589" s="134" t="s">
        <v>325</v>
      </c>
      <c r="F589" s="476" t="s">
        <v>253</v>
      </c>
      <c r="G589" s="135" t="str">
        <f>VLOOKUP(A589,Plano_V3!$A$26:$G$769,7,0)</f>
        <v>1. Concluído</v>
      </c>
      <c r="H589" s="135" t="s">
        <v>612</v>
      </c>
      <c r="I589" s="473"/>
      <c r="J589" s="153"/>
      <c r="K589" s="153"/>
      <c r="L589" s="153"/>
      <c r="M589" s="152" t="str">
        <f>IF(VLOOKUP(A580,'Aux - pivots1'!$A:$E,3,0)=0, "",VLOOKUP(A580,'Aux - pivots1'!$A:$E,3,0))</f>
        <v/>
      </c>
      <c r="N589" s="152" t="str">
        <f>IF(VLOOKUP(A580,'Aux - pivots1'!$A:$E,4,0)=0, "",VLOOKUP(A580,'Aux - pivots1'!$A:$E,4,0))</f>
        <v/>
      </c>
      <c r="O589" s="152" t="str">
        <f>IF(VLOOKUP(A580,'Aux - pivots1'!$A:$E,5,0)=0, "",VLOOKUP(A580,'Aux - pivots1'!$A:$E,5,0))</f>
        <v/>
      </c>
      <c r="P589" s="202"/>
      <c r="Q589" s="202"/>
      <c r="R589" s="202"/>
      <c r="S589" s="324"/>
      <c r="T589" s="324"/>
      <c r="U589" s="372" t="s">
        <v>2326</v>
      </c>
      <c r="V589" s="323"/>
    </row>
    <row r="590" spans="1:22" ht="16.350000000000001" hidden="1" customHeight="1">
      <c r="A590" s="29" t="str">
        <f t="shared" si="11"/>
        <v>modesg_out_empr_info_nfinccm_trnvr_ttl_elgbl</v>
      </c>
      <c r="B590" s="141" t="s">
        <v>26</v>
      </c>
      <c r="C590" s="137" t="s">
        <v>310</v>
      </c>
      <c r="D590" s="133" t="s">
        <v>40</v>
      </c>
      <c r="E590" s="134" t="s">
        <v>325</v>
      </c>
      <c r="F590" s="476" t="s">
        <v>251</v>
      </c>
      <c r="G590" s="135" t="str">
        <f>VLOOKUP(A590,Plano_V3!$A$26:$G$769,7,0)</f>
        <v>1. Concluído</v>
      </c>
      <c r="H590" s="135" t="s">
        <v>612</v>
      </c>
      <c r="I590" s="473"/>
      <c r="J590" s="153"/>
      <c r="K590" s="153"/>
      <c r="L590" s="153"/>
      <c r="M590" s="152" t="str">
        <f>IF(VLOOKUP(A581,'Aux - pivots1'!$A:$E,3,0)=0, "",VLOOKUP(A581,'Aux - pivots1'!$A:$E,3,0))</f>
        <v/>
      </c>
      <c r="N590" s="152" t="str">
        <f>IF(VLOOKUP(A581,'Aux - pivots1'!$A:$E,4,0)=0, "",VLOOKUP(A581,'Aux - pivots1'!$A:$E,4,0))</f>
        <v/>
      </c>
      <c r="O590" s="152" t="str">
        <f>IF(VLOOKUP(A581,'Aux - pivots1'!$A:$E,5,0)=0, "",VLOOKUP(A581,'Aux - pivots1'!$A:$E,5,0))</f>
        <v/>
      </c>
      <c r="P590" s="202"/>
      <c r="Q590" s="202"/>
      <c r="R590" s="202"/>
      <c r="S590" s="324"/>
      <c r="T590" s="324"/>
      <c r="U590" s="372" t="s">
        <v>2326</v>
      </c>
      <c r="V590" s="323"/>
    </row>
    <row r="591" spans="1:22" ht="16.350000000000001" hidden="1" customHeight="1">
      <c r="A591" s="29" t="str">
        <f t="shared" si="11"/>
        <v>modesg_out_empr_info_nfinflg_emprs_excl_paris</v>
      </c>
      <c r="B591" s="141" t="s">
        <v>26</v>
      </c>
      <c r="C591" s="137" t="s">
        <v>310</v>
      </c>
      <c r="D591" s="133" t="s">
        <v>40</v>
      </c>
      <c r="E591" s="134" t="s">
        <v>325</v>
      </c>
      <c r="F591" s="476" t="s">
        <v>327</v>
      </c>
      <c r="G591" s="135" t="str">
        <f>VLOOKUP(A591,Plano_V3!$A$26:$G$769,7,0)</f>
        <v>1. Concluído</v>
      </c>
      <c r="H591" s="135" t="s">
        <v>612</v>
      </c>
      <c r="I591" s="473"/>
      <c r="J591" s="153"/>
      <c r="K591" s="153"/>
      <c r="L591" s="153"/>
      <c r="M591" s="152" t="str">
        <f>IF(VLOOKUP(A562,'Aux - pivots1'!$A:$E,3,0)=0, "",VLOOKUP(A562,'Aux - pivots1'!$A:$E,3,0))</f>
        <v/>
      </c>
      <c r="N591" s="152" t="str">
        <f>IF(VLOOKUP(A562,'Aux - pivots1'!$A:$E,4,0)=0, "",VLOOKUP(A562,'Aux - pivots1'!$A:$E,4,0))</f>
        <v/>
      </c>
      <c r="O591" s="152" t="str">
        <f>IF(VLOOKUP(A562,'Aux - pivots1'!$A:$E,5,0)=0, "",VLOOKUP(A562,'Aux - pivots1'!$A:$E,5,0))</f>
        <v/>
      </c>
      <c r="P591" s="202"/>
      <c r="Q591" s="202"/>
      <c r="R591" s="202"/>
      <c r="S591" s="324"/>
      <c r="T591" s="324"/>
      <c r="U591" s="372" t="s">
        <v>2326</v>
      </c>
      <c r="V591" s="323"/>
    </row>
    <row r="592" spans="1:22" ht="16.350000000000001" hidden="1" customHeight="1">
      <c r="A592" s="29" t="str">
        <f t="shared" si="11"/>
        <v>modesg_out_empr_info_nfinflg_nfrd</v>
      </c>
      <c r="B592" s="141" t="s">
        <v>26</v>
      </c>
      <c r="C592" s="137" t="s">
        <v>310</v>
      </c>
      <c r="D592" s="133" t="s">
        <v>40</v>
      </c>
      <c r="E592" s="134" t="s">
        <v>325</v>
      </c>
      <c r="F592" s="476" t="s">
        <v>244</v>
      </c>
      <c r="G592" s="135" t="str">
        <f>VLOOKUP(A592,Plano_V3!$A$26:$G$769,7,0)</f>
        <v>1. Concluído</v>
      </c>
      <c r="H592" s="135" t="s">
        <v>612</v>
      </c>
      <c r="I592" s="473"/>
      <c r="J592" s="153"/>
      <c r="K592" s="153"/>
      <c r="L592" s="153"/>
      <c r="M592" s="152" t="str">
        <f>IF(VLOOKUP(A563,'Aux - pivots1'!$A:$E,3,0)=0, "",VLOOKUP(A563,'Aux - pivots1'!$A:$E,3,0))</f>
        <v/>
      </c>
      <c r="N592" s="152" t="str">
        <f>IF(VLOOKUP(A563,'Aux - pivots1'!$A:$E,4,0)=0, "",VLOOKUP(A563,'Aux - pivots1'!$A:$E,4,0))</f>
        <v/>
      </c>
      <c r="O592" s="152" t="str">
        <f>IF(VLOOKUP(A563,'Aux - pivots1'!$A:$E,5,0)=0, "",VLOOKUP(A563,'Aux - pivots1'!$A:$E,5,0))</f>
        <v/>
      </c>
      <c r="P592" s="202"/>
      <c r="Q592" s="202"/>
      <c r="R592" s="202"/>
      <c r="S592" s="324"/>
      <c r="T592" s="324"/>
      <c r="U592" s="372" t="s">
        <v>2326</v>
      </c>
      <c r="V592" s="323"/>
    </row>
    <row r="593" spans="1:22" ht="16.350000000000001" hidden="1" customHeight="1">
      <c r="A593" s="29" t="str">
        <f t="shared" si="11"/>
        <v>modesg_out_empr_info_nfinorigem_alinhamentos</v>
      </c>
      <c r="B593" s="141" t="s">
        <v>26</v>
      </c>
      <c r="C593" s="137" t="s">
        <v>310</v>
      </c>
      <c r="D593" s="133" t="s">
        <v>40</v>
      </c>
      <c r="E593" s="134" t="s">
        <v>325</v>
      </c>
      <c r="F593" s="476" t="s">
        <v>328</v>
      </c>
      <c r="G593" s="135" t="str">
        <f>VLOOKUP(A593,Plano_V3!$A$26:$G$769,7,0)</f>
        <v>1. Concluído</v>
      </c>
      <c r="H593" s="135" t="s">
        <v>612</v>
      </c>
      <c r="I593" s="473"/>
      <c r="J593" s="153"/>
      <c r="K593" s="153"/>
      <c r="L593" s="153"/>
      <c r="M593" s="152" t="str">
        <f>IF(VLOOKUP(A564,'Aux - pivots1'!$A:$E,3,0)=0, "",VLOOKUP(A564,'Aux - pivots1'!$A:$E,3,0))</f>
        <v/>
      </c>
      <c r="N593" s="152" t="str">
        <f>IF(VLOOKUP(A564,'Aux - pivots1'!$A:$E,4,0)=0, "",VLOOKUP(A564,'Aux - pivots1'!$A:$E,4,0))</f>
        <v/>
      </c>
      <c r="O593" s="152" t="str">
        <f>IF(VLOOKUP(A564,'Aux - pivots1'!$A:$E,5,0)=0, "",VLOOKUP(A564,'Aux - pivots1'!$A:$E,5,0))</f>
        <v/>
      </c>
      <c r="P593" s="202"/>
      <c r="Q593" s="202"/>
      <c r="R593" s="202"/>
      <c r="S593" s="324"/>
      <c r="T593" s="324"/>
      <c r="U593" s="372" t="s">
        <v>2326</v>
      </c>
      <c r="V593" s="323"/>
    </row>
    <row r="594" spans="1:22" ht="16.350000000000001" hidden="1" customHeight="1">
      <c r="A594" s="29" t="str">
        <f t="shared" si="11"/>
        <v>modesg_out_empr_info_nfinorigem_flg_emprs_excl_paris</v>
      </c>
      <c r="B594" s="141" t="s">
        <v>26</v>
      </c>
      <c r="C594" s="137" t="s">
        <v>310</v>
      </c>
      <c r="D594" s="133" t="s">
        <v>40</v>
      </c>
      <c r="E594" s="134" t="s">
        <v>325</v>
      </c>
      <c r="F594" s="476" t="s">
        <v>329</v>
      </c>
      <c r="G594" s="135" t="str">
        <f>VLOOKUP(A594,Plano_V3!$A$26:$G$769,7,0)</f>
        <v>1. Concluído</v>
      </c>
      <c r="H594" s="135" t="s">
        <v>612</v>
      </c>
      <c r="I594" s="473"/>
      <c r="J594" s="153"/>
      <c r="K594" s="153"/>
      <c r="L594" s="153"/>
      <c r="M594" s="152" t="str">
        <f>IF(VLOOKUP(A565,'Aux - pivots1'!$A:$E,3,0)=0, "",VLOOKUP(A565,'Aux - pivots1'!$A:$E,3,0))</f>
        <v/>
      </c>
      <c r="N594" s="152" t="str">
        <f>IF(VLOOKUP(A565,'Aux - pivots1'!$A:$E,4,0)=0, "",VLOOKUP(A565,'Aux - pivots1'!$A:$E,4,0))</f>
        <v/>
      </c>
      <c r="O594" s="152" t="str">
        <f>IF(VLOOKUP(A565,'Aux - pivots1'!$A:$E,5,0)=0, "",VLOOKUP(A565,'Aux - pivots1'!$A:$E,5,0))</f>
        <v/>
      </c>
      <c r="P594" s="202"/>
      <c r="Q594" s="202"/>
      <c r="R594" s="202"/>
      <c r="S594" s="324"/>
      <c r="T594" s="324"/>
      <c r="U594" s="372" t="s">
        <v>2326</v>
      </c>
      <c r="V594" s="323"/>
    </row>
    <row r="595" spans="1:22" ht="16.350000000000001" hidden="1" customHeight="1">
      <c r="A595" s="29" t="str">
        <f t="shared" si="11"/>
        <v>modesg_out_empr_info_nfinorigem_flg_nfrd</v>
      </c>
      <c r="B595" s="141" t="s">
        <v>26</v>
      </c>
      <c r="C595" s="137" t="s">
        <v>310</v>
      </c>
      <c r="D595" s="133" t="s">
        <v>40</v>
      </c>
      <c r="E595" s="134" t="s">
        <v>325</v>
      </c>
      <c r="F595" s="476" t="s">
        <v>330</v>
      </c>
      <c r="G595" s="135" t="str">
        <f>VLOOKUP(A595,Plano_V3!$A$26:$G$769,7,0)</f>
        <v>1. Concluído</v>
      </c>
      <c r="H595" s="135" t="s">
        <v>612</v>
      </c>
      <c r="I595" s="473"/>
      <c r="J595" s="153"/>
      <c r="K595" s="153"/>
      <c r="L595" s="153"/>
      <c r="M595" s="152" t="str">
        <f>IF(VLOOKUP(A566,'Aux - pivots1'!$A:$E,3,0)=0, "",VLOOKUP(A566,'Aux - pivots1'!$A:$E,3,0))</f>
        <v/>
      </c>
      <c r="N595" s="152" t="str">
        <f>IF(VLOOKUP(A566,'Aux - pivots1'!$A:$E,4,0)=0, "",VLOOKUP(A566,'Aux - pivots1'!$A:$E,4,0))</f>
        <v/>
      </c>
      <c r="O595" s="152" t="str">
        <f>IF(VLOOKUP(A566,'Aux - pivots1'!$A:$E,5,0)=0, "",VLOOKUP(A566,'Aux - pivots1'!$A:$E,5,0))</f>
        <v/>
      </c>
      <c r="P595" s="202"/>
      <c r="Q595" s="202"/>
      <c r="R595" s="202"/>
      <c r="S595" s="324"/>
      <c r="T595" s="324"/>
      <c r="U595" s="372" t="s">
        <v>2326</v>
      </c>
      <c r="V595" s="323"/>
    </row>
    <row r="596" spans="1:22" ht="16.350000000000001" hidden="1" customHeight="1">
      <c r="A596" s="29" t="str">
        <f t="shared" si="11"/>
        <v>modesg_out_empr_info_nfinref_date</v>
      </c>
      <c r="B596" s="141" t="s">
        <v>26</v>
      </c>
      <c r="C596" s="137" t="s">
        <v>310</v>
      </c>
      <c r="D596" s="133" t="s">
        <v>40</v>
      </c>
      <c r="E596" s="134" t="s">
        <v>325</v>
      </c>
      <c r="F596" s="476" t="s">
        <v>208</v>
      </c>
      <c r="G596" s="135" t="str">
        <f>VLOOKUP(A596,Plano_V3!$A$26:$G$769,7,0)</f>
        <v>1. Concluído</v>
      </c>
      <c r="H596" s="135" t="s">
        <v>612</v>
      </c>
      <c r="I596" s="473"/>
      <c r="J596" s="153"/>
      <c r="K596" s="153"/>
      <c r="L596" s="153"/>
      <c r="M596" s="152" t="str">
        <f>IF(VLOOKUP(A587,'Aux - pivots1'!$A:$E,3,0)=0, "",VLOOKUP(A587,'Aux - pivots1'!$A:$E,3,0))</f>
        <v/>
      </c>
      <c r="N596" s="152" t="str">
        <f>IF(VLOOKUP(A587,'Aux - pivots1'!$A:$E,4,0)=0, "",VLOOKUP(A587,'Aux - pivots1'!$A:$E,4,0))</f>
        <v/>
      </c>
      <c r="O596" s="152" t="str">
        <f>IF(VLOOKUP(A587,'Aux - pivots1'!$A:$E,5,0)=0, "",VLOOKUP(A587,'Aux - pivots1'!$A:$E,5,0))</f>
        <v/>
      </c>
      <c r="P596" s="202"/>
      <c r="Q596" s="202"/>
      <c r="R596" s="202"/>
      <c r="S596" s="324"/>
      <c r="T596" s="324"/>
      <c r="U596" s="372" t="s">
        <v>2326</v>
      </c>
      <c r="V596" s="323"/>
    </row>
    <row r="597" spans="1:22" ht="16.350000000000001" hidden="1" customHeight="1">
      <c r="A597" s="29" t="str">
        <f t="shared" si="11"/>
        <v>modesg_out_empr_info_nfinzcliente</v>
      </c>
      <c r="B597" s="141" t="s">
        <v>26</v>
      </c>
      <c r="C597" s="137" t="s">
        <v>310</v>
      </c>
      <c r="D597" s="133" t="s">
        <v>40</v>
      </c>
      <c r="E597" s="134" t="s">
        <v>325</v>
      </c>
      <c r="F597" s="476" t="s">
        <v>209</v>
      </c>
      <c r="G597" s="135" t="str">
        <f>VLOOKUP(A597,Plano_V3!$A$26:$G$769,7,0)</f>
        <v>1. Concluído</v>
      </c>
      <c r="H597" s="135" t="s">
        <v>612</v>
      </c>
      <c r="I597" s="473"/>
      <c r="J597" s="153"/>
      <c r="K597" s="153"/>
      <c r="L597" s="153"/>
      <c r="M597" s="152" t="str">
        <f>IF(VLOOKUP(A586,'Aux - pivots1'!$A:$E,3,0)=0, "",VLOOKUP(A586,'Aux - pivots1'!$A:$E,3,0))</f>
        <v/>
      </c>
      <c r="N597" s="152" t="str">
        <f>IF(VLOOKUP(A586,'Aux - pivots1'!$A:$E,4,0)=0, "",VLOOKUP(A586,'Aux - pivots1'!$A:$E,4,0))</f>
        <v/>
      </c>
      <c r="O597" s="152" t="str">
        <f>IF(VLOOKUP(A586,'Aux - pivots1'!$A:$E,5,0)=0, "",VLOOKUP(A586,'Aux - pivots1'!$A:$E,5,0))</f>
        <v/>
      </c>
      <c r="P597" s="202"/>
      <c r="Q597" s="202"/>
      <c r="R597" s="202"/>
      <c r="S597" s="324"/>
      <c r="T597" s="324"/>
      <c r="U597" s="372" t="s">
        <v>2326</v>
      </c>
      <c r="V597" s="323"/>
    </row>
    <row r="598" spans="1:22" ht="16.350000000000001" hidden="1" customHeight="1">
      <c r="A598" s="29" t="str">
        <f t="shared" si="11"/>
        <v>modesg_out_emss_vclsn.a.</v>
      </c>
      <c r="B598" s="141" t="s">
        <v>26</v>
      </c>
      <c r="C598" s="137" t="s">
        <v>310</v>
      </c>
      <c r="D598" s="133" t="s">
        <v>36</v>
      </c>
      <c r="E598" s="134" t="s">
        <v>331</v>
      </c>
      <c r="F598" s="476" t="s">
        <v>38</v>
      </c>
      <c r="G598" s="135" t="str">
        <f>VLOOKUP(A598,Plano_V3!$A$26:$G$769,7,0)</f>
        <v>1. Concluído</v>
      </c>
      <c r="H598" s="135" t="s">
        <v>612</v>
      </c>
      <c r="I598" s="473"/>
      <c r="J598" s="142"/>
      <c r="K598" s="142"/>
      <c r="L598" s="142"/>
      <c r="M598" s="152" t="str">
        <f>IF(VLOOKUP(A587,'Aux - pivots1'!$A:$E,3,0)=0, "",VLOOKUP(A587,'Aux - pivots1'!$A:$E,3,0))</f>
        <v/>
      </c>
      <c r="N598" s="152" t="str">
        <f>IF(VLOOKUP(A587,'Aux - pivots1'!$A:$E,4,0)=0, "",VLOOKUP(A587,'Aux - pivots1'!$A:$E,4,0))</f>
        <v/>
      </c>
      <c r="O598" s="152" t="str">
        <f>IF(VLOOKUP(A587,'Aux - pivots1'!$A:$E,5,0)=0, "",VLOOKUP(A587,'Aux - pivots1'!$A:$E,5,0))</f>
        <v/>
      </c>
      <c r="P598" s="202"/>
      <c r="Q598" s="202"/>
      <c r="R598" s="202"/>
      <c r="S598" s="324"/>
      <c r="T598" s="324"/>
      <c r="U598" s="372" t="s">
        <v>2326</v>
      </c>
      <c r="V598" s="323"/>
    </row>
    <row r="599" spans="1:22" ht="16.350000000000001" hidden="1" customHeight="1">
      <c r="A599" s="29" t="str">
        <f t="shared" si="11"/>
        <v>modesg_out_emss_vclscempbem</v>
      </c>
      <c r="B599" s="141" t="s">
        <v>26</v>
      </c>
      <c r="C599" s="137" t="s">
        <v>310</v>
      </c>
      <c r="D599" s="133" t="s">
        <v>40</v>
      </c>
      <c r="E599" s="134" t="s">
        <v>331</v>
      </c>
      <c r="F599" s="476" t="s">
        <v>313</v>
      </c>
      <c r="G599" s="135" t="str">
        <f>VLOOKUP(A599,Plano_V3!$A$26:$G$769,7,0)</f>
        <v>1. Concluído</v>
      </c>
      <c r="H599" s="135" t="s">
        <v>612</v>
      </c>
      <c r="I599" s="473"/>
      <c r="J599" s="153"/>
      <c r="K599" s="153"/>
      <c r="L599" s="153"/>
      <c r="M599" s="152" t="str">
        <f>IF(VLOOKUP(A588,'Aux - pivots1'!$A:$E,3,0)=0, "",VLOOKUP(A588,'Aux - pivots1'!$A:$E,3,0))</f>
        <v/>
      </c>
      <c r="N599" s="152" t="str">
        <f>IF(VLOOKUP(A588,'Aux - pivots1'!$A:$E,4,0)=0, "",VLOOKUP(A588,'Aux - pivots1'!$A:$E,4,0))</f>
        <v/>
      </c>
      <c r="O599" s="152" t="str">
        <f>IF(VLOOKUP(A588,'Aux - pivots1'!$A:$E,5,0)=0, "",VLOOKUP(A588,'Aux - pivots1'!$A:$E,5,0))</f>
        <v/>
      </c>
      <c r="P599" s="202"/>
      <c r="Q599" s="202"/>
      <c r="R599" s="202"/>
      <c r="S599" s="324"/>
      <c r="T599" s="324"/>
      <c r="U599" s="372" t="s">
        <v>2326</v>
      </c>
      <c r="V599" s="323"/>
    </row>
    <row r="600" spans="1:22" ht="16.350000000000001" hidden="1" customHeight="1">
      <c r="A600" s="29" t="str">
        <f t="shared" si="11"/>
        <v>modesg_out_emss_vclsckbalbem</v>
      </c>
      <c r="B600" s="141" t="s">
        <v>26</v>
      </c>
      <c r="C600" s="137" t="s">
        <v>310</v>
      </c>
      <c r="D600" s="133" t="s">
        <v>40</v>
      </c>
      <c r="E600" s="134" t="s">
        <v>331</v>
      </c>
      <c r="F600" s="476" t="s">
        <v>314</v>
      </c>
      <c r="G600" s="135" t="str">
        <f>VLOOKUP(A600,Plano_V3!$A$26:$G$769,7,0)</f>
        <v>1. Concluído</v>
      </c>
      <c r="H600" s="135" t="s">
        <v>612</v>
      </c>
      <c r="I600" s="473"/>
      <c r="J600" s="153"/>
      <c r="K600" s="153"/>
      <c r="L600" s="153"/>
      <c r="M600" s="152" t="str">
        <f>IF(VLOOKUP(A589,'Aux - pivots1'!$A:$E,3,0)=0, "",VLOOKUP(A589,'Aux - pivots1'!$A:$E,3,0))</f>
        <v/>
      </c>
      <c r="N600" s="152" t="str">
        <f>IF(VLOOKUP(A589,'Aux - pivots1'!$A:$E,4,0)=0, "",VLOOKUP(A589,'Aux - pivots1'!$A:$E,4,0))</f>
        <v/>
      </c>
      <c r="O600" s="152" t="str">
        <f>IF(VLOOKUP(A589,'Aux - pivots1'!$A:$E,5,0)=0, "",VLOOKUP(A589,'Aux - pivots1'!$A:$E,5,0))</f>
        <v/>
      </c>
      <c r="P600" s="202"/>
      <c r="Q600" s="202"/>
      <c r="R600" s="202"/>
      <c r="S600" s="324"/>
      <c r="T600" s="324"/>
      <c r="U600" s="372" t="s">
        <v>2326</v>
      </c>
      <c r="V600" s="323"/>
    </row>
    <row r="601" spans="1:22" ht="16.350000000000001" hidden="1" customHeight="1">
      <c r="A601" s="29" t="str">
        <f t="shared" si="11"/>
        <v>modesg_out_emss_vclsckctabem</v>
      </c>
      <c r="B601" s="141" t="s">
        <v>26</v>
      </c>
      <c r="C601" s="137" t="s">
        <v>310</v>
      </c>
      <c r="D601" s="133" t="s">
        <v>40</v>
      </c>
      <c r="E601" s="134" t="s">
        <v>331</v>
      </c>
      <c r="F601" s="476" t="s">
        <v>315</v>
      </c>
      <c r="G601" s="135" t="str">
        <f>VLOOKUP(A601,Plano_V3!$A$26:$G$769,7,0)</f>
        <v>1. Concluído</v>
      </c>
      <c r="H601" s="135" t="s">
        <v>612</v>
      </c>
      <c r="I601" s="473"/>
      <c r="J601" s="153"/>
      <c r="K601" s="153"/>
      <c r="L601" s="153"/>
      <c r="M601" s="152" t="str">
        <f>IF(VLOOKUP(A590,'Aux - pivots1'!$A:$E,3,0)=0, "",VLOOKUP(A590,'Aux - pivots1'!$A:$E,3,0))</f>
        <v/>
      </c>
      <c r="N601" s="152" t="str">
        <f>IF(VLOOKUP(A590,'Aux - pivots1'!$A:$E,4,0)=0, "",VLOOKUP(A590,'Aux - pivots1'!$A:$E,4,0))</f>
        <v/>
      </c>
      <c r="O601" s="152" t="str">
        <f>IF(VLOOKUP(A590,'Aux - pivots1'!$A:$E,5,0)=0, "",VLOOKUP(A590,'Aux - pivots1'!$A:$E,5,0))</f>
        <v/>
      </c>
      <c r="P601" s="202"/>
      <c r="Q601" s="202"/>
      <c r="R601" s="202"/>
      <c r="S601" s="324"/>
      <c r="T601" s="324"/>
      <c r="U601" s="372" t="s">
        <v>2326</v>
      </c>
      <c r="V601" s="323"/>
    </row>
    <row r="602" spans="1:22" ht="16.350000000000001" hidden="1" customHeight="1">
      <c r="A602" s="29" t="str">
        <f t="shared" si="11"/>
        <v>modesg_out_emss_vclsckrefbem</v>
      </c>
      <c r="B602" s="141" t="s">
        <v>26</v>
      </c>
      <c r="C602" s="137" t="s">
        <v>310</v>
      </c>
      <c r="D602" s="133" t="s">
        <v>40</v>
      </c>
      <c r="E602" s="134" t="s">
        <v>331</v>
      </c>
      <c r="F602" s="476" t="s">
        <v>316</v>
      </c>
      <c r="G602" s="135" t="str">
        <f>VLOOKUP(A602,Plano_V3!$A$26:$G$769,7,0)</f>
        <v>1. Concluído</v>
      </c>
      <c r="H602" s="135" t="s">
        <v>612</v>
      </c>
      <c r="I602" s="473"/>
      <c r="J602" s="153"/>
      <c r="K602" s="153"/>
      <c r="L602" s="153"/>
      <c r="M602" s="152" t="str">
        <f>IF(VLOOKUP(A591,'Aux - pivots1'!$A:$E,3,0)=0, "",VLOOKUP(A591,'Aux - pivots1'!$A:$E,3,0))</f>
        <v/>
      </c>
      <c r="N602" s="152" t="str">
        <f>IF(VLOOKUP(A591,'Aux - pivots1'!$A:$E,4,0)=0, "",VLOOKUP(A591,'Aux - pivots1'!$A:$E,4,0))</f>
        <v/>
      </c>
      <c r="O602" s="152" t="str">
        <f>IF(VLOOKUP(A591,'Aux - pivots1'!$A:$E,5,0)=0, "",VLOOKUP(A591,'Aux - pivots1'!$A:$E,5,0))</f>
        <v/>
      </c>
      <c r="P602" s="202"/>
      <c r="Q602" s="202"/>
      <c r="R602" s="202"/>
      <c r="S602" s="324"/>
      <c r="T602" s="324"/>
      <c r="U602" s="372" t="s">
        <v>2326</v>
      </c>
      <c r="V602" s="323"/>
    </row>
    <row r="603" spans="1:22" ht="16.350000000000001" hidden="1" customHeight="1">
      <c r="A603" s="29" t="str">
        <f t="shared" si="11"/>
        <v>modesg_out_emss_vclscnsm_co2</v>
      </c>
      <c r="B603" s="141" t="s">
        <v>26</v>
      </c>
      <c r="C603" s="137" t="s">
        <v>310</v>
      </c>
      <c r="D603" s="133" t="s">
        <v>40</v>
      </c>
      <c r="E603" s="134" t="s">
        <v>331</v>
      </c>
      <c r="F603" s="476" t="s">
        <v>188</v>
      </c>
      <c r="G603" s="135" t="str">
        <f>VLOOKUP(A603,Plano_V3!$A$26:$G$769,7,0)</f>
        <v>1. Concluído</v>
      </c>
      <c r="H603" s="135" t="s">
        <v>612</v>
      </c>
      <c r="I603" s="473"/>
      <c r="J603" s="142"/>
      <c r="K603" s="142"/>
      <c r="L603" s="142"/>
      <c r="M603" s="152" t="str">
        <f>IF(VLOOKUP(A592,'Aux - pivots1'!$A:$E,3,0)=0, "",VLOOKUP(A592,'Aux - pivots1'!$A:$E,3,0))</f>
        <v/>
      </c>
      <c r="N603" s="152" t="str">
        <f>IF(VLOOKUP(A592,'Aux - pivots1'!$A:$E,4,0)=0, "",VLOOKUP(A592,'Aux - pivots1'!$A:$E,4,0))</f>
        <v/>
      </c>
      <c r="O603" s="152" t="str">
        <f>IF(VLOOKUP(A592,'Aux - pivots1'!$A:$E,5,0)=0, "",VLOOKUP(A592,'Aux - pivots1'!$A:$E,5,0))</f>
        <v/>
      </c>
      <c r="P603" s="202"/>
      <c r="Q603" s="202"/>
      <c r="R603" s="202"/>
      <c r="S603" s="324"/>
      <c r="T603" s="324"/>
      <c r="U603" s="372" t="s">
        <v>2326</v>
      </c>
      <c r="V603" s="323"/>
    </row>
    <row r="604" spans="1:22" ht="16.350000000000001" hidden="1" customHeight="1">
      <c r="A604" s="29" t="str">
        <f t="shared" si="11"/>
        <v>modesg_out_emss_vclsorigem_scp1_emss</v>
      </c>
      <c r="B604" s="141" t="s">
        <v>26</v>
      </c>
      <c r="C604" s="137" t="s">
        <v>310</v>
      </c>
      <c r="D604" s="133" t="s">
        <v>40</v>
      </c>
      <c r="E604" s="134" t="s">
        <v>331</v>
      </c>
      <c r="F604" s="476" t="s">
        <v>319</v>
      </c>
      <c r="G604" s="135" t="str">
        <f>VLOOKUP(A604,Plano_V3!$A$26:$G$769,7,0)</f>
        <v>1. Concluído</v>
      </c>
      <c r="H604" s="135" t="s">
        <v>612</v>
      </c>
      <c r="I604" s="473"/>
      <c r="J604" s="142"/>
      <c r="K604" s="142"/>
      <c r="L604" s="142" t="s">
        <v>2360</v>
      </c>
      <c r="M604" s="152" t="str">
        <f>IF(VLOOKUP(A593,'Aux - pivots1'!$A:$E,3,0)=0, "",VLOOKUP(A593,'Aux - pivots1'!$A:$E,3,0))</f>
        <v/>
      </c>
      <c r="N604" s="152" t="str">
        <f>IF(VLOOKUP(A593,'Aux - pivots1'!$A:$E,4,0)=0, "",VLOOKUP(A593,'Aux - pivots1'!$A:$E,4,0))</f>
        <v/>
      </c>
      <c r="O604" s="152" t="str">
        <f>IF(VLOOKUP(A593,'Aux - pivots1'!$A:$E,5,0)=0, "",VLOOKUP(A593,'Aux - pivots1'!$A:$E,5,0))</f>
        <v/>
      </c>
      <c r="P604" s="202"/>
      <c r="Q604" s="202"/>
      <c r="R604" s="202"/>
      <c r="S604" s="324"/>
      <c r="T604" s="324"/>
      <c r="U604" s="372" t="s">
        <v>2326</v>
      </c>
      <c r="V604" s="323"/>
    </row>
    <row r="605" spans="1:22" ht="16.350000000000001" hidden="1" customHeight="1">
      <c r="A605" s="29" t="str">
        <f t="shared" si="11"/>
        <v>modesg_out_emss_vclsorigem_scp2_emss</v>
      </c>
      <c r="B605" s="141" t="s">
        <v>26</v>
      </c>
      <c r="C605" s="137" t="s">
        <v>310</v>
      </c>
      <c r="D605" s="133" t="s">
        <v>40</v>
      </c>
      <c r="E605" s="134" t="s">
        <v>331</v>
      </c>
      <c r="F605" s="476" t="s">
        <v>320</v>
      </c>
      <c r="G605" s="135" t="str">
        <f>VLOOKUP(A605,Plano_V3!$A$26:$G$769,7,0)</f>
        <v>1. Concluído</v>
      </c>
      <c r="H605" s="135" t="s">
        <v>612</v>
      </c>
      <c r="I605" s="473"/>
      <c r="J605" s="142"/>
      <c r="K605" s="142"/>
      <c r="L605" s="142" t="s">
        <v>2360</v>
      </c>
      <c r="M605" s="152" t="str">
        <f>IF(VLOOKUP(A596,'Aux - pivots1'!$A:$E,3,0)=0, "",VLOOKUP(A596,'Aux - pivots1'!$A:$E,3,0))</f>
        <v/>
      </c>
      <c r="N605" s="152" t="str">
        <f>IF(VLOOKUP(A596,'Aux - pivots1'!$A:$E,4,0)=0, "",VLOOKUP(A596,'Aux - pivots1'!$A:$E,4,0))</f>
        <v/>
      </c>
      <c r="O605" s="152" t="str">
        <f>IF(VLOOKUP(A596,'Aux - pivots1'!$A:$E,5,0)=0, "",VLOOKUP(A596,'Aux - pivots1'!$A:$E,5,0))</f>
        <v/>
      </c>
      <c r="P605" s="202"/>
      <c r="Q605" s="202"/>
      <c r="R605" s="202"/>
      <c r="S605" s="324"/>
      <c r="T605" s="324"/>
      <c r="U605" s="372" t="s">
        <v>2326</v>
      </c>
      <c r="V605" s="323"/>
    </row>
    <row r="606" spans="1:22" ht="16.350000000000001" hidden="1" customHeight="1">
      <c r="A606" s="29" t="str">
        <f t="shared" si="11"/>
        <v>modesg_out_emss_vclsorigem_scp3_emss</v>
      </c>
      <c r="B606" s="141" t="s">
        <v>26</v>
      </c>
      <c r="C606" s="137" t="s">
        <v>310</v>
      </c>
      <c r="D606" s="133" t="s">
        <v>40</v>
      </c>
      <c r="E606" s="134" t="s">
        <v>331</v>
      </c>
      <c r="F606" s="476" t="s">
        <v>321</v>
      </c>
      <c r="G606" s="135" t="str">
        <f>VLOOKUP(A606,Plano_V3!$A$26:$G$769,7,0)</f>
        <v>1. Concluído</v>
      </c>
      <c r="H606" s="135" t="s">
        <v>612</v>
      </c>
      <c r="I606" s="473"/>
      <c r="J606" s="142"/>
      <c r="K606" s="142"/>
      <c r="L606" s="142" t="s">
        <v>2360</v>
      </c>
      <c r="M606" s="152" t="str">
        <f>IF(VLOOKUP(A597,'Aux - pivots1'!$A:$E,3,0)=0, "",VLOOKUP(A597,'Aux - pivots1'!$A:$E,3,0))</f>
        <v/>
      </c>
      <c r="N606" s="152" t="str">
        <f>IF(VLOOKUP(A597,'Aux - pivots1'!$A:$E,4,0)=0, "",VLOOKUP(A597,'Aux - pivots1'!$A:$E,4,0))</f>
        <v/>
      </c>
      <c r="O606" s="152" t="str">
        <f>IF(VLOOKUP(A597,'Aux - pivots1'!$A:$E,5,0)=0, "",VLOOKUP(A597,'Aux - pivots1'!$A:$E,5,0))</f>
        <v/>
      </c>
      <c r="P606" s="202"/>
      <c r="Q606" s="202"/>
      <c r="R606" s="202"/>
      <c r="S606" s="324"/>
      <c r="T606" s="324"/>
      <c r="U606" s="372" t="s">
        <v>2326</v>
      </c>
      <c r="V606" s="323"/>
    </row>
    <row r="607" spans="1:22" ht="16.350000000000001" hidden="1" customHeight="1">
      <c r="A607" s="29" t="str">
        <f t="shared" si="11"/>
        <v>modesg_out_emss_vclsref_date</v>
      </c>
      <c r="B607" s="141" t="s">
        <v>26</v>
      </c>
      <c r="C607" s="137" t="s">
        <v>310</v>
      </c>
      <c r="D607" s="133" t="s">
        <v>40</v>
      </c>
      <c r="E607" s="134" t="s">
        <v>331</v>
      </c>
      <c r="F607" s="476" t="s">
        <v>208</v>
      </c>
      <c r="G607" s="135" t="str">
        <f>VLOOKUP(A607,Plano_V3!$A$26:$G$769,7,0)</f>
        <v>1. Concluído</v>
      </c>
      <c r="H607" s="135" t="s">
        <v>612</v>
      </c>
      <c r="I607" s="473"/>
      <c r="J607" s="153"/>
      <c r="K607" s="153"/>
      <c r="L607" s="153"/>
      <c r="M607" s="152" t="str">
        <f>IF(VLOOKUP(A598,'Aux - pivots1'!$A:$E,3,0)=0, "",VLOOKUP(A598,'Aux - pivots1'!$A:$E,3,0))</f>
        <v/>
      </c>
      <c r="N607" s="152" t="str">
        <f>IF(VLOOKUP(A598,'Aux - pivots1'!$A:$E,4,0)=0, "",VLOOKUP(A598,'Aux - pivots1'!$A:$E,4,0))</f>
        <v/>
      </c>
      <c r="O607" s="152" t="str">
        <f>IF(VLOOKUP(A598,'Aux - pivots1'!$A:$E,5,0)=0, "",VLOOKUP(A598,'Aux - pivots1'!$A:$E,5,0))</f>
        <v/>
      </c>
      <c r="P607" s="202"/>
      <c r="Q607" s="202"/>
      <c r="R607" s="202"/>
      <c r="S607" s="324"/>
      <c r="T607" s="324"/>
      <c r="U607" s="372" t="s">
        <v>2326</v>
      </c>
      <c r="V607" s="323"/>
    </row>
    <row r="608" spans="1:22" ht="16.350000000000001" hidden="1" customHeight="1">
      <c r="A608" s="29" t="str">
        <f t="shared" si="11"/>
        <v>modesg_out_emss_vclsscp1_emss</v>
      </c>
      <c r="B608" s="141" t="s">
        <v>26</v>
      </c>
      <c r="C608" s="137" t="s">
        <v>310</v>
      </c>
      <c r="D608" s="133" t="s">
        <v>40</v>
      </c>
      <c r="E608" s="134" t="s">
        <v>331</v>
      </c>
      <c r="F608" s="476" t="s">
        <v>285</v>
      </c>
      <c r="G608" s="135" t="str">
        <f>VLOOKUP(A608,Plano_V3!$A$26:$G$769,7,0)</f>
        <v>1. Concluído</v>
      </c>
      <c r="H608" s="135" t="s">
        <v>612</v>
      </c>
      <c r="I608" s="473"/>
      <c r="J608" s="142"/>
      <c r="K608" s="142"/>
      <c r="L608" s="142" t="s">
        <v>2360</v>
      </c>
      <c r="M608" s="152" t="str">
        <f>IF(VLOOKUP(A599,'Aux - pivots1'!$A:$E,3,0)=0, "",VLOOKUP(A599,'Aux - pivots1'!$A:$E,3,0))</f>
        <v/>
      </c>
      <c r="N608" s="152" t="str">
        <f>IF(VLOOKUP(A599,'Aux - pivots1'!$A:$E,4,0)=0, "",VLOOKUP(A599,'Aux - pivots1'!$A:$E,4,0))</f>
        <v/>
      </c>
      <c r="O608" s="152" t="str">
        <f>IF(VLOOKUP(A599,'Aux - pivots1'!$A:$E,5,0)=0, "",VLOOKUP(A599,'Aux - pivots1'!$A:$E,5,0))</f>
        <v/>
      </c>
      <c r="P608" s="202"/>
      <c r="Q608" s="202"/>
      <c r="R608" s="202"/>
      <c r="S608" s="324"/>
      <c r="T608" s="324"/>
      <c r="U608" s="372" t="s">
        <v>2326</v>
      </c>
      <c r="V608" s="323"/>
    </row>
    <row r="609" spans="1:22" ht="16.350000000000001" hidden="1" customHeight="1">
      <c r="A609" s="29" t="str">
        <f t="shared" si="11"/>
        <v>modesg_out_emss_vclsscp2_emss</v>
      </c>
      <c r="B609" s="141" t="s">
        <v>26</v>
      </c>
      <c r="C609" s="137" t="s">
        <v>310</v>
      </c>
      <c r="D609" s="133" t="s">
        <v>40</v>
      </c>
      <c r="E609" s="134" t="s">
        <v>331</v>
      </c>
      <c r="F609" s="476" t="s">
        <v>286</v>
      </c>
      <c r="G609" s="135" t="str">
        <f>VLOOKUP(A609,Plano_V3!$A$26:$G$769,7,0)</f>
        <v>1. Concluído</v>
      </c>
      <c r="H609" s="135" t="s">
        <v>612</v>
      </c>
      <c r="I609" s="473"/>
      <c r="J609" s="142"/>
      <c r="K609" s="142"/>
      <c r="L609" s="142" t="s">
        <v>2360</v>
      </c>
      <c r="M609" s="152" t="str">
        <f>IF(VLOOKUP(A600,'Aux - pivots1'!$A:$E,3,0)=0, "",VLOOKUP(A600,'Aux - pivots1'!$A:$E,3,0))</f>
        <v/>
      </c>
      <c r="N609" s="152" t="str">
        <f>IF(VLOOKUP(A600,'Aux - pivots1'!$A:$E,4,0)=0, "",VLOOKUP(A600,'Aux - pivots1'!$A:$E,4,0))</f>
        <v/>
      </c>
      <c r="O609" s="152" t="str">
        <f>IF(VLOOKUP(A600,'Aux - pivots1'!$A:$E,5,0)=0, "",VLOOKUP(A600,'Aux - pivots1'!$A:$E,5,0))</f>
        <v/>
      </c>
      <c r="P609" s="202"/>
      <c r="Q609" s="202"/>
      <c r="R609" s="202"/>
      <c r="S609" s="324"/>
      <c r="T609" s="324"/>
      <c r="U609" s="372" t="s">
        <v>2326</v>
      </c>
      <c r="V609" s="323"/>
    </row>
    <row r="610" spans="1:22" ht="16.350000000000001" hidden="1" customHeight="1">
      <c r="A610" s="29" t="str">
        <f t="shared" si="11"/>
        <v>modesg_out_emss_vclsscp3_emss</v>
      </c>
      <c r="B610" s="141" t="s">
        <v>26</v>
      </c>
      <c r="C610" s="137" t="s">
        <v>310</v>
      </c>
      <c r="D610" s="133" t="s">
        <v>40</v>
      </c>
      <c r="E610" s="134" t="s">
        <v>331</v>
      </c>
      <c r="F610" s="476" t="s">
        <v>287</v>
      </c>
      <c r="G610" s="135" t="str">
        <f>VLOOKUP(A610,Plano_V3!$A$26:$G$769,7,0)</f>
        <v>1. Concluído</v>
      </c>
      <c r="H610" s="135" t="s">
        <v>612</v>
      </c>
      <c r="I610" s="473"/>
      <c r="J610" s="142"/>
      <c r="K610" s="142"/>
      <c r="L610" s="142" t="s">
        <v>2360</v>
      </c>
      <c r="M610" s="152" t="str">
        <f>IF(VLOOKUP(A601,'Aux - pivots1'!$A:$E,3,0)=0, "",VLOOKUP(A601,'Aux - pivots1'!$A:$E,3,0))</f>
        <v/>
      </c>
      <c r="N610" s="152" t="str">
        <f>IF(VLOOKUP(A601,'Aux - pivots1'!$A:$E,4,0)=0, "",VLOOKUP(A601,'Aux - pivots1'!$A:$E,4,0))</f>
        <v/>
      </c>
      <c r="O610" s="152" t="str">
        <f>IF(VLOOKUP(A601,'Aux - pivots1'!$A:$E,5,0)=0, "",VLOOKUP(A601,'Aux - pivots1'!$A:$E,5,0))</f>
        <v/>
      </c>
      <c r="P610" s="202"/>
      <c r="Q610" s="202"/>
      <c r="R610" s="202"/>
      <c r="S610" s="324"/>
      <c r="T610" s="324"/>
      <c r="U610" s="372" t="s">
        <v>2326</v>
      </c>
      <c r="V610" s="323"/>
    </row>
    <row r="611" spans="1:22" ht="16.350000000000001" hidden="1" customHeight="1">
      <c r="A611" s="29" t="str">
        <f t="shared" si="11"/>
        <v>modesg_out_emss_vclsunidade_funcional_scp1_emss</v>
      </c>
      <c r="B611" s="141" t="s">
        <v>26</v>
      </c>
      <c r="C611" s="137" t="s">
        <v>310</v>
      </c>
      <c r="D611" s="133" t="s">
        <v>40</v>
      </c>
      <c r="E611" s="134" t="s">
        <v>331</v>
      </c>
      <c r="F611" s="476" t="s">
        <v>322</v>
      </c>
      <c r="G611" s="135" t="str">
        <f>VLOOKUP(A611,Plano_V3!$A$26:$G$769,7,0)</f>
        <v>1. Concluído</v>
      </c>
      <c r="H611" s="135" t="s">
        <v>612</v>
      </c>
      <c r="I611" s="473"/>
      <c r="J611" s="153"/>
      <c r="K611" s="153"/>
      <c r="L611" s="142" t="s">
        <v>2360</v>
      </c>
      <c r="M611" s="152" t="str">
        <f>IF(VLOOKUP(A602,'Aux - pivots1'!$A:$E,3,0)=0, "",VLOOKUP(A602,'Aux - pivots1'!$A:$E,3,0))</f>
        <v/>
      </c>
      <c r="N611" s="152" t="str">
        <f>IF(VLOOKUP(A602,'Aux - pivots1'!$A:$E,4,0)=0, "",VLOOKUP(A602,'Aux - pivots1'!$A:$E,4,0))</f>
        <v/>
      </c>
      <c r="O611" s="152" t="str">
        <f>IF(VLOOKUP(A602,'Aux - pivots1'!$A:$E,5,0)=0, "",VLOOKUP(A602,'Aux - pivots1'!$A:$E,5,0))</f>
        <v/>
      </c>
      <c r="P611" s="202"/>
      <c r="Q611" s="202"/>
      <c r="R611" s="202"/>
      <c r="S611" s="324"/>
      <c r="T611" s="324"/>
      <c r="U611" s="372" t="s">
        <v>2326</v>
      </c>
      <c r="V611" s="323"/>
    </row>
    <row r="612" spans="1:22" ht="16.350000000000001" hidden="1" customHeight="1">
      <c r="A612" s="29" t="str">
        <f t="shared" si="11"/>
        <v>modesg_out_emss_vclsunidade_funcional_scp2_emss</v>
      </c>
      <c r="B612" s="141" t="s">
        <v>26</v>
      </c>
      <c r="C612" s="137" t="s">
        <v>310</v>
      </c>
      <c r="D612" s="133" t="s">
        <v>40</v>
      </c>
      <c r="E612" s="134" t="s">
        <v>331</v>
      </c>
      <c r="F612" s="476" t="s">
        <v>323</v>
      </c>
      <c r="G612" s="135" t="str">
        <f>VLOOKUP(A612,Plano_V3!$A$26:$G$769,7,0)</f>
        <v>1. Concluído</v>
      </c>
      <c r="H612" s="135" t="s">
        <v>612</v>
      </c>
      <c r="I612" s="473"/>
      <c r="J612" s="153"/>
      <c r="K612" s="153"/>
      <c r="L612" s="142" t="s">
        <v>2360</v>
      </c>
      <c r="M612" s="152" t="str">
        <f>IF(VLOOKUP(A603,'Aux - pivots1'!$A:$E,3,0)=0, "",VLOOKUP(A603,'Aux - pivots1'!$A:$E,3,0))</f>
        <v/>
      </c>
      <c r="N612" s="152" t="str">
        <f>IF(VLOOKUP(A603,'Aux - pivots1'!$A:$E,4,0)=0, "",VLOOKUP(A603,'Aux - pivots1'!$A:$E,4,0))</f>
        <v/>
      </c>
      <c r="O612" s="152" t="str">
        <f>IF(VLOOKUP(A603,'Aux - pivots1'!$A:$E,5,0)=0, "",VLOOKUP(A603,'Aux - pivots1'!$A:$E,5,0))</f>
        <v/>
      </c>
      <c r="P612" s="202"/>
      <c r="Q612" s="202"/>
      <c r="R612" s="202"/>
      <c r="S612" s="324"/>
      <c r="T612" s="324"/>
      <c r="U612" s="372" t="s">
        <v>2326</v>
      </c>
      <c r="V612" s="323"/>
    </row>
    <row r="613" spans="1:22" ht="16.350000000000001" hidden="1" customHeight="1">
      <c r="A613" s="29" t="str">
        <f t="shared" si="11"/>
        <v>modesg_out_emss_vclsunidade_funcional_scp3_emss</v>
      </c>
      <c r="B613" s="141" t="s">
        <v>26</v>
      </c>
      <c r="C613" s="137" t="s">
        <v>310</v>
      </c>
      <c r="D613" s="133" t="s">
        <v>40</v>
      </c>
      <c r="E613" s="134" t="s">
        <v>331</v>
      </c>
      <c r="F613" s="476" t="s">
        <v>324</v>
      </c>
      <c r="G613" s="135" t="str">
        <f>VLOOKUP(A613,Plano_V3!$A$26:$G$769,7,0)</f>
        <v>1. Concluído</v>
      </c>
      <c r="H613" s="135" t="s">
        <v>612</v>
      </c>
      <c r="I613" s="473"/>
      <c r="J613" s="153"/>
      <c r="K613" s="153"/>
      <c r="L613" s="142" t="s">
        <v>2360</v>
      </c>
      <c r="M613" s="152" t="str">
        <f>IF(VLOOKUP(A604,'Aux - pivots1'!$A:$E,3,0)=0, "",VLOOKUP(A604,'Aux - pivots1'!$A:$E,3,0))</f>
        <v/>
      </c>
      <c r="N613" s="152" t="str">
        <f>IF(VLOOKUP(A604,'Aux - pivots1'!$A:$E,4,0)=0, "",VLOOKUP(A604,'Aux - pivots1'!$A:$E,4,0))</f>
        <v/>
      </c>
      <c r="O613" s="152" t="str">
        <f>IF(VLOOKUP(A604,'Aux - pivots1'!$A:$E,5,0)=0, "",VLOOKUP(A604,'Aux - pivots1'!$A:$E,5,0))</f>
        <v/>
      </c>
      <c r="P613" s="202"/>
      <c r="Q613" s="202"/>
      <c r="R613" s="202"/>
      <c r="S613" s="324"/>
      <c r="T613" s="324"/>
      <c r="U613" s="372" t="s">
        <v>2326</v>
      </c>
      <c r="V613" s="323"/>
    </row>
    <row r="614" spans="1:22" ht="16.350000000000001" hidden="1" customHeight="1">
      <c r="A614" s="29" t="str">
        <f t="shared" si="11"/>
        <v>modesg_out_sfics_taxon_europeiaordem</v>
      </c>
      <c r="B614" s="141" t="s">
        <v>26</v>
      </c>
      <c r="C614" s="137" t="s">
        <v>310</v>
      </c>
      <c r="D614" s="133" t="s">
        <v>40</v>
      </c>
      <c r="E614" s="134" t="s">
        <v>2085</v>
      </c>
      <c r="F614" s="476" t="s">
        <v>211</v>
      </c>
      <c r="G614" s="135" t="str">
        <f>VLOOKUP(A614,Plano_V3!$A$26:$G$769,7,0)</f>
        <v>0. Cancelado</v>
      </c>
      <c r="H614" s="135" t="s">
        <v>611</v>
      </c>
      <c r="I614" s="473"/>
      <c r="J614" s="490"/>
      <c r="K614" s="490"/>
      <c r="L614" s="490"/>
      <c r="M614" s="152" t="str">
        <f>IF(VLOOKUP(A604,'Aux - pivots1'!$A:$E,3,0)=0, "",VLOOKUP(A604,'Aux - pivots1'!$A:$E,3,0))</f>
        <v/>
      </c>
      <c r="N614" s="152" t="str">
        <f>IF(VLOOKUP(A604,'Aux - pivots1'!$A:$E,4,0)=0, "",VLOOKUP(A604,'Aux - pivots1'!$A:$E,4,0))</f>
        <v/>
      </c>
      <c r="O614" s="152" t="str">
        <f>IF(VLOOKUP(A604,'Aux - pivots1'!$A:$E,5,0)=0, "",VLOOKUP(A604,'Aux - pivots1'!$A:$E,5,0))</f>
        <v/>
      </c>
      <c r="P614" s="202"/>
      <c r="Q614" s="202"/>
      <c r="R614" s="202"/>
      <c r="S614" s="324"/>
      <c r="T614" s="324"/>
      <c r="U614" s="372" t="s">
        <v>2326</v>
      </c>
      <c r="V614" s="323"/>
    </row>
    <row r="615" spans="1:22" ht="16.350000000000001" hidden="1" customHeight="1">
      <c r="A615" s="29" t="str">
        <f t="shared" si="11"/>
        <v>lt003_entitytxnmy_elgbl_capex_ccm</v>
      </c>
      <c r="B615" s="141" t="s">
        <v>26</v>
      </c>
      <c r="C615" s="137" t="s">
        <v>26</v>
      </c>
      <c r="D615" s="133" t="s">
        <v>40</v>
      </c>
      <c r="E615" s="136" t="s">
        <v>335</v>
      </c>
      <c r="F615" s="480" t="s">
        <v>338</v>
      </c>
      <c r="G615" s="135" t="str">
        <f>VLOOKUP(A615,Plano_V3!$A$26:$G$769,7,0)</f>
        <v>1. Concluído</v>
      </c>
      <c r="H615" s="135" t="s">
        <v>612</v>
      </c>
      <c r="I615" s="473"/>
      <c r="J615" s="142"/>
      <c r="K615" s="142"/>
      <c r="L615" s="142"/>
      <c r="M615" s="152" t="str">
        <f>IF(VLOOKUP(A604,'Aux - pivots1'!$A:$E,3,0)=0, "",VLOOKUP(A604,'Aux - pivots1'!$A:$E,3,0))</f>
        <v/>
      </c>
      <c r="N615" s="152" t="str">
        <f>IF(VLOOKUP(A604,'Aux - pivots1'!$A:$E,4,0)=0, "",VLOOKUP(A604,'Aux - pivots1'!$A:$E,4,0))</f>
        <v/>
      </c>
      <c r="O615" s="152" t="str">
        <f>IF(VLOOKUP(A604,'Aux - pivots1'!$A:$E,5,0)=0, "",VLOOKUP(A604,'Aux - pivots1'!$A:$E,5,0))</f>
        <v/>
      </c>
      <c r="P615" s="202"/>
      <c r="Q615" s="202"/>
      <c r="R615" s="202"/>
      <c r="S615" s="324"/>
      <c r="T615" s="324"/>
      <c r="U615" s="372" t="s">
        <v>2326</v>
      </c>
      <c r="V615" s="323"/>
    </row>
    <row r="616" spans="1:22" ht="16.350000000000001" hidden="1" customHeight="1">
      <c r="A616" s="29" t="str">
        <f t="shared" si="11"/>
        <v>lt003_entitytxnmy_elgbl_trnvr_ccm</v>
      </c>
      <c r="B616" s="141" t="s">
        <v>26</v>
      </c>
      <c r="C616" s="137" t="s">
        <v>26</v>
      </c>
      <c r="D616" s="133" t="s">
        <v>40</v>
      </c>
      <c r="E616" s="136" t="s">
        <v>335</v>
      </c>
      <c r="F616" s="480" t="s">
        <v>339</v>
      </c>
      <c r="G616" s="135" t="str">
        <f>VLOOKUP(A616,Plano_V3!$A$26:$G$769,7,0)</f>
        <v>1. Concluído</v>
      </c>
      <c r="H616" s="135" t="s">
        <v>612</v>
      </c>
      <c r="I616" s="473"/>
      <c r="J616" s="142"/>
      <c r="K616" s="142"/>
      <c r="L616" s="142"/>
      <c r="M616" s="152" t="str">
        <f>IF(VLOOKUP(A605,'Aux - pivots1'!$A:$E,3,0)=0, "",VLOOKUP(A605,'Aux - pivots1'!$A:$E,3,0))</f>
        <v/>
      </c>
      <c r="N616" s="152" t="str">
        <f>IF(VLOOKUP(A605,'Aux - pivots1'!$A:$E,4,0)=0, "",VLOOKUP(A605,'Aux - pivots1'!$A:$E,4,0))</f>
        <v/>
      </c>
      <c r="O616" s="152" t="str">
        <f>IF(VLOOKUP(A605,'Aux - pivots1'!$A:$E,5,0)=0, "",VLOOKUP(A605,'Aux - pivots1'!$A:$E,5,0))</f>
        <v/>
      </c>
      <c r="P616" s="202"/>
      <c r="Q616" s="202"/>
      <c r="R616" s="202"/>
      <c r="S616" s="324"/>
      <c r="T616" s="324"/>
      <c r="U616" s="372" t="s">
        <v>2326</v>
      </c>
      <c r="V616" s="323"/>
    </row>
    <row r="617" spans="1:22" ht="16.350000000000001" hidden="1" customHeight="1">
      <c r="A617" s="29" t="str">
        <f t="shared" si="11"/>
        <v>lt003_entitytxnmy_elgbl_capex_cca</v>
      </c>
      <c r="B617" s="141" t="s">
        <v>26</v>
      </c>
      <c r="C617" s="137" t="s">
        <v>26</v>
      </c>
      <c r="D617" s="133" t="s">
        <v>40</v>
      </c>
      <c r="E617" s="136" t="s">
        <v>335</v>
      </c>
      <c r="F617" s="480" t="s">
        <v>340</v>
      </c>
      <c r="G617" s="135" t="str">
        <f>VLOOKUP(A617,Plano_V3!$A$26:$G$769,7,0)</f>
        <v>1. Concluído</v>
      </c>
      <c r="H617" s="135" t="s">
        <v>612</v>
      </c>
      <c r="I617" s="473"/>
      <c r="J617" s="142"/>
      <c r="K617" s="142"/>
      <c r="L617" s="142"/>
      <c r="M617" s="152" t="str">
        <f>IF(VLOOKUP(A606,'Aux - pivots1'!$A:$E,3,0)=0, "",VLOOKUP(A606,'Aux - pivots1'!$A:$E,3,0))</f>
        <v/>
      </c>
      <c r="N617" s="152" t="str">
        <f>IF(VLOOKUP(A606,'Aux - pivots1'!$A:$E,4,0)=0, "",VLOOKUP(A606,'Aux - pivots1'!$A:$E,4,0))</f>
        <v/>
      </c>
      <c r="O617" s="152" t="str">
        <f>IF(VLOOKUP(A606,'Aux - pivots1'!$A:$E,5,0)=0, "",VLOOKUP(A606,'Aux - pivots1'!$A:$E,5,0))</f>
        <v/>
      </c>
      <c r="P617" s="202"/>
      <c r="Q617" s="202"/>
      <c r="R617" s="202"/>
      <c r="S617" s="324"/>
      <c r="T617" s="324"/>
      <c r="U617" s="372" t="s">
        <v>2326</v>
      </c>
      <c r="V617" s="323"/>
    </row>
    <row r="618" spans="1:22" ht="16.350000000000001" hidden="1" customHeight="1">
      <c r="A618" s="29" t="str">
        <f t="shared" si="11"/>
        <v>lt003_entitytxnmy_elgbl_trnvr_cca</v>
      </c>
      <c r="B618" s="141" t="s">
        <v>26</v>
      </c>
      <c r="C618" s="137" t="s">
        <v>26</v>
      </c>
      <c r="D618" s="133" t="s">
        <v>40</v>
      </c>
      <c r="E618" s="136" t="s">
        <v>335</v>
      </c>
      <c r="F618" s="480" t="s">
        <v>341</v>
      </c>
      <c r="G618" s="135" t="str">
        <f>VLOOKUP(A618,Plano_V3!$A$26:$G$769,7,0)</f>
        <v>1. Concluído</v>
      </c>
      <c r="H618" s="135" t="s">
        <v>612</v>
      </c>
      <c r="I618" s="473"/>
      <c r="J618" s="142"/>
      <c r="K618" s="142"/>
      <c r="L618" s="142"/>
      <c r="M618" s="152" t="str">
        <f>IF(VLOOKUP(A608,'Aux - pivots1'!$A:$E,3,0)=0, "",VLOOKUP(A608,'Aux - pivots1'!$A:$E,3,0))</f>
        <v/>
      </c>
      <c r="N618" s="152" t="str">
        <f>IF(VLOOKUP(A608,'Aux - pivots1'!$A:$E,4,0)=0, "",VLOOKUP(A608,'Aux - pivots1'!$A:$E,4,0))</f>
        <v/>
      </c>
      <c r="O618" s="152" t="str">
        <f>IF(VLOOKUP(A608,'Aux - pivots1'!$A:$E,5,0)=0, "",VLOOKUP(A608,'Aux - pivots1'!$A:$E,5,0))</f>
        <v/>
      </c>
      <c r="P618" s="202"/>
      <c r="Q618" s="202"/>
      <c r="R618" s="202"/>
      <c r="S618" s="324"/>
      <c r="T618" s="324"/>
      <c r="U618" s="372" t="s">
        <v>2326</v>
      </c>
      <c r="V618" s="323"/>
    </row>
    <row r="619" spans="1:22" ht="16.350000000000001" hidden="1" customHeight="1">
      <c r="A619" s="29" t="str">
        <f t="shared" si="11"/>
        <v>lt003_entityenblng_capex_ccm</v>
      </c>
      <c r="B619" s="141" t="s">
        <v>26</v>
      </c>
      <c r="C619" s="137" t="s">
        <v>26</v>
      </c>
      <c r="D619" s="133" t="s">
        <v>40</v>
      </c>
      <c r="E619" s="136" t="s">
        <v>335</v>
      </c>
      <c r="F619" s="480" t="s">
        <v>342</v>
      </c>
      <c r="G619" s="135" t="str">
        <f>VLOOKUP(A619,Plano_V3!$A$26:$G$769,7,0)</f>
        <v>1. Concluído</v>
      </c>
      <c r="H619" s="135" t="s">
        <v>612</v>
      </c>
      <c r="I619" s="473"/>
      <c r="J619" s="142"/>
      <c r="K619" s="142"/>
      <c r="L619" s="142"/>
      <c r="M619" s="152" t="str">
        <f>IF(VLOOKUP(A609,'Aux - pivots1'!$A:$E,3,0)=0, "",VLOOKUP(A609,'Aux - pivots1'!$A:$E,3,0))</f>
        <v/>
      </c>
      <c r="N619" s="152" t="str">
        <f>IF(VLOOKUP(A609,'Aux - pivots1'!$A:$E,4,0)=0, "",VLOOKUP(A609,'Aux - pivots1'!$A:$E,4,0))</f>
        <v/>
      </c>
      <c r="O619" s="152" t="str">
        <f>IF(VLOOKUP(A609,'Aux - pivots1'!$A:$E,5,0)=0, "",VLOOKUP(A609,'Aux - pivots1'!$A:$E,5,0))</f>
        <v/>
      </c>
      <c r="P619" s="202"/>
      <c r="Q619" s="202"/>
      <c r="R619" s="202"/>
      <c r="S619" s="324"/>
      <c r="T619" s="324"/>
      <c r="U619" s="372" t="s">
        <v>2326</v>
      </c>
      <c r="V619" s="323"/>
    </row>
    <row r="620" spans="1:22" ht="16.350000000000001" hidden="1" customHeight="1">
      <c r="A620" s="29" t="str">
        <f t="shared" si="11"/>
        <v>lt003_entityenblng_capex_cca</v>
      </c>
      <c r="B620" s="141" t="s">
        <v>26</v>
      </c>
      <c r="C620" s="137" t="s">
        <v>26</v>
      </c>
      <c r="D620" s="133" t="s">
        <v>40</v>
      </c>
      <c r="E620" s="136" t="s">
        <v>335</v>
      </c>
      <c r="F620" s="480" t="s">
        <v>343</v>
      </c>
      <c r="G620" s="135" t="str">
        <f>VLOOKUP(A620,Plano_V3!$A$26:$G$769,7,0)</f>
        <v>1. Concluído</v>
      </c>
      <c r="H620" s="135" t="s">
        <v>612</v>
      </c>
      <c r="I620" s="473"/>
      <c r="J620" s="142"/>
      <c r="K620" s="142"/>
      <c r="L620" s="142"/>
      <c r="M620" s="152" t="str">
        <f>IF(VLOOKUP(A611,'Aux - pivots1'!$A:$E,3,0)=0, "",VLOOKUP(A611,'Aux - pivots1'!$A:$E,3,0))</f>
        <v/>
      </c>
      <c r="N620" s="152" t="str">
        <f>IF(VLOOKUP(A611,'Aux - pivots1'!$A:$E,4,0)=0, "",VLOOKUP(A611,'Aux - pivots1'!$A:$E,4,0))</f>
        <v/>
      </c>
      <c r="O620" s="152" t="str">
        <f>IF(VLOOKUP(A611,'Aux - pivots1'!$A:$E,5,0)=0, "",VLOOKUP(A611,'Aux - pivots1'!$A:$E,5,0))</f>
        <v/>
      </c>
      <c r="P620" s="202"/>
      <c r="Q620" s="202"/>
      <c r="R620" s="202"/>
      <c r="S620" s="324"/>
      <c r="T620" s="324"/>
      <c r="U620" s="372" t="s">
        <v>2326</v>
      </c>
      <c r="V620" s="323"/>
    </row>
    <row r="621" spans="1:22" ht="16.350000000000001" hidden="1" customHeight="1">
      <c r="A621" s="29" t="str">
        <f t="shared" si="11"/>
        <v>lt003_entitytrnstnl_capex</v>
      </c>
      <c r="B621" s="141" t="s">
        <v>26</v>
      </c>
      <c r="C621" s="137" t="s">
        <v>26</v>
      </c>
      <c r="D621" s="133" t="s">
        <v>40</v>
      </c>
      <c r="E621" s="136" t="s">
        <v>335</v>
      </c>
      <c r="F621" s="480" t="s">
        <v>344</v>
      </c>
      <c r="G621" s="135" t="str">
        <f>VLOOKUP(A621,Plano_V3!$A$26:$G$769,7,0)</f>
        <v>1. Concluído</v>
      </c>
      <c r="H621" s="135" t="s">
        <v>612</v>
      </c>
      <c r="I621" s="473"/>
      <c r="J621" s="142"/>
      <c r="K621" s="142"/>
      <c r="L621" s="142"/>
      <c r="M621" s="152" t="str">
        <f>IF(VLOOKUP(A612,'Aux - pivots1'!$A:$E,3,0)=0, "",VLOOKUP(A612,'Aux - pivots1'!$A:$E,3,0))</f>
        <v/>
      </c>
      <c r="N621" s="152" t="str">
        <f>IF(VLOOKUP(A612,'Aux - pivots1'!$A:$E,4,0)=0, "",VLOOKUP(A612,'Aux - pivots1'!$A:$E,4,0))</f>
        <v/>
      </c>
      <c r="O621" s="152" t="str">
        <f>IF(VLOOKUP(A612,'Aux - pivots1'!$A:$E,5,0)=0, "",VLOOKUP(A612,'Aux - pivots1'!$A:$E,5,0))</f>
        <v/>
      </c>
      <c r="P621" s="202"/>
      <c r="Q621" s="202"/>
      <c r="R621" s="202"/>
      <c r="S621" s="324"/>
      <c r="T621" s="324"/>
      <c r="U621" s="372" t="s">
        <v>2326</v>
      </c>
      <c r="V621" s="323"/>
    </row>
    <row r="622" spans="1:22" ht="16.350000000000001" hidden="1" customHeight="1">
      <c r="A622" s="29" t="str">
        <f t="shared" si="11"/>
        <v>lt003_entitypure_capex_ccm</v>
      </c>
      <c r="B622" s="141" t="s">
        <v>26</v>
      </c>
      <c r="C622" s="137" t="s">
        <v>26</v>
      </c>
      <c r="D622" s="133" t="s">
        <v>40</v>
      </c>
      <c r="E622" s="136" t="s">
        <v>335</v>
      </c>
      <c r="F622" s="480" t="s">
        <v>345</v>
      </c>
      <c r="G622" s="135" t="str">
        <f>VLOOKUP(A622,Plano_V3!$A$26:$G$769,7,0)</f>
        <v>1. Concluído</v>
      </c>
      <c r="H622" s="135" t="s">
        <v>612</v>
      </c>
      <c r="I622" s="473"/>
      <c r="J622" s="142"/>
      <c r="K622" s="142"/>
      <c r="L622" s="142"/>
      <c r="M622" s="152" t="str">
        <f>IF(VLOOKUP(A613,'Aux - pivots1'!$A:$E,3,0)=0, "",VLOOKUP(A613,'Aux - pivots1'!$A:$E,3,0))</f>
        <v/>
      </c>
      <c r="N622" s="152" t="str">
        <f>IF(VLOOKUP(A613,'Aux - pivots1'!$A:$E,4,0)=0, "",VLOOKUP(A613,'Aux - pivots1'!$A:$E,4,0))</f>
        <v/>
      </c>
      <c r="O622" s="152" t="str">
        <f>IF(VLOOKUP(A613,'Aux - pivots1'!$A:$E,5,0)=0, "",VLOOKUP(A613,'Aux - pivots1'!$A:$E,5,0))</f>
        <v/>
      </c>
      <c r="P622" s="202"/>
      <c r="Q622" s="202"/>
      <c r="R622" s="202"/>
      <c r="S622" s="324"/>
      <c r="T622" s="324"/>
      <c r="U622" s="372" t="s">
        <v>2326</v>
      </c>
      <c r="V622" s="323"/>
    </row>
    <row r="623" spans="1:22" ht="16.350000000000001" hidden="1" customHeight="1">
      <c r="A623" s="29" t="str">
        <f t="shared" si="11"/>
        <v>lt003_entitypure_capex_cca</v>
      </c>
      <c r="B623" s="141" t="s">
        <v>26</v>
      </c>
      <c r="C623" s="137" t="s">
        <v>26</v>
      </c>
      <c r="D623" s="133" t="s">
        <v>40</v>
      </c>
      <c r="E623" s="136" t="s">
        <v>335</v>
      </c>
      <c r="F623" s="480" t="s">
        <v>346</v>
      </c>
      <c r="G623" s="135" t="str">
        <f>VLOOKUP(A623,Plano_V3!$A$26:$G$769,7,0)</f>
        <v>1. Concluído</v>
      </c>
      <c r="H623" s="135" t="s">
        <v>612</v>
      </c>
      <c r="I623" s="473"/>
      <c r="J623" s="142"/>
      <c r="K623" s="142"/>
      <c r="L623" s="142"/>
      <c r="M623" s="152" t="str">
        <f>IF(VLOOKUP(A614,'Aux - pivots1'!$A:$E,3,0)=0, "",VLOOKUP(A614,'Aux - pivots1'!$A:$E,3,0))</f>
        <v/>
      </c>
      <c r="N623" s="152" t="str">
        <f>IF(VLOOKUP(A614,'Aux - pivots1'!$A:$E,4,0)=0, "",VLOOKUP(A614,'Aux - pivots1'!$A:$E,4,0))</f>
        <v/>
      </c>
      <c r="O623" s="152" t="str">
        <f>IF(VLOOKUP(A614,'Aux - pivots1'!$A:$E,5,0)=0, "",VLOOKUP(A614,'Aux - pivots1'!$A:$E,5,0))</f>
        <v/>
      </c>
      <c r="P623" s="202"/>
      <c r="Q623" s="202"/>
      <c r="R623" s="202"/>
      <c r="S623" s="324"/>
      <c r="T623" s="324"/>
      <c r="U623" s="372" t="s">
        <v>2326</v>
      </c>
      <c r="V623" s="323"/>
    </row>
    <row r="624" spans="1:22" ht="16.350000000000001" hidden="1" customHeight="1">
      <c r="A624" s="29" t="str">
        <f t="shared" si="11"/>
        <v>lt003_entityenblng_trnvr_ccm</v>
      </c>
      <c r="B624" s="141" t="s">
        <v>26</v>
      </c>
      <c r="C624" s="137" t="s">
        <v>26</v>
      </c>
      <c r="D624" s="133" t="s">
        <v>40</v>
      </c>
      <c r="E624" s="136" t="s">
        <v>335</v>
      </c>
      <c r="F624" s="480" t="s">
        <v>347</v>
      </c>
      <c r="G624" s="135" t="str">
        <f>VLOOKUP(A624,Plano_V3!$A$26:$G$769,7,0)</f>
        <v>1. Concluído</v>
      </c>
      <c r="H624" s="135" t="s">
        <v>612</v>
      </c>
      <c r="I624" s="473"/>
      <c r="J624" s="142"/>
      <c r="K624" s="142"/>
      <c r="L624" s="142"/>
      <c r="M624" s="152" t="str">
        <f>IF(VLOOKUP(A615,'Aux - pivots1'!$A:$E,3,0)=0, "",VLOOKUP(A615,'Aux - pivots1'!$A:$E,3,0))</f>
        <v/>
      </c>
      <c r="N624" s="152" t="str">
        <f>IF(VLOOKUP(A615,'Aux - pivots1'!$A:$E,4,0)=0, "",VLOOKUP(A615,'Aux - pivots1'!$A:$E,4,0))</f>
        <v/>
      </c>
      <c r="O624" s="152" t="str">
        <f>IF(VLOOKUP(A615,'Aux - pivots1'!$A:$E,5,0)=0, "",VLOOKUP(A615,'Aux - pivots1'!$A:$E,5,0))</f>
        <v/>
      </c>
      <c r="P624" s="202"/>
      <c r="Q624" s="202"/>
      <c r="R624" s="202"/>
      <c r="S624" s="324"/>
      <c r="T624" s="324"/>
      <c r="U624" s="372" t="s">
        <v>2326</v>
      </c>
      <c r="V624" s="323"/>
    </row>
    <row r="625" spans="1:22" ht="16.350000000000001" hidden="1" customHeight="1">
      <c r="A625" s="29" t="str">
        <f t="shared" si="11"/>
        <v>lt003_entityenblng_trnvr_cca</v>
      </c>
      <c r="B625" s="141" t="s">
        <v>26</v>
      </c>
      <c r="C625" s="137" t="s">
        <v>26</v>
      </c>
      <c r="D625" s="133" t="s">
        <v>40</v>
      </c>
      <c r="E625" s="136" t="s">
        <v>335</v>
      </c>
      <c r="F625" s="480" t="s">
        <v>348</v>
      </c>
      <c r="G625" s="135" t="str">
        <f>VLOOKUP(A625,Plano_V3!$A$26:$G$769,7,0)</f>
        <v>1. Concluído</v>
      </c>
      <c r="H625" s="135" t="s">
        <v>612</v>
      </c>
      <c r="I625" s="473"/>
      <c r="J625" s="142"/>
      <c r="K625" s="142"/>
      <c r="L625" s="142"/>
      <c r="M625" s="152" t="str">
        <f>IF(VLOOKUP(A616,'Aux - pivots1'!$A:$E,3,0)=0, "",VLOOKUP(A616,'Aux - pivots1'!$A:$E,3,0))</f>
        <v/>
      </c>
      <c r="N625" s="152" t="str">
        <f>IF(VLOOKUP(A616,'Aux - pivots1'!$A:$E,4,0)=0, "",VLOOKUP(A616,'Aux - pivots1'!$A:$E,4,0))</f>
        <v/>
      </c>
      <c r="O625" s="152" t="str">
        <f>IF(VLOOKUP(A616,'Aux - pivots1'!$A:$E,5,0)=0, "",VLOOKUP(A616,'Aux - pivots1'!$A:$E,5,0))</f>
        <v/>
      </c>
      <c r="P625" s="202"/>
      <c r="Q625" s="202"/>
      <c r="R625" s="202"/>
      <c r="S625" s="324"/>
      <c r="T625" s="324"/>
      <c r="U625" s="372" t="s">
        <v>2326</v>
      </c>
      <c r="V625" s="323"/>
    </row>
    <row r="626" spans="1:22" ht="16.350000000000001" hidden="1" customHeight="1">
      <c r="A626" s="29" t="str">
        <f t="shared" si="11"/>
        <v>lt003_entitytrnstnl_trnvr</v>
      </c>
      <c r="B626" s="141" t="s">
        <v>26</v>
      </c>
      <c r="C626" s="137" t="s">
        <v>26</v>
      </c>
      <c r="D626" s="133" t="s">
        <v>40</v>
      </c>
      <c r="E626" s="136" t="s">
        <v>335</v>
      </c>
      <c r="F626" s="480" t="s">
        <v>349</v>
      </c>
      <c r="G626" s="135" t="str">
        <f>VLOOKUP(A626,Plano_V3!$A$26:$G$769,7,0)</f>
        <v>1. Concluído</v>
      </c>
      <c r="H626" s="135" t="s">
        <v>612</v>
      </c>
      <c r="I626" s="473"/>
      <c r="J626" s="142"/>
      <c r="K626" s="142"/>
      <c r="L626" s="142"/>
      <c r="M626" s="152" t="str">
        <f>IF(VLOOKUP(A617,'Aux - pivots1'!$A:$E,3,0)=0, "",VLOOKUP(A617,'Aux - pivots1'!$A:$E,3,0))</f>
        <v/>
      </c>
      <c r="N626" s="152" t="str">
        <f>IF(VLOOKUP(A617,'Aux - pivots1'!$A:$E,4,0)=0, "",VLOOKUP(A617,'Aux - pivots1'!$A:$E,4,0))</f>
        <v/>
      </c>
      <c r="O626" s="152" t="str">
        <f>IF(VLOOKUP(A617,'Aux - pivots1'!$A:$E,5,0)=0, "",VLOOKUP(A617,'Aux - pivots1'!$A:$E,5,0))</f>
        <v/>
      </c>
      <c r="P626" s="202"/>
      <c r="Q626" s="202"/>
      <c r="R626" s="202"/>
      <c r="S626" s="324"/>
      <c r="T626" s="324"/>
      <c r="U626" s="372" t="s">
        <v>2326</v>
      </c>
      <c r="V626" s="323"/>
    </row>
    <row r="627" spans="1:22" ht="16.350000000000001" hidden="1" customHeight="1">
      <c r="A627" s="29" t="str">
        <f t="shared" si="11"/>
        <v>lt003_entitypure_trnvr_ccm</v>
      </c>
      <c r="B627" s="141" t="s">
        <v>26</v>
      </c>
      <c r="C627" s="137" t="s">
        <v>26</v>
      </c>
      <c r="D627" s="133" t="s">
        <v>40</v>
      </c>
      <c r="E627" s="136" t="s">
        <v>335</v>
      </c>
      <c r="F627" s="480" t="s">
        <v>350</v>
      </c>
      <c r="G627" s="135" t="str">
        <f>VLOOKUP(A627,Plano_V3!$A$26:$G$769,7,0)</f>
        <v>1. Concluído</v>
      </c>
      <c r="H627" s="135" t="s">
        <v>612</v>
      </c>
      <c r="I627" s="473"/>
      <c r="J627" s="142"/>
      <c r="K627" s="142"/>
      <c r="L627" s="142"/>
      <c r="M627" s="152" t="str">
        <f>IF(VLOOKUP(A618,'Aux - pivots1'!$A:$E,3,0)=0, "",VLOOKUP(A618,'Aux - pivots1'!$A:$E,3,0))</f>
        <v/>
      </c>
      <c r="N627" s="152" t="str">
        <f>IF(VLOOKUP(A618,'Aux - pivots1'!$A:$E,4,0)=0, "",VLOOKUP(A618,'Aux - pivots1'!$A:$E,4,0))</f>
        <v/>
      </c>
      <c r="O627" s="152" t="str">
        <f>IF(VLOOKUP(A618,'Aux - pivots1'!$A:$E,5,0)=0, "",VLOOKUP(A618,'Aux - pivots1'!$A:$E,5,0))</f>
        <v/>
      </c>
      <c r="P627" s="202"/>
      <c r="Q627" s="202"/>
      <c r="R627" s="202"/>
      <c r="S627" s="324"/>
      <c r="T627" s="324"/>
      <c r="U627" s="372" t="s">
        <v>2326</v>
      </c>
      <c r="V627" s="323"/>
    </row>
    <row r="628" spans="1:22" ht="16.350000000000001" hidden="1" customHeight="1">
      <c r="A628" s="29" t="str">
        <f t="shared" si="11"/>
        <v>lt003_entitypure_trnvr_cca</v>
      </c>
      <c r="B628" s="141" t="s">
        <v>26</v>
      </c>
      <c r="C628" s="137" t="s">
        <v>26</v>
      </c>
      <c r="D628" s="133" t="s">
        <v>40</v>
      </c>
      <c r="E628" s="136" t="s">
        <v>335</v>
      </c>
      <c r="F628" s="480" t="s">
        <v>351</v>
      </c>
      <c r="G628" s="135" t="str">
        <f>VLOOKUP(A628,Plano_V3!$A$26:$G$769,7,0)</f>
        <v>1. Concluído</v>
      </c>
      <c r="H628" s="135" t="s">
        <v>612</v>
      </c>
      <c r="I628" s="473"/>
      <c r="J628" s="142"/>
      <c r="K628" s="142"/>
      <c r="L628" s="142"/>
      <c r="M628" s="152" t="str">
        <f>IF(VLOOKUP(A619,'Aux - pivots1'!$A:$E,3,0)=0, "",VLOOKUP(A619,'Aux - pivots1'!$A:$E,3,0))</f>
        <v/>
      </c>
      <c r="N628" s="152" t="str">
        <f>IF(VLOOKUP(A619,'Aux - pivots1'!$A:$E,4,0)=0, "",VLOOKUP(A619,'Aux - pivots1'!$A:$E,4,0))</f>
        <v/>
      </c>
      <c r="O628" s="152" t="str">
        <f>IF(VLOOKUP(A619,'Aux - pivots1'!$A:$E,5,0)=0, "",VLOOKUP(A619,'Aux - pivots1'!$A:$E,5,0))</f>
        <v/>
      </c>
      <c r="P628" s="202"/>
      <c r="Q628" s="202"/>
      <c r="R628" s="202"/>
      <c r="S628" s="324"/>
      <c r="T628" s="324"/>
      <c r="U628" s="372" t="s">
        <v>2326</v>
      </c>
      <c r="V628" s="323"/>
    </row>
    <row r="629" spans="1:22" ht="16.350000000000001" hidden="1" customHeight="1">
      <c r="A629" s="29" t="str">
        <f t="shared" si="11"/>
        <v>lt003_entityflg_nfrd_applcblty</v>
      </c>
      <c r="B629" s="141" t="s">
        <v>26</v>
      </c>
      <c r="C629" s="137" t="s">
        <v>26</v>
      </c>
      <c r="D629" s="133" t="s">
        <v>40</v>
      </c>
      <c r="E629" s="136" t="s">
        <v>335</v>
      </c>
      <c r="F629" s="480" t="s">
        <v>352</v>
      </c>
      <c r="G629" s="135" t="str">
        <f>VLOOKUP(A629,Plano_V3!$A$26:$G$769,7,0)</f>
        <v>1. Concluído</v>
      </c>
      <c r="H629" s="135" t="s">
        <v>612</v>
      </c>
      <c r="I629" s="473"/>
      <c r="J629" s="142"/>
      <c r="K629" s="142"/>
      <c r="L629" s="142"/>
      <c r="M629" s="152" t="str">
        <f>IF(VLOOKUP(A620,'Aux - pivots1'!$A:$E,3,0)=0, "",VLOOKUP(A620,'Aux - pivots1'!$A:$E,3,0))</f>
        <v/>
      </c>
      <c r="N629" s="152" t="str">
        <f>IF(VLOOKUP(A620,'Aux - pivots1'!$A:$E,4,0)=0, "",VLOOKUP(A620,'Aux - pivots1'!$A:$E,4,0))</f>
        <v/>
      </c>
      <c r="O629" s="152" t="str">
        <f>IF(VLOOKUP(A620,'Aux - pivots1'!$A:$E,5,0)=0, "",VLOOKUP(A620,'Aux - pivots1'!$A:$E,5,0))</f>
        <v/>
      </c>
      <c r="P629" s="202"/>
      <c r="Q629" s="202"/>
      <c r="R629" s="202"/>
      <c r="S629" s="324"/>
      <c r="T629" s="324"/>
      <c r="U629" s="372" t="s">
        <v>2326</v>
      </c>
      <c r="V629" s="323"/>
    </row>
    <row r="630" spans="1:22" ht="16.350000000000001" hidden="1" customHeight="1">
      <c r="A630" s="29" t="str">
        <f t="shared" si="11"/>
        <v>lt003_entitycntrprty_emssns_scp1</v>
      </c>
      <c r="B630" s="141" t="s">
        <v>26</v>
      </c>
      <c r="C630" s="137" t="s">
        <v>26</v>
      </c>
      <c r="D630" s="133" t="s">
        <v>40</v>
      </c>
      <c r="E630" s="136" t="s">
        <v>335</v>
      </c>
      <c r="F630" s="480" t="s">
        <v>353</v>
      </c>
      <c r="G630" s="135" t="str">
        <f>VLOOKUP(A630,Plano_V3!$A$26:$G$769,7,0)</f>
        <v>1. Concluído</v>
      </c>
      <c r="H630" s="135" t="s">
        <v>612</v>
      </c>
      <c r="I630" s="473"/>
      <c r="J630" s="142"/>
      <c r="K630" s="142"/>
      <c r="L630" s="142"/>
      <c r="M630" s="152" t="str">
        <f>IF(VLOOKUP(A621,'Aux - pivots1'!$A:$E,3,0)=0, "",VLOOKUP(A621,'Aux - pivots1'!$A:$E,3,0))</f>
        <v/>
      </c>
      <c r="N630" s="152" t="str">
        <f>IF(VLOOKUP(A621,'Aux - pivots1'!$A:$E,4,0)=0, "",VLOOKUP(A621,'Aux - pivots1'!$A:$E,4,0))</f>
        <v/>
      </c>
      <c r="O630" s="152" t="str">
        <f>IF(VLOOKUP(A621,'Aux - pivots1'!$A:$E,5,0)=0, "",VLOOKUP(A621,'Aux - pivots1'!$A:$E,5,0))</f>
        <v/>
      </c>
      <c r="P630" s="202"/>
      <c r="Q630" s="202"/>
      <c r="R630" s="202"/>
      <c r="S630" s="324"/>
      <c r="T630" s="324"/>
      <c r="U630" s="372" t="s">
        <v>2326</v>
      </c>
      <c r="V630" s="323"/>
    </row>
    <row r="631" spans="1:22" ht="16.350000000000001" hidden="1" customHeight="1">
      <c r="A631" s="29" t="str">
        <f t="shared" si="11"/>
        <v>lt003_entitycntrprty_emssns_scp2</v>
      </c>
      <c r="B631" s="141" t="s">
        <v>26</v>
      </c>
      <c r="C631" s="137" t="s">
        <v>26</v>
      </c>
      <c r="D631" s="133" t="s">
        <v>40</v>
      </c>
      <c r="E631" s="136" t="s">
        <v>335</v>
      </c>
      <c r="F631" s="480" t="s">
        <v>354</v>
      </c>
      <c r="G631" s="135" t="str">
        <f>VLOOKUP(A631,Plano_V3!$A$26:$G$769,7,0)</f>
        <v>1. Concluído</v>
      </c>
      <c r="H631" s="135" t="s">
        <v>612</v>
      </c>
      <c r="I631" s="473"/>
      <c r="J631" s="142"/>
      <c r="K631" s="142"/>
      <c r="L631" s="142"/>
      <c r="M631" s="152" t="str">
        <f>IF(VLOOKUP(A622,'Aux - pivots1'!$A:$E,3,0)=0, "",VLOOKUP(A622,'Aux - pivots1'!$A:$E,3,0))</f>
        <v/>
      </c>
      <c r="N631" s="152" t="str">
        <f>IF(VLOOKUP(A622,'Aux - pivots1'!$A:$E,4,0)=0, "",VLOOKUP(A622,'Aux - pivots1'!$A:$E,4,0))</f>
        <v/>
      </c>
      <c r="O631" s="152" t="str">
        <f>IF(VLOOKUP(A622,'Aux - pivots1'!$A:$E,5,0)=0, "",VLOOKUP(A622,'Aux - pivots1'!$A:$E,5,0))</f>
        <v/>
      </c>
      <c r="P631" s="202"/>
      <c r="Q631" s="202"/>
      <c r="R631" s="202"/>
      <c r="S631" s="324"/>
      <c r="T631" s="324"/>
      <c r="U631" s="372" t="s">
        <v>2326</v>
      </c>
      <c r="V631" s="323"/>
    </row>
    <row r="632" spans="1:22" ht="16.350000000000001" hidden="1" customHeight="1">
      <c r="A632" s="29" t="str">
        <f t="shared" si="11"/>
        <v>lt003_entitycntrprty_emssns_scp3</v>
      </c>
      <c r="B632" s="141" t="s">
        <v>26</v>
      </c>
      <c r="C632" s="137" t="s">
        <v>26</v>
      </c>
      <c r="D632" s="133" t="s">
        <v>40</v>
      </c>
      <c r="E632" s="136" t="s">
        <v>335</v>
      </c>
      <c r="F632" s="480" t="s">
        <v>355</v>
      </c>
      <c r="G632" s="135" t="str">
        <f>VLOOKUP(A632,Plano_V3!$A$26:$G$769,7,0)</f>
        <v>1. Concluído</v>
      </c>
      <c r="H632" s="135" t="s">
        <v>612</v>
      </c>
      <c r="I632" s="473"/>
      <c r="J632" s="142"/>
      <c r="K632" s="142"/>
      <c r="L632" s="142"/>
      <c r="M632" s="152" t="str">
        <f>IF(VLOOKUP(A623,'Aux - pivots1'!$A:$E,3,0)=0, "",VLOOKUP(A623,'Aux - pivots1'!$A:$E,3,0))</f>
        <v/>
      </c>
      <c r="N632" s="152" t="str">
        <f>IF(VLOOKUP(A623,'Aux - pivots1'!$A:$E,4,0)=0, "",VLOOKUP(A623,'Aux - pivots1'!$A:$E,4,0))</f>
        <v/>
      </c>
      <c r="O632" s="152" t="str">
        <f>IF(VLOOKUP(A623,'Aux - pivots1'!$A:$E,5,0)=0, "",VLOOKUP(A623,'Aux - pivots1'!$A:$E,5,0))</f>
        <v/>
      </c>
      <c r="P632" s="202"/>
      <c r="Q632" s="202"/>
      <c r="R632" s="202"/>
      <c r="S632" s="324"/>
      <c r="T632" s="324"/>
      <c r="U632" s="372" t="s">
        <v>2326</v>
      </c>
      <c r="V632" s="323"/>
    </row>
    <row r="633" spans="1:22" ht="16.350000000000001" hidden="1" customHeight="1">
      <c r="A633" s="29" t="str">
        <f t="shared" si="11"/>
        <v>lt003_entityflg_excldd_eu_prs_algnd_bnchmrk</v>
      </c>
      <c r="B633" s="141" t="s">
        <v>26</v>
      </c>
      <c r="C633" s="137" t="s">
        <v>26</v>
      </c>
      <c r="D633" s="133" t="s">
        <v>40</v>
      </c>
      <c r="E633" s="136" t="s">
        <v>335</v>
      </c>
      <c r="F633" s="480" t="s">
        <v>356</v>
      </c>
      <c r="G633" s="135" t="str">
        <f>VLOOKUP(A633,Plano_V3!$A$26:$G$769,7,0)</f>
        <v>1. Concluído</v>
      </c>
      <c r="H633" s="135" t="s">
        <v>612</v>
      </c>
      <c r="I633" s="473"/>
      <c r="J633" s="142"/>
      <c r="K633" s="142"/>
      <c r="L633" s="142"/>
      <c r="M633" s="152" t="str">
        <f>IF(VLOOKUP(A624,'Aux - pivots1'!$A:$E,3,0)=0, "",VLOOKUP(A624,'Aux - pivots1'!$A:$E,3,0))</f>
        <v/>
      </c>
      <c r="N633" s="152" t="str">
        <f>IF(VLOOKUP(A624,'Aux - pivots1'!$A:$E,4,0)=0, "",VLOOKUP(A624,'Aux - pivots1'!$A:$E,4,0))</f>
        <v/>
      </c>
      <c r="O633" s="152" t="str">
        <f>IF(VLOOKUP(A624,'Aux - pivots1'!$A:$E,5,0)=0, "",VLOOKUP(A624,'Aux - pivots1'!$A:$E,5,0))</f>
        <v/>
      </c>
      <c r="P633" s="202"/>
      <c r="Q633" s="202"/>
      <c r="R633" s="202"/>
      <c r="S633" s="324"/>
      <c r="T633" s="324"/>
      <c r="U633" s="372" t="s">
        <v>2326</v>
      </c>
      <c r="V633" s="323"/>
    </row>
    <row r="634" spans="1:22" ht="16.350000000000001" hidden="1" customHeight="1">
      <c r="A634" s="29" t="str">
        <f t="shared" si="11"/>
        <v>lt003_entitypst_cd</v>
      </c>
      <c r="B634" s="141" t="s">
        <v>26</v>
      </c>
      <c r="C634" s="137" t="s">
        <v>26</v>
      </c>
      <c r="D634" s="133" t="s">
        <v>40</v>
      </c>
      <c r="E634" s="136" t="s">
        <v>335</v>
      </c>
      <c r="F634" s="480" t="s">
        <v>359</v>
      </c>
      <c r="G634" s="489" t="str">
        <f>VLOOKUP(A634,Plano_V3!$A$26:$G$769,7,0)</f>
        <v>1. Concluído</v>
      </c>
      <c r="H634" s="135" t="s">
        <v>612</v>
      </c>
      <c r="I634" s="473"/>
      <c r="J634" s="142"/>
      <c r="K634" s="142"/>
      <c r="L634" s="142"/>
      <c r="M634" s="152" t="str">
        <f>IF(VLOOKUP(A625,'Aux - pivots1'!$A:$E,3,0)=0, "",VLOOKUP(A625,'Aux - pivots1'!$A:$E,3,0))</f>
        <v/>
      </c>
      <c r="N634" s="152" t="str">
        <f>IF(VLOOKUP(A625,'Aux - pivots1'!$A:$E,4,0)=0, "",VLOOKUP(A625,'Aux - pivots1'!$A:$E,4,0))</f>
        <v/>
      </c>
      <c r="O634" s="152" t="str">
        <f>IF(VLOOKUP(A625,'Aux - pivots1'!$A:$E,5,0)=0, "",VLOOKUP(A625,'Aux - pivots1'!$A:$E,5,0))</f>
        <v/>
      </c>
      <c r="P634" s="202"/>
      <c r="Q634" s="202"/>
      <c r="R634" s="202"/>
      <c r="S634" s="324"/>
      <c r="T634" s="324"/>
      <c r="U634" s="372" t="s">
        <v>2326</v>
      </c>
      <c r="V634" s="323"/>
    </row>
    <row r="635" spans="1:22" ht="16.350000000000001" hidden="1" customHeight="1">
      <c r="A635" s="29" t="str">
        <f t="shared" si="11"/>
        <v>lt003_entityttl_lblty</v>
      </c>
      <c r="B635" s="141" t="s">
        <v>26</v>
      </c>
      <c r="C635" s="137" t="s">
        <v>26</v>
      </c>
      <c r="D635" s="133" t="s">
        <v>40</v>
      </c>
      <c r="E635" s="136" t="s">
        <v>335</v>
      </c>
      <c r="F635" s="480" t="s">
        <v>361</v>
      </c>
      <c r="G635" s="135" t="str">
        <f>VLOOKUP(A635,Plano_V3!$A$26:$G$769,7,0)</f>
        <v>1. Concluído</v>
      </c>
      <c r="H635" s="135" t="s">
        <v>612</v>
      </c>
      <c r="I635" s="473"/>
      <c r="J635" s="142"/>
      <c r="K635" s="142"/>
      <c r="L635" s="142"/>
      <c r="M635" s="152" t="str">
        <f>IF(VLOOKUP(A626,'Aux - pivots1'!$A:$E,3,0)=0, "",VLOOKUP(A626,'Aux - pivots1'!$A:$E,3,0))</f>
        <v/>
      </c>
      <c r="N635" s="152" t="str">
        <f>IF(VLOOKUP(A626,'Aux - pivots1'!$A:$E,4,0)=0, "",VLOOKUP(A626,'Aux - pivots1'!$A:$E,4,0))</f>
        <v/>
      </c>
      <c r="O635" s="152" t="str">
        <f>IF(VLOOKUP(A626,'Aux - pivots1'!$A:$E,5,0)=0, "",VLOOKUP(A626,'Aux - pivots1'!$A:$E,5,0))</f>
        <v/>
      </c>
      <c r="P635" s="202">
        <v>45593</v>
      </c>
      <c r="Q635" s="202"/>
      <c r="R635" s="202"/>
      <c r="S635" s="324"/>
      <c r="T635" s="324"/>
      <c r="U635" s="372" t="s">
        <v>2326</v>
      </c>
      <c r="V635" s="323"/>
    </row>
    <row r="636" spans="1:22" ht="16.350000000000001" hidden="1" customHeight="1">
      <c r="A636" s="29" t="str">
        <f t="shared" si="11"/>
        <v>lt003_entityisin</v>
      </c>
      <c r="B636" s="141" t="s">
        <v>26</v>
      </c>
      <c r="C636" s="137" t="s">
        <v>26</v>
      </c>
      <c r="D636" s="133" t="s">
        <v>40</v>
      </c>
      <c r="E636" s="136" t="s">
        <v>335</v>
      </c>
      <c r="F636" s="480" t="s">
        <v>238</v>
      </c>
      <c r="G636" s="135" t="str">
        <f>VLOOKUP(A636,Plano_V3!$A$26:$G$769,7,0)</f>
        <v>1. Concluído</v>
      </c>
      <c r="H636" s="135" t="s">
        <v>612</v>
      </c>
      <c r="I636" s="473"/>
      <c r="J636" s="142"/>
      <c r="K636" s="142"/>
      <c r="L636" s="142"/>
      <c r="M636" s="152" t="str">
        <f>IF(VLOOKUP(A627,'Aux - pivots1'!$A:$E,3,0)=0, "",VLOOKUP(A627,'Aux - pivots1'!$A:$E,3,0))</f>
        <v/>
      </c>
      <c r="N636" s="152" t="str">
        <f>IF(VLOOKUP(A627,'Aux - pivots1'!$A:$E,4,0)=0, "",VLOOKUP(A627,'Aux - pivots1'!$A:$E,4,0))</f>
        <v/>
      </c>
      <c r="O636" s="152" t="str">
        <f>IF(VLOOKUP(A627,'Aux - pivots1'!$A:$E,5,0)=0, "",VLOOKUP(A627,'Aux - pivots1'!$A:$E,5,0))</f>
        <v/>
      </c>
      <c r="P636" s="202">
        <v>45588</v>
      </c>
      <c r="Q636" s="202"/>
      <c r="R636" s="202"/>
      <c r="S636" s="324"/>
      <c r="T636" s="324"/>
      <c r="U636" s="372" t="s">
        <v>2326</v>
      </c>
      <c r="V636" s="323"/>
    </row>
    <row r="637" spans="1:22" ht="16.350000000000001" hidden="1" customHeight="1">
      <c r="A637" s="29" t="str">
        <f t="shared" si="11"/>
        <v>lt003_entitygrp_annl_trnvr_le</v>
      </c>
      <c r="B637" s="141" t="s">
        <v>26</v>
      </c>
      <c r="C637" s="137" t="s">
        <v>26</v>
      </c>
      <c r="D637" s="133" t="s">
        <v>40</v>
      </c>
      <c r="E637" s="136" t="s">
        <v>335</v>
      </c>
      <c r="F637" s="480" t="s">
        <v>362</v>
      </c>
      <c r="G637" s="135" t="str">
        <f>VLOOKUP(A637,Plano_V3!$A$26:$G$769,7,0)</f>
        <v>1. Concluído</v>
      </c>
      <c r="H637" s="135" t="s">
        <v>612</v>
      </c>
      <c r="I637" s="473"/>
      <c r="J637" s="142"/>
      <c r="K637" s="142"/>
      <c r="L637" s="142"/>
      <c r="M637" s="152" t="str">
        <f>IF(VLOOKUP(A628,'Aux - pivots1'!$A:$E,3,0)=0, "",VLOOKUP(A628,'Aux - pivots1'!$A:$E,3,0))</f>
        <v/>
      </c>
      <c r="N637" s="152" t="str">
        <f>IF(VLOOKUP(A628,'Aux - pivots1'!$A:$E,4,0)=0, "",VLOOKUP(A628,'Aux - pivots1'!$A:$E,4,0))</f>
        <v/>
      </c>
      <c r="O637" s="152" t="str">
        <f>IF(VLOOKUP(A628,'Aux - pivots1'!$A:$E,5,0)=0, "",VLOOKUP(A628,'Aux - pivots1'!$A:$E,5,0))</f>
        <v/>
      </c>
      <c r="P637" s="202">
        <v>45593</v>
      </c>
      <c r="Q637" s="202"/>
      <c r="R637" s="202"/>
      <c r="S637" s="324"/>
      <c r="T637" s="324"/>
      <c r="U637" s="372" t="s">
        <v>2326</v>
      </c>
      <c r="V637" s="323"/>
    </row>
    <row r="638" spans="1:22" ht="16.350000000000001" hidden="1" customHeight="1">
      <c r="A638" s="29" t="str">
        <f t="shared" si="11"/>
        <v>lt003_entitygrp_ttl_lblty</v>
      </c>
      <c r="B638" s="141" t="s">
        <v>26</v>
      </c>
      <c r="C638" s="137" t="s">
        <v>26</v>
      </c>
      <c r="D638" s="133" t="s">
        <v>40</v>
      </c>
      <c r="E638" s="136" t="s">
        <v>335</v>
      </c>
      <c r="F638" s="480" t="s">
        <v>363</v>
      </c>
      <c r="G638" s="135" t="str">
        <f>VLOOKUP(A638,Plano_V3!$A$26:$G$769,7,0)</f>
        <v>1. Concluído</v>
      </c>
      <c r="H638" s="135" t="s">
        <v>612</v>
      </c>
      <c r="I638" s="473"/>
      <c r="J638" s="142"/>
      <c r="K638" s="142"/>
      <c r="L638" s="142"/>
      <c r="M638" s="152" t="str">
        <f>IF(VLOOKUP(A629,'Aux - pivots1'!$A:$E,3,0)=0, "",VLOOKUP(A629,'Aux - pivots1'!$A:$E,3,0))</f>
        <v/>
      </c>
      <c r="N638" s="152" t="str">
        <f>IF(VLOOKUP(A629,'Aux - pivots1'!$A:$E,4,0)=0, "",VLOOKUP(A629,'Aux - pivots1'!$A:$E,4,0))</f>
        <v/>
      </c>
      <c r="O638" s="152" t="str">
        <f>IF(VLOOKUP(A629,'Aux - pivots1'!$A:$E,5,0)=0, "",VLOOKUP(A629,'Aux - pivots1'!$A:$E,5,0))</f>
        <v/>
      </c>
      <c r="P638" s="202">
        <v>45593</v>
      </c>
      <c r="Q638" s="202"/>
      <c r="R638" s="202"/>
      <c r="S638" s="324"/>
      <c r="T638" s="324"/>
      <c r="U638" s="372" t="s">
        <v>2326</v>
      </c>
      <c r="V638" s="323"/>
    </row>
    <row r="639" spans="1:22" ht="16.350000000000001" hidden="1" customHeight="1">
      <c r="A639" s="29" t="str">
        <f t="shared" si="11"/>
        <v>lt003_entityflg_grp_nfrd_applcblty</v>
      </c>
      <c r="B639" s="141" t="s">
        <v>26</v>
      </c>
      <c r="C639" s="137" t="s">
        <v>26</v>
      </c>
      <c r="D639" s="133" t="s">
        <v>40</v>
      </c>
      <c r="E639" s="136" t="s">
        <v>335</v>
      </c>
      <c r="F639" s="480" t="s">
        <v>364</v>
      </c>
      <c r="G639" s="135" t="str">
        <f>VLOOKUP(A639,Plano_V3!$A$26:$G$769,7,0)</f>
        <v>1. Concluído</v>
      </c>
      <c r="H639" s="135" t="s">
        <v>612</v>
      </c>
      <c r="I639" s="473"/>
      <c r="J639" s="142"/>
      <c r="K639" s="142"/>
      <c r="L639" s="142"/>
      <c r="M639" s="152" t="str">
        <f>IF(VLOOKUP(A630,'Aux - pivots1'!$A:$E,3,0)=0, "",VLOOKUP(A630,'Aux - pivots1'!$A:$E,3,0))</f>
        <v/>
      </c>
      <c r="N639" s="152" t="str">
        <f>IF(VLOOKUP(A630,'Aux - pivots1'!$A:$E,4,0)=0, "",VLOOKUP(A630,'Aux - pivots1'!$A:$E,4,0))</f>
        <v/>
      </c>
      <c r="O639" s="152" t="str">
        <f>IF(VLOOKUP(A630,'Aux - pivots1'!$A:$E,5,0)=0, "",VLOOKUP(A630,'Aux - pivots1'!$A:$E,5,0))</f>
        <v/>
      </c>
      <c r="P639" s="202">
        <v>45588</v>
      </c>
      <c r="Q639" s="202"/>
      <c r="R639" s="202"/>
      <c r="S639" s="324"/>
      <c r="T639" s="324"/>
      <c r="U639" s="372" t="s">
        <v>2326</v>
      </c>
      <c r="V639" s="323"/>
    </row>
    <row r="640" spans="1:22" ht="16.350000000000001" hidden="1" customHeight="1">
      <c r="A640" s="29" t="str">
        <f t="shared" si="11"/>
        <v>lt003_entitygrp_emssns_scp1</v>
      </c>
      <c r="B640" s="141" t="s">
        <v>26</v>
      </c>
      <c r="C640" s="137" t="s">
        <v>26</v>
      </c>
      <c r="D640" s="133" t="s">
        <v>40</v>
      </c>
      <c r="E640" s="136" t="s">
        <v>335</v>
      </c>
      <c r="F640" s="480" t="s">
        <v>365</v>
      </c>
      <c r="G640" s="135" t="str">
        <f>VLOOKUP(A640,Plano_V3!$A$26:$G$769,7,0)</f>
        <v>1. Concluído</v>
      </c>
      <c r="H640" s="135" t="s">
        <v>612</v>
      </c>
      <c r="I640" s="473"/>
      <c r="J640" s="142"/>
      <c r="K640" s="142"/>
      <c r="L640" s="142"/>
      <c r="M640" s="152" t="str">
        <f>IF(VLOOKUP(A631,'Aux - pivots1'!$A:$E,3,0)=0, "",VLOOKUP(A631,'Aux - pivots1'!$A:$E,3,0))</f>
        <v/>
      </c>
      <c r="N640" s="152" t="str">
        <f>IF(VLOOKUP(A631,'Aux - pivots1'!$A:$E,4,0)=0, "",VLOOKUP(A631,'Aux - pivots1'!$A:$E,4,0))</f>
        <v/>
      </c>
      <c r="O640" s="152" t="str">
        <f>IF(VLOOKUP(A631,'Aux - pivots1'!$A:$E,5,0)=0, "",VLOOKUP(A631,'Aux - pivots1'!$A:$E,5,0))</f>
        <v/>
      </c>
      <c r="P640" s="202">
        <v>45588</v>
      </c>
      <c r="Q640" s="202"/>
      <c r="R640" s="202"/>
      <c r="S640" s="324"/>
      <c r="T640" s="324"/>
      <c r="U640" s="372" t="s">
        <v>2326</v>
      </c>
      <c r="V640" s="323"/>
    </row>
    <row r="641" spans="1:22" ht="16.350000000000001" hidden="1" customHeight="1">
      <c r="A641" s="29" t="str">
        <f t="shared" si="11"/>
        <v>lt003_entitygrp_emssns_scp2</v>
      </c>
      <c r="B641" s="141" t="s">
        <v>26</v>
      </c>
      <c r="C641" s="137" t="s">
        <v>26</v>
      </c>
      <c r="D641" s="133" t="s">
        <v>40</v>
      </c>
      <c r="E641" s="136" t="s">
        <v>335</v>
      </c>
      <c r="F641" s="480" t="s">
        <v>366</v>
      </c>
      <c r="G641" s="135" t="str">
        <f>VLOOKUP(A641,Plano_V3!$A$26:$G$769,7,0)</f>
        <v>1. Concluído</v>
      </c>
      <c r="H641" s="135" t="s">
        <v>612</v>
      </c>
      <c r="I641" s="473"/>
      <c r="J641" s="142"/>
      <c r="K641" s="142"/>
      <c r="L641" s="142"/>
      <c r="M641" s="152" t="str">
        <f>IF(VLOOKUP(A632,'Aux - pivots1'!$A:$E,3,0)=0, "",VLOOKUP(A632,'Aux - pivots1'!$A:$E,3,0))</f>
        <v/>
      </c>
      <c r="N641" s="152" t="str">
        <f>IF(VLOOKUP(A632,'Aux - pivots1'!$A:$E,4,0)=0, "",VLOOKUP(A632,'Aux - pivots1'!$A:$E,4,0))</f>
        <v/>
      </c>
      <c r="O641" s="152" t="str">
        <f>IF(VLOOKUP(A632,'Aux - pivots1'!$A:$E,5,0)=0, "",VLOOKUP(A632,'Aux - pivots1'!$A:$E,5,0))</f>
        <v/>
      </c>
      <c r="P641" s="202">
        <v>45588</v>
      </c>
      <c r="Q641" s="202"/>
      <c r="R641" s="202"/>
      <c r="S641" s="324"/>
      <c r="T641" s="324"/>
      <c r="U641" s="372" t="s">
        <v>2326</v>
      </c>
      <c r="V641" s="323"/>
    </row>
    <row r="642" spans="1:22" ht="16.350000000000001" hidden="1" customHeight="1">
      <c r="A642" s="29" t="str">
        <f t="shared" si="11"/>
        <v>lt003_entitygrp_emssns_scp3</v>
      </c>
      <c r="B642" s="141" t="s">
        <v>26</v>
      </c>
      <c r="C642" s="137" t="s">
        <v>26</v>
      </c>
      <c r="D642" s="133" t="s">
        <v>40</v>
      </c>
      <c r="E642" s="136" t="s">
        <v>335</v>
      </c>
      <c r="F642" s="480" t="s">
        <v>367</v>
      </c>
      <c r="G642" s="135" t="str">
        <f>VLOOKUP(A642,Plano_V3!$A$26:$G$769,7,0)</f>
        <v>1. Concluído</v>
      </c>
      <c r="H642" s="135" t="s">
        <v>612</v>
      </c>
      <c r="I642" s="473"/>
      <c r="J642" s="142"/>
      <c r="K642" s="142"/>
      <c r="L642" s="142"/>
      <c r="M642" s="152" t="str">
        <f>IF(VLOOKUP(A633,'Aux - pivots1'!$A:$E,3,0)=0, "",VLOOKUP(A633,'Aux - pivots1'!$A:$E,3,0))</f>
        <v/>
      </c>
      <c r="N642" s="152" t="str">
        <f>IF(VLOOKUP(A633,'Aux - pivots1'!$A:$E,4,0)=0, "",VLOOKUP(A633,'Aux - pivots1'!$A:$E,4,0))</f>
        <v/>
      </c>
      <c r="O642" s="152" t="str">
        <f>IF(VLOOKUP(A633,'Aux - pivots1'!$A:$E,5,0)=0, "",VLOOKUP(A633,'Aux - pivots1'!$A:$E,5,0))</f>
        <v/>
      </c>
      <c r="P642" s="202">
        <v>45588</v>
      </c>
      <c r="Q642" s="202"/>
      <c r="R642" s="202"/>
      <c r="S642" s="324"/>
      <c r="T642" s="324"/>
      <c r="U642" s="372" t="s">
        <v>2326</v>
      </c>
      <c r="V642" s="323"/>
    </row>
    <row r="643" spans="1:22" ht="16.350000000000001" hidden="1" customHeight="1">
      <c r="A643" s="29" t="str">
        <f t="shared" si="11"/>
        <v>lt004_protectiontyp_epc_lbl</v>
      </c>
      <c r="B643" s="141" t="s">
        <v>26</v>
      </c>
      <c r="C643" s="137" t="s">
        <v>26</v>
      </c>
      <c r="D643" s="133" t="s">
        <v>40</v>
      </c>
      <c r="E643" s="136" t="s">
        <v>368</v>
      </c>
      <c r="F643" s="480" t="s">
        <v>371</v>
      </c>
      <c r="G643" s="135" t="str">
        <f>VLOOKUP(A643,Plano_V3!$A$26:$G$769,7,0)</f>
        <v>1. Concluído</v>
      </c>
      <c r="H643" s="135" t="s">
        <v>612</v>
      </c>
      <c r="I643" s="473"/>
      <c r="J643" s="142"/>
      <c r="K643" s="142"/>
      <c r="L643" s="142" t="s">
        <v>2360</v>
      </c>
      <c r="M643" s="152" t="str">
        <f>IF(VLOOKUP(A634,'Aux - pivots1'!$A:$E,3,0)=0, "",VLOOKUP(A634,'Aux - pivots1'!$A:$E,3,0))</f>
        <v/>
      </c>
      <c r="N643" s="152" t="str">
        <f>IF(VLOOKUP(A634,'Aux - pivots1'!$A:$E,4,0)=0, "",VLOOKUP(A634,'Aux - pivots1'!$A:$E,4,0))</f>
        <v/>
      </c>
      <c r="O643" s="152" t="str">
        <f>IF(VLOOKUP(A634,'Aux - pivots1'!$A:$E,5,0)=0, "",VLOOKUP(A634,'Aux - pivots1'!$A:$E,5,0))</f>
        <v/>
      </c>
      <c r="P643" s="202"/>
      <c r="Q643" s="202"/>
      <c r="R643" s="202"/>
      <c r="S643" s="324"/>
      <c r="T643" s="324"/>
      <c r="U643" s="372" t="s">
        <v>2326</v>
      </c>
      <c r="V643" s="323"/>
    </row>
    <row r="644" spans="1:22" ht="16.350000000000001" hidden="1" customHeight="1">
      <c r="A644" s="29" t="str">
        <f t="shared" si="11"/>
        <v>lt004_protectionepc_lbl</v>
      </c>
      <c r="B644" s="141" t="s">
        <v>26</v>
      </c>
      <c r="C644" s="137" t="s">
        <v>26</v>
      </c>
      <c r="D644" s="133" t="s">
        <v>40</v>
      </c>
      <c r="E644" s="136" t="s">
        <v>368</v>
      </c>
      <c r="F644" s="480" t="s">
        <v>372</v>
      </c>
      <c r="G644" s="135" t="str">
        <f>VLOOKUP(A644,Plano_V3!$A$26:$G$769,7,0)</f>
        <v>1. Concluído</v>
      </c>
      <c r="H644" s="135" t="s">
        <v>612</v>
      </c>
      <c r="I644" s="473"/>
      <c r="J644" s="142"/>
      <c r="K644" s="142"/>
      <c r="L644" s="142" t="s">
        <v>2360</v>
      </c>
      <c r="M644" s="152" t="str">
        <f>IF(VLOOKUP(A635,'Aux - pivots1'!$A:$E,3,0)=0, "",VLOOKUP(A635,'Aux - pivots1'!$A:$E,3,0))</f>
        <v/>
      </c>
      <c r="N644" s="152" t="str">
        <f>IF(VLOOKUP(A635,'Aux - pivots1'!$A:$E,4,0)=0, "",VLOOKUP(A635,'Aux - pivots1'!$A:$E,4,0))</f>
        <v/>
      </c>
      <c r="O644" s="152" t="str">
        <f>IF(VLOOKUP(A635,'Aux - pivots1'!$A:$E,5,0)=0, "",VLOOKUP(A635,'Aux - pivots1'!$A:$E,5,0))</f>
        <v/>
      </c>
      <c r="P644" s="202"/>
      <c r="Q644" s="202"/>
      <c r="R644" s="202"/>
      <c r="S644" s="324"/>
      <c r="T644" s="324"/>
      <c r="U644" s="372" t="s">
        <v>2326</v>
      </c>
      <c r="V644" s="323"/>
    </row>
    <row r="645" spans="1:22" ht="16.350000000000001" hidden="1" customHeight="1">
      <c r="A645" s="29" t="str">
        <f t="shared" si="11"/>
        <v>lt004_protectionemssns_scp1_prtctn</v>
      </c>
      <c r="B645" s="141" t="s">
        <v>26</v>
      </c>
      <c r="C645" s="137" t="s">
        <v>26</v>
      </c>
      <c r="D645" s="133" t="s">
        <v>40</v>
      </c>
      <c r="E645" s="136" t="s">
        <v>368</v>
      </c>
      <c r="F645" s="480" t="s">
        <v>373</v>
      </c>
      <c r="G645" s="307" t="str">
        <f>VLOOKUP(A645,Plano_V3!$A$26:$G$769,7,0)</f>
        <v>1. Concluído</v>
      </c>
      <c r="H645" s="135" t="s">
        <v>612</v>
      </c>
      <c r="I645" s="473"/>
      <c r="J645" s="142"/>
      <c r="K645" s="142"/>
      <c r="L645" s="142" t="s">
        <v>2360</v>
      </c>
      <c r="M645" s="152" t="str">
        <f>IF(VLOOKUP(A636,'Aux - pivots1'!$A:$E,3,0)=0, "",VLOOKUP(A636,'Aux - pivots1'!$A:$E,3,0))</f>
        <v/>
      </c>
      <c r="N645" s="152" t="str">
        <f>IF(VLOOKUP(A636,'Aux - pivots1'!$A:$E,4,0)=0, "",VLOOKUP(A636,'Aux - pivots1'!$A:$E,4,0))</f>
        <v/>
      </c>
      <c r="O645" s="152" t="str">
        <f>IF(VLOOKUP(A636,'Aux - pivots1'!$A:$E,5,0)=0, "",VLOOKUP(A636,'Aux - pivots1'!$A:$E,5,0))</f>
        <v/>
      </c>
      <c r="P645" s="202"/>
      <c r="Q645" s="202"/>
      <c r="R645" s="202"/>
      <c r="S645" s="324"/>
      <c r="T645" s="324"/>
      <c r="U645" s="372" t="s">
        <v>2326</v>
      </c>
      <c r="V645" s="323"/>
    </row>
    <row r="646" spans="1:22" ht="16.350000000000001" hidden="1" customHeight="1">
      <c r="A646" s="29" t="str">
        <f t="shared" si="11"/>
        <v>lt004_protectionemssns_scp2_prtctn</v>
      </c>
      <c r="B646" s="141" t="s">
        <v>26</v>
      </c>
      <c r="C646" s="137" t="s">
        <v>26</v>
      </c>
      <c r="D646" s="133" t="s">
        <v>40</v>
      </c>
      <c r="E646" s="136" t="s">
        <v>368</v>
      </c>
      <c r="F646" s="480" t="s">
        <v>374</v>
      </c>
      <c r="G646" s="307" t="str">
        <f>VLOOKUP(A646,Plano_V3!$A$26:$G$769,7,0)</f>
        <v>1. Concluído</v>
      </c>
      <c r="H646" s="135" t="s">
        <v>612</v>
      </c>
      <c r="I646" s="473"/>
      <c r="J646" s="142"/>
      <c r="K646" s="142"/>
      <c r="L646" s="142" t="s">
        <v>2360</v>
      </c>
      <c r="M646" s="152" t="str">
        <f>IF(VLOOKUP(A637,'Aux - pivots1'!$A:$E,3,0)=0, "",VLOOKUP(A637,'Aux - pivots1'!$A:$E,3,0))</f>
        <v/>
      </c>
      <c r="N646" s="152" t="str">
        <f>IF(VLOOKUP(A637,'Aux - pivots1'!$A:$E,4,0)=0, "",VLOOKUP(A637,'Aux - pivots1'!$A:$E,4,0))</f>
        <v/>
      </c>
      <c r="O646" s="152" t="str">
        <f>IF(VLOOKUP(A637,'Aux - pivots1'!$A:$E,5,0)=0, "",VLOOKUP(A637,'Aux - pivots1'!$A:$E,5,0))</f>
        <v/>
      </c>
      <c r="P646" s="202"/>
      <c r="Q646" s="202"/>
      <c r="R646" s="202"/>
      <c r="S646" s="324"/>
      <c r="T646" s="324"/>
      <c r="U646" s="372" t="s">
        <v>2326</v>
      </c>
      <c r="V646" s="323"/>
    </row>
    <row r="647" spans="1:22" ht="16.350000000000001" hidden="1" customHeight="1">
      <c r="A647" s="29" t="str">
        <f t="shared" si="11"/>
        <v>lt004_protectionemssns_scp3_prtctn</v>
      </c>
      <c r="B647" s="141" t="s">
        <v>26</v>
      </c>
      <c r="C647" s="137" t="s">
        <v>26</v>
      </c>
      <c r="D647" s="133" t="s">
        <v>40</v>
      </c>
      <c r="E647" s="136" t="s">
        <v>368</v>
      </c>
      <c r="F647" s="480" t="s">
        <v>375</v>
      </c>
      <c r="G647" s="307" t="str">
        <f>VLOOKUP(A647,Plano_V3!$A$26:$G$769,7,0)</f>
        <v>1. Concluído</v>
      </c>
      <c r="H647" s="135" t="s">
        <v>612</v>
      </c>
      <c r="I647" s="473"/>
      <c r="J647" s="142"/>
      <c r="K647" s="142"/>
      <c r="L647" s="142" t="s">
        <v>2360</v>
      </c>
      <c r="M647" s="152" t="str">
        <f>IF(VLOOKUP(A638,'Aux - pivots1'!$A:$E,3,0)=0, "",VLOOKUP(A638,'Aux - pivots1'!$A:$E,3,0))</f>
        <v/>
      </c>
      <c r="N647" s="152" t="str">
        <f>IF(VLOOKUP(A638,'Aux - pivots1'!$A:$E,4,0)=0, "",VLOOKUP(A638,'Aux - pivots1'!$A:$E,4,0))</f>
        <v/>
      </c>
      <c r="O647" s="152" t="str">
        <f>IF(VLOOKUP(A638,'Aux - pivots1'!$A:$E,5,0)=0, "",VLOOKUP(A638,'Aux - pivots1'!$A:$E,5,0))</f>
        <v/>
      </c>
      <c r="P647" s="202"/>
      <c r="Q647" s="202"/>
      <c r="R647" s="202"/>
      <c r="S647" s="324"/>
      <c r="T647" s="324"/>
      <c r="U647" s="372" t="s">
        <v>2326</v>
      </c>
      <c r="V647" s="323"/>
    </row>
    <row r="648" spans="1:22" ht="16.350000000000001" hidden="1" customHeight="1">
      <c r="A648" s="29" t="str">
        <f t="shared" si="11"/>
        <v>lt004_protectionmthd_usd_prtctn_scp_1</v>
      </c>
      <c r="B648" s="141" t="s">
        <v>26</v>
      </c>
      <c r="C648" s="137" t="s">
        <v>26</v>
      </c>
      <c r="D648" s="133" t="s">
        <v>40</v>
      </c>
      <c r="E648" s="136" t="s">
        <v>368</v>
      </c>
      <c r="F648" s="480" t="s">
        <v>376</v>
      </c>
      <c r="G648" s="307" t="str">
        <f>VLOOKUP(A648,Plano_V3!$A$26:$G$769,7,0)</f>
        <v>1. Concluído</v>
      </c>
      <c r="H648" s="135" t="s">
        <v>612</v>
      </c>
      <c r="I648" s="473"/>
      <c r="J648" s="142"/>
      <c r="K648" s="142"/>
      <c r="L648" s="142" t="s">
        <v>2360</v>
      </c>
      <c r="M648" s="152" t="str">
        <f>IF(VLOOKUP(A639,'Aux - pivots1'!$A:$E,3,0)=0, "",VLOOKUP(A639,'Aux - pivots1'!$A:$E,3,0))</f>
        <v/>
      </c>
      <c r="N648" s="152" t="str">
        <f>IF(VLOOKUP(A639,'Aux - pivots1'!$A:$E,4,0)=0, "",VLOOKUP(A639,'Aux - pivots1'!$A:$E,4,0))</f>
        <v/>
      </c>
      <c r="O648" s="152" t="str">
        <f>IF(VLOOKUP(A639,'Aux - pivots1'!$A:$E,5,0)=0, "",VLOOKUP(A639,'Aux - pivots1'!$A:$E,5,0))</f>
        <v/>
      </c>
      <c r="P648" s="202"/>
      <c r="Q648" s="202"/>
      <c r="R648" s="202"/>
      <c r="S648" s="324"/>
      <c r="T648" s="324"/>
      <c r="U648" s="372" t="s">
        <v>2326</v>
      </c>
      <c r="V648" s="323"/>
    </row>
    <row r="649" spans="1:22" ht="16.350000000000001" hidden="1" customHeight="1">
      <c r="A649" s="29" t="str">
        <f t="shared" si="11"/>
        <v>lt004_protectionmthd_usd_prtctn_scp_2</v>
      </c>
      <c r="B649" s="141" t="s">
        <v>26</v>
      </c>
      <c r="C649" s="137" t="s">
        <v>26</v>
      </c>
      <c r="D649" s="133" t="s">
        <v>40</v>
      </c>
      <c r="E649" s="136" t="s">
        <v>368</v>
      </c>
      <c r="F649" s="480" t="s">
        <v>377</v>
      </c>
      <c r="G649" s="307" t="str">
        <f>VLOOKUP(A649,Plano_V3!$A$26:$G$769,7,0)</f>
        <v>1. Concluído</v>
      </c>
      <c r="H649" s="135" t="s">
        <v>612</v>
      </c>
      <c r="I649" s="473"/>
      <c r="J649" s="142"/>
      <c r="K649" s="142"/>
      <c r="L649" s="142" t="s">
        <v>2360</v>
      </c>
      <c r="M649" s="152" t="str">
        <f>IF(VLOOKUP(A640,'Aux - pivots1'!$A:$E,3,0)=0, "",VLOOKUP(A640,'Aux - pivots1'!$A:$E,3,0))</f>
        <v/>
      </c>
      <c r="N649" s="152" t="str">
        <f>IF(VLOOKUP(A640,'Aux - pivots1'!$A:$E,4,0)=0, "",VLOOKUP(A640,'Aux - pivots1'!$A:$E,4,0))</f>
        <v/>
      </c>
      <c r="O649" s="152" t="str">
        <f>IF(VLOOKUP(A640,'Aux - pivots1'!$A:$E,5,0)=0, "",VLOOKUP(A640,'Aux - pivots1'!$A:$E,5,0))</f>
        <v/>
      </c>
      <c r="P649" s="202"/>
      <c r="Q649" s="202"/>
      <c r="R649" s="202"/>
      <c r="S649" s="324"/>
      <c r="T649" s="324"/>
      <c r="U649" s="372" t="s">
        <v>2326</v>
      </c>
      <c r="V649" s="323"/>
    </row>
    <row r="650" spans="1:22" ht="16.350000000000001" hidden="1" customHeight="1">
      <c r="A650" s="29" t="str">
        <f t="shared" si="11"/>
        <v>lt004_protectionmthd_usd_prtctn_scp_3</v>
      </c>
      <c r="B650" s="141" t="s">
        <v>26</v>
      </c>
      <c r="C650" s="137" t="s">
        <v>26</v>
      </c>
      <c r="D650" s="133" t="s">
        <v>40</v>
      </c>
      <c r="E650" s="136" t="s">
        <v>368</v>
      </c>
      <c r="F650" s="480" t="s">
        <v>378</v>
      </c>
      <c r="G650" s="307" t="str">
        <f>VLOOKUP(A650,Plano_V3!$A$26:$G$769,7,0)</f>
        <v>1. Concluído</v>
      </c>
      <c r="H650" s="135" t="s">
        <v>612</v>
      </c>
      <c r="I650" s="473"/>
      <c r="J650" s="142"/>
      <c r="K650" s="142"/>
      <c r="L650" s="142" t="s">
        <v>2360</v>
      </c>
      <c r="M650" s="152" t="str">
        <f>IF(VLOOKUP(A641,'Aux - pivots1'!$A:$E,3,0)=0, "",VLOOKUP(A641,'Aux - pivots1'!$A:$E,3,0))</f>
        <v/>
      </c>
      <c r="N650" s="152" t="str">
        <f>IF(VLOOKUP(A641,'Aux - pivots1'!$A:$E,4,0)=0, "",VLOOKUP(A641,'Aux - pivots1'!$A:$E,4,0))</f>
        <v/>
      </c>
      <c r="O650" s="152" t="str">
        <f>IF(VLOOKUP(A641,'Aux - pivots1'!$A:$E,5,0)=0, "",VLOOKUP(A641,'Aux - pivots1'!$A:$E,5,0))</f>
        <v/>
      </c>
      <c r="P650" s="202"/>
      <c r="Q650" s="202"/>
      <c r="R650" s="202"/>
      <c r="S650" s="324"/>
      <c r="T650" s="324"/>
      <c r="U650" s="372" t="s">
        <v>2326</v>
      </c>
      <c r="V650" s="323"/>
    </row>
    <row r="651" spans="1:22" ht="16.350000000000001" hidden="1" customHeight="1">
      <c r="A651" s="29" t="str">
        <f t="shared" si="11"/>
        <v>lt002_instrumentrsk_mtgtd_cct</v>
      </c>
      <c r="B651" s="141" t="s">
        <v>26</v>
      </c>
      <c r="C651" s="137" t="s">
        <v>26</v>
      </c>
      <c r="D651" s="133" t="s">
        <v>40</v>
      </c>
      <c r="E651" s="136" t="s">
        <v>379</v>
      </c>
      <c r="F651" s="480" t="s">
        <v>380</v>
      </c>
      <c r="G651" s="489" t="str">
        <f>VLOOKUP(A651,Plano_V3!$A$26:$G$769,7,0)</f>
        <v>1. Concluído</v>
      </c>
      <c r="H651" s="135" t="s">
        <v>612</v>
      </c>
      <c r="I651" s="473"/>
      <c r="J651" s="142"/>
      <c r="K651" s="142"/>
      <c r="L651" s="142"/>
      <c r="M651" s="152" t="str">
        <f>IF(VLOOKUP(A642,'Aux - pivots1'!$A:$E,3,0)=0, "",VLOOKUP(A642,'Aux - pivots1'!$A:$E,3,0))</f>
        <v/>
      </c>
      <c r="N651" s="152" t="str">
        <f>IF(VLOOKUP(A642,'Aux - pivots1'!$A:$E,4,0)=0, "",VLOOKUP(A642,'Aux - pivots1'!$A:$E,4,0))</f>
        <v/>
      </c>
      <c r="O651" s="152" t="str">
        <f>IF(VLOOKUP(A642,'Aux - pivots1'!$A:$E,5,0)=0, "",VLOOKUP(A642,'Aux - pivots1'!$A:$E,5,0))</f>
        <v/>
      </c>
      <c r="P651" s="202">
        <v>45595</v>
      </c>
      <c r="Q651" s="202"/>
      <c r="R651" s="202"/>
      <c r="S651" s="324"/>
      <c r="T651" s="324"/>
      <c r="U651" s="372" t="s">
        <v>2326</v>
      </c>
      <c r="V651" s="323"/>
    </row>
    <row r="652" spans="1:22" ht="16.350000000000001" hidden="1" customHeight="1">
      <c r="A652" s="29" t="str">
        <f t="shared" si="11"/>
        <v>lt007_instr_activityenvrnmntl_objctv</v>
      </c>
      <c r="B652" s="141" t="s">
        <v>26</v>
      </c>
      <c r="C652" s="137" t="s">
        <v>26</v>
      </c>
      <c r="D652" s="133" t="s">
        <v>40</v>
      </c>
      <c r="E652" s="136" t="s">
        <v>1865</v>
      </c>
      <c r="F652" s="480" t="s">
        <v>382</v>
      </c>
      <c r="G652" s="489" t="str">
        <f>VLOOKUP(A652,Plano_V3!$A$26:$G$769,7,0)</f>
        <v>1. Concluído</v>
      </c>
      <c r="H652" s="135" t="s">
        <v>612</v>
      </c>
      <c r="I652" s="473"/>
      <c r="J652" s="142"/>
      <c r="K652" s="142"/>
      <c r="L652" s="142"/>
      <c r="M652" s="152" t="str">
        <f>IF(VLOOKUP(A643,'Aux - pivots1'!$A:$E,3,0)=0, "",VLOOKUP(A643,'Aux - pivots1'!$A:$E,3,0))</f>
        <v/>
      </c>
      <c r="N652" s="152" t="str">
        <f>IF(VLOOKUP(A643,'Aux - pivots1'!$A:$E,4,0)=0, "",VLOOKUP(A643,'Aux - pivots1'!$A:$E,4,0))</f>
        <v/>
      </c>
      <c r="O652" s="152" t="str">
        <f>IF(VLOOKUP(A643,'Aux - pivots1'!$A:$E,5,0)=0, "",VLOOKUP(A643,'Aux - pivots1'!$A:$E,5,0))</f>
        <v/>
      </c>
      <c r="P652" s="202">
        <v>45593</v>
      </c>
      <c r="Q652" s="202"/>
      <c r="R652" s="202"/>
      <c r="S652" s="324"/>
      <c r="T652" s="324"/>
      <c r="U652" s="372" t="s">
        <v>2326</v>
      </c>
      <c r="V652" s="323" t="s">
        <v>2318</v>
      </c>
    </row>
    <row r="653" spans="1:22" ht="16.350000000000001" hidden="1" customHeight="1">
      <c r="A653" s="29" t="str">
        <f t="shared" ref="A653:A716" si="12">E653&amp;F653</f>
        <v>lt007_instr_activitytyp_actvty</v>
      </c>
      <c r="B653" s="141" t="s">
        <v>26</v>
      </c>
      <c r="C653" s="137" t="s">
        <v>26</v>
      </c>
      <c r="D653" s="133" t="s">
        <v>40</v>
      </c>
      <c r="E653" s="136" t="s">
        <v>1865</v>
      </c>
      <c r="F653" s="480" t="s">
        <v>383</v>
      </c>
      <c r="G653" s="489" t="str">
        <f>VLOOKUP(A653,Plano_V3!$A$26:$G$769,7,0)</f>
        <v>1. Concluído</v>
      </c>
      <c r="H653" s="135" t="s">
        <v>612</v>
      </c>
      <c r="I653" s="473"/>
      <c r="J653" s="142"/>
      <c r="K653" s="142"/>
      <c r="L653" s="142"/>
      <c r="M653" s="152" t="str">
        <f>IF(VLOOKUP(A644,'Aux - pivots1'!$A:$E,3,0)=0, "",VLOOKUP(A644,'Aux - pivots1'!$A:$E,3,0))</f>
        <v/>
      </c>
      <c r="N653" s="152" t="str">
        <f>IF(VLOOKUP(A644,'Aux - pivots1'!$A:$E,4,0)=0, "",VLOOKUP(A644,'Aux - pivots1'!$A:$E,4,0))</f>
        <v/>
      </c>
      <c r="O653" s="152" t="str">
        <f>IF(VLOOKUP(A644,'Aux - pivots1'!$A:$E,5,0)=0, "",VLOOKUP(A644,'Aux - pivots1'!$A:$E,5,0))</f>
        <v/>
      </c>
      <c r="P653" s="202">
        <v>45593</v>
      </c>
      <c r="Q653" s="202"/>
      <c r="R653" s="202"/>
      <c r="S653" s="324"/>
      <c r="T653" s="324"/>
      <c r="U653" s="372" t="s">
        <v>2326</v>
      </c>
      <c r="V653" s="323" t="s">
        <v>2318</v>
      </c>
    </row>
    <row r="654" spans="1:22" ht="16.350000000000001" hidden="1" customHeight="1">
      <c r="A654" s="29" t="str">
        <f t="shared" si="12"/>
        <v>lt002_instrumentlns_clltrlzd_clssfctn</v>
      </c>
      <c r="B654" s="141" t="s">
        <v>26</v>
      </c>
      <c r="C654" s="137" t="s">
        <v>26</v>
      </c>
      <c r="D654" s="133" t="s">
        <v>40</v>
      </c>
      <c r="E654" s="136" t="s">
        <v>379</v>
      </c>
      <c r="F654" s="480" t="s">
        <v>384</v>
      </c>
      <c r="G654" s="489" t="str">
        <f>VLOOKUP(A654,Plano_V3!$A$26:$G$769,7,0)</f>
        <v>1. Concluído</v>
      </c>
      <c r="H654" s="135" t="s">
        <v>612</v>
      </c>
      <c r="I654" s="473"/>
      <c r="J654" s="142"/>
      <c r="K654" s="142"/>
      <c r="L654" s="142"/>
      <c r="M654" s="152" t="str">
        <f>IF(VLOOKUP(A645,'Aux - pivots1'!$A:$E,3,0)=0, "",VLOOKUP(A645,'Aux - pivots1'!$A:$E,3,0))</f>
        <v/>
      </c>
      <c r="N654" s="152" t="str">
        <f>IF(VLOOKUP(A645,'Aux - pivots1'!$A:$E,4,0)=0, "",VLOOKUP(A645,'Aux - pivots1'!$A:$E,4,0))</f>
        <v/>
      </c>
      <c r="O654" s="152" t="str">
        <f>IF(VLOOKUP(A645,'Aux - pivots1'!$A:$E,5,0)=0, "",VLOOKUP(A645,'Aux - pivots1'!$A:$E,5,0))</f>
        <v/>
      </c>
      <c r="P654" s="202"/>
      <c r="Q654" s="202"/>
      <c r="R654" s="202"/>
      <c r="S654" s="324"/>
      <c r="T654" s="324"/>
      <c r="U654" s="372" t="s">
        <v>2326</v>
      </c>
      <c r="V654" s="323"/>
    </row>
    <row r="655" spans="1:22" ht="16.350000000000001" hidden="1" customHeight="1">
      <c r="A655" s="29" t="str">
        <f t="shared" si="12"/>
        <v>lt002_instrumentsstnbl_ctgry_txnmy</v>
      </c>
      <c r="B655" s="141" t="s">
        <v>26</v>
      </c>
      <c r="C655" s="137" t="s">
        <v>26</v>
      </c>
      <c r="D655" s="133" t="s">
        <v>40</v>
      </c>
      <c r="E655" s="136" t="s">
        <v>379</v>
      </c>
      <c r="F655" s="480" t="s">
        <v>388</v>
      </c>
      <c r="G655" s="489" t="str">
        <f>VLOOKUP(A655,Plano_V3!$A$26:$G$769,7,0)</f>
        <v>1. Concluído</v>
      </c>
      <c r="H655" s="135" t="s">
        <v>612</v>
      </c>
      <c r="I655" s="473"/>
      <c r="J655" s="142"/>
      <c r="K655" s="142"/>
      <c r="L655" s="142"/>
      <c r="M655" s="152" t="str">
        <f>IF(VLOOKUP(A646,'Aux - pivots1'!$A:$E,3,0)=0, "",VLOOKUP(A646,'Aux - pivots1'!$A:$E,3,0))</f>
        <v/>
      </c>
      <c r="N655" s="152" t="str">
        <f>IF(VLOOKUP(A646,'Aux - pivots1'!$A:$E,4,0)=0, "",VLOOKUP(A646,'Aux - pivots1'!$A:$E,4,0))</f>
        <v/>
      </c>
      <c r="O655" s="152" t="str">
        <f>IF(VLOOKUP(A646,'Aux - pivots1'!$A:$E,5,0)=0, "",VLOOKUP(A646,'Aux - pivots1'!$A:$E,5,0))</f>
        <v/>
      </c>
      <c r="P655" s="202">
        <v>45593</v>
      </c>
      <c r="Q655" s="202"/>
      <c r="R655" s="202"/>
      <c r="S655" s="324"/>
      <c r="T655" s="324"/>
      <c r="U655" s="372" t="s">
        <v>2326</v>
      </c>
      <c r="V655" s="323"/>
    </row>
    <row r="656" spans="1:22" ht="16.350000000000001" hidden="1" customHeight="1">
      <c r="A656" s="29" t="str">
        <f t="shared" si="12"/>
        <v>lt827_mthd_usd_instrmntambito</v>
      </c>
      <c r="B656" s="141" t="s">
        <v>26</v>
      </c>
      <c r="C656" s="137" t="s">
        <v>26</v>
      </c>
      <c r="D656" s="133" t="s">
        <v>40</v>
      </c>
      <c r="E656" s="136" t="s">
        <v>1866</v>
      </c>
      <c r="F656" s="480" t="s">
        <v>390</v>
      </c>
      <c r="G656" s="489" t="str">
        <f>VLOOKUP(A656,Plano_V3!$A$26:$G$769,7,0)</f>
        <v>1. Concluído</v>
      </c>
      <c r="H656" s="135" t="s">
        <v>612</v>
      </c>
      <c r="I656" s="473"/>
      <c r="J656" s="142"/>
      <c r="K656" s="142"/>
      <c r="L656" s="142"/>
      <c r="M656" s="152" t="str">
        <f>IF(VLOOKUP(A647,'Aux - pivots1'!$A:$E,3,0)=0, "",VLOOKUP(A647,'Aux - pivots1'!$A:$E,3,0))</f>
        <v/>
      </c>
      <c r="N656" s="152" t="str">
        <f>IF(VLOOKUP(A647,'Aux - pivots1'!$A:$E,4,0)=0, "",VLOOKUP(A647,'Aux - pivots1'!$A:$E,4,0))</f>
        <v/>
      </c>
      <c r="O656" s="152" t="str">
        <f>IF(VLOOKUP(A647,'Aux - pivots1'!$A:$E,5,0)=0, "",VLOOKUP(A647,'Aux - pivots1'!$A:$E,5,0))</f>
        <v/>
      </c>
      <c r="P656" s="202">
        <v>45593</v>
      </c>
      <c r="Q656" s="202"/>
      <c r="R656" s="202"/>
      <c r="S656" s="324"/>
      <c r="T656" s="324"/>
      <c r="U656" s="372" t="s">
        <v>2326</v>
      </c>
      <c r="V656" s="323"/>
    </row>
    <row r="657" spans="1:22" ht="16.5" hidden="1" customHeight="1">
      <c r="A657" s="29" t="str">
        <f t="shared" si="12"/>
        <v>lt827_mthd_usd_instrmntref_date</v>
      </c>
      <c r="B657" s="141" t="s">
        <v>26</v>
      </c>
      <c r="C657" s="137" t="s">
        <v>26</v>
      </c>
      <c r="D657" s="133" t="s">
        <v>40</v>
      </c>
      <c r="E657" s="136" t="s">
        <v>1866</v>
      </c>
      <c r="F657" s="480" t="s">
        <v>208</v>
      </c>
      <c r="G657" s="489" t="str">
        <f>VLOOKUP(A657,Plano_V3!$A$26:$G$769,7,0)</f>
        <v>1. Concluído</v>
      </c>
      <c r="H657" s="135" t="s">
        <v>612</v>
      </c>
      <c r="I657" s="473"/>
      <c r="J657" s="142"/>
      <c r="K657" s="142"/>
      <c r="L657" s="142"/>
      <c r="M657" s="152" t="str">
        <f>IF(VLOOKUP(A648,'Aux - pivots1'!$A:$E,3,0)=0, "",VLOOKUP(A648,'Aux - pivots1'!$A:$E,3,0))</f>
        <v/>
      </c>
      <c r="N657" s="152" t="str">
        <f>IF(VLOOKUP(A648,'Aux - pivots1'!$A:$E,4,0)=0, "",VLOOKUP(A648,'Aux - pivots1'!$A:$E,4,0))</f>
        <v/>
      </c>
      <c r="O657" s="152" t="str">
        <f>IF(VLOOKUP(A648,'Aux - pivots1'!$A:$E,5,0)=0, "",VLOOKUP(A648,'Aux - pivots1'!$A:$E,5,0))</f>
        <v/>
      </c>
      <c r="P657" s="202">
        <v>45593</v>
      </c>
      <c r="Q657" s="202"/>
      <c r="R657" s="202"/>
      <c r="S657" s="324"/>
      <c r="T657" s="324"/>
      <c r="U657" s="372" t="s">
        <v>2326</v>
      </c>
      <c r="V657" s="323"/>
    </row>
    <row r="658" spans="1:22" ht="16.5" hidden="1" customHeight="1">
      <c r="A658" s="29" t="str">
        <f t="shared" si="12"/>
        <v>lt827_mthd_usd_instrmntordem</v>
      </c>
      <c r="B658" s="141" t="s">
        <v>26</v>
      </c>
      <c r="C658" s="137" t="s">
        <v>26</v>
      </c>
      <c r="D658" s="133" t="s">
        <v>40</v>
      </c>
      <c r="E658" s="136" t="s">
        <v>1866</v>
      </c>
      <c r="F658" s="480" t="s">
        <v>211</v>
      </c>
      <c r="G658" s="135" t="str">
        <f>VLOOKUP(A658,Plano_V3!$A$26:$G$769,7,0)</f>
        <v>1. Concluído</v>
      </c>
      <c r="H658" s="135" t="s">
        <v>612</v>
      </c>
      <c r="I658" s="473"/>
      <c r="J658" s="142"/>
      <c r="K658" s="142"/>
      <c r="L658" s="142"/>
      <c r="M658" s="152" t="str">
        <f>IF(VLOOKUP(A649,'Aux - pivots1'!$A:$E,3,0)=0, "",VLOOKUP(A649,'Aux - pivots1'!$A:$E,3,0))</f>
        <v/>
      </c>
      <c r="N658" s="152" t="str">
        <f>IF(VLOOKUP(A649,'Aux - pivots1'!$A:$E,4,0)=0, "",VLOOKUP(A649,'Aux - pivots1'!$A:$E,4,0))</f>
        <v/>
      </c>
      <c r="O658" s="152" t="str">
        <f>IF(VLOOKUP(A649,'Aux - pivots1'!$A:$E,5,0)=0, "",VLOOKUP(A649,'Aux - pivots1'!$A:$E,5,0))</f>
        <v/>
      </c>
      <c r="P658" s="202">
        <v>45593</v>
      </c>
      <c r="Q658" s="202"/>
      <c r="R658" s="202"/>
      <c r="S658" s="324"/>
      <c r="T658" s="324"/>
      <c r="U658" s="372" t="s">
        <v>2326</v>
      </c>
      <c r="V658" s="323"/>
    </row>
    <row r="659" spans="1:22" ht="16.350000000000001" hidden="1" customHeight="1">
      <c r="A659" s="29" t="str">
        <f t="shared" si="12"/>
        <v>lt827_mthd_usd_instrmnttabela</v>
      </c>
      <c r="B659" s="141" t="s">
        <v>26</v>
      </c>
      <c r="C659" s="137" t="s">
        <v>26</v>
      </c>
      <c r="D659" s="133" t="s">
        <v>40</v>
      </c>
      <c r="E659" s="136" t="s">
        <v>1866</v>
      </c>
      <c r="F659" s="480" t="s">
        <v>391</v>
      </c>
      <c r="G659" s="135" t="str">
        <f>VLOOKUP(A659,Plano_V3!$A$26:$G$769,7,0)</f>
        <v>1. Concluído</v>
      </c>
      <c r="H659" s="135" t="s">
        <v>612</v>
      </c>
      <c r="I659" s="473"/>
      <c r="J659" s="142"/>
      <c r="K659" s="142"/>
      <c r="L659" s="142"/>
      <c r="M659" s="152" t="str">
        <f>IF(VLOOKUP(A650,'Aux - pivots1'!$A:$E,3,0)=0, "",VLOOKUP(A650,'Aux - pivots1'!$A:$E,3,0))</f>
        <v/>
      </c>
      <c r="N659" s="152" t="str">
        <f>IF(VLOOKUP(A650,'Aux - pivots1'!$A:$E,4,0)=0, "",VLOOKUP(A650,'Aux - pivots1'!$A:$E,4,0))</f>
        <v/>
      </c>
      <c r="O659" s="152" t="str">
        <f>IF(VLOOKUP(A650,'Aux - pivots1'!$A:$E,5,0)=0, "",VLOOKUP(A650,'Aux - pivots1'!$A:$E,5,0))</f>
        <v/>
      </c>
      <c r="P659" s="202">
        <v>45593</v>
      </c>
      <c r="Q659" s="202"/>
      <c r="R659" s="202"/>
      <c r="S659" s="324"/>
      <c r="T659" s="324"/>
      <c r="U659" s="372" t="s">
        <v>2326</v>
      </c>
      <c r="V659" s="323"/>
    </row>
    <row r="660" spans="1:22" ht="16.350000000000001" hidden="1" customHeight="1">
      <c r="A660" s="29" t="str">
        <f t="shared" si="12"/>
        <v>lt827_mthd_usd_instrmntorigem_scp1_emss</v>
      </c>
      <c r="B660" s="141" t="s">
        <v>26</v>
      </c>
      <c r="C660" s="137" t="s">
        <v>26</v>
      </c>
      <c r="D660" s="133" t="s">
        <v>40</v>
      </c>
      <c r="E660" s="136" t="s">
        <v>1866</v>
      </c>
      <c r="F660" s="480" t="s">
        <v>319</v>
      </c>
      <c r="G660" s="135" t="str">
        <f>VLOOKUP(A660,Plano_V3!$A$26:$G$769,7,0)</f>
        <v>1. Concluído</v>
      </c>
      <c r="H660" s="135" t="s">
        <v>612</v>
      </c>
      <c r="I660" s="473"/>
      <c r="J660" s="142"/>
      <c r="K660" s="142"/>
      <c r="L660" s="142"/>
      <c r="M660" s="152" t="str">
        <f>IF(VLOOKUP(A651,'Aux - pivots1'!$A:$E,3,0)=0, "",VLOOKUP(A651,'Aux - pivots1'!$A:$E,3,0))</f>
        <v/>
      </c>
      <c r="N660" s="152" t="str">
        <f>IF(VLOOKUP(A651,'Aux - pivots1'!$A:$E,4,0)=0, "",VLOOKUP(A651,'Aux - pivots1'!$A:$E,4,0))</f>
        <v/>
      </c>
      <c r="O660" s="152" t="str">
        <f>IF(VLOOKUP(A651,'Aux - pivots1'!$A:$E,5,0)=0, "",VLOOKUP(A651,'Aux - pivots1'!$A:$E,5,0))</f>
        <v/>
      </c>
      <c r="P660" s="202">
        <v>45593</v>
      </c>
      <c r="Q660" s="202"/>
      <c r="R660" s="202"/>
      <c r="S660" s="324"/>
      <c r="T660" s="324"/>
      <c r="U660" s="372" t="s">
        <v>2326</v>
      </c>
      <c r="V660" s="323"/>
    </row>
    <row r="661" spans="1:22" ht="16.350000000000001" hidden="1" customHeight="1">
      <c r="A661" s="29" t="str">
        <f t="shared" si="12"/>
        <v>lt827_mthd_usd_instrmntorigem_scp2_emss</v>
      </c>
      <c r="B661" s="141" t="s">
        <v>26</v>
      </c>
      <c r="C661" s="137" t="s">
        <v>26</v>
      </c>
      <c r="D661" s="133" t="s">
        <v>40</v>
      </c>
      <c r="E661" s="136" t="s">
        <v>1866</v>
      </c>
      <c r="F661" s="480" t="s">
        <v>320</v>
      </c>
      <c r="G661" s="135" t="str">
        <f>VLOOKUP(A661,Plano_V3!$A$26:$G$769,7,0)</f>
        <v>1. Concluído</v>
      </c>
      <c r="H661" s="135" t="s">
        <v>612</v>
      </c>
      <c r="I661" s="473"/>
      <c r="J661" s="142"/>
      <c r="K661" s="142"/>
      <c r="L661" s="142"/>
      <c r="M661" s="152" t="str">
        <f>IF(VLOOKUP(A652,'Aux - pivots1'!$A:$E,3,0)=0, "",VLOOKUP(A652,'Aux - pivots1'!$A:$E,3,0))</f>
        <v/>
      </c>
      <c r="N661" s="152" t="str">
        <f>IF(VLOOKUP(A652,'Aux - pivots1'!$A:$E,4,0)=0, "",VLOOKUP(A652,'Aux - pivots1'!$A:$E,4,0))</f>
        <v/>
      </c>
      <c r="O661" s="152" t="str">
        <f>IF(VLOOKUP(A652,'Aux - pivots1'!$A:$E,5,0)=0, "",VLOOKUP(A652,'Aux - pivots1'!$A:$E,5,0))</f>
        <v/>
      </c>
      <c r="P661" s="202">
        <v>45593</v>
      </c>
      <c r="Q661" s="202"/>
      <c r="R661" s="202"/>
      <c r="S661" s="324"/>
      <c r="T661" s="324"/>
      <c r="U661" s="372" t="s">
        <v>2326</v>
      </c>
      <c r="V661" s="323"/>
    </row>
    <row r="662" spans="1:22" ht="16.350000000000001" hidden="1" customHeight="1">
      <c r="A662" s="29" t="str">
        <f t="shared" si="12"/>
        <v>lt827_mthd_usd_instrmntorigem_scp3_emss</v>
      </c>
      <c r="B662" s="141" t="s">
        <v>26</v>
      </c>
      <c r="C662" s="137" t="s">
        <v>26</v>
      </c>
      <c r="D662" s="133" t="s">
        <v>40</v>
      </c>
      <c r="E662" s="136" t="s">
        <v>1866</v>
      </c>
      <c r="F662" s="480" t="s">
        <v>321</v>
      </c>
      <c r="G662" s="135" t="str">
        <f>VLOOKUP(A662,Plano_V3!$A$26:$G$769,7,0)</f>
        <v>1. Concluído</v>
      </c>
      <c r="H662" s="135" t="s">
        <v>612</v>
      </c>
      <c r="I662" s="473"/>
      <c r="J662" s="142"/>
      <c r="K662" s="142"/>
      <c r="L662" s="142"/>
      <c r="M662" s="152" t="str">
        <f>IF(VLOOKUP(A653,'Aux - pivots1'!$A:$E,3,0)=0, "",VLOOKUP(A653,'Aux - pivots1'!$A:$E,3,0))</f>
        <v/>
      </c>
      <c r="N662" s="152" t="str">
        <f>IF(VLOOKUP(A653,'Aux - pivots1'!$A:$E,4,0)=0, "",VLOOKUP(A653,'Aux - pivots1'!$A:$E,4,0))</f>
        <v/>
      </c>
      <c r="O662" s="152" t="str">
        <f>IF(VLOOKUP(A653,'Aux - pivots1'!$A:$E,5,0)=0, "",VLOOKUP(A653,'Aux - pivots1'!$A:$E,5,0))</f>
        <v/>
      </c>
      <c r="P662" s="202">
        <v>45593</v>
      </c>
      <c r="Q662" s="202"/>
      <c r="R662" s="202"/>
      <c r="S662" s="324"/>
      <c r="T662" s="324"/>
      <c r="U662" s="372" t="s">
        <v>2326</v>
      </c>
      <c r="V662" s="323"/>
    </row>
    <row r="663" spans="1:22" ht="16.350000000000001" hidden="1" customHeight="1">
      <c r="A663" s="29" t="str">
        <f t="shared" si="12"/>
        <v>lt827_mthd_usd_instrmntmthd_usd_instrmnt_scp_1</v>
      </c>
      <c r="B663" s="141" t="s">
        <v>26</v>
      </c>
      <c r="C663" s="137" t="s">
        <v>26</v>
      </c>
      <c r="D663" s="133" t="s">
        <v>40</v>
      </c>
      <c r="E663" s="136" t="s">
        <v>1866</v>
      </c>
      <c r="F663" s="480" t="s">
        <v>385</v>
      </c>
      <c r="G663" s="135" t="str">
        <f>VLOOKUP(A663,Plano_V3!$A$26:$G$769,7,0)</f>
        <v>1. Concluído</v>
      </c>
      <c r="H663" s="135" t="s">
        <v>612</v>
      </c>
      <c r="I663" s="473"/>
      <c r="J663" s="142"/>
      <c r="K663" s="142"/>
      <c r="L663" s="142"/>
      <c r="M663" s="152" t="str">
        <f>IF(VLOOKUP(A654,'Aux - pivots1'!$A:$E,3,0)=0, "",VLOOKUP(A654,'Aux - pivots1'!$A:$E,3,0))</f>
        <v/>
      </c>
      <c r="N663" s="152" t="str">
        <f>IF(VLOOKUP(A654,'Aux - pivots1'!$A:$E,4,0)=0, "",VLOOKUP(A654,'Aux - pivots1'!$A:$E,4,0))</f>
        <v/>
      </c>
      <c r="O663" s="152" t="str">
        <f>IF(VLOOKUP(A654,'Aux - pivots1'!$A:$E,5,0)=0, "",VLOOKUP(A654,'Aux - pivots1'!$A:$E,5,0))</f>
        <v/>
      </c>
      <c r="P663" s="202">
        <v>45593</v>
      </c>
      <c r="Q663" s="202"/>
      <c r="R663" s="202"/>
      <c r="S663" s="324"/>
      <c r="T663" s="324"/>
      <c r="U663" s="372" t="s">
        <v>2326</v>
      </c>
      <c r="V663" s="323"/>
    </row>
    <row r="664" spans="1:22" ht="16.350000000000001" hidden="1" customHeight="1">
      <c r="A664" s="29" t="str">
        <f t="shared" si="12"/>
        <v>lt827_mthd_usd_instrmntmthd_usd_instrmnt_scp_2</v>
      </c>
      <c r="B664" s="141" t="s">
        <v>26</v>
      </c>
      <c r="C664" s="137" t="s">
        <v>26</v>
      </c>
      <c r="D664" s="133" t="s">
        <v>40</v>
      </c>
      <c r="E664" s="136" t="s">
        <v>1866</v>
      </c>
      <c r="F664" s="480" t="s">
        <v>386</v>
      </c>
      <c r="G664" s="135" t="str">
        <f>VLOOKUP(A664,Plano_V3!$A$26:$G$769,7,0)</f>
        <v>1. Concluído</v>
      </c>
      <c r="H664" s="135" t="s">
        <v>612</v>
      </c>
      <c r="I664" s="473"/>
      <c r="J664" s="142"/>
      <c r="K664" s="142"/>
      <c r="L664" s="142"/>
      <c r="M664" s="152" t="str">
        <f>IF(VLOOKUP(A655,'Aux - pivots1'!$A:$E,3,0)=0, "",VLOOKUP(A655,'Aux - pivots1'!$A:$E,3,0))</f>
        <v/>
      </c>
      <c r="N664" s="152" t="str">
        <f>IF(VLOOKUP(A655,'Aux - pivots1'!$A:$E,4,0)=0, "",VLOOKUP(A655,'Aux - pivots1'!$A:$E,4,0))</f>
        <v/>
      </c>
      <c r="O664" s="152" t="str">
        <f>IF(VLOOKUP(A655,'Aux - pivots1'!$A:$E,5,0)=0, "",VLOOKUP(A655,'Aux - pivots1'!$A:$E,5,0))</f>
        <v/>
      </c>
      <c r="P664" s="202">
        <v>45593</v>
      </c>
      <c r="Q664" s="202"/>
      <c r="R664" s="202"/>
      <c r="S664" s="324"/>
      <c r="T664" s="324"/>
      <c r="U664" s="372" t="s">
        <v>2326</v>
      </c>
      <c r="V664" s="323"/>
    </row>
    <row r="665" spans="1:22" ht="16.350000000000001" hidden="1" customHeight="1">
      <c r="A665" s="29" t="str">
        <f t="shared" si="12"/>
        <v>lt827_mthd_usd_instrmntmthd_usd_instrmnt_scp_3</v>
      </c>
      <c r="B665" s="141" t="s">
        <v>26</v>
      </c>
      <c r="C665" s="137" t="s">
        <v>26</v>
      </c>
      <c r="D665" s="133" t="s">
        <v>40</v>
      </c>
      <c r="E665" s="136" t="s">
        <v>1866</v>
      </c>
      <c r="F665" s="480" t="s">
        <v>387</v>
      </c>
      <c r="G665" s="135" t="str">
        <f>VLOOKUP(A665,Plano_V3!$A$26:$G$769,7,0)</f>
        <v>1. Concluído</v>
      </c>
      <c r="H665" s="135" t="s">
        <v>612</v>
      </c>
      <c r="I665" s="473"/>
      <c r="J665" s="142"/>
      <c r="K665" s="142"/>
      <c r="L665" s="142"/>
      <c r="M665" s="152" t="str">
        <f>IF(VLOOKUP(A656,'Aux - pivots1'!$A:$E,3,0)=0, "",VLOOKUP(A656,'Aux - pivots1'!$A:$E,3,0))</f>
        <v/>
      </c>
      <c r="N665" s="152" t="str">
        <f>IF(VLOOKUP(A656,'Aux - pivots1'!$A:$E,4,0)=0, "",VLOOKUP(A656,'Aux - pivots1'!$A:$E,4,0))</f>
        <v/>
      </c>
      <c r="O665" s="152" t="str">
        <f>IF(VLOOKUP(A656,'Aux - pivots1'!$A:$E,5,0)=0, "",VLOOKUP(A656,'Aux - pivots1'!$A:$E,5,0))</f>
        <v/>
      </c>
      <c r="P665" s="202">
        <v>45593</v>
      </c>
      <c r="Q665" s="202"/>
      <c r="R665" s="202"/>
      <c r="S665" s="324"/>
      <c r="T665" s="324"/>
      <c r="U665" s="372" t="s">
        <v>2326</v>
      </c>
      <c r="V665" s="323"/>
    </row>
    <row r="666" spans="1:22" ht="16.350000000000001" hidden="1" customHeight="1">
      <c r="A666" s="29" t="str">
        <f t="shared" si="12"/>
        <v>lt827_mthd_usd_instrmntpurpose_code</v>
      </c>
      <c r="B666" s="141" t="s">
        <v>26</v>
      </c>
      <c r="C666" s="137" t="s">
        <v>26</v>
      </c>
      <c r="D666" s="133" t="s">
        <v>40</v>
      </c>
      <c r="E666" s="136" t="s">
        <v>1866</v>
      </c>
      <c r="F666" s="480" t="s">
        <v>1852</v>
      </c>
      <c r="G666" s="135" t="str">
        <f>VLOOKUP(A666,Plano_V3!$A$26:$G$769,7,0)</f>
        <v>1. Concluído</v>
      </c>
      <c r="H666" s="135" t="s">
        <v>612</v>
      </c>
      <c r="I666" s="473"/>
      <c r="J666" s="142"/>
      <c r="K666" s="142"/>
      <c r="L666" s="142"/>
      <c r="M666" s="152" t="str">
        <f>IF(VLOOKUP(A657,'Aux - pivots1'!$A:$E,3,0)=0, "",VLOOKUP(A657,'Aux - pivots1'!$A:$E,3,0))</f>
        <v/>
      </c>
      <c r="N666" s="152" t="str">
        <f>IF(VLOOKUP(A657,'Aux - pivots1'!$A:$E,4,0)=0, "",VLOOKUP(A657,'Aux - pivots1'!$A:$E,4,0))</f>
        <v/>
      </c>
      <c r="O666" s="152" t="str">
        <f>IF(VLOOKUP(A657,'Aux - pivots1'!$A:$E,5,0)=0, "",VLOOKUP(A657,'Aux - pivots1'!$A:$E,5,0))</f>
        <v/>
      </c>
      <c r="P666" s="202"/>
      <c r="Q666" s="202"/>
      <c r="R666" s="202"/>
      <c r="S666" s="324"/>
      <c r="T666" s="324"/>
      <c r="U666" s="372" t="s">
        <v>2326</v>
      </c>
      <c r="V666" s="323"/>
    </row>
    <row r="667" spans="1:22" ht="16.350000000000001" hidden="1" customHeight="1">
      <c r="A667" s="29" t="str">
        <f t="shared" si="12"/>
        <v>lt827_mthd_usd_instrmntflg_fin</v>
      </c>
      <c r="B667" s="141" t="s">
        <v>26</v>
      </c>
      <c r="C667" s="137" t="s">
        <v>26</v>
      </c>
      <c r="D667" s="133" t="s">
        <v>40</v>
      </c>
      <c r="E667" s="136" t="s">
        <v>1866</v>
      </c>
      <c r="F667" s="480" t="s">
        <v>480</v>
      </c>
      <c r="G667" s="135" t="str">
        <f>VLOOKUP(A667,Plano_V3!$A$26:$G$769,7,0)</f>
        <v>1. Concluído</v>
      </c>
      <c r="H667" s="135" t="s">
        <v>612</v>
      </c>
      <c r="I667" s="473"/>
      <c r="J667" s="142"/>
      <c r="K667" s="142"/>
      <c r="L667" s="142"/>
      <c r="M667" s="152" t="str">
        <f>IF(VLOOKUP(A658,'Aux - pivots1'!$A:$E,3,0)=0, "",VLOOKUP(A658,'Aux - pivots1'!$A:$E,3,0))</f>
        <v/>
      </c>
      <c r="N667" s="152" t="str">
        <f>IF(VLOOKUP(A658,'Aux - pivots1'!$A:$E,4,0)=0, "",VLOOKUP(A658,'Aux - pivots1'!$A:$E,4,0))</f>
        <v/>
      </c>
      <c r="O667" s="152" t="str">
        <f>IF(VLOOKUP(A658,'Aux - pivots1'!$A:$E,5,0)=0, "",VLOOKUP(A658,'Aux - pivots1'!$A:$E,5,0))</f>
        <v/>
      </c>
      <c r="P667" s="202"/>
      <c r="Q667" s="202"/>
      <c r="R667" s="202"/>
      <c r="S667" s="324"/>
      <c r="T667" s="324"/>
      <c r="U667" s="372" t="s">
        <v>2326</v>
      </c>
      <c r="V667" s="323"/>
    </row>
    <row r="668" spans="1:22" ht="16.350000000000001" hidden="1" customHeight="1">
      <c r="A668" s="29" t="str">
        <f t="shared" si="12"/>
        <v>lt827_mthd_usd_instrmntflg_exec</v>
      </c>
      <c r="B668" s="141" t="s">
        <v>26</v>
      </c>
      <c r="C668" s="137" t="s">
        <v>26</v>
      </c>
      <c r="D668" s="133" t="s">
        <v>40</v>
      </c>
      <c r="E668" s="136" t="s">
        <v>1866</v>
      </c>
      <c r="F668" s="480" t="s">
        <v>1279</v>
      </c>
      <c r="G668" s="135" t="str">
        <f>VLOOKUP(A668,Plano_V3!$A$26:$G$769,7,0)</f>
        <v>1. Concluído</v>
      </c>
      <c r="H668" s="135" t="s">
        <v>612</v>
      </c>
      <c r="I668" s="473"/>
      <c r="J668" s="142"/>
      <c r="K668" s="142"/>
      <c r="L668" s="142"/>
      <c r="M668" s="152" t="str">
        <f>IF(VLOOKUP(A659,'Aux - pivots1'!$A:$E,3,0)=0, "",VLOOKUP(A659,'Aux - pivots1'!$A:$E,3,0))</f>
        <v/>
      </c>
      <c r="N668" s="152" t="str">
        <f>IF(VLOOKUP(A659,'Aux - pivots1'!$A:$E,4,0)=0, "",VLOOKUP(A659,'Aux - pivots1'!$A:$E,4,0))</f>
        <v/>
      </c>
      <c r="O668" s="152" t="str">
        <f>IF(VLOOKUP(A659,'Aux - pivots1'!$A:$E,5,0)=0, "",VLOOKUP(A659,'Aux - pivots1'!$A:$E,5,0))</f>
        <v/>
      </c>
      <c r="P668" s="202"/>
      <c r="Q668" s="202"/>
      <c r="R668" s="202"/>
      <c r="S668" s="324"/>
      <c r="T668" s="324"/>
      <c r="U668" s="372" t="s">
        <v>2326</v>
      </c>
      <c r="V668" s="323"/>
    </row>
    <row r="669" spans="1:22" ht="16.350000000000001" hidden="1" customHeight="1">
      <c r="A669" s="29" t="str">
        <f t="shared" si="12"/>
        <v>lt827_mthd_usd_instrmntflg_col</v>
      </c>
      <c r="B669" s="141" t="s">
        <v>26</v>
      </c>
      <c r="C669" s="137" t="s">
        <v>26</v>
      </c>
      <c r="D669" s="133" t="s">
        <v>40</v>
      </c>
      <c r="E669" s="136" t="s">
        <v>1866</v>
      </c>
      <c r="F669" s="480" t="s">
        <v>479</v>
      </c>
      <c r="G669" s="135" t="str">
        <f>VLOOKUP(A669,Plano_V3!$A$26:$G$769,7,0)</f>
        <v>1. Concluído</v>
      </c>
      <c r="H669" s="135" t="s">
        <v>612</v>
      </c>
      <c r="I669" s="473"/>
      <c r="J669" s="142"/>
      <c r="K669" s="142"/>
      <c r="L669" s="142"/>
      <c r="M669" s="152" t="str">
        <f>IF(VLOOKUP(A660,'Aux - pivots1'!$A:$E,3,0)=0, "",VLOOKUP(A660,'Aux - pivots1'!$A:$E,3,0))</f>
        <v/>
      </c>
      <c r="N669" s="152" t="str">
        <f>IF(VLOOKUP(A660,'Aux - pivots1'!$A:$E,4,0)=0, "",VLOOKUP(A660,'Aux - pivots1'!$A:$E,4,0))</f>
        <v/>
      </c>
      <c r="O669" s="152" t="str">
        <f>IF(VLOOKUP(A660,'Aux - pivots1'!$A:$E,5,0)=0, "",VLOOKUP(A660,'Aux - pivots1'!$A:$E,5,0))</f>
        <v/>
      </c>
      <c r="P669" s="202"/>
      <c r="Q669" s="202"/>
      <c r="R669" s="202"/>
      <c r="S669" s="324"/>
      <c r="T669" s="324"/>
      <c r="U669" s="372" t="s">
        <v>2326</v>
      </c>
      <c r="V669" s="323"/>
    </row>
    <row r="670" spans="1:22" ht="16.350000000000001" hidden="1" customHeight="1">
      <c r="A670" s="29" t="str">
        <f t="shared" si="12"/>
        <v>lt827_mthd_usd_instrmntflg_pro</v>
      </c>
      <c r="B670" s="141" t="s">
        <v>26</v>
      </c>
      <c r="C670" s="137" t="s">
        <v>26</v>
      </c>
      <c r="D670" s="133" t="s">
        <v>40</v>
      </c>
      <c r="E670" s="136" t="s">
        <v>1866</v>
      </c>
      <c r="F670" s="480" t="s">
        <v>481</v>
      </c>
      <c r="G670" s="135" t="str">
        <f>VLOOKUP(A670,Plano_V3!$A$26:$G$769,7,0)</f>
        <v>1. Concluído</v>
      </c>
      <c r="H670" s="135" t="s">
        <v>612</v>
      </c>
      <c r="I670" s="473"/>
      <c r="J670" s="142"/>
      <c r="K670" s="142"/>
      <c r="L670" s="142"/>
      <c r="M670" s="152" t="str">
        <f>IF(VLOOKUP(A661,'Aux - pivots1'!$A:$E,3,0)=0, "",VLOOKUP(A661,'Aux - pivots1'!$A:$E,3,0))</f>
        <v/>
      </c>
      <c r="N670" s="152" t="str">
        <f>IF(VLOOKUP(A661,'Aux - pivots1'!$A:$E,4,0)=0, "",VLOOKUP(A661,'Aux - pivots1'!$A:$E,4,0))</f>
        <v/>
      </c>
      <c r="O670" s="152" t="str">
        <f>IF(VLOOKUP(A661,'Aux - pivots1'!$A:$E,5,0)=0, "",VLOOKUP(A661,'Aux - pivots1'!$A:$E,5,0))</f>
        <v/>
      </c>
      <c r="P670" s="202"/>
      <c r="Q670" s="202"/>
      <c r="R670" s="202"/>
      <c r="S670" s="324"/>
      <c r="T670" s="324"/>
      <c r="U670" s="372" t="s">
        <v>2326</v>
      </c>
      <c r="V670" s="323"/>
    </row>
    <row r="671" spans="1:22" ht="16.350000000000001" hidden="1" customHeight="1">
      <c r="A671" s="29" t="str">
        <f t="shared" si="12"/>
        <v>lt826_esg_sbsctrambito</v>
      </c>
      <c r="B671" s="141" t="s">
        <v>26</v>
      </c>
      <c r="C671" s="137" t="s">
        <v>26</v>
      </c>
      <c r="D671" s="133" t="s">
        <v>40</v>
      </c>
      <c r="E671" s="136" t="s">
        <v>392</v>
      </c>
      <c r="F671" s="480" t="s">
        <v>390</v>
      </c>
      <c r="G671" s="135" t="str">
        <f>VLOOKUP(A671,Plano_V3!$A$26:$G$769,7,0)</f>
        <v>1. Concluído</v>
      </c>
      <c r="H671" s="135" t="s">
        <v>612</v>
      </c>
      <c r="I671" s="473"/>
      <c r="J671" s="142"/>
      <c r="K671" s="142"/>
      <c r="L671" s="142"/>
      <c r="M671" s="152" t="str">
        <f>IF(VLOOKUP(A662,'Aux - pivots1'!$A:$E,3,0)=0, "",VLOOKUP(A662,'Aux - pivots1'!$A:$E,3,0))</f>
        <v/>
      </c>
      <c r="N671" s="152" t="str">
        <f>IF(VLOOKUP(A662,'Aux - pivots1'!$A:$E,4,0)=0, "",VLOOKUP(A662,'Aux - pivots1'!$A:$E,4,0))</f>
        <v/>
      </c>
      <c r="O671" s="152" t="str">
        <f>IF(VLOOKUP(A662,'Aux - pivots1'!$A:$E,5,0)=0, "",VLOOKUP(A662,'Aux - pivots1'!$A:$E,5,0))</f>
        <v/>
      </c>
      <c r="P671" s="202"/>
      <c r="Q671" s="202"/>
      <c r="R671" s="202"/>
      <c r="S671" s="324"/>
      <c r="T671" s="324"/>
      <c r="U671" s="372" t="s">
        <v>2326</v>
      </c>
      <c r="V671" s="323"/>
    </row>
    <row r="672" spans="1:22" ht="16.350000000000001" hidden="1" customHeight="1">
      <c r="A672" s="29" t="str">
        <f t="shared" si="12"/>
        <v>lt826_esg_sbsctrref_date</v>
      </c>
      <c r="B672" s="141" t="s">
        <v>26</v>
      </c>
      <c r="C672" s="137" t="s">
        <v>26</v>
      </c>
      <c r="D672" s="133" t="s">
        <v>40</v>
      </c>
      <c r="E672" s="136" t="s">
        <v>392</v>
      </c>
      <c r="F672" s="480" t="s">
        <v>208</v>
      </c>
      <c r="G672" s="135" t="str">
        <f>VLOOKUP(A672,Plano_V3!$A$26:$G$769,7,0)</f>
        <v>1. Concluído</v>
      </c>
      <c r="H672" s="135" t="s">
        <v>612</v>
      </c>
      <c r="I672" s="473"/>
      <c r="J672" s="142"/>
      <c r="K672" s="142"/>
      <c r="L672" s="142"/>
      <c r="M672" s="152" t="str">
        <f>IF(VLOOKUP(A663,'Aux - pivots1'!$A:$E,3,0)=0, "",VLOOKUP(A663,'Aux - pivots1'!$A:$E,3,0))</f>
        <v/>
      </c>
      <c r="N672" s="152" t="str">
        <f>IF(VLOOKUP(A663,'Aux - pivots1'!$A:$E,4,0)=0, "",VLOOKUP(A663,'Aux - pivots1'!$A:$E,4,0))</f>
        <v/>
      </c>
      <c r="O672" s="152" t="str">
        <f>IF(VLOOKUP(A663,'Aux - pivots1'!$A:$E,5,0)=0, "",VLOOKUP(A663,'Aux - pivots1'!$A:$E,5,0))</f>
        <v/>
      </c>
      <c r="P672" s="202"/>
      <c r="Q672" s="202"/>
      <c r="R672" s="202"/>
      <c r="S672" s="324"/>
      <c r="T672" s="324"/>
      <c r="U672" s="372" t="s">
        <v>2326</v>
      </c>
      <c r="V672" s="323"/>
    </row>
    <row r="673" spans="1:22" ht="16.350000000000001" hidden="1" customHeight="1">
      <c r="A673" s="29" t="str">
        <f t="shared" si="12"/>
        <v>lt826_esg_sbsctrordem</v>
      </c>
      <c r="B673" s="141" t="s">
        <v>26</v>
      </c>
      <c r="C673" s="137" t="s">
        <v>26</v>
      </c>
      <c r="D673" s="133" t="s">
        <v>40</v>
      </c>
      <c r="E673" s="136" t="s">
        <v>392</v>
      </c>
      <c r="F673" s="480" t="s">
        <v>211</v>
      </c>
      <c r="G673" s="135" t="str">
        <f>VLOOKUP(A673,Plano_V3!$A$26:$G$769,7,0)</f>
        <v>1. Concluído</v>
      </c>
      <c r="H673" s="135" t="s">
        <v>612</v>
      </c>
      <c r="I673" s="473"/>
      <c r="J673" s="142"/>
      <c r="K673" s="142"/>
      <c r="L673" s="142"/>
      <c r="M673" s="152" t="str">
        <f>IF(VLOOKUP(A664,'Aux - pivots1'!$A:$E,3,0)=0, "",VLOOKUP(A664,'Aux - pivots1'!$A:$E,3,0))</f>
        <v/>
      </c>
      <c r="N673" s="152" t="str">
        <f>IF(VLOOKUP(A664,'Aux - pivots1'!$A:$E,4,0)=0, "",VLOOKUP(A664,'Aux - pivots1'!$A:$E,4,0))</f>
        <v/>
      </c>
      <c r="O673" s="152" t="str">
        <f>IF(VLOOKUP(A664,'Aux - pivots1'!$A:$E,5,0)=0, "",VLOOKUP(A664,'Aux - pivots1'!$A:$E,5,0))</f>
        <v/>
      </c>
      <c r="P673" s="202"/>
      <c r="Q673" s="202"/>
      <c r="R673" s="202"/>
      <c r="S673" s="324"/>
      <c r="T673" s="324"/>
      <c r="U673" s="372" t="s">
        <v>2326</v>
      </c>
      <c r="V673" s="323"/>
    </row>
    <row r="674" spans="1:22" ht="16.350000000000001" hidden="1" customHeight="1">
      <c r="A674" s="29" t="str">
        <f t="shared" si="12"/>
        <v>lt826_esg_sbsctrnace_code</v>
      </c>
      <c r="B674" s="141" t="s">
        <v>26</v>
      </c>
      <c r="C674" s="137" t="s">
        <v>26</v>
      </c>
      <c r="D674" s="133" t="s">
        <v>40</v>
      </c>
      <c r="E674" s="136" t="s">
        <v>392</v>
      </c>
      <c r="F674" s="480" t="s">
        <v>393</v>
      </c>
      <c r="G674" s="135" t="str">
        <f>VLOOKUP(A674,Plano_V3!$A$26:$G$769,7,0)</f>
        <v>1. Concluído</v>
      </c>
      <c r="H674" s="135" t="s">
        <v>612</v>
      </c>
      <c r="I674" s="473"/>
      <c r="J674" s="142"/>
      <c r="K674" s="142"/>
      <c r="L674" s="142"/>
      <c r="M674" s="152" t="str">
        <f>IF(VLOOKUP(A665,'Aux - pivots1'!$A:$E,3,0)=0, "",VLOOKUP(A665,'Aux - pivots1'!$A:$E,3,0))</f>
        <v/>
      </c>
      <c r="N674" s="152" t="str">
        <f>IF(VLOOKUP(A665,'Aux - pivots1'!$A:$E,4,0)=0, "",VLOOKUP(A665,'Aux - pivots1'!$A:$E,4,0))</f>
        <v/>
      </c>
      <c r="O674" s="152" t="str">
        <f>IF(VLOOKUP(A665,'Aux - pivots1'!$A:$E,5,0)=0, "",VLOOKUP(A665,'Aux - pivots1'!$A:$E,5,0))</f>
        <v/>
      </c>
      <c r="P674" s="202"/>
      <c r="Q674" s="202"/>
      <c r="R674" s="202"/>
      <c r="S674" s="324"/>
      <c r="T674" s="324"/>
      <c r="U674" s="372" t="s">
        <v>2326</v>
      </c>
      <c r="V674" s="323"/>
    </row>
    <row r="675" spans="1:22" ht="16.350000000000001" hidden="1" customHeight="1">
      <c r="A675" s="29" t="str">
        <f t="shared" si="12"/>
        <v>lt826_esg_sbsctrcontraparte</v>
      </c>
      <c r="B675" s="141" t="s">
        <v>26</v>
      </c>
      <c r="C675" s="137" t="s">
        <v>26</v>
      </c>
      <c r="D675" s="133" t="s">
        <v>40</v>
      </c>
      <c r="E675" s="136" t="s">
        <v>392</v>
      </c>
      <c r="F675" s="480" t="s">
        <v>394</v>
      </c>
      <c r="G675" s="135" t="str">
        <f>VLOOKUP(A675,Plano_V3!$A$26:$G$769,7,0)</f>
        <v>1. Concluído</v>
      </c>
      <c r="H675" s="135" t="s">
        <v>612</v>
      </c>
      <c r="I675" s="473"/>
      <c r="J675" s="142"/>
      <c r="K675" s="142"/>
      <c r="L675" s="142"/>
      <c r="M675" s="152" t="str">
        <f>IF(VLOOKUP(A666,'Aux - pivots1'!$A:$E,3,0)=0, "",VLOOKUP(A666,'Aux - pivots1'!$A:$E,3,0))</f>
        <v/>
      </c>
      <c r="N675" s="152" t="str">
        <f>IF(VLOOKUP(A666,'Aux - pivots1'!$A:$E,4,0)=0, "",VLOOKUP(A666,'Aux - pivots1'!$A:$E,4,0))</f>
        <v/>
      </c>
      <c r="O675" s="152" t="str">
        <f>IF(VLOOKUP(A666,'Aux - pivots1'!$A:$E,5,0)=0, "",VLOOKUP(A666,'Aux - pivots1'!$A:$E,5,0))</f>
        <v/>
      </c>
      <c r="P675" s="202"/>
      <c r="Q675" s="202"/>
      <c r="R675" s="202"/>
      <c r="S675" s="324"/>
      <c r="T675" s="324"/>
      <c r="U675" s="372" t="s">
        <v>2326</v>
      </c>
      <c r="V675" s="323"/>
    </row>
    <row r="676" spans="1:22" ht="16.350000000000001" hidden="1" customHeight="1">
      <c r="A676" s="29" t="str">
        <f t="shared" si="12"/>
        <v>lt826_esg_sbsctrcnatureza_juri</v>
      </c>
      <c r="B676" s="141" t="s">
        <v>26</v>
      </c>
      <c r="C676" s="137" t="s">
        <v>26</v>
      </c>
      <c r="D676" s="133" t="s">
        <v>40</v>
      </c>
      <c r="E676" s="136" t="s">
        <v>392</v>
      </c>
      <c r="F676" s="480" t="s">
        <v>395</v>
      </c>
      <c r="G676" s="135" t="str">
        <f>VLOOKUP(A676,Plano_V3!$A$26:$G$769,7,0)</f>
        <v>1. Concluído</v>
      </c>
      <c r="H676" s="135" t="s">
        <v>612</v>
      </c>
      <c r="I676" s="473"/>
      <c r="J676" s="142"/>
      <c r="K676" s="142"/>
      <c r="L676" s="142"/>
      <c r="M676" s="152" t="str">
        <f>IF(VLOOKUP(A667,'Aux - pivots1'!$A:$E,3,0)=0, "",VLOOKUP(A667,'Aux - pivots1'!$A:$E,3,0))</f>
        <v/>
      </c>
      <c r="N676" s="152" t="str">
        <f>IF(VLOOKUP(A667,'Aux - pivots1'!$A:$E,4,0)=0, "",VLOOKUP(A667,'Aux - pivots1'!$A:$E,4,0))</f>
        <v/>
      </c>
      <c r="O676" s="152" t="str">
        <f>IF(VLOOKUP(A667,'Aux - pivots1'!$A:$E,5,0)=0, "",VLOOKUP(A667,'Aux - pivots1'!$A:$E,5,0))</f>
        <v/>
      </c>
      <c r="P676" s="202"/>
      <c r="Q676" s="202"/>
      <c r="R676" s="202"/>
      <c r="S676" s="324"/>
      <c r="T676" s="324"/>
      <c r="U676" s="372" t="s">
        <v>2326</v>
      </c>
      <c r="V676" s="323"/>
    </row>
    <row r="677" spans="1:22" ht="16.350000000000001" hidden="1" customHeight="1">
      <c r="A677" s="29" t="str">
        <f t="shared" si="12"/>
        <v>lt826_esg_sbsctridcomb</v>
      </c>
      <c r="B677" s="141" t="s">
        <v>26</v>
      </c>
      <c r="C677" s="137" t="s">
        <v>26</v>
      </c>
      <c r="D677" s="133" t="s">
        <v>40</v>
      </c>
      <c r="E677" s="136" t="s">
        <v>392</v>
      </c>
      <c r="F677" s="480" t="s">
        <v>396</v>
      </c>
      <c r="G677" s="135" t="str">
        <f>VLOOKUP(A677,Plano_V3!$A$26:$G$769,7,0)</f>
        <v>1. Concluído</v>
      </c>
      <c r="H677" s="135" t="s">
        <v>612</v>
      </c>
      <c r="I677" s="473"/>
      <c r="J677" s="142"/>
      <c r="K677" s="142"/>
      <c r="L677" s="142"/>
      <c r="M677" s="152" t="str">
        <f>IF(VLOOKUP(A668,'Aux - pivots1'!$A:$E,3,0)=0, "",VLOOKUP(A668,'Aux - pivots1'!$A:$E,3,0))</f>
        <v/>
      </c>
      <c r="N677" s="152" t="str">
        <f>IF(VLOOKUP(A668,'Aux - pivots1'!$A:$E,4,0)=0, "",VLOOKUP(A668,'Aux - pivots1'!$A:$E,4,0))</f>
        <v/>
      </c>
      <c r="O677" s="152" t="str">
        <f>IF(VLOOKUP(A668,'Aux - pivots1'!$A:$E,5,0)=0, "",VLOOKUP(A668,'Aux - pivots1'!$A:$E,5,0))</f>
        <v/>
      </c>
      <c r="P677" s="202"/>
      <c r="Q677" s="202"/>
      <c r="R677" s="202"/>
      <c r="S677" s="324"/>
      <c r="T677" s="324"/>
      <c r="U677" s="372" t="s">
        <v>2326</v>
      </c>
      <c r="V677" s="323"/>
    </row>
    <row r="678" spans="1:22" ht="16.350000000000001" hidden="1" customHeight="1">
      <c r="A678" s="29" t="str">
        <f t="shared" si="12"/>
        <v>lt826_esg_sbsctresg_sbsctr</v>
      </c>
      <c r="B678" s="141" t="s">
        <v>26</v>
      </c>
      <c r="C678" s="137" t="s">
        <v>26</v>
      </c>
      <c r="D678" s="133" t="s">
        <v>40</v>
      </c>
      <c r="E678" s="136" t="s">
        <v>392</v>
      </c>
      <c r="F678" s="480" t="s">
        <v>360</v>
      </c>
      <c r="G678" s="135" t="str">
        <f>VLOOKUP(A678,Plano_V3!$A$26:$G$769,7,0)</f>
        <v>1. Concluído</v>
      </c>
      <c r="H678" s="135" t="s">
        <v>612</v>
      </c>
      <c r="I678" s="473"/>
      <c r="J678" s="142"/>
      <c r="K678" s="142"/>
      <c r="L678" s="142"/>
      <c r="M678" s="152" t="str">
        <f>IF(VLOOKUP(A669,'Aux - pivots1'!$A:$E,3,0)=0, "",VLOOKUP(A669,'Aux - pivots1'!$A:$E,3,0))</f>
        <v/>
      </c>
      <c r="N678" s="152" t="str">
        <f>IF(VLOOKUP(A669,'Aux - pivots1'!$A:$E,4,0)=0, "",VLOOKUP(A669,'Aux - pivots1'!$A:$E,4,0))</f>
        <v/>
      </c>
      <c r="O678" s="152" t="str">
        <f>IF(VLOOKUP(A669,'Aux - pivots1'!$A:$E,5,0)=0, "",VLOOKUP(A669,'Aux - pivots1'!$A:$E,5,0))</f>
        <v/>
      </c>
      <c r="P678" s="202"/>
      <c r="Q678" s="202"/>
      <c r="R678" s="202"/>
      <c r="S678" s="324"/>
      <c r="T678" s="324"/>
      <c r="U678" s="372" t="s">
        <v>2326</v>
      </c>
      <c r="V678" s="323"/>
    </row>
    <row r="679" spans="1:22" ht="16.350000000000001" hidden="1" customHeight="1">
      <c r="A679" s="29" t="str">
        <f t="shared" si="12"/>
        <v>lt826_esg_sbsctrdescrição</v>
      </c>
      <c r="B679" s="141" t="s">
        <v>26</v>
      </c>
      <c r="C679" s="137" t="s">
        <v>26</v>
      </c>
      <c r="D679" s="133" t="s">
        <v>40</v>
      </c>
      <c r="E679" s="136" t="s">
        <v>392</v>
      </c>
      <c r="F679" s="480" t="s">
        <v>397</v>
      </c>
      <c r="G679" s="135" t="str">
        <f>VLOOKUP(A679,Plano_V3!$A$26:$G$769,7,0)</f>
        <v>1. Concluído</v>
      </c>
      <c r="H679" s="135" t="s">
        <v>612</v>
      </c>
      <c r="I679" s="473"/>
      <c r="J679" s="142"/>
      <c r="K679" s="142"/>
      <c r="L679" s="142"/>
      <c r="M679" s="152" t="str">
        <f>IF(VLOOKUP(A670,'Aux - pivots1'!$A:$E,3,0)=0, "",VLOOKUP(A670,'Aux - pivots1'!$A:$E,3,0))</f>
        <v/>
      </c>
      <c r="N679" s="152" t="str">
        <f>IF(VLOOKUP(A670,'Aux - pivots1'!$A:$E,4,0)=0, "",VLOOKUP(A670,'Aux - pivots1'!$A:$E,4,0))</f>
        <v/>
      </c>
      <c r="O679" s="152" t="str">
        <f>IF(VLOOKUP(A670,'Aux - pivots1'!$A:$E,5,0)=0, "",VLOOKUP(A670,'Aux - pivots1'!$A:$E,5,0))</f>
        <v/>
      </c>
      <c r="P679" s="202"/>
      <c r="Q679" s="202"/>
      <c r="R679" s="202"/>
      <c r="S679" s="324"/>
      <c r="T679" s="324"/>
      <c r="U679" s="372" t="s">
        <v>2326</v>
      </c>
      <c r="V679" s="323"/>
    </row>
    <row r="680" spans="1:22" ht="16.350000000000001" hidden="1" customHeight="1">
      <c r="A680" s="29" t="str">
        <f t="shared" si="12"/>
        <v>lt002_instrumentdt_rfrnc</v>
      </c>
      <c r="B680" s="141" t="s">
        <v>26</v>
      </c>
      <c r="C680" s="137" t="s">
        <v>26</v>
      </c>
      <c r="D680" s="133" t="s">
        <v>40</v>
      </c>
      <c r="E680" s="136" t="s">
        <v>379</v>
      </c>
      <c r="F680" s="480" t="s">
        <v>398</v>
      </c>
      <c r="G680" s="135" t="str">
        <f>VLOOKUP(A680,Plano_V3!$A$26:$G$769,7,0)</f>
        <v>1. Concluído</v>
      </c>
      <c r="H680" s="135" t="s">
        <v>612</v>
      </c>
      <c r="I680" s="473"/>
      <c r="J680" s="142"/>
      <c r="K680" s="142"/>
      <c r="L680" s="142"/>
      <c r="M680" s="152" t="str">
        <f>IF(VLOOKUP(A671,'Aux - pivots1'!$A:$E,3,0)=0, "",VLOOKUP(A671,'Aux - pivots1'!$A:$E,3,0))</f>
        <v/>
      </c>
      <c r="N680" s="152" t="str">
        <f>IF(VLOOKUP(A671,'Aux - pivots1'!$A:$E,4,0)=0, "",VLOOKUP(A671,'Aux - pivots1'!$A:$E,4,0))</f>
        <v/>
      </c>
      <c r="O680" s="152" t="str">
        <f>IF(VLOOKUP(A671,'Aux - pivots1'!$A:$E,5,0)=0, "",VLOOKUP(A671,'Aux - pivots1'!$A:$E,5,0))</f>
        <v/>
      </c>
      <c r="P680" s="202"/>
      <c r="Q680" s="202"/>
      <c r="R680" s="202"/>
      <c r="S680" s="324"/>
      <c r="T680" s="324"/>
      <c r="U680" s="372" t="s">
        <v>2326</v>
      </c>
      <c r="V680" s="323"/>
    </row>
    <row r="681" spans="1:22" ht="16.350000000000001" hidden="1" customHeight="1">
      <c r="A681" s="29" t="str">
        <f t="shared" si="12"/>
        <v>lt002_instrumentinstrmnt_id</v>
      </c>
      <c r="B681" s="141" t="s">
        <v>26</v>
      </c>
      <c r="C681" s="137" t="s">
        <v>26</v>
      </c>
      <c r="D681" s="133" t="s">
        <v>40</v>
      </c>
      <c r="E681" s="136" t="s">
        <v>379</v>
      </c>
      <c r="F681" s="480" t="s">
        <v>400</v>
      </c>
      <c r="G681" s="135" t="str">
        <f>VLOOKUP(A681,Plano_V3!$A$26:$G$769,7,0)</f>
        <v>1. Concluído</v>
      </c>
      <c r="H681" s="135" t="s">
        <v>612</v>
      </c>
      <c r="I681" s="473"/>
      <c r="J681" s="142"/>
      <c r="K681" s="142"/>
      <c r="L681" s="142"/>
      <c r="M681" s="152" t="str">
        <f>IF(VLOOKUP(A672,'Aux - pivots1'!$A:$E,3,0)=0, "",VLOOKUP(A672,'Aux - pivots1'!$A:$E,3,0))</f>
        <v/>
      </c>
      <c r="N681" s="152" t="str">
        <f>IF(VLOOKUP(A672,'Aux - pivots1'!$A:$E,4,0)=0, "",VLOOKUP(A672,'Aux - pivots1'!$A:$E,4,0))</f>
        <v/>
      </c>
      <c r="O681" s="152" t="str">
        <f>IF(VLOOKUP(A672,'Aux - pivots1'!$A:$E,5,0)=0, "",VLOOKUP(A672,'Aux - pivots1'!$A:$E,5,0))</f>
        <v/>
      </c>
      <c r="P681" s="202"/>
      <c r="Q681" s="202"/>
      <c r="R681" s="202"/>
      <c r="S681" s="324"/>
      <c r="T681" s="324"/>
      <c r="U681" s="372" t="s">
        <v>2326</v>
      </c>
      <c r="V681" s="323"/>
    </row>
    <row r="682" spans="1:22" ht="16.350000000000001" hidden="1" customHeight="1">
      <c r="A682" s="29" t="str">
        <f t="shared" si="12"/>
        <v>lt002_instrumentdt_incptn</v>
      </c>
      <c r="B682" s="141" t="s">
        <v>26</v>
      </c>
      <c r="C682" s="137" t="s">
        <v>26</v>
      </c>
      <c r="D682" s="133" t="s">
        <v>40</v>
      </c>
      <c r="E682" s="136" t="s">
        <v>379</v>
      </c>
      <c r="F682" s="480" t="s">
        <v>401</v>
      </c>
      <c r="G682" s="135" t="str">
        <f>VLOOKUP(A682,Plano_V3!$A$26:$G$769,7,0)</f>
        <v>1. Concluído</v>
      </c>
      <c r="H682" s="135" t="s">
        <v>612</v>
      </c>
      <c r="I682" s="473"/>
      <c r="J682" s="142"/>
      <c r="K682" s="142"/>
      <c r="L682" s="142"/>
      <c r="M682" s="152" t="str">
        <f>IF(VLOOKUP(A673,'Aux - pivots1'!$A:$E,3,0)=0, "",VLOOKUP(A673,'Aux - pivots1'!$A:$E,3,0))</f>
        <v/>
      </c>
      <c r="N682" s="152" t="str">
        <f>IF(VLOOKUP(A673,'Aux - pivots1'!$A:$E,4,0)=0, "",VLOOKUP(A673,'Aux - pivots1'!$A:$E,4,0))</f>
        <v/>
      </c>
      <c r="O682" s="152" t="str">
        <f>IF(VLOOKUP(A673,'Aux - pivots1'!$A:$E,5,0)=0, "",VLOOKUP(A673,'Aux - pivots1'!$A:$E,5,0))</f>
        <v/>
      </c>
      <c r="P682" s="202"/>
      <c r="Q682" s="202"/>
      <c r="R682" s="202"/>
      <c r="S682" s="324"/>
      <c r="T682" s="324"/>
      <c r="U682" s="372" t="s">
        <v>2326</v>
      </c>
      <c r="V682" s="323"/>
    </row>
    <row r="683" spans="1:22" ht="16.350000000000001" hidden="1" customHeight="1">
      <c r="A683" s="29" t="str">
        <f t="shared" si="12"/>
        <v>lt002_instrumentdflt_stts_instrmnt</v>
      </c>
      <c r="B683" s="141" t="s">
        <v>26</v>
      </c>
      <c r="C683" s="137" t="s">
        <v>26</v>
      </c>
      <c r="D683" s="133" t="s">
        <v>40</v>
      </c>
      <c r="E683" s="136" t="s">
        <v>379</v>
      </c>
      <c r="F683" s="480" t="s">
        <v>402</v>
      </c>
      <c r="G683" s="135" t="str">
        <f>VLOOKUP(A683,Plano_V3!$A$26:$G$769,7,0)</f>
        <v>1. Concluído</v>
      </c>
      <c r="H683" s="135" t="s">
        <v>612</v>
      </c>
      <c r="I683" s="473"/>
      <c r="J683" s="142"/>
      <c r="K683" s="142"/>
      <c r="L683" s="142"/>
      <c r="M683" s="152" t="str">
        <f>IF(VLOOKUP(A674,'Aux - pivots1'!$A:$E,3,0)=0, "",VLOOKUP(A674,'Aux - pivots1'!$A:$E,3,0))</f>
        <v/>
      </c>
      <c r="N683" s="152" t="str">
        <f>IF(VLOOKUP(A674,'Aux - pivots1'!$A:$E,4,0)=0, "",VLOOKUP(A674,'Aux - pivots1'!$A:$E,4,0))</f>
        <v/>
      </c>
      <c r="O683" s="152" t="str">
        <f>IF(VLOOKUP(A674,'Aux - pivots1'!$A:$E,5,0)=0, "",VLOOKUP(A674,'Aux - pivots1'!$A:$E,5,0))</f>
        <v/>
      </c>
      <c r="P683" s="202"/>
      <c r="Q683" s="202"/>
      <c r="R683" s="202"/>
      <c r="S683" s="324"/>
      <c r="T683" s="324"/>
      <c r="U683" s="372" t="s">
        <v>2326</v>
      </c>
      <c r="V683" s="323"/>
    </row>
    <row r="684" spans="1:22" ht="16.350000000000001" hidden="1" customHeight="1">
      <c r="A684" s="29" t="str">
        <f t="shared" si="12"/>
        <v>lt002_instrumentimprmnt_stts</v>
      </c>
      <c r="B684" s="141" t="s">
        <v>26</v>
      </c>
      <c r="C684" s="137" t="s">
        <v>26</v>
      </c>
      <c r="D684" s="133" t="s">
        <v>40</v>
      </c>
      <c r="E684" s="136" t="s">
        <v>379</v>
      </c>
      <c r="F684" s="480" t="s">
        <v>403</v>
      </c>
      <c r="G684" s="135" t="str">
        <f>VLOOKUP(A684,Plano_V3!$A$26:$G$769,7,0)</f>
        <v>1. Concluído</v>
      </c>
      <c r="H684" s="135" t="s">
        <v>612</v>
      </c>
      <c r="I684" s="473"/>
      <c r="J684" s="142"/>
      <c r="K684" s="142"/>
      <c r="L684" s="142"/>
      <c r="M684" s="152" t="str">
        <f>IF(VLOOKUP(A675,'Aux - pivots1'!$A:$E,3,0)=0, "",VLOOKUP(A675,'Aux - pivots1'!$A:$E,3,0))</f>
        <v/>
      </c>
      <c r="N684" s="152" t="str">
        <f>IF(VLOOKUP(A675,'Aux - pivots1'!$A:$E,4,0)=0, "",VLOOKUP(A675,'Aux - pivots1'!$A:$E,4,0))</f>
        <v/>
      </c>
      <c r="O684" s="152" t="str">
        <f>IF(VLOOKUP(A675,'Aux - pivots1'!$A:$E,5,0)=0, "",VLOOKUP(A675,'Aux - pivots1'!$A:$E,5,0))</f>
        <v/>
      </c>
      <c r="P684" s="202"/>
      <c r="Q684" s="202"/>
      <c r="R684" s="202"/>
      <c r="S684" s="324"/>
      <c r="T684" s="324"/>
      <c r="U684" s="372" t="s">
        <v>2326</v>
      </c>
      <c r="V684" s="323"/>
    </row>
    <row r="685" spans="1:22" ht="16.350000000000001" hidden="1" customHeight="1">
      <c r="A685" s="29" t="str">
        <f t="shared" si="12"/>
        <v>lt002_instrumentprfrmng_stts</v>
      </c>
      <c r="B685" s="141" t="s">
        <v>26</v>
      </c>
      <c r="C685" s="137" t="s">
        <v>26</v>
      </c>
      <c r="D685" s="133" t="s">
        <v>40</v>
      </c>
      <c r="E685" s="136" t="s">
        <v>379</v>
      </c>
      <c r="F685" s="480" t="s">
        <v>404</v>
      </c>
      <c r="G685" s="135" t="str">
        <f>VLOOKUP(A685,Plano_V3!$A$26:$G$769,7,0)</f>
        <v>1. Concluído</v>
      </c>
      <c r="H685" s="135" t="s">
        <v>612</v>
      </c>
      <c r="I685" s="473"/>
      <c r="J685" s="142"/>
      <c r="K685" s="142"/>
      <c r="L685" s="142"/>
      <c r="M685" s="152" t="str">
        <f>IF(VLOOKUP(A676,'Aux - pivots1'!$A:$E,3,0)=0, "",VLOOKUP(A676,'Aux - pivots1'!$A:$E,3,0))</f>
        <v/>
      </c>
      <c r="N685" s="152" t="str">
        <f>IF(VLOOKUP(A676,'Aux - pivots1'!$A:$E,4,0)=0, "",VLOOKUP(A676,'Aux - pivots1'!$A:$E,4,0))</f>
        <v/>
      </c>
      <c r="O685" s="152" t="str">
        <f>IF(VLOOKUP(A676,'Aux - pivots1'!$A:$E,5,0)=0, "",VLOOKUP(A676,'Aux - pivots1'!$A:$E,5,0))</f>
        <v/>
      </c>
      <c r="P685" s="202"/>
      <c r="Q685" s="202"/>
      <c r="R685" s="202"/>
      <c r="S685" s="324"/>
      <c r="T685" s="324"/>
      <c r="U685" s="372" t="s">
        <v>2326</v>
      </c>
      <c r="V685" s="323"/>
    </row>
    <row r="686" spans="1:22" ht="16.350000000000001" hidden="1" customHeight="1">
      <c r="A686" s="29" t="str">
        <f t="shared" si="12"/>
        <v>lt002_instrumentprjct_fnnc_ln</v>
      </c>
      <c r="B686" s="141" t="s">
        <v>26</v>
      </c>
      <c r="C686" s="137" t="s">
        <v>26</v>
      </c>
      <c r="D686" s="133" t="s">
        <v>40</v>
      </c>
      <c r="E686" s="136" t="s">
        <v>379</v>
      </c>
      <c r="F686" s="480" t="s">
        <v>405</v>
      </c>
      <c r="G686" s="135" t="str">
        <f>VLOOKUP(A686,Plano_V3!$A$26:$G$769,7,0)</f>
        <v>1. Concluído</v>
      </c>
      <c r="H686" s="135" t="s">
        <v>612</v>
      </c>
      <c r="I686" s="473"/>
      <c r="J686" s="142"/>
      <c r="K686" s="142"/>
      <c r="L686" s="142"/>
      <c r="M686" s="152" t="str">
        <f>IF(VLOOKUP(A677,'Aux - pivots1'!$A:$E,3,0)=0, "",VLOOKUP(A677,'Aux - pivots1'!$A:$E,3,0))</f>
        <v/>
      </c>
      <c r="N686" s="152" t="str">
        <f>IF(VLOOKUP(A677,'Aux - pivots1'!$A:$E,4,0)=0, "",VLOOKUP(A677,'Aux - pivots1'!$A:$E,4,0))</f>
        <v/>
      </c>
      <c r="O686" s="152" t="str">
        <f>IF(VLOOKUP(A677,'Aux - pivots1'!$A:$E,5,0)=0, "",VLOOKUP(A677,'Aux - pivots1'!$A:$E,5,0))</f>
        <v/>
      </c>
      <c r="P686" s="202"/>
      <c r="Q686" s="202"/>
      <c r="R686" s="202"/>
      <c r="S686" s="324"/>
      <c r="T686" s="324"/>
      <c r="U686" s="372" t="s">
        <v>2326</v>
      </c>
      <c r="V686" s="323"/>
    </row>
    <row r="687" spans="1:22" ht="16.350000000000001" hidden="1" customHeight="1">
      <c r="A687" s="29" t="str">
        <f t="shared" si="12"/>
        <v>lt002_instrumenttyp_instrmnt</v>
      </c>
      <c r="B687" s="141" t="s">
        <v>26</v>
      </c>
      <c r="C687" s="137" t="s">
        <v>26</v>
      </c>
      <c r="D687" s="133" t="s">
        <v>40</v>
      </c>
      <c r="E687" s="136" t="s">
        <v>379</v>
      </c>
      <c r="F687" s="480" t="s">
        <v>406</v>
      </c>
      <c r="G687" s="135" t="str">
        <f>VLOOKUP(A687,Plano_V3!$A$26:$G$769,7,0)</f>
        <v>1. Concluído</v>
      </c>
      <c r="H687" s="135" t="s">
        <v>612</v>
      </c>
      <c r="I687" s="473"/>
      <c r="J687" s="142"/>
      <c r="K687" s="142"/>
      <c r="L687" s="142"/>
      <c r="M687" s="152" t="str">
        <f>IF(VLOOKUP(A678,'Aux - pivots1'!$A:$E,3,0)=0, "",VLOOKUP(A678,'Aux - pivots1'!$A:$E,3,0))</f>
        <v/>
      </c>
      <c r="N687" s="152" t="str">
        <f>IF(VLOOKUP(A678,'Aux - pivots1'!$A:$E,4,0)=0, "",VLOOKUP(A678,'Aux - pivots1'!$A:$E,4,0))</f>
        <v/>
      </c>
      <c r="O687" s="152" t="str">
        <f>IF(VLOOKUP(A678,'Aux - pivots1'!$A:$E,5,0)=0, "",VLOOKUP(A678,'Aux - pivots1'!$A:$E,5,0))</f>
        <v/>
      </c>
      <c r="P687" s="202"/>
      <c r="Q687" s="202"/>
      <c r="R687" s="202"/>
      <c r="S687" s="324"/>
      <c r="T687" s="324"/>
      <c r="U687" s="372" t="s">
        <v>2326</v>
      </c>
      <c r="V687" s="323"/>
    </row>
    <row r="688" spans="1:22" ht="16.350000000000001" hidden="1" customHeight="1">
      <c r="A688" s="29" t="str">
        <f t="shared" si="12"/>
        <v>lt002_instrumentgrss_crryng_amnt_instrmnt</v>
      </c>
      <c r="B688" s="141" t="s">
        <v>26</v>
      </c>
      <c r="C688" s="137" t="s">
        <v>26</v>
      </c>
      <c r="D688" s="133" t="s">
        <v>40</v>
      </c>
      <c r="E688" s="136" t="s">
        <v>379</v>
      </c>
      <c r="F688" s="480" t="s">
        <v>407</v>
      </c>
      <c r="G688" s="135" t="str">
        <f>VLOOKUP(A688,Plano_V3!$A$26:$G$769,7,0)</f>
        <v>1. Concluído</v>
      </c>
      <c r="H688" s="135" t="s">
        <v>612</v>
      </c>
      <c r="I688" s="473"/>
      <c r="J688" s="142"/>
      <c r="K688" s="142"/>
      <c r="L688" s="142"/>
      <c r="M688" s="152" t="str">
        <f>IF(VLOOKUP(A679,'Aux - pivots1'!$A:$E,3,0)=0, "",VLOOKUP(A679,'Aux - pivots1'!$A:$E,3,0))</f>
        <v/>
      </c>
      <c r="N688" s="152" t="str">
        <f>IF(VLOOKUP(A679,'Aux - pivots1'!$A:$E,4,0)=0, "",VLOOKUP(A679,'Aux - pivots1'!$A:$E,4,0))</f>
        <v/>
      </c>
      <c r="O688" s="152" t="str">
        <f>IF(VLOOKUP(A679,'Aux - pivots1'!$A:$E,5,0)=0, "",VLOOKUP(A679,'Aux - pivots1'!$A:$E,5,0))</f>
        <v/>
      </c>
      <c r="P688" s="202"/>
      <c r="Q688" s="202"/>
      <c r="R688" s="202"/>
      <c r="S688" s="324"/>
      <c r="T688" s="324"/>
      <c r="U688" s="372" t="s">
        <v>2326</v>
      </c>
      <c r="V688" s="323"/>
    </row>
    <row r="689" spans="1:22" ht="16.350000000000001" hidden="1" customHeight="1">
      <c r="A689" s="29" t="str">
        <f t="shared" si="12"/>
        <v>lt002_instrumentaccmltd_chngs_fv_cr_instrmnt</v>
      </c>
      <c r="B689" s="141" t="s">
        <v>26</v>
      </c>
      <c r="C689" s="137" t="s">
        <v>26</v>
      </c>
      <c r="D689" s="133" t="s">
        <v>40</v>
      </c>
      <c r="E689" s="136" t="s">
        <v>379</v>
      </c>
      <c r="F689" s="480" t="s">
        <v>408</v>
      </c>
      <c r="G689" s="135" t="str">
        <f>VLOOKUP(A689,Plano_V3!$A$26:$G$769,7,0)</f>
        <v>1. Concluído</v>
      </c>
      <c r="H689" s="135" t="s">
        <v>612</v>
      </c>
      <c r="I689" s="473"/>
      <c r="J689" s="142"/>
      <c r="K689" s="142"/>
      <c r="L689" s="142"/>
      <c r="M689" s="152" t="str">
        <f>IF(VLOOKUP(A680,'Aux - pivots1'!$A:$E,3,0)=0, "",VLOOKUP(A680,'Aux - pivots1'!$A:$E,3,0))</f>
        <v/>
      </c>
      <c r="N689" s="152" t="str">
        <f>IF(VLOOKUP(A680,'Aux - pivots1'!$A:$E,4,0)=0, "",VLOOKUP(A680,'Aux - pivots1'!$A:$E,4,0))</f>
        <v/>
      </c>
      <c r="O689" s="152" t="str">
        <f>IF(VLOOKUP(A680,'Aux - pivots1'!$A:$E,5,0)=0, "",VLOOKUP(A680,'Aux - pivots1'!$A:$E,5,0))</f>
        <v/>
      </c>
      <c r="P689" s="202"/>
      <c r="Q689" s="202"/>
      <c r="R689" s="202"/>
      <c r="S689" s="324"/>
      <c r="T689" s="324"/>
      <c r="U689" s="372" t="s">
        <v>2326</v>
      </c>
      <c r="V689" s="323"/>
    </row>
    <row r="690" spans="1:22" ht="16.350000000000001" hidden="1" customHeight="1">
      <c r="A690" s="29" t="str">
        <f t="shared" si="12"/>
        <v>lt002_instrumentaccntng_clssfctn</v>
      </c>
      <c r="B690" s="141" t="s">
        <v>26</v>
      </c>
      <c r="C690" s="137" t="s">
        <v>26</v>
      </c>
      <c r="D690" s="133" t="s">
        <v>40</v>
      </c>
      <c r="E690" s="136" t="s">
        <v>379</v>
      </c>
      <c r="F690" s="480" t="s">
        <v>409</v>
      </c>
      <c r="G690" s="135" t="str">
        <f>VLOOKUP(A690,Plano_V3!$A$26:$G$769,7,0)</f>
        <v>1. Concluído</v>
      </c>
      <c r="H690" s="135" t="s">
        <v>612</v>
      </c>
      <c r="I690" s="473"/>
      <c r="J690" s="142"/>
      <c r="K690" s="142"/>
      <c r="L690" s="142"/>
      <c r="M690" s="152" t="str">
        <f>IF(VLOOKUP(A681,'Aux - pivots1'!$A:$E,3,0)=0, "",VLOOKUP(A681,'Aux - pivots1'!$A:$E,3,0))</f>
        <v/>
      </c>
      <c r="N690" s="152" t="str">
        <f>IF(VLOOKUP(A681,'Aux - pivots1'!$A:$E,4,0)=0, "",VLOOKUP(A681,'Aux - pivots1'!$A:$E,4,0))</f>
        <v/>
      </c>
      <c r="O690" s="152" t="str">
        <f>IF(VLOOKUP(A681,'Aux - pivots1'!$A:$E,5,0)=0, "",VLOOKUP(A681,'Aux - pivots1'!$A:$E,5,0))</f>
        <v/>
      </c>
      <c r="P690" s="202"/>
      <c r="Q690" s="202"/>
      <c r="R690" s="202"/>
      <c r="S690" s="324"/>
      <c r="T690" s="324"/>
      <c r="U690" s="372" t="s">
        <v>2326</v>
      </c>
      <c r="V690" s="323"/>
    </row>
    <row r="691" spans="1:22" ht="16.350000000000001" hidden="1" customHeight="1">
      <c r="A691" s="29" t="str">
        <f t="shared" si="12"/>
        <v>lt002_instrumentdt_lgl_fnl_mtrty</v>
      </c>
      <c r="B691" s="141" t="s">
        <v>26</v>
      </c>
      <c r="C691" s="137" t="s">
        <v>26</v>
      </c>
      <c r="D691" s="133" t="s">
        <v>40</v>
      </c>
      <c r="E691" s="136" t="s">
        <v>379</v>
      </c>
      <c r="F691" s="480" t="s">
        <v>410</v>
      </c>
      <c r="G691" s="135" t="str">
        <f>VLOOKUP(A691,Plano_V3!$A$26:$G$769,7,0)</f>
        <v>1. Concluído</v>
      </c>
      <c r="H691" s="135" t="s">
        <v>612</v>
      </c>
      <c r="I691" s="473"/>
      <c r="J691" s="142"/>
      <c r="K691" s="142"/>
      <c r="L691" s="142"/>
      <c r="M691" s="152" t="str">
        <f>IF(VLOOKUP(A682,'Aux - pivots1'!$A:$E,3,0)=0, "",VLOOKUP(A682,'Aux - pivots1'!$A:$E,3,0))</f>
        <v/>
      </c>
      <c r="N691" s="152" t="str">
        <f>IF(VLOOKUP(A682,'Aux - pivots1'!$A:$E,4,0)=0, "",VLOOKUP(A682,'Aux - pivots1'!$A:$E,4,0))</f>
        <v/>
      </c>
      <c r="O691" s="152" t="str">
        <f>IF(VLOOKUP(A682,'Aux - pivots1'!$A:$E,5,0)=0, "",VLOOKUP(A682,'Aux - pivots1'!$A:$E,5,0))</f>
        <v/>
      </c>
      <c r="P691" s="202"/>
      <c r="Q691" s="202"/>
      <c r="R691" s="202"/>
      <c r="S691" s="324"/>
      <c r="T691" s="324"/>
      <c r="U691" s="372" t="s">
        <v>2326</v>
      </c>
      <c r="V691" s="323"/>
    </row>
    <row r="692" spans="1:22" ht="16.350000000000001" hidden="1" customHeight="1">
      <c r="A692" s="29" t="str">
        <f t="shared" si="12"/>
        <v>lt002_instrumentaccmltd_imprmnt_instrmnt</v>
      </c>
      <c r="B692" s="141" t="s">
        <v>26</v>
      </c>
      <c r="C692" s="137" t="s">
        <v>26</v>
      </c>
      <c r="D692" s="133" t="s">
        <v>40</v>
      </c>
      <c r="E692" s="136" t="s">
        <v>379</v>
      </c>
      <c r="F692" s="480" t="s">
        <v>411</v>
      </c>
      <c r="G692" s="135" t="str">
        <f>VLOOKUP(A692,Plano_V3!$A$26:$G$769,7,0)</f>
        <v>1. Concluído</v>
      </c>
      <c r="H692" s="135" t="s">
        <v>612</v>
      </c>
      <c r="I692" s="473"/>
      <c r="J692" s="142"/>
      <c r="K692" s="142"/>
      <c r="L692" s="142"/>
      <c r="M692" s="152" t="str">
        <f>IF(VLOOKUP(A683,'Aux - pivots1'!$A:$E,3,0)=0, "",VLOOKUP(A683,'Aux - pivots1'!$A:$E,3,0))</f>
        <v/>
      </c>
      <c r="N692" s="152" t="str">
        <f>IF(VLOOKUP(A683,'Aux - pivots1'!$A:$E,4,0)=0, "",VLOOKUP(A683,'Aux - pivots1'!$A:$E,4,0))</f>
        <v/>
      </c>
      <c r="O692" s="152" t="str">
        <f>IF(VLOOKUP(A683,'Aux - pivots1'!$A:$E,5,0)=0, "",VLOOKUP(A683,'Aux - pivots1'!$A:$E,5,0))</f>
        <v/>
      </c>
      <c r="P692" s="202"/>
      <c r="Q692" s="202"/>
      <c r="R692" s="202"/>
      <c r="S692" s="324"/>
      <c r="T692" s="324"/>
      <c r="U692" s="372" t="s">
        <v>2326</v>
      </c>
      <c r="V692" s="323"/>
    </row>
    <row r="693" spans="1:22" ht="16.350000000000001" hidden="1" customHeight="1">
      <c r="A693" s="29" t="str">
        <f t="shared" si="12"/>
        <v>lt002_instrumentissr_cntry</v>
      </c>
      <c r="B693" s="141" t="s">
        <v>26</v>
      </c>
      <c r="C693" s="137" t="s">
        <v>26</v>
      </c>
      <c r="D693" s="133" t="s">
        <v>40</v>
      </c>
      <c r="E693" s="136" t="s">
        <v>379</v>
      </c>
      <c r="F693" s="480" t="s">
        <v>412</v>
      </c>
      <c r="G693" s="135" t="str">
        <f>VLOOKUP(A693,Plano_V3!$A$26:$G$769,7,0)</f>
        <v>1. Concluído</v>
      </c>
      <c r="H693" s="135" t="s">
        <v>612</v>
      </c>
      <c r="I693" s="473"/>
      <c r="J693" s="142"/>
      <c r="K693" s="142"/>
      <c r="L693" s="142"/>
      <c r="M693" s="152" t="str">
        <f>IF(VLOOKUP(A684,'Aux - pivots1'!$A:$E,3,0)=0, "",VLOOKUP(A684,'Aux - pivots1'!$A:$E,3,0))</f>
        <v/>
      </c>
      <c r="N693" s="152" t="str">
        <f>IF(VLOOKUP(A684,'Aux - pivots1'!$A:$E,4,0)=0, "",VLOOKUP(A684,'Aux - pivots1'!$A:$E,4,0))</f>
        <v/>
      </c>
      <c r="O693" s="152" t="str">
        <f>IF(VLOOKUP(A684,'Aux - pivots1'!$A:$E,5,0)=0, "",VLOOKUP(A684,'Aux - pivots1'!$A:$E,5,0))</f>
        <v/>
      </c>
      <c r="P693" s="202"/>
      <c r="Q693" s="202"/>
      <c r="R693" s="202"/>
      <c r="S693" s="324"/>
      <c r="T693" s="324"/>
      <c r="U693" s="372" t="s">
        <v>2326</v>
      </c>
      <c r="V693" s="323"/>
    </row>
    <row r="694" spans="1:22" ht="16.350000000000001" hidden="1" customHeight="1">
      <c r="A694" s="29" t="str">
        <f t="shared" si="12"/>
        <v>lt002_instrumentissr_nace_sctr</v>
      </c>
      <c r="B694" s="141" t="s">
        <v>26</v>
      </c>
      <c r="C694" s="137" t="s">
        <v>26</v>
      </c>
      <c r="D694" s="133" t="s">
        <v>40</v>
      </c>
      <c r="E694" s="136" t="s">
        <v>379</v>
      </c>
      <c r="F694" s="480" t="s">
        <v>413</v>
      </c>
      <c r="G694" s="135" t="str">
        <f>VLOOKUP(A694,Plano_V3!$A$26:$G$769,7,0)</f>
        <v>1. Concluído</v>
      </c>
      <c r="H694" s="135" t="s">
        <v>612</v>
      </c>
      <c r="I694" s="473"/>
      <c r="J694" s="142"/>
      <c r="K694" s="142"/>
      <c r="L694" s="142"/>
      <c r="M694" s="152" t="str">
        <f>IF(VLOOKUP(A685,'Aux - pivots1'!$A:$E,3,0)=0, "",VLOOKUP(A685,'Aux - pivots1'!$A:$E,3,0))</f>
        <v/>
      </c>
      <c r="N694" s="152" t="str">
        <f>IF(VLOOKUP(A685,'Aux - pivots1'!$A:$E,4,0)=0, "",VLOOKUP(A685,'Aux - pivots1'!$A:$E,4,0))</f>
        <v/>
      </c>
      <c r="O694" s="152" t="str">
        <f>IF(VLOOKUP(A685,'Aux - pivots1'!$A:$E,5,0)=0, "",VLOOKUP(A685,'Aux - pivots1'!$A:$E,5,0))</f>
        <v/>
      </c>
      <c r="P694" s="202"/>
      <c r="Q694" s="202"/>
      <c r="R694" s="202"/>
      <c r="S694" s="324"/>
      <c r="T694" s="324"/>
      <c r="U694" s="372" t="s">
        <v>2326</v>
      </c>
      <c r="V694" s="323"/>
    </row>
    <row r="695" spans="1:22" ht="16.350000000000001" hidden="1" customHeight="1">
      <c r="A695" s="29" t="str">
        <f t="shared" si="12"/>
        <v>lt002_instrumentprmry_asst_clssf</v>
      </c>
      <c r="B695" s="141" t="s">
        <v>26</v>
      </c>
      <c r="C695" s="137" t="s">
        <v>26</v>
      </c>
      <c r="D695" s="133" t="s">
        <v>40</v>
      </c>
      <c r="E695" s="136" t="s">
        <v>379</v>
      </c>
      <c r="F695" s="480" t="s">
        <v>414</v>
      </c>
      <c r="G695" s="135" t="str">
        <f>VLOOKUP(A695,Plano_V3!$A$26:$G$769,7,0)</f>
        <v>1. Concluído</v>
      </c>
      <c r="H695" s="135" t="s">
        <v>612</v>
      </c>
      <c r="I695" s="473"/>
      <c r="J695" s="142"/>
      <c r="K695" s="142"/>
      <c r="L695" s="142"/>
      <c r="M695" s="152" t="str">
        <f>IF(VLOOKUP(A686,'Aux - pivots1'!$A:$E,3,0)=0, "",VLOOKUP(A686,'Aux - pivots1'!$A:$E,3,0))</f>
        <v/>
      </c>
      <c r="N695" s="152" t="str">
        <f>IF(VLOOKUP(A686,'Aux - pivots1'!$A:$E,4,0)=0, "",VLOOKUP(A686,'Aux - pivots1'!$A:$E,4,0))</f>
        <v/>
      </c>
      <c r="O695" s="152" t="str">
        <f>IF(VLOOKUP(A686,'Aux - pivots1'!$A:$E,5,0)=0, "",VLOOKUP(A686,'Aux - pivots1'!$A:$E,5,0))</f>
        <v/>
      </c>
      <c r="P695" s="202"/>
      <c r="Q695" s="202"/>
      <c r="R695" s="202"/>
      <c r="S695" s="324"/>
      <c r="T695" s="324"/>
      <c r="U695" s="372" t="s">
        <v>2326</v>
      </c>
      <c r="V695" s="323"/>
    </row>
    <row r="696" spans="1:22" ht="16.350000000000001" hidden="1" customHeight="1">
      <c r="A696" s="29" t="str">
        <f t="shared" si="12"/>
        <v>lt002_instrumentsubportfolio_id</v>
      </c>
      <c r="B696" s="141" t="s">
        <v>26</v>
      </c>
      <c r="C696" s="137" t="s">
        <v>26</v>
      </c>
      <c r="D696" s="133" t="s">
        <v>40</v>
      </c>
      <c r="E696" s="136" t="s">
        <v>379</v>
      </c>
      <c r="F696" s="480" t="s">
        <v>415</v>
      </c>
      <c r="G696" s="135" t="str">
        <f>VLOOKUP(A696,Plano_V3!$A$26:$G$769,7,0)</f>
        <v>1. Concluído</v>
      </c>
      <c r="H696" s="135" t="s">
        <v>612</v>
      </c>
      <c r="I696" s="473"/>
      <c r="J696" s="142"/>
      <c r="K696" s="142"/>
      <c r="L696" s="142"/>
      <c r="M696" s="152" t="str">
        <f>IF(VLOOKUP(A687,'Aux - pivots1'!$A:$E,3,0)=0, "",VLOOKUP(A687,'Aux - pivots1'!$A:$E,3,0))</f>
        <v/>
      </c>
      <c r="N696" s="152" t="str">
        <f>IF(VLOOKUP(A687,'Aux - pivots1'!$A:$E,4,0)=0, "",VLOOKUP(A687,'Aux - pivots1'!$A:$E,4,0))</f>
        <v/>
      </c>
      <c r="O696" s="152" t="str">
        <f>IF(VLOOKUP(A687,'Aux - pivots1'!$A:$E,5,0)=0, "",VLOOKUP(A687,'Aux - pivots1'!$A:$E,5,0))</f>
        <v/>
      </c>
      <c r="P696" s="202"/>
      <c r="Q696" s="202"/>
      <c r="R696" s="202"/>
      <c r="S696" s="324"/>
      <c r="T696" s="324"/>
      <c r="U696" s="372" t="s">
        <v>2326</v>
      </c>
      <c r="V696" s="323"/>
    </row>
    <row r="697" spans="1:22" ht="16.350000000000001" hidden="1" customHeight="1">
      <c r="A697" s="29" t="str">
        <f t="shared" si="12"/>
        <v>lt002_instrumentcod_soc</v>
      </c>
      <c r="B697" s="141" t="s">
        <v>26</v>
      </c>
      <c r="C697" s="137" t="s">
        <v>26</v>
      </c>
      <c r="D697" s="133" t="s">
        <v>40</v>
      </c>
      <c r="E697" s="136" t="s">
        <v>379</v>
      </c>
      <c r="F697" s="480" t="s">
        <v>416</v>
      </c>
      <c r="G697" s="135" t="str">
        <f>VLOOKUP(A697,Plano_V3!$A$26:$G$769,7,0)</f>
        <v>1. Concluído</v>
      </c>
      <c r="H697" s="135" t="s">
        <v>612</v>
      </c>
      <c r="I697" s="473"/>
      <c r="J697" s="142"/>
      <c r="K697" s="142"/>
      <c r="L697" s="142"/>
      <c r="M697" s="152" t="str">
        <f>IF(VLOOKUP(A688,'Aux - pivots1'!$A:$E,3,0)=0, "",VLOOKUP(A688,'Aux - pivots1'!$A:$E,3,0))</f>
        <v/>
      </c>
      <c r="N697" s="152" t="str">
        <f>IF(VLOOKUP(A688,'Aux - pivots1'!$A:$E,4,0)=0, "",VLOOKUP(A688,'Aux - pivots1'!$A:$E,4,0))</f>
        <v/>
      </c>
      <c r="O697" s="152" t="str">
        <f>IF(VLOOKUP(A688,'Aux - pivots1'!$A:$E,5,0)=0, "",VLOOKUP(A688,'Aux - pivots1'!$A:$E,5,0))</f>
        <v/>
      </c>
      <c r="P697" s="202"/>
      <c r="Q697" s="202"/>
      <c r="R697" s="202"/>
      <c r="S697" s="324"/>
      <c r="T697" s="324"/>
      <c r="U697" s="372" t="s">
        <v>2326</v>
      </c>
      <c r="V697" s="323"/>
    </row>
    <row r="698" spans="1:22" ht="16.350000000000001" hidden="1" customHeight="1">
      <c r="A698" s="29" t="str">
        <f t="shared" si="12"/>
        <v>lt002_instrumentlcl_instmrnt_id</v>
      </c>
      <c r="B698" s="141" t="s">
        <v>26</v>
      </c>
      <c r="C698" s="137" t="s">
        <v>26</v>
      </c>
      <c r="D698" s="133" t="s">
        <v>40</v>
      </c>
      <c r="E698" s="136" t="s">
        <v>379</v>
      </c>
      <c r="F698" s="480" t="s">
        <v>417</v>
      </c>
      <c r="G698" s="135" t="str">
        <f>VLOOKUP(A698,Plano_V3!$A$26:$G$769,7,0)</f>
        <v>1. Concluído</v>
      </c>
      <c r="H698" s="135" t="s">
        <v>612</v>
      </c>
      <c r="I698" s="473"/>
      <c r="J698" s="142"/>
      <c r="K698" s="142"/>
      <c r="L698" s="142"/>
      <c r="M698" s="152" t="str">
        <f>IF(VLOOKUP(A689,'Aux - pivots1'!$A:$E,3,0)=0, "",VLOOKUP(A689,'Aux - pivots1'!$A:$E,3,0))</f>
        <v/>
      </c>
      <c r="N698" s="152" t="str">
        <f>IF(VLOOKUP(A689,'Aux - pivots1'!$A:$E,4,0)=0, "",VLOOKUP(A689,'Aux - pivots1'!$A:$E,4,0))</f>
        <v/>
      </c>
      <c r="O698" s="152" t="str">
        <f>IF(VLOOKUP(A689,'Aux - pivots1'!$A:$E,5,0)=0, "",VLOOKUP(A689,'Aux - pivots1'!$A:$E,5,0))</f>
        <v/>
      </c>
      <c r="P698" s="202"/>
      <c r="Q698" s="202"/>
      <c r="R698" s="202"/>
      <c r="S698" s="324"/>
      <c r="T698" s="324"/>
      <c r="U698" s="372" t="s">
        <v>2326</v>
      </c>
      <c r="V698" s="323"/>
    </row>
    <row r="699" spans="1:22" ht="16.350000000000001" hidden="1" customHeight="1">
      <c r="A699" s="29" t="str">
        <f t="shared" si="12"/>
        <v>lt002_instrumentidcmb</v>
      </c>
      <c r="B699" s="141" t="s">
        <v>26</v>
      </c>
      <c r="C699" s="137" t="s">
        <v>26</v>
      </c>
      <c r="D699" s="133" t="s">
        <v>40</v>
      </c>
      <c r="E699" s="136" t="s">
        <v>379</v>
      </c>
      <c r="F699" s="480" t="s">
        <v>423</v>
      </c>
      <c r="G699" s="135" t="str">
        <f>VLOOKUP(A699,Plano_V3!$A$26:$G$769,7,0)</f>
        <v>1. Concluído</v>
      </c>
      <c r="H699" s="135" t="s">
        <v>612</v>
      </c>
      <c r="I699" s="473"/>
      <c r="J699" s="142"/>
      <c r="K699" s="142"/>
      <c r="L699" s="142"/>
      <c r="M699" s="152" t="str">
        <f>IF(VLOOKUP(A682,'Aux - pivots1'!$A:$E,3,0)=0, "",VLOOKUP(A682,'Aux - pivots1'!$A:$E,3,0))</f>
        <v/>
      </c>
      <c r="N699" s="152" t="str">
        <f>IF(VLOOKUP(A682,'Aux - pivots1'!$A:$E,4,0)=0, "",VLOOKUP(A682,'Aux - pivots1'!$A:$E,4,0))</f>
        <v/>
      </c>
      <c r="O699" s="152" t="str">
        <f>IF(VLOOKUP(A682,'Aux - pivots1'!$A:$E,5,0)=0, "",VLOOKUP(A682,'Aux - pivots1'!$A:$E,5,0))</f>
        <v/>
      </c>
      <c r="P699" s="202"/>
      <c r="Q699" s="202"/>
      <c r="R699" s="202"/>
      <c r="S699" s="324"/>
      <c r="T699" s="324"/>
      <c r="U699" s="372" t="s">
        <v>2326</v>
      </c>
      <c r="V699" s="323"/>
    </row>
    <row r="700" spans="1:22" ht="16.350000000000001" hidden="1" customHeight="1">
      <c r="A700" s="29" t="str">
        <f t="shared" si="12"/>
        <v>lt003_entitycntry</v>
      </c>
      <c r="B700" s="141" t="s">
        <v>26</v>
      </c>
      <c r="C700" s="137" t="s">
        <v>26</v>
      </c>
      <c r="D700" s="133" t="s">
        <v>40</v>
      </c>
      <c r="E700" s="136" t="s">
        <v>335</v>
      </c>
      <c r="F700" s="480" t="s">
        <v>424</v>
      </c>
      <c r="G700" s="135" t="str">
        <f>VLOOKUP(A700,Plano_V3!$A$26:$G$769,7,0)</f>
        <v>1. Concluído</v>
      </c>
      <c r="H700" s="135" t="s">
        <v>612</v>
      </c>
      <c r="I700" s="473"/>
      <c r="J700" s="142"/>
      <c r="K700" s="142"/>
      <c r="L700" s="142"/>
      <c r="M700" s="152" t="str">
        <f>IF(VLOOKUP(A668,'Aux - pivots1'!$A:$E,3,0)=0, "",VLOOKUP(A668,'Aux - pivots1'!$A:$E,3,0))</f>
        <v/>
      </c>
      <c r="N700" s="152" t="str">
        <f>IF(VLOOKUP(A668,'Aux - pivots1'!$A:$E,4,0)=0, "",VLOOKUP(A668,'Aux - pivots1'!$A:$E,4,0))</f>
        <v/>
      </c>
      <c r="O700" s="152" t="str">
        <f>IF(VLOOKUP(A668,'Aux - pivots1'!$A:$E,5,0)=0, "",VLOOKUP(A668,'Aux - pivots1'!$A:$E,5,0))</f>
        <v/>
      </c>
      <c r="P700" s="202"/>
      <c r="Q700" s="202"/>
      <c r="R700" s="202"/>
      <c r="S700" s="324"/>
      <c r="T700" s="324"/>
      <c r="U700" s="372" t="s">
        <v>2326</v>
      </c>
      <c r="V700" s="323"/>
    </row>
    <row r="701" spans="1:22" ht="16.350000000000001" hidden="1" customHeight="1">
      <c r="A701" s="29" t="str">
        <f t="shared" si="12"/>
        <v>lt003_entitydt_rfrnc</v>
      </c>
      <c r="B701" s="141" t="s">
        <v>26</v>
      </c>
      <c r="C701" s="137" t="s">
        <v>26</v>
      </c>
      <c r="D701" s="133" t="s">
        <v>40</v>
      </c>
      <c r="E701" s="136" t="s">
        <v>335</v>
      </c>
      <c r="F701" s="480" t="s">
        <v>398</v>
      </c>
      <c r="G701" s="135" t="str">
        <f>VLOOKUP(A701,Plano_V3!$A$26:$G$769,7,0)</f>
        <v>1. Concluído</v>
      </c>
      <c r="H701" s="135" t="s">
        <v>612</v>
      </c>
      <c r="I701" s="473"/>
      <c r="J701" s="142"/>
      <c r="K701" s="142"/>
      <c r="L701" s="142"/>
      <c r="M701" s="152" t="str">
        <f>IF(VLOOKUP(A669,'Aux - pivots1'!$A:$E,3,0)=0, "",VLOOKUP(A669,'Aux - pivots1'!$A:$E,3,0))</f>
        <v/>
      </c>
      <c r="N701" s="152" t="str">
        <f>IF(VLOOKUP(A669,'Aux - pivots1'!$A:$E,4,0)=0, "",VLOOKUP(A669,'Aux - pivots1'!$A:$E,4,0))</f>
        <v/>
      </c>
      <c r="O701" s="152" t="str">
        <f>IF(VLOOKUP(A669,'Aux - pivots1'!$A:$E,5,0)=0, "",VLOOKUP(A669,'Aux - pivots1'!$A:$E,5,0))</f>
        <v/>
      </c>
      <c r="P701" s="202"/>
      <c r="Q701" s="202"/>
      <c r="R701" s="202"/>
      <c r="S701" s="324"/>
      <c r="T701" s="324"/>
      <c r="U701" s="372" t="s">
        <v>2326</v>
      </c>
      <c r="V701" s="323"/>
    </row>
    <row r="702" spans="1:22" ht="16.350000000000001" hidden="1" customHeight="1">
      <c r="A702" s="29" t="str">
        <f t="shared" si="12"/>
        <v>lt003_entityentty_id</v>
      </c>
      <c r="B702" s="141" t="s">
        <v>26</v>
      </c>
      <c r="C702" s="137" t="s">
        <v>26</v>
      </c>
      <c r="D702" s="133" t="s">
        <v>40</v>
      </c>
      <c r="E702" s="136" t="s">
        <v>335</v>
      </c>
      <c r="F702" s="480" t="s">
        <v>425</v>
      </c>
      <c r="G702" s="135" t="str">
        <f>VLOOKUP(A702,Plano_V3!$A$26:$G$769,7,0)</f>
        <v>1. Concluído</v>
      </c>
      <c r="H702" s="135" t="s">
        <v>612</v>
      </c>
      <c r="I702" s="473"/>
      <c r="J702" s="142"/>
      <c r="K702" s="142"/>
      <c r="L702" s="142"/>
      <c r="M702" s="152" t="str">
        <f>IF(VLOOKUP(A670,'Aux - pivots1'!$A:$E,3,0)=0, "",VLOOKUP(A670,'Aux - pivots1'!$A:$E,3,0))</f>
        <v/>
      </c>
      <c r="N702" s="152" t="str">
        <f>IF(VLOOKUP(A670,'Aux - pivots1'!$A:$E,4,0)=0, "",VLOOKUP(A670,'Aux - pivots1'!$A:$E,4,0))</f>
        <v/>
      </c>
      <c r="O702" s="152" t="str">
        <f>IF(VLOOKUP(A670,'Aux - pivots1'!$A:$E,5,0)=0, "",VLOOKUP(A670,'Aux - pivots1'!$A:$E,5,0))</f>
        <v/>
      </c>
      <c r="P702" s="202"/>
      <c r="Q702" s="202"/>
      <c r="R702" s="202"/>
      <c r="S702" s="324"/>
      <c r="T702" s="324"/>
      <c r="U702" s="372" t="s">
        <v>2326</v>
      </c>
      <c r="V702" s="323"/>
    </row>
    <row r="703" spans="1:22" ht="16.350000000000001" hidden="1" customHeight="1">
      <c r="A703" s="29" t="str">
        <f t="shared" si="12"/>
        <v>lt003_entitylei</v>
      </c>
      <c r="B703" s="141" t="s">
        <v>26</v>
      </c>
      <c r="C703" s="137" t="s">
        <v>26</v>
      </c>
      <c r="D703" s="133" t="s">
        <v>40</v>
      </c>
      <c r="E703" s="136" t="s">
        <v>335</v>
      </c>
      <c r="F703" s="480" t="s">
        <v>426</v>
      </c>
      <c r="G703" s="135" t="str">
        <f>VLOOKUP(A703,Plano_V3!$A$26:$G$769,7,0)</f>
        <v>1. Concluído</v>
      </c>
      <c r="H703" s="135" t="s">
        <v>612</v>
      </c>
      <c r="I703" s="473"/>
      <c r="J703" s="142"/>
      <c r="K703" s="142"/>
      <c r="L703" s="142"/>
      <c r="M703" s="152" t="str">
        <f>IF(VLOOKUP(A671,'Aux - pivots1'!$A:$E,3,0)=0, "",VLOOKUP(A671,'Aux - pivots1'!$A:$E,3,0))</f>
        <v/>
      </c>
      <c r="N703" s="152" t="str">
        <f>IF(VLOOKUP(A671,'Aux - pivots1'!$A:$E,4,0)=0, "",VLOOKUP(A671,'Aux - pivots1'!$A:$E,4,0))</f>
        <v/>
      </c>
      <c r="O703" s="152" t="str">
        <f>IF(VLOOKUP(A671,'Aux - pivots1'!$A:$E,5,0)=0, "",VLOOKUP(A671,'Aux - pivots1'!$A:$E,5,0))</f>
        <v/>
      </c>
      <c r="P703" s="202"/>
      <c r="Q703" s="202"/>
      <c r="R703" s="202"/>
      <c r="S703" s="324"/>
      <c r="T703" s="324"/>
      <c r="U703" s="372" t="s">
        <v>2326</v>
      </c>
      <c r="V703" s="323"/>
    </row>
    <row r="704" spans="1:22" ht="16.350000000000001" hidden="1" customHeight="1">
      <c r="A704" s="29" t="str">
        <f t="shared" si="12"/>
        <v>lt003_entityecnmc_actvty</v>
      </c>
      <c r="B704" s="141" t="s">
        <v>26</v>
      </c>
      <c r="C704" s="137" t="s">
        <v>26</v>
      </c>
      <c r="D704" s="133" t="s">
        <v>40</v>
      </c>
      <c r="E704" s="136" t="s">
        <v>335</v>
      </c>
      <c r="F704" s="480" t="s">
        <v>427</v>
      </c>
      <c r="G704" s="135" t="str">
        <f>VLOOKUP(A704,Plano_V3!$A$26:$G$769,7,0)</f>
        <v>1. Concluído</v>
      </c>
      <c r="H704" s="135" t="s">
        <v>612</v>
      </c>
      <c r="I704" s="473"/>
      <c r="J704" s="142"/>
      <c r="K704" s="142"/>
      <c r="L704" s="142"/>
      <c r="M704" s="152" t="str">
        <f>IF(VLOOKUP(A679,'Aux - pivots1'!$A:$E,3,0)=0, "",VLOOKUP(A679,'Aux - pivots1'!$A:$E,3,0))</f>
        <v/>
      </c>
      <c r="N704" s="152" t="str">
        <f>IF(VLOOKUP(A679,'Aux - pivots1'!$A:$E,4,0)=0, "",VLOOKUP(A679,'Aux - pivots1'!$A:$E,4,0))</f>
        <v/>
      </c>
      <c r="O704" s="152" t="str">
        <f>IF(VLOOKUP(A679,'Aux - pivots1'!$A:$E,5,0)=0, "",VLOOKUP(A679,'Aux - pivots1'!$A:$E,5,0))</f>
        <v/>
      </c>
      <c r="P704" s="202"/>
      <c r="Q704" s="202"/>
      <c r="R704" s="202"/>
      <c r="S704" s="324"/>
      <c r="T704" s="324"/>
      <c r="U704" s="372" t="s">
        <v>2326</v>
      </c>
      <c r="V704" s="323"/>
    </row>
    <row r="705" spans="1:22" ht="16.350000000000001" hidden="1" customHeight="1">
      <c r="A705" s="29" t="str">
        <f t="shared" si="12"/>
        <v>lt003_entitygrp_eqty</v>
      </c>
      <c r="B705" s="141" t="s">
        <v>26</v>
      </c>
      <c r="C705" s="137" t="s">
        <v>26</v>
      </c>
      <c r="D705" s="133" t="s">
        <v>40</v>
      </c>
      <c r="E705" s="136" t="s">
        <v>335</v>
      </c>
      <c r="F705" s="480" t="s">
        <v>428</v>
      </c>
      <c r="G705" s="135" t="str">
        <f>VLOOKUP(A705,Plano_V3!$A$26:$G$769,7,0)</f>
        <v>1. Concluído</v>
      </c>
      <c r="H705" s="135" t="s">
        <v>612</v>
      </c>
      <c r="I705" s="473"/>
      <c r="J705" s="142"/>
      <c r="K705" s="142"/>
      <c r="L705" s="142"/>
      <c r="M705" s="152" t="str">
        <f>IF(VLOOKUP(A680,'Aux - pivots1'!$A:$E,3,0)=0, "",VLOOKUP(A680,'Aux - pivots1'!$A:$E,3,0))</f>
        <v/>
      </c>
      <c r="N705" s="152" t="str">
        <f>IF(VLOOKUP(A680,'Aux - pivots1'!$A:$E,4,0)=0, "",VLOOKUP(A680,'Aux - pivots1'!$A:$E,4,0))</f>
        <v/>
      </c>
      <c r="O705" s="152" t="str">
        <f>IF(VLOOKUP(A680,'Aux - pivots1'!$A:$E,5,0)=0, "",VLOOKUP(A680,'Aux - pivots1'!$A:$E,5,0))</f>
        <v/>
      </c>
      <c r="P705" s="202"/>
      <c r="Q705" s="202"/>
      <c r="R705" s="202"/>
      <c r="S705" s="324"/>
      <c r="T705" s="324"/>
      <c r="U705" s="372" t="s">
        <v>2326</v>
      </c>
      <c r="V705" s="323"/>
    </row>
    <row r="706" spans="1:22" ht="16.350000000000001" hidden="1" customHeight="1">
      <c r="A706" s="29" t="str">
        <f t="shared" si="12"/>
        <v>lt003_entityannl_trnvr_le</v>
      </c>
      <c r="B706" s="141" t="s">
        <v>26</v>
      </c>
      <c r="C706" s="137" t="s">
        <v>26</v>
      </c>
      <c r="D706" s="133" t="s">
        <v>40</v>
      </c>
      <c r="E706" s="136" t="s">
        <v>335</v>
      </c>
      <c r="F706" s="480" t="s">
        <v>429</v>
      </c>
      <c r="G706" s="135" t="str">
        <f>VLOOKUP(A706,Plano_V3!$A$26:$G$769,7,0)</f>
        <v>1. Concluído</v>
      </c>
      <c r="H706" s="135" t="s">
        <v>612</v>
      </c>
      <c r="I706" s="473"/>
      <c r="J706" s="142"/>
      <c r="K706" s="142"/>
      <c r="L706" s="142"/>
      <c r="M706" s="152" t="str">
        <f>IF(VLOOKUP(A681,'Aux - pivots1'!$A:$E,3,0)=0, "",VLOOKUP(A681,'Aux - pivots1'!$A:$E,3,0))</f>
        <v/>
      </c>
      <c r="N706" s="152" t="str">
        <f>IF(VLOOKUP(A681,'Aux - pivots1'!$A:$E,4,0)=0, "",VLOOKUP(A681,'Aux - pivots1'!$A:$E,4,0))</f>
        <v/>
      </c>
      <c r="O706" s="152" t="str">
        <f>IF(VLOOKUP(A681,'Aux - pivots1'!$A:$E,5,0)=0, "",VLOOKUP(A681,'Aux - pivots1'!$A:$E,5,0))</f>
        <v/>
      </c>
      <c r="P706" s="202"/>
      <c r="Q706" s="202"/>
      <c r="R706" s="202"/>
      <c r="S706" s="324"/>
      <c r="T706" s="324"/>
      <c r="U706" s="372" t="s">
        <v>2326</v>
      </c>
      <c r="V706" s="323"/>
    </row>
    <row r="707" spans="1:22" ht="16.350000000000001" hidden="1" customHeight="1">
      <c r="A707" s="29" t="str">
        <f t="shared" si="12"/>
        <v>lt003_entityeqty</v>
      </c>
      <c r="B707" s="141" t="s">
        <v>26</v>
      </c>
      <c r="C707" s="137" t="s">
        <v>26</v>
      </c>
      <c r="D707" s="133" t="s">
        <v>40</v>
      </c>
      <c r="E707" s="136" t="s">
        <v>335</v>
      </c>
      <c r="F707" s="480" t="s">
        <v>430</v>
      </c>
      <c r="G707" s="135" t="str">
        <f>VLOOKUP(A707,Plano_V3!$A$26:$G$769,7,0)</f>
        <v>1. Concluído</v>
      </c>
      <c r="H707" s="135" t="s">
        <v>612</v>
      </c>
      <c r="I707" s="473"/>
      <c r="J707" s="142"/>
      <c r="K707" s="142"/>
      <c r="L707" s="142"/>
      <c r="M707" s="152" t="str">
        <f>IF(VLOOKUP(A682,'Aux - pivots1'!$A:$E,3,0)=0, "",VLOOKUP(A682,'Aux - pivots1'!$A:$E,3,0))</f>
        <v/>
      </c>
      <c r="N707" s="152" t="str">
        <f>IF(VLOOKUP(A682,'Aux - pivots1'!$A:$E,4,0)=0, "",VLOOKUP(A682,'Aux - pivots1'!$A:$E,4,0))</f>
        <v/>
      </c>
      <c r="O707" s="152" t="str">
        <f>IF(VLOOKUP(A682,'Aux - pivots1'!$A:$E,5,0)=0, "",VLOOKUP(A682,'Aux - pivots1'!$A:$E,5,0))</f>
        <v/>
      </c>
      <c r="P707" s="202"/>
      <c r="Q707" s="202"/>
      <c r="R707" s="202"/>
      <c r="S707" s="324"/>
      <c r="T707" s="324"/>
      <c r="U707" s="372" t="s">
        <v>2326</v>
      </c>
      <c r="V707" s="323"/>
    </row>
    <row r="708" spans="1:22" ht="16.350000000000001" hidden="1" customHeight="1">
      <c r="A708" s="29" t="str">
        <f t="shared" si="12"/>
        <v>lt003_entitygrp_ttl_dbt</v>
      </c>
      <c r="B708" s="141" t="s">
        <v>26</v>
      </c>
      <c r="C708" s="137" t="s">
        <v>26</v>
      </c>
      <c r="D708" s="133" t="s">
        <v>40</v>
      </c>
      <c r="E708" s="136" t="s">
        <v>335</v>
      </c>
      <c r="F708" s="480" t="s">
        <v>431</v>
      </c>
      <c r="G708" s="135" t="str">
        <f>VLOOKUP(A708,Plano_V3!$A$26:$G$769,7,0)</f>
        <v>1. Concluído</v>
      </c>
      <c r="H708" s="135" t="s">
        <v>612</v>
      </c>
      <c r="I708" s="473"/>
      <c r="J708" s="142"/>
      <c r="K708" s="142"/>
      <c r="L708" s="142"/>
      <c r="M708" s="152" t="str">
        <f>IF(VLOOKUP(A699,'Aux - pivots1'!$A:$E,3,0)=0, "",VLOOKUP(A699,'Aux - pivots1'!$A:$E,3,0))</f>
        <v/>
      </c>
      <c r="N708" s="152" t="str">
        <f>IF(VLOOKUP(A699,'Aux - pivots1'!$A:$E,4,0)=0, "",VLOOKUP(A699,'Aux - pivots1'!$A:$E,4,0))</f>
        <v/>
      </c>
      <c r="O708" s="152" t="str">
        <f>IF(VLOOKUP(A699,'Aux - pivots1'!$A:$E,5,0)=0, "",VLOOKUP(A699,'Aux - pivots1'!$A:$E,5,0))</f>
        <v/>
      </c>
      <c r="P708" s="202"/>
      <c r="Q708" s="202"/>
      <c r="R708" s="202"/>
      <c r="S708" s="324"/>
      <c r="T708" s="324"/>
      <c r="U708" s="372" t="s">
        <v>2326</v>
      </c>
      <c r="V708" s="323"/>
    </row>
    <row r="709" spans="1:22" ht="16.350000000000001" hidden="1" customHeight="1">
      <c r="A709" s="29" t="str">
        <f t="shared" si="12"/>
        <v>lt003_entityttl_dbt</v>
      </c>
      <c r="B709" s="141" t="s">
        <v>26</v>
      </c>
      <c r="C709" s="137" t="s">
        <v>26</v>
      </c>
      <c r="D709" s="133" t="s">
        <v>40</v>
      </c>
      <c r="E709" s="136" t="s">
        <v>335</v>
      </c>
      <c r="F709" s="480" t="s">
        <v>432</v>
      </c>
      <c r="G709" s="135" t="str">
        <f>VLOOKUP(A709,Plano_V3!$A$26:$G$769,7,0)</f>
        <v>1. Concluído</v>
      </c>
      <c r="H709" s="135" t="s">
        <v>612</v>
      </c>
      <c r="I709" s="473"/>
      <c r="J709" s="142"/>
      <c r="K709" s="142"/>
      <c r="L709" s="142"/>
      <c r="M709" s="152" t="str">
        <f>IF(VLOOKUP(A683,'Aux - pivots1'!$A:$E,3,0)=0, "",VLOOKUP(A683,'Aux - pivots1'!$A:$E,3,0))</f>
        <v/>
      </c>
      <c r="N709" s="152" t="str">
        <f>IF(VLOOKUP(A683,'Aux - pivots1'!$A:$E,4,0)=0, "",VLOOKUP(A683,'Aux - pivots1'!$A:$E,4,0))</f>
        <v/>
      </c>
      <c r="O709" s="152" t="str">
        <f>IF(VLOOKUP(A683,'Aux - pivots1'!$A:$E,5,0)=0, "",VLOOKUP(A683,'Aux - pivots1'!$A:$E,5,0))</f>
        <v/>
      </c>
      <c r="P709" s="202"/>
      <c r="Q709" s="202"/>
      <c r="R709" s="202"/>
      <c r="S709" s="324"/>
      <c r="T709" s="324"/>
      <c r="U709" s="372" t="s">
        <v>2326</v>
      </c>
      <c r="V709" s="323"/>
    </row>
    <row r="710" spans="1:22" ht="16.350000000000001" hidden="1" customHeight="1">
      <c r="A710" s="29" t="str">
        <f t="shared" si="12"/>
        <v>lt003_entitycod_soc</v>
      </c>
      <c r="B710" s="141" t="s">
        <v>26</v>
      </c>
      <c r="C710" s="137" t="s">
        <v>26</v>
      </c>
      <c r="D710" s="133" t="s">
        <v>40</v>
      </c>
      <c r="E710" s="136" t="s">
        <v>335</v>
      </c>
      <c r="F710" s="480" t="s">
        <v>416</v>
      </c>
      <c r="G710" s="135" t="str">
        <f>VLOOKUP(A710,Plano_V3!$A$26:$G$769,7,0)</f>
        <v>1. Concluído</v>
      </c>
      <c r="H710" s="135" t="s">
        <v>612</v>
      </c>
      <c r="I710" s="473"/>
      <c r="J710" s="142"/>
      <c r="K710" s="142"/>
      <c r="L710" s="142"/>
      <c r="M710" s="152" t="str">
        <f>IF(VLOOKUP(A684,'Aux - pivots1'!$A:$E,3,0)=0, "",VLOOKUP(A684,'Aux - pivots1'!$A:$E,3,0))</f>
        <v/>
      </c>
      <c r="N710" s="152" t="str">
        <f>IF(VLOOKUP(A684,'Aux - pivots1'!$A:$E,4,0)=0, "",VLOOKUP(A684,'Aux - pivots1'!$A:$E,4,0))</f>
        <v/>
      </c>
      <c r="O710" s="152" t="str">
        <f>IF(VLOOKUP(A684,'Aux - pivots1'!$A:$E,5,0)=0, "",VLOOKUP(A684,'Aux - pivots1'!$A:$E,5,0))</f>
        <v/>
      </c>
      <c r="P710" s="202"/>
      <c r="Q710" s="202"/>
      <c r="R710" s="202"/>
      <c r="S710" s="324"/>
      <c r="T710" s="324"/>
      <c r="U710" s="372" t="s">
        <v>2326</v>
      </c>
      <c r="V710" s="323"/>
    </row>
    <row r="711" spans="1:22" ht="16.350000000000001" hidden="1" customHeight="1">
      <c r="A711" s="29" t="str">
        <f t="shared" si="12"/>
        <v>lt004_protectiondt_rfrnc</v>
      </c>
      <c r="B711" s="141" t="s">
        <v>26</v>
      </c>
      <c r="C711" s="137" t="s">
        <v>26</v>
      </c>
      <c r="D711" s="133" t="s">
        <v>40</v>
      </c>
      <c r="E711" s="136" t="s">
        <v>368</v>
      </c>
      <c r="F711" s="480" t="s">
        <v>398</v>
      </c>
      <c r="G711" s="135" t="str">
        <f>VLOOKUP(A711,Plano_V3!$A$26:$G$769,7,0)</f>
        <v>1. Concluído</v>
      </c>
      <c r="H711" s="135" t="s">
        <v>612</v>
      </c>
      <c r="I711" s="473"/>
      <c r="J711" s="142"/>
      <c r="K711" s="142"/>
      <c r="L711" s="142"/>
      <c r="M711" s="152" t="str">
        <f>IF(VLOOKUP(A678,'Aux - pivots1'!$A:$E,3,0)=0, "",VLOOKUP(A678,'Aux - pivots1'!$A:$E,3,0))</f>
        <v/>
      </c>
      <c r="N711" s="152" t="str">
        <f>IF(VLOOKUP(A678,'Aux - pivots1'!$A:$E,4,0)=0, "",VLOOKUP(A678,'Aux - pivots1'!$A:$E,4,0))</f>
        <v/>
      </c>
      <c r="O711" s="152" t="str">
        <f>IF(VLOOKUP(A678,'Aux - pivots1'!$A:$E,5,0)=0, "",VLOOKUP(A678,'Aux - pivots1'!$A:$E,5,0))</f>
        <v/>
      </c>
      <c r="P711" s="202"/>
      <c r="Q711" s="202"/>
      <c r="R711" s="202"/>
      <c r="S711" s="324"/>
      <c r="T711" s="324"/>
      <c r="U711" s="372" t="s">
        <v>2326</v>
      </c>
      <c r="V711" s="323"/>
    </row>
    <row r="712" spans="1:22" ht="16.350000000000001" hidden="1" customHeight="1">
      <c r="A712" s="29" t="str">
        <f t="shared" si="12"/>
        <v>lt004_protectionprtctn_id</v>
      </c>
      <c r="B712" s="141" t="s">
        <v>26</v>
      </c>
      <c r="C712" s="137" t="s">
        <v>26</v>
      </c>
      <c r="D712" s="133" t="s">
        <v>40</v>
      </c>
      <c r="E712" s="136" t="s">
        <v>368</v>
      </c>
      <c r="F712" s="480" t="s">
        <v>433</v>
      </c>
      <c r="G712" s="135" t="str">
        <f>VLOOKUP(A712,Plano_V3!$A$26:$G$769,7,0)</f>
        <v>1. Concluído</v>
      </c>
      <c r="H712" s="135" t="s">
        <v>612</v>
      </c>
      <c r="I712" s="473"/>
      <c r="J712" s="142"/>
      <c r="K712" s="142"/>
      <c r="L712" s="142"/>
      <c r="M712" s="152" t="str">
        <f>IF(VLOOKUP(A679,'Aux - pivots1'!$A:$E,3,0)=0, "",VLOOKUP(A679,'Aux - pivots1'!$A:$E,3,0))</f>
        <v/>
      </c>
      <c r="N712" s="152" t="str">
        <f>IF(VLOOKUP(A679,'Aux - pivots1'!$A:$E,4,0)=0, "",VLOOKUP(A679,'Aux - pivots1'!$A:$E,4,0))</f>
        <v/>
      </c>
      <c r="O712" s="152" t="str">
        <f>IF(VLOOKUP(A679,'Aux - pivots1'!$A:$E,5,0)=0, "",VLOOKUP(A679,'Aux - pivots1'!$A:$E,5,0))</f>
        <v/>
      </c>
      <c r="P712" s="202">
        <v>45588</v>
      </c>
      <c r="Q712" s="202"/>
      <c r="R712" s="202"/>
      <c r="S712" s="324"/>
      <c r="T712" s="324"/>
      <c r="U712" s="372" t="s">
        <v>2326</v>
      </c>
      <c r="V712" s="323"/>
    </row>
    <row r="713" spans="1:22" ht="16.350000000000001" hidden="1" customHeight="1">
      <c r="A713" s="29" t="str">
        <f t="shared" si="12"/>
        <v>lt004_protectionrl_estt_clltrl_lctn</v>
      </c>
      <c r="B713" s="141" t="s">
        <v>26</v>
      </c>
      <c r="C713" s="137" t="s">
        <v>26</v>
      </c>
      <c r="D713" s="133" t="s">
        <v>40</v>
      </c>
      <c r="E713" s="136" t="s">
        <v>368</v>
      </c>
      <c r="F713" s="480" t="s">
        <v>434</v>
      </c>
      <c r="G713" s="135" t="str">
        <f>VLOOKUP(A713,Plano_V3!$A$26:$G$769,7,0)</f>
        <v>1. Concluído</v>
      </c>
      <c r="H713" s="135" t="s">
        <v>612</v>
      </c>
      <c r="I713" s="473"/>
      <c r="J713" s="142"/>
      <c r="K713" s="142"/>
      <c r="L713" s="142" t="s">
        <v>2360</v>
      </c>
      <c r="M713" s="152" t="str">
        <f>IF(VLOOKUP(A680,'Aux - pivots1'!$A:$E,3,0)=0, "",VLOOKUP(A680,'Aux - pivots1'!$A:$E,3,0))</f>
        <v/>
      </c>
      <c r="N713" s="152" t="str">
        <f>IF(VLOOKUP(A680,'Aux - pivots1'!$A:$E,4,0)=0, "",VLOOKUP(A680,'Aux - pivots1'!$A:$E,4,0))</f>
        <v/>
      </c>
      <c r="O713" s="152" t="str">
        <f>IF(VLOOKUP(A680,'Aux - pivots1'!$A:$E,5,0)=0, "",VLOOKUP(A680,'Aux - pivots1'!$A:$E,5,0))</f>
        <v/>
      </c>
      <c r="P713" s="202">
        <v>45588</v>
      </c>
      <c r="Q713" s="202"/>
      <c r="R713" s="202"/>
      <c r="S713" s="324"/>
      <c r="T713" s="324"/>
      <c r="U713" s="372" t="s">
        <v>2326</v>
      </c>
      <c r="V713" s="323"/>
    </row>
    <row r="714" spans="1:22" ht="16.350000000000001" hidden="1" customHeight="1">
      <c r="A714" s="29" t="str">
        <f t="shared" si="12"/>
        <v>lt004_protectionrl_estt_pst_cd</v>
      </c>
      <c r="B714" s="141" t="s">
        <v>26</v>
      </c>
      <c r="C714" s="137" t="s">
        <v>26</v>
      </c>
      <c r="D714" s="133" t="s">
        <v>40</v>
      </c>
      <c r="E714" s="136" t="s">
        <v>368</v>
      </c>
      <c r="F714" s="480" t="s">
        <v>435</v>
      </c>
      <c r="G714" s="135" t="str">
        <f>VLOOKUP(A714,Plano_V3!$A$26:$G$769,7,0)</f>
        <v>1. Concluído</v>
      </c>
      <c r="H714" s="135" t="s">
        <v>612</v>
      </c>
      <c r="I714" s="473"/>
      <c r="J714" s="142"/>
      <c r="K714" s="142"/>
      <c r="L714" s="142"/>
      <c r="M714" s="152" t="str">
        <f>IF(VLOOKUP(A681,'Aux - pivots1'!$A:$E,3,0)=0, "",VLOOKUP(A681,'Aux - pivots1'!$A:$E,3,0))</f>
        <v/>
      </c>
      <c r="N714" s="152" t="str">
        <f>IF(VLOOKUP(A681,'Aux - pivots1'!$A:$E,4,0)=0, "",VLOOKUP(A681,'Aux - pivots1'!$A:$E,4,0))</f>
        <v/>
      </c>
      <c r="O714" s="152" t="str">
        <f>IF(VLOOKUP(A681,'Aux - pivots1'!$A:$E,5,0)=0, "",VLOOKUP(A681,'Aux - pivots1'!$A:$E,5,0))</f>
        <v/>
      </c>
      <c r="P714" s="202">
        <v>45588</v>
      </c>
      <c r="Q714" s="202"/>
      <c r="R714" s="202"/>
      <c r="S714" s="324"/>
      <c r="T714" s="324"/>
      <c r="U714" s="372" t="s">
        <v>2326</v>
      </c>
      <c r="V714" s="323"/>
    </row>
    <row r="715" spans="1:22" ht="16.350000000000001" hidden="1" customHeight="1">
      <c r="A715" s="29" t="str">
        <f t="shared" si="12"/>
        <v>lt004_protectiontyp_prtctn</v>
      </c>
      <c r="B715" s="141" t="s">
        <v>26</v>
      </c>
      <c r="C715" s="137" t="s">
        <v>26</v>
      </c>
      <c r="D715" s="133" t="s">
        <v>40</v>
      </c>
      <c r="E715" s="136" t="s">
        <v>368</v>
      </c>
      <c r="F715" s="480" t="s">
        <v>436</v>
      </c>
      <c r="G715" s="135" t="str">
        <f>VLOOKUP(A715,Plano_V3!$A$26:$G$769,7,0)</f>
        <v>1. Concluído</v>
      </c>
      <c r="H715" s="135" t="s">
        <v>612</v>
      </c>
      <c r="I715" s="473"/>
      <c r="J715" s="142"/>
      <c r="K715" s="142"/>
      <c r="L715" s="142"/>
      <c r="M715" s="152" t="str">
        <f>IF(VLOOKUP(A682,'Aux - pivots1'!$A:$E,3,0)=0, "",VLOOKUP(A682,'Aux - pivots1'!$A:$E,3,0))</f>
        <v/>
      </c>
      <c r="N715" s="152" t="str">
        <f>IF(VLOOKUP(A682,'Aux - pivots1'!$A:$E,4,0)=0, "",VLOOKUP(A682,'Aux - pivots1'!$A:$E,4,0))</f>
        <v/>
      </c>
      <c r="O715" s="152" t="str">
        <f>IF(VLOOKUP(A682,'Aux - pivots1'!$A:$E,5,0)=0, "",VLOOKUP(A682,'Aux - pivots1'!$A:$E,5,0))</f>
        <v/>
      </c>
      <c r="P715" s="202">
        <v>45595</v>
      </c>
      <c r="Q715" s="202"/>
      <c r="R715" s="202"/>
      <c r="S715" s="324"/>
      <c r="T715" s="324"/>
      <c r="U715" s="372" t="s">
        <v>2326</v>
      </c>
      <c r="V715" s="323"/>
    </row>
    <row r="716" spans="1:22" ht="16.350000000000001" hidden="1" customHeight="1">
      <c r="A716" s="29" t="str">
        <f t="shared" si="12"/>
        <v>lt004_protectionorgnl_prtctn_vl</v>
      </c>
      <c r="B716" s="141" t="s">
        <v>26</v>
      </c>
      <c r="C716" s="137" t="s">
        <v>26</v>
      </c>
      <c r="D716" s="133" t="s">
        <v>40</v>
      </c>
      <c r="E716" s="136" t="s">
        <v>368</v>
      </c>
      <c r="F716" s="480" t="s">
        <v>437</v>
      </c>
      <c r="G716" s="135" t="str">
        <f>VLOOKUP(A716,Plano_V3!$A$26:$G$769,7,0)</f>
        <v>1. Concluído</v>
      </c>
      <c r="H716" s="135" t="s">
        <v>612</v>
      </c>
      <c r="I716" s="473"/>
      <c r="J716" s="142"/>
      <c r="K716" s="142"/>
      <c r="L716" s="142"/>
      <c r="M716" s="152" t="str">
        <f>IF(VLOOKUP(A683,'Aux - pivots1'!$A:$E,3,0)=0, "",VLOOKUP(A683,'Aux - pivots1'!$A:$E,3,0))</f>
        <v/>
      </c>
      <c r="N716" s="152" t="str">
        <f>IF(VLOOKUP(A683,'Aux - pivots1'!$A:$E,4,0)=0, "",VLOOKUP(A683,'Aux - pivots1'!$A:$E,4,0))</f>
        <v/>
      </c>
      <c r="O716" s="152" t="str">
        <f>IF(VLOOKUP(A683,'Aux - pivots1'!$A:$E,5,0)=0, "",VLOOKUP(A683,'Aux - pivots1'!$A:$E,5,0))</f>
        <v/>
      </c>
      <c r="P716" s="202">
        <v>45595</v>
      </c>
      <c r="Q716" s="202"/>
      <c r="R716" s="202"/>
      <c r="S716" s="324"/>
      <c r="T716" s="324"/>
      <c r="U716" s="372" t="s">
        <v>2326</v>
      </c>
      <c r="V716" s="323"/>
    </row>
    <row r="717" spans="1:22" ht="16.350000000000001" hidden="1" customHeight="1">
      <c r="A717" s="29" t="str">
        <f t="shared" ref="A717:A741" si="13">E717&amp;F717</f>
        <v>lt004_protectionprtctn_vl</v>
      </c>
      <c r="B717" s="141" t="s">
        <v>26</v>
      </c>
      <c r="C717" s="137" t="s">
        <v>26</v>
      </c>
      <c r="D717" s="133" t="s">
        <v>40</v>
      </c>
      <c r="E717" s="136" t="s">
        <v>368</v>
      </c>
      <c r="F717" s="480" t="s">
        <v>438</v>
      </c>
      <c r="G717" s="135" t="str">
        <f>VLOOKUP(A717,Plano_V3!$A$26:$G$769,7,0)</f>
        <v>1. Concluído</v>
      </c>
      <c r="H717" s="135" t="s">
        <v>612</v>
      </c>
      <c r="I717" s="473"/>
      <c r="J717" s="142"/>
      <c r="K717" s="142"/>
      <c r="L717" s="142"/>
      <c r="M717" s="152" t="str">
        <f>IF(VLOOKUP(A684,'Aux - pivots1'!$A:$E,3,0)=0, "",VLOOKUP(A684,'Aux - pivots1'!$A:$E,3,0))</f>
        <v/>
      </c>
      <c r="N717" s="152" t="str">
        <f>IF(VLOOKUP(A684,'Aux - pivots1'!$A:$E,4,0)=0, "",VLOOKUP(A684,'Aux - pivots1'!$A:$E,4,0))</f>
        <v/>
      </c>
      <c r="O717" s="152" t="str">
        <f>IF(VLOOKUP(A684,'Aux - pivots1'!$A:$E,5,0)=0, "",VLOOKUP(A684,'Aux - pivots1'!$A:$E,5,0))</f>
        <v/>
      </c>
      <c r="P717" s="202">
        <v>45588</v>
      </c>
      <c r="Q717" s="202"/>
      <c r="R717" s="202"/>
      <c r="S717" s="324"/>
      <c r="T717" s="324"/>
      <c r="U717" s="372" t="s">
        <v>2326</v>
      </c>
      <c r="V717" s="323"/>
    </row>
    <row r="718" spans="1:22" ht="16.350000000000001" hidden="1" customHeight="1">
      <c r="A718" s="29" t="str">
        <f t="shared" si="13"/>
        <v>lt004_protectioncod_soc</v>
      </c>
      <c r="B718" s="141" t="s">
        <v>26</v>
      </c>
      <c r="C718" s="137" t="s">
        <v>26</v>
      </c>
      <c r="D718" s="133" t="s">
        <v>40</v>
      </c>
      <c r="E718" s="136" t="s">
        <v>368</v>
      </c>
      <c r="F718" s="480" t="s">
        <v>416</v>
      </c>
      <c r="G718" s="135" t="str">
        <f>VLOOKUP(A718,Plano_V3!$A$26:$G$769,7,0)</f>
        <v>1. Concluído</v>
      </c>
      <c r="H718" s="135" t="s">
        <v>612</v>
      </c>
      <c r="I718" s="473"/>
      <c r="J718" s="142"/>
      <c r="K718" s="142"/>
      <c r="L718" s="142"/>
      <c r="M718" s="152" t="str">
        <f>IF(VLOOKUP(A709,'Aux - pivots1'!$A:$E,3,0)=0, "",VLOOKUP(A709,'Aux - pivots1'!$A:$E,3,0))</f>
        <v/>
      </c>
      <c r="N718" s="152" t="str">
        <f>IF(VLOOKUP(A709,'Aux - pivots1'!$A:$E,4,0)=0, "",VLOOKUP(A709,'Aux - pivots1'!$A:$E,4,0))</f>
        <v/>
      </c>
      <c r="O718" s="152" t="str">
        <f>IF(VLOOKUP(A709,'Aux - pivots1'!$A:$E,5,0)=0, "",VLOOKUP(A709,'Aux - pivots1'!$A:$E,5,0))</f>
        <v/>
      </c>
      <c r="P718" s="202"/>
      <c r="Q718" s="202"/>
      <c r="R718" s="202"/>
      <c r="S718" s="324"/>
      <c r="T718" s="324"/>
      <c r="U718" s="372" t="s">
        <v>2326</v>
      </c>
      <c r="V718" s="323"/>
    </row>
    <row r="719" spans="1:22" ht="16.350000000000001" hidden="1" customHeight="1">
      <c r="A719" s="29" t="str">
        <f t="shared" si="13"/>
        <v>lt005_instr_entdt_rfrnc</v>
      </c>
      <c r="B719" s="141" t="s">
        <v>26</v>
      </c>
      <c r="C719" s="137" t="s">
        <v>26</v>
      </c>
      <c r="D719" s="133" t="s">
        <v>40</v>
      </c>
      <c r="E719" s="136" t="s">
        <v>439</v>
      </c>
      <c r="F719" s="480" t="s">
        <v>398</v>
      </c>
      <c r="G719" s="135" t="str">
        <f>VLOOKUP(A719,Plano_V3!$A$26:$G$769,7,0)</f>
        <v>1. Concluído</v>
      </c>
      <c r="H719" s="135" t="s">
        <v>612</v>
      </c>
      <c r="I719" s="473"/>
      <c r="J719" s="142"/>
      <c r="K719" s="142"/>
      <c r="L719" s="142"/>
      <c r="M719" s="152" t="str">
        <f>IF(VLOOKUP(A710,'Aux - pivots1'!$A:$E,3,0)=0, "",VLOOKUP(A710,'Aux - pivots1'!$A:$E,3,0))</f>
        <v/>
      </c>
      <c r="N719" s="152" t="str">
        <f>IF(VLOOKUP(A710,'Aux - pivots1'!$A:$E,4,0)=0, "",VLOOKUP(A710,'Aux - pivots1'!$A:$E,4,0))</f>
        <v/>
      </c>
      <c r="O719" s="152" t="str">
        <f>IF(VLOOKUP(A710,'Aux - pivots1'!$A:$E,5,0)=0, "",VLOOKUP(A710,'Aux - pivots1'!$A:$E,5,0))</f>
        <v/>
      </c>
      <c r="P719" s="202"/>
      <c r="Q719" s="202"/>
      <c r="R719" s="202"/>
      <c r="S719" s="324"/>
      <c r="T719" s="324"/>
      <c r="U719" s="372" t="s">
        <v>2326</v>
      </c>
      <c r="V719" s="323"/>
    </row>
    <row r="720" spans="1:22" ht="16.350000000000001" hidden="1" customHeight="1">
      <c r="A720" s="29" t="str">
        <f t="shared" si="13"/>
        <v>lt005_instr_ententty_id</v>
      </c>
      <c r="B720" s="141" t="s">
        <v>26</v>
      </c>
      <c r="C720" s="137" t="s">
        <v>26</v>
      </c>
      <c r="D720" s="133" t="s">
        <v>40</v>
      </c>
      <c r="E720" s="136" t="s">
        <v>439</v>
      </c>
      <c r="F720" s="480" t="s">
        <v>425</v>
      </c>
      <c r="G720" s="135" t="str">
        <f>VLOOKUP(A720,Plano_V3!$A$26:$G$769,7,0)</f>
        <v>1. Concluído</v>
      </c>
      <c r="H720" s="135" t="s">
        <v>612</v>
      </c>
      <c r="I720" s="473"/>
      <c r="J720" s="142"/>
      <c r="K720" s="142"/>
      <c r="L720" s="142"/>
      <c r="M720" s="152" t="str">
        <f>IF(VLOOKUP(A711,'Aux - pivots1'!$A:$E,3,0)=0, "",VLOOKUP(A711,'Aux - pivots1'!$A:$E,3,0))</f>
        <v/>
      </c>
      <c r="N720" s="152" t="str">
        <f>IF(VLOOKUP(A711,'Aux - pivots1'!$A:$E,4,0)=0, "",VLOOKUP(A711,'Aux - pivots1'!$A:$E,4,0))</f>
        <v/>
      </c>
      <c r="O720" s="152" t="str">
        <f>IF(VLOOKUP(A711,'Aux - pivots1'!$A:$E,5,0)=0, "",VLOOKUP(A711,'Aux - pivots1'!$A:$E,5,0))</f>
        <v/>
      </c>
      <c r="P720" s="202"/>
      <c r="Q720" s="202"/>
      <c r="R720" s="202"/>
      <c r="S720" s="324"/>
      <c r="T720" s="324"/>
      <c r="U720" s="372" t="s">
        <v>2326</v>
      </c>
      <c r="V720" s="323"/>
    </row>
    <row r="721" spans="1:22" ht="16.350000000000001" hidden="1" customHeight="1">
      <c r="A721" s="29" t="str">
        <f t="shared" si="13"/>
        <v>lt005_instr_entinstrmnt_id</v>
      </c>
      <c r="B721" s="141" t="s">
        <v>26</v>
      </c>
      <c r="C721" s="137" t="s">
        <v>26</v>
      </c>
      <c r="D721" s="133" t="s">
        <v>40</v>
      </c>
      <c r="E721" s="136" t="s">
        <v>439</v>
      </c>
      <c r="F721" s="480" t="s">
        <v>400</v>
      </c>
      <c r="G721" s="135" t="str">
        <f>VLOOKUP(A721,Plano_V3!$A$26:$G$769,7,0)</f>
        <v>1. Concluído</v>
      </c>
      <c r="H721" s="135" t="s">
        <v>612</v>
      </c>
      <c r="I721" s="473"/>
      <c r="J721" s="142"/>
      <c r="K721" s="142"/>
      <c r="L721" s="142"/>
      <c r="M721" s="152" t="str">
        <f>IF(VLOOKUP(A712,'Aux - pivots1'!$A:$E,3,0)=0, "",VLOOKUP(A712,'Aux - pivots1'!$A:$E,3,0))</f>
        <v/>
      </c>
      <c r="N721" s="152" t="str">
        <f>IF(VLOOKUP(A712,'Aux - pivots1'!$A:$E,4,0)=0, "",VLOOKUP(A712,'Aux - pivots1'!$A:$E,4,0))</f>
        <v/>
      </c>
      <c r="O721" s="152" t="str">
        <f>IF(VLOOKUP(A712,'Aux - pivots1'!$A:$E,5,0)=0, "",VLOOKUP(A712,'Aux - pivots1'!$A:$E,5,0))</f>
        <v/>
      </c>
      <c r="P721" s="202"/>
      <c r="Q721" s="202"/>
      <c r="R721" s="202"/>
      <c r="S721" s="324"/>
      <c r="T721" s="324"/>
      <c r="U721" s="372" t="s">
        <v>2326</v>
      </c>
      <c r="V721" s="323"/>
    </row>
    <row r="722" spans="1:22" ht="16.350000000000001" hidden="1" customHeight="1">
      <c r="A722" s="29" t="str">
        <f t="shared" si="13"/>
        <v>lt005_instr_entcod_soc</v>
      </c>
      <c r="B722" s="141" t="s">
        <v>26</v>
      </c>
      <c r="C722" s="137" t="s">
        <v>26</v>
      </c>
      <c r="D722" s="133" t="s">
        <v>40</v>
      </c>
      <c r="E722" s="136" t="s">
        <v>439</v>
      </c>
      <c r="F722" s="480" t="s">
        <v>416</v>
      </c>
      <c r="G722" s="135" t="str">
        <f>VLOOKUP(A722,Plano_V3!$A$26:$G$769,7,0)</f>
        <v>1. Concluído</v>
      </c>
      <c r="H722" s="135" t="s">
        <v>612</v>
      </c>
      <c r="I722" s="473"/>
      <c r="J722" s="142"/>
      <c r="K722" s="142"/>
      <c r="L722" s="142"/>
      <c r="M722" s="152" t="str">
        <f>IF(VLOOKUP(A713,'Aux - pivots1'!$A:$E,3,0)=0, "",VLOOKUP(A713,'Aux - pivots1'!$A:$E,3,0))</f>
        <v/>
      </c>
      <c r="N722" s="152" t="str">
        <f>IF(VLOOKUP(A713,'Aux - pivots1'!$A:$E,4,0)=0, "",VLOOKUP(A713,'Aux - pivots1'!$A:$E,4,0))</f>
        <v/>
      </c>
      <c r="O722" s="152" t="str">
        <f>IF(VLOOKUP(A713,'Aux - pivots1'!$A:$E,5,0)=0, "",VLOOKUP(A713,'Aux - pivots1'!$A:$E,5,0))</f>
        <v/>
      </c>
      <c r="P722" s="202"/>
      <c r="Q722" s="202"/>
      <c r="R722" s="202"/>
      <c r="S722" s="324"/>
      <c r="T722" s="324"/>
      <c r="U722" s="372" t="s">
        <v>2326</v>
      </c>
      <c r="V722" s="323"/>
    </row>
    <row r="723" spans="1:22" ht="16.350000000000001" hidden="1" customHeight="1">
      <c r="A723" s="29" t="str">
        <f t="shared" si="13"/>
        <v>lt005_instr_entmn_entty_id</v>
      </c>
      <c r="B723" s="141" t="s">
        <v>26</v>
      </c>
      <c r="C723" s="137" t="s">
        <v>26</v>
      </c>
      <c r="D723" s="133" t="s">
        <v>40</v>
      </c>
      <c r="E723" s="136" t="s">
        <v>439</v>
      </c>
      <c r="F723" s="480" t="s">
        <v>440</v>
      </c>
      <c r="G723" s="135" t="str">
        <f>VLOOKUP(A723,Plano_V3!$A$26:$G$769,7,0)</f>
        <v>1. Concluído</v>
      </c>
      <c r="H723" s="135" t="s">
        <v>612</v>
      </c>
      <c r="I723" s="473"/>
      <c r="J723" s="142"/>
      <c r="K723" s="142"/>
      <c r="L723" s="142"/>
      <c r="M723" s="152" t="str">
        <f>IF(VLOOKUP(A714,'Aux - pivots1'!$A:$E,3,0)=0, "",VLOOKUP(A714,'Aux - pivots1'!$A:$E,3,0))</f>
        <v/>
      </c>
      <c r="N723" s="152" t="str">
        <f>IF(VLOOKUP(A714,'Aux - pivots1'!$A:$E,4,0)=0, "",VLOOKUP(A714,'Aux - pivots1'!$A:$E,4,0))</f>
        <v/>
      </c>
      <c r="O723" s="152" t="str">
        <f>IF(VLOOKUP(A714,'Aux - pivots1'!$A:$E,5,0)=0, "",VLOOKUP(A714,'Aux - pivots1'!$A:$E,5,0))</f>
        <v/>
      </c>
      <c r="P723" s="202"/>
      <c r="Q723" s="202"/>
      <c r="R723" s="202"/>
      <c r="S723" s="324"/>
      <c r="T723" s="324"/>
      <c r="U723" s="372" t="s">
        <v>2326</v>
      </c>
      <c r="V723" s="323"/>
    </row>
    <row r="724" spans="1:22" ht="16.350000000000001" hidden="1" customHeight="1">
      <c r="A724" s="29" t="str">
        <f t="shared" si="13"/>
        <v>lt006_instr_protdt_rfrnc</v>
      </c>
      <c r="B724" s="141" t="s">
        <v>26</v>
      </c>
      <c r="C724" s="137" t="s">
        <v>26</v>
      </c>
      <c r="D724" s="133" t="s">
        <v>40</v>
      </c>
      <c r="E724" s="136" t="s">
        <v>441</v>
      </c>
      <c r="F724" s="480" t="s">
        <v>398</v>
      </c>
      <c r="G724" s="135" t="str">
        <f>VLOOKUP(A724,Plano_V3!$A$26:$G$769,7,0)</f>
        <v>1. Concluído</v>
      </c>
      <c r="H724" s="135" t="s">
        <v>612</v>
      </c>
      <c r="I724" s="473"/>
      <c r="J724" s="142"/>
      <c r="K724" s="142"/>
      <c r="L724" s="142"/>
      <c r="M724" s="152" t="str">
        <f>IF(VLOOKUP(A715,'Aux - pivots1'!$A:$E,3,0)=0, "",VLOOKUP(A715,'Aux - pivots1'!$A:$E,3,0))</f>
        <v/>
      </c>
      <c r="N724" s="152" t="str">
        <f>IF(VLOOKUP(A715,'Aux - pivots1'!$A:$E,4,0)=0, "",VLOOKUP(A715,'Aux - pivots1'!$A:$E,4,0))</f>
        <v/>
      </c>
      <c r="O724" s="152" t="str">
        <f>IF(VLOOKUP(A715,'Aux - pivots1'!$A:$E,5,0)=0, "",VLOOKUP(A715,'Aux - pivots1'!$A:$E,5,0))</f>
        <v/>
      </c>
      <c r="P724" s="202"/>
      <c r="Q724" s="202"/>
      <c r="R724" s="202"/>
      <c r="S724" s="324"/>
      <c r="T724" s="324"/>
      <c r="U724" s="372" t="s">
        <v>2326</v>
      </c>
      <c r="V724" s="323"/>
    </row>
    <row r="725" spans="1:22" ht="16.350000000000001" hidden="1" customHeight="1">
      <c r="A725" s="29" t="str">
        <f t="shared" si="13"/>
        <v>lt006_instr_protinstrmnt_id</v>
      </c>
      <c r="B725" s="141" t="s">
        <v>26</v>
      </c>
      <c r="C725" s="137" t="s">
        <v>26</v>
      </c>
      <c r="D725" s="133" t="s">
        <v>40</v>
      </c>
      <c r="E725" s="136" t="s">
        <v>441</v>
      </c>
      <c r="F725" s="480" t="s">
        <v>400</v>
      </c>
      <c r="G725" s="135" t="str">
        <f>VLOOKUP(A725,Plano_V3!$A$26:$G$769,7,0)</f>
        <v>1. Concluído</v>
      </c>
      <c r="H725" s="135" t="s">
        <v>612</v>
      </c>
      <c r="I725" s="473"/>
      <c r="J725" s="142"/>
      <c r="K725" s="142"/>
      <c r="L725" s="142"/>
      <c r="M725" s="152" t="str">
        <f>IF(VLOOKUP(A716,'Aux - pivots1'!$A:$E,3,0)=0, "",VLOOKUP(A716,'Aux - pivots1'!$A:$E,3,0))</f>
        <v/>
      </c>
      <c r="N725" s="152" t="str">
        <f>IF(VLOOKUP(A716,'Aux - pivots1'!$A:$E,4,0)=0, "",VLOOKUP(A716,'Aux - pivots1'!$A:$E,4,0))</f>
        <v/>
      </c>
      <c r="O725" s="152" t="str">
        <f>IF(VLOOKUP(A716,'Aux - pivots1'!$A:$E,5,0)=0, "",VLOOKUP(A716,'Aux - pivots1'!$A:$E,5,0))</f>
        <v/>
      </c>
      <c r="P725" s="202"/>
      <c r="Q725" s="202"/>
      <c r="R725" s="202"/>
      <c r="S725" s="324"/>
      <c r="T725" s="324"/>
      <c r="U725" s="372" t="s">
        <v>2326</v>
      </c>
      <c r="V725" s="323"/>
    </row>
    <row r="726" spans="1:22" ht="16.350000000000001" hidden="1" customHeight="1">
      <c r="A726" s="29" t="str">
        <f t="shared" si="13"/>
        <v>lt006_instr_protprtctn_id</v>
      </c>
      <c r="B726" s="141" t="s">
        <v>26</v>
      </c>
      <c r="C726" s="137" t="s">
        <v>26</v>
      </c>
      <c r="D726" s="133" t="s">
        <v>40</v>
      </c>
      <c r="E726" s="136" t="s">
        <v>441</v>
      </c>
      <c r="F726" s="480" t="s">
        <v>433</v>
      </c>
      <c r="G726" s="135" t="str">
        <f>VLOOKUP(A726,Plano_V3!$A$26:$G$769,7,0)</f>
        <v>1. Concluído</v>
      </c>
      <c r="H726" s="135" t="s">
        <v>612</v>
      </c>
      <c r="I726" s="473"/>
      <c r="J726" s="142"/>
      <c r="K726" s="142"/>
      <c r="L726" s="142"/>
      <c r="M726" s="152" t="str">
        <f>IF(VLOOKUP(A717,'Aux - pivots1'!$A:$E,3,0)=0, "",VLOOKUP(A717,'Aux - pivots1'!$A:$E,3,0))</f>
        <v/>
      </c>
      <c r="N726" s="152" t="str">
        <f>IF(VLOOKUP(A717,'Aux - pivots1'!$A:$E,4,0)=0, "",VLOOKUP(A717,'Aux - pivots1'!$A:$E,4,0))</f>
        <v/>
      </c>
      <c r="O726" s="152" t="str">
        <f>IF(VLOOKUP(A717,'Aux - pivots1'!$A:$E,5,0)=0, "",VLOOKUP(A717,'Aux - pivots1'!$A:$E,5,0))</f>
        <v/>
      </c>
      <c r="P726" s="202"/>
      <c r="Q726" s="202"/>
      <c r="R726" s="202"/>
      <c r="S726" s="324"/>
      <c r="T726" s="324"/>
      <c r="U726" s="372" t="s">
        <v>2326</v>
      </c>
      <c r="V726" s="323"/>
    </row>
    <row r="727" spans="1:22" ht="16.350000000000001" hidden="1" customHeight="1">
      <c r="A727" s="29" t="str">
        <f t="shared" si="13"/>
        <v>lt006_instr_protcod_soc</v>
      </c>
      <c r="B727" s="141" t="s">
        <v>26</v>
      </c>
      <c r="C727" s="137" t="s">
        <v>26</v>
      </c>
      <c r="D727" s="133" t="s">
        <v>40</v>
      </c>
      <c r="E727" s="136" t="s">
        <v>441</v>
      </c>
      <c r="F727" s="480" t="s">
        <v>416</v>
      </c>
      <c r="G727" s="135" t="str">
        <f>VLOOKUP(A727,Plano_V3!$A$26:$G$769,7,0)</f>
        <v>1. Concluído</v>
      </c>
      <c r="H727" s="135" t="s">
        <v>612</v>
      </c>
      <c r="I727" s="473"/>
      <c r="J727" s="142"/>
      <c r="K727" s="142"/>
      <c r="L727" s="142"/>
      <c r="M727" s="152" t="str">
        <f>IF(VLOOKUP(A717,'Aux - pivots1'!$A:$E,3,0)=0, "",VLOOKUP(A717,'Aux - pivots1'!$A:$E,3,0))</f>
        <v/>
      </c>
      <c r="N727" s="152" t="str">
        <f>IF(VLOOKUP(A717,'Aux - pivots1'!$A:$E,4,0)=0, "",VLOOKUP(A717,'Aux - pivots1'!$A:$E,4,0))</f>
        <v/>
      </c>
      <c r="O727" s="152" t="str">
        <f>IF(VLOOKUP(A717,'Aux - pivots1'!$A:$E,5,0)=0, "",VLOOKUP(A717,'Aux - pivots1'!$A:$E,5,0))</f>
        <v/>
      </c>
      <c r="P727" s="202"/>
      <c r="Q727" s="202"/>
      <c r="R727" s="202"/>
      <c r="S727" s="324"/>
      <c r="T727" s="324"/>
      <c r="U727" s="372" t="s">
        <v>2326</v>
      </c>
      <c r="V727" s="323" t="s">
        <v>1861</v>
      </c>
    </row>
    <row r="728" spans="1:22" ht="16.350000000000001" hidden="1" customHeight="1">
      <c r="A728" s="29" t="str">
        <f t="shared" si="13"/>
        <v>lt004_protectionflg_fin</v>
      </c>
      <c r="B728" s="141" t="s">
        <v>26</v>
      </c>
      <c r="C728" s="137" t="s">
        <v>26</v>
      </c>
      <c r="D728" s="133" t="s">
        <v>40</v>
      </c>
      <c r="E728" s="136" t="s">
        <v>368</v>
      </c>
      <c r="F728" s="480" t="s">
        <v>480</v>
      </c>
      <c r="G728" s="135" t="str">
        <f>VLOOKUP(A728,Plano_V3!$A$26:$G$769,7,0)</f>
        <v>0. Cancelado</v>
      </c>
      <c r="H728" s="135" t="s">
        <v>611</v>
      </c>
      <c r="I728" s="473"/>
      <c r="J728" s="142"/>
      <c r="K728" s="142"/>
      <c r="L728" s="142"/>
      <c r="M728" s="152" t="str">
        <f>IF(VLOOKUP(A718,'Aux - pivots1'!$A:$E,3,0)=0, "",VLOOKUP(A718,'Aux - pivots1'!$A:$E,3,0))</f>
        <v/>
      </c>
      <c r="N728" s="152" t="str">
        <f>IF(VLOOKUP(A718,'Aux - pivots1'!$A:$E,4,0)=0, "",VLOOKUP(A718,'Aux - pivots1'!$A:$E,4,0))</f>
        <v/>
      </c>
      <c r="O728" s="152" t="str">
        <f>IF(VLOOKUP(A718,'Aux - pivots1'!$A:$E,5,0)=0, "",VLOOKUP(A718,'Aux - pivots1'!$A:$E,5,0))</f>
        <v/>
      </c>
      <c r="P728" s="202"/>
      <c r="Q728" s="202"/>
      <c r="R728" s="202"/>
      <c r="S728" s="324"/>
      <c r="T728" s="324"/>
      <c r="U728" s="372" t="s">
        <v>2326</v>
      </c>
      <c r="V728" s="323" t="s">
        <v>1861</v>
      </c>
    </row>
    <row r="729" spans="1:22" ht="16.350000000000001" hidden="1" customHeight="1">
      <c r="A729" s="29" t="str">
        <f t="shared" si="13"/>
        <v>lt004_protectionflg_exec</v>
      </c>
      <c r="B729" s="141" t="s">
        <v>26</v>
      </c>
      <c r="C729" s="137" t="s">
        <v>26</v>
      </c>
      <c r="D729" s="133" t="s">
        <v>40</v>
      </c>
      <c r="E729" s="136" t="s">
        <v>368</v>
      </c>
      <c r="F729" s="480" t="s">
        <v>1279</v>
      </c>
      <c r="G729" s="135" t="str">
        <f>VLOOKUP(A729,Plano_V3!$A$26:$G$769,7,0)</f>
        <v>0. Cancelado</v>
      </c>
      <c r="H729" s="135" t="s">
        <v>611</v>
      </c>
      <c r="I729" s="473"/>
      <c r="J729" s="142"/>
      <c r="K729" s="142"/>
      <c r="L729" s="142"/>
      <c r="M729" s="152" t="str">
        <f>IF(VLOOKUP(A719,'Aux - pivots1'!$A:$E,3,0)=0, "",VLOOKUP(A719,'Aux - pivots1'!$A:$E,3,0))</f>
        <v/>
      </c>
      <c r="N729" s="152" t="str">
        <f>IF(VLOOKUP(A719,'Aux - pivots1'!$A:$E,4,0)=0, "",VLOOKUP(A719,'Aux - pivots1'!$A:$E,4,0))</f>
        <v/>
      </c>
      <c r="O729" s="152" t="str">
        <f>IF(VLOOKUP(A719,'Aux - pivots1'!$A:$E,5,0)=0, "",VLOOKUP(A719,'Aux - pivots1'!$A:$E,5,0))</f>
        <v/>
      </c>
      <c r="P729" s="202"/>
      <c r="Q729" s="202"/>
      <c r="R729" s="202"/>
      <c r="S729" s="324"/>
      <c r="T729" s="324"/>
      <c r="U729" s="372" t="s">
        <v>2326</v>
      </c>
      <c r="V729" s="323" t="s">
        <v>1861</v>
      </c>
    </row>
    <row r="730" spans="1:22" ht="16.350000000000001" hidden="1" customHeight="1">
      <c r="A730" s="29" t="str">
        <f t="shared" si="13"/>
        <v>lt004_protectionflg_col</v>
      </c>
      <c r="B730" s="141" t="s">
        <v>26</v>
      </c>
      <c r="C730" s="137" t="s">
        <v>26</v>
      </c>
      <c r="D730" s="133" t="s">
        <v>40</v>
      </c>
      <c r="E730" s="136" t="s">
        <v>368</v>
      </c>
      <c r="F730" s="480" t="s">
        <v>479</v>
      </c>
      <c r="G730" s="135" t="str">
        <f>VLOOKUP(A730,Plano_V3!$A$26:$G$769,7,0)</f>
        <v>0. Cancelado</v>
      </c>
      <c r="H730" s="135" t="s">
        <v>611</v>
      </c>
      <c r="I730" s="473"/>
      <c r="J730" s="142"/>
      <c r="K730" s="142"/>
      <c r="L730" s="142"/>
      <c r="M730" s="152" t="str">
        <f>IF(VLOOKUP(A697,'Aux - pivots1'!$A:$E,3,0)=0, "",VLOOKUP(A697,'Aux - pivots1'!$A:$E,3,0))</f>
        <v/>
      </c>
      <c r="N730" s="152" t="str">
        <f>IF(VLOOKUP(A697,'Aux - pivots1'!$A:$E,4,0)=0, "",VLOOKUP(A697,'Aux - pivots1'!$A:$E,4,0))</f>
        <v/>
      </c>
      <c r="O730" s="152" t="str">
        <f>IF(VLOOKUP(A697,'Aux - pivots1'!$A:$E,5,0)=0, "",VLOOKUP(A697,'Aux - pivots1'!$A:$E,5,0))</f>
        <v/>
      </c>
      <c r="P730" s="202"/>
      <c r="Q730" s="202"/>
      <c r="R730" s="202"/>
      <c r="S730" s="324"/>
      <c r="T730" s="324"/>
      <c r="U730" s="372" t="s">
        <v>2326</v>
      </c>
      <c r="V730" s="323"/>
    </row>
    <row r="731" spans="1:22" ht="16.350000000000001" hidden="1" customHeight="1">
      <c r="A731" s="29" t="str">
        <f t="shared" si="13"/>
        <v>lt004_protectionflg_pro</v>
      </c>
      <c r="B731" s="141" t="s">
        <v>26</v>
      </c>
      <c r="C731" s="137" t="s">
        <v>26</v>
      </c>
      <c r="D731" s="133" t="s">
        <v>40</v>
      </c>
      <c r="E731" s="136" t="s">
        <v>368</v>
      </c>
      <c r="F731" s="480" t="s">
        <v>481</v>
      </c>
      <c r="G731" s="135" t="str">
        <f>VLOOKUP(A731,Plano_V3!$A$26:$G$769,7,0)</f>
        <v>0. Cancelado</v>
      </c>
      <c r="H731" s="135" t="s">
        <v>611</v>
      </c>
      <c r="I731" s="473"/>
      <c r="J731" s="142"/>
      <c r="K731" s="142"/>
      <c r="L731" s="142"/>
      <c r="M731" s="152" t="str">
        <f>IF(VLOOKUP(A698,'Aux - pivots1'!$A:$E,3,0)=0, "",VLOOKUP(A698,'Aux - pivots1'!$A:$E,3,0))</f>
        <v/>
      </c>
      <c r="N731" s="152" t="str">
        <f>IF(VLOOKUP(A698,'Aux - pivots1'!$A:$E,4,0)=0, "",VLOOKUP(A698,'Aux - pivots1'!$A:$E,4,0))</f>
        <v/>
      </c>
      <c r="O731" s="152" t="str">
        <f>IF(VLOOKUP(A698,'Aux - pivots1'!$A:$E,5,0)=0, "",VLOOKUP(A698,'Aux - pivots1'!$A:$E,5,0))</f>
        <v/>
      </c>
      <c r="P731" s="202"/>
      <c r="Q731" s="202"/>
      <c r="R731" s="202"/>
      <c r="S731" s="324"/>
      <c r="T731" s="324"/>
      <c r="U731" s="372" t="s">
        <v>2326</v>
      </c>
      <c r="V731" s="323"/>
    </row>
    <row r="732" spans="1:22" ht="16.350000000000001" hidden="1" customHeight="1">
      <c r="A732" s="29" t="str">
        <f t="shared" si="13"/>
        <v>modesg_inp_emss_nacenome_regiao</v>
      </c>
      <c r="B732" s="141" t="s">
        <v>26</v>
      </c>
      <c r="C732" s="137" t="s">
        <v>181</v>
      </c>
      <c r="D732" s="133" t="s">
        <v>40</v>
      </c>
      <c r="E732" s="134" t="s">
        <v>218</v>
      </c>
      <c r="F732" s="476" t="s">
        <v>220</v>
      </c>
      <c r="G732" s="135" t="str">
        <f>VLOOKUP(A732,Plano_V3!$A$26:$G$769,7,0)</f>
        <v>0. Cancelado</v>
      </c>
      <c r="H732" s="135" t="s">
        <v>611</v>
      </c>
      <c r="I732" s="473"/>
      <c r="J732" s="142"/>
      <c r="K732" s="142"/>
      <c r="L732" s="142" t="s">
        <v>2360</v>
      </c>
      <c r="M732" s="152" t="str">
        <f>IF(VLOOKUP(A699,'Aux - pivots1'!$A:$E,3,0)=0, "",VLOOKUP(A699,'Aux - pivots1'!$A:$E,3,0))</f>
        <v/>
      </c>
      <c r="N732" s="152" t="str">
        <f>IF(VLOOKUP(A699,'Aux - pivots1'!$A:$E,4,0)=0, "",VLOOKUP(A699,'Aux - pivots1'!$A:$E,4,0))</f>
        <v/>
      </c>
      <c r="O732" s="152" t="str">
        <f>IF(VLOOKUP(A699,'Aux - pivots1'!$A:$E,5,0)=0, "",VLOOKUP(A699,'Aux - pivots1'!$A:$E,5,0))</f>
        <v/>
      </c>
      <c r="P732" s="202"/>
      <c r="Q732" s="202"/>
      <c r="R732" s="202"/>
      <c r="S732" s="324"/>
      <c r="T732" s="324"/>
      <c r="U732" s="372" t="s">
        <v>2326</v>
      </c>
      <c r="V732" s="323"/>
    </row>
    <row r="733" spans="1:22" ht="16.5" hidden="1" customHeight="1">
      <c r="A733" s="29" t="str">
        <f t="shared" si="13"/>
        <v>modesg_inp_emss_nacearea_atividade</v>
      </c>
      <c r="B733" s="141" t="s">
        <v>26</v>
      </c>
      <c r="C733" s="137" t="s">
        <v>181</v>
      </c>
      <c r="D733" s="133" t="s">
        <v>40</v>
      </c>
      <c r="E733" s="134" t="s">
        <v>218</v>
      </c>
      <c r="F733" s="476" t="s">
        <v>643</v>
      </c>
      <c r="G733" s="135" t="str">
        <f>VLOOKUP(A733,Plano_V3!$A$26:$G$769,7,0)</f>
        <v>0. Cancelado</v>
      </c>
      <c r="H733" s="135" t="s">
        <v>611</v>
      </c>
      <c r="I733" s="473"/>
      <c r="J733" s="142"/>
      <c r="K733" s="142"/>
      <c r="L733" s="142" t="s">
        <v>2360</v>
      </c>
      <c r="M733" s="152" t="str">
        <f>IF(VLOOKUP(A700,'Aux - pivots1'!$A:$E,3,0)=0, "",VLOOKUP(A700,'Aux - pivots1'!$A:$E,3,0))</f>
        <v/>
      </c>
      <c r="N733" s="152" t="str">
        <f>IF(VLOOKUP(A700,'Aux - pivots1'!$A:$E,4,0)=0, "",VLOOKUP(A700,'Aux - pivots1'!$A:$E,4,0))</f>
        <v/>
      </c>
      <c r="O733" s="152" t="str">
        <f>IF(VLOOKUP(A700,'Aux - pivots1'!$A:$E,5,0)=0, "",VLOOKUP(A700,'Aux - pivots1'!$A:$E,5,0))</f>
        <v/>
      </c>
      <c r="P733" s="202"/>
      <c r="Q733" s="202"/>
      <c r="R733" s="202"/>
      <c r="S733" s="324"/>
      <c r="T733" s="324"/>
      <c r="U733" s="372" t="s">
        <v>2326</v>
      </c>
      <c r="V733" s="323"/>
    </row>
    <row r="734" spans="1:22" ht="16.5" hidden="1" customHeight="1">
      <c r="A734" s="29" t="str">
        <f t="shared" si="13"/>
        <v>modesg_inp_emss_nacetipo_atividade</v>
      </c>
      <c r="B734" s="141" t="s">
        <v>26</v>
      </c>
      <c r="C734" s="137" t="s">
        <v>181</v>
      </c>
      <c r="D734" s="133" t="s">
        <v>40</v>
      </c>
      <c r="E734" s="134" t="s">
        <v>218</v>
      </c>
      <c r="F734" s="476" t="s">
        <v>644</v>
      </c>
      <c r="G734" s="135" t="str">
        <f>VLOOKUP(A734,Plano_V3!$A$26:$G$769,7,0)</f>
        <v>0. Cancelado</v>
      </c>
      <c r="H734" s="135" t="s">
        <v>611</v>
      </c>
      <c r="I734" s="473"/>
      <c r="J734" s="142"/>
      <c r="K734" s="142"/>
      <c r="L734" s="142" t="s">
        <v>2360</v>
      </c>
      <c r="M734" s="152" t="str">
        <f>IF(VLOOKUP(A701,'Aux - pivots1'!$A:$E,3,0)=0, "",VLOOKUP(A701,'Aux - pivots1'!$A:$E,3,0))</f>
        <v/>
      </c>
      <c r="N734" s="152" t="str">
        <f>IF(VLOOKUP(A701,'Aux - pivots1'!$A:$E,4,0)=0, "",VLOOKUP(A701,'Aux - pivots1'!$A:$E,4,0))</f>
        <v/>
      </c>
      <c r="O734" s="152" t="str">
        <f>IF(VLOOKUP(A701,'Aux - pivots1'!$A:$E,5,0)=0, "",VLOOKUP(A701,'Aux - pivots1'!$A:$E,5,0))</f>
        <v/>
      </c>
      <c r="P734" s="202"/>
      <c r="Q734" s="202"/>
      <c r="R734" s="202"/>
      <c r="S734" s="324"/>
      <c r="T734" s="324"/>
      <c r="U734" s="372" t="s">
        <v>2326</v>
      </c>
      <c r="V734" s="323"/>
    </row>
    <row r="735" spans="1:22" ht="16.5" hidden="1" customHeight="1">
      <c r="A735" s="29" t="str">
        <f t="shared" si="13"/>
        <v>modesg_inp_emss_nacesub_tipo_atividade_1</v>
      </c>
      <c r="B735" s="141" t="s">
        <v>26</v>
      </c>
      <c r="C735" s="137" t="s">
        <v>181</v>
      </c>
      <c r="D735" s="133" t="s">
        <v>40</v>
      </c>
      <c r="E735" s="134" t="s">
        <v>218</v>
      </c>
      <c r="F735" s="476" t="s">
        <v>645</v>
      </c>
      <c r="G735" s="135" t="str">
        <f>VLOOKUP(A735,Plano_V3!$A$26:$G$769,7,0)</f>
        <v>0. Cancelado</v>
      </c>
      <c r="H735" s="135" t="s">
        <v>611</v>
      </c>
      <c r="I735" s="473"/>
      <c r="J735" s="142"/>
      <c r="K735" s="142"/>
      <c r="L735" s="142" t="s">
        <v>2360</v>
      </c>
      <c r="M735" s="152" t="str">
        <f>IF(VLOOKUP(A702,'Aux - pivots1'!$A:$E,3,0)=0, "",VLOOKUP(A702,'Aux - pivots1'!$A:$E,3,0))</f>
        <v/>
      </c>
      <c r="N735" s="152" t="str">
        <f>IF(VLOOKUP(A702,'Aux - pivots1'!$A:$E,4,0)=0, "",VLOOKUP(A702,'Aux - pivots1'!$A:$E,4,0))</f>
        <v/>
      </c>
      <c r="O735" s="152" t="str">
        <f>IF(VLOOKUP(A702,'Aux - pivots1'!$A:$E,5,0)=0, "",VLOOKUP(A702,'Aux - pivots1'!$A:$E,5,0))</f>
        <v/>
      </c>
      <c r="P735" s="202"/>
      <c r="Q735" s="202"/>
      <c r="R735" s="202"/>
      <c r="S735" s="324"/>
      <c r="T735" s="324"/>
      <c r="U735" s="372" t="s">
        <v>2326</v>
      </c>
      <c r="V735" s="323"/>
    </row>
    <row r="736" spans="1:22" ht="16.5" hidden="1" customHeight="1">
      <c r="A736" s="29" t="str">
        <f t="shared" si="13"/>
        <v>modesg_inp_emss_nacesub_tipo_atividade_2</v>
      </c>
      <c r="B736" s="141" t="s">
        <v>26</v>
      </c>
      <c r="C736" s="137" t="s">
        <v>181</v>
      </c>
      <c r="D736" s="133" t="s">
        <v>40</v>
      </c>
      <c r="E736" s="134" t="s">
        <v>218</v>
      </c>
      <c r="F736" s="476" t="s">
        <v>646</v>
      </c>
      <c r="G736" s="135" t="str">
        <f>VLOOKUP(A736,Plano_V3!$A$26:$G$769,7,0)</f>
        <v>0. Cancelado</v>
      </c>
      <c r="H736" s="135" t="s">
        <v>611</v>
      </c>
      <c r="I736" s="473"/>
      <c r="J736" s="142"/>
      <c r="K736" s="142"/>
      <c r="L736" s="142" t="s">
        <v>2360</v>
      </c>
      <c r="M736" s="152" t="str">
        <f>IF(VLOOKUP(A704,'Aux - pivots1'!$A:$E,3,0)=0, "",VLOOKUP(A704,'Aux - pivots1'!$A:$E,3,0))</f>
        <v/>
      </c>
      <c r="N736" s="152" t="str">
        <f>IF(VLOOKUP(A704,'Aux - pivots1'!$A:$E,4,0)=0, "",VLOOKUP(A704,'Aux - pivots1'!$A:$E,4,0))</f>
        <v/>
      </c>
      <c r="O736" s="152" t="str">
        <f>IF(VLOOKUP(A704,'Aux - pivots1'!$A:$E,5,0)=0, "",VLOOKUP(A704,'Aux - pivots1'!$A:$E,5,0))</f>
        <v/>
      </c>
      <c r="P736" s="202"/>
      <c r="Q736" s="202"/>
      <c r="R736" s="202"/>
      <c r="S736" s="324"/>
      <c r="T736" s="324"/>
      <c r="U736" s="372" t="s">
        <v>2326</v>
      </c>
      <c r="V736" s="323"/>
    </row>
    <row r="737" spans="1:22" ht="16.5" hidden="1" customHeight="1">
      <c r="A737" s="29" t="str">
        <f t="shared" si="13"/>
        <v>modesg_inp_emss_naceunidades_unidade_funcional</v>
      </c>
      <c r="B737" s="141" t="s">
        <v>26</v>
      </c>
      <c r="C737" s="137" t="s">
        <v>181</v>
      </c>
      <c r="D737" s="133" t="s">
        <v>40</v>
      </c>
      <c r="E737" s="134" t="s">
        <v>218</v>
      </c>
      <c r="F737" s="476" t="s">
        <v>647</v>
      </c>
      <c r="G737" s="135" t="str">
        <f>VLOOKUP(A737,Plano_V3!$A$26:$G$769,7,0)</f>
        <v>0. Cancelado</v>
      </c>
      <c r="H737" s="135" t="s">
        <v>611</v>
      </c>
      <c r="I737" s="473"/>
      <c r="J737" s="142"/>
      <c r="K737" s="142"/>
      <c r="L737" s="142" t="s">
        <v>2360</v>
      </c>
      <c r="M737" s="152" t="str">
        <f>IF(VLOOKUP(A705,'Aux - pivots1'!$A:$E,3,0)=0, "",VLOOKUP(A705,'Aux - pivots1'!$A:$E,3,0))</f>
        <v/>
      </c>
      <c r="N737" s="152" t="str">
        <f>IF(VLOOKUP(A705,'Aux - pivots1'!$A:$E,4,0)=0, "",VLOOKUP(A705,'Aux - pivots1'!$A:$E,4,0))</f>
        <v/>
      </c>
      <c r="O737" s="152" t="str">
        <f>IF(VLOOKUP(A705,'Aux - pivots1'!$A:$E,5,0)=0, "",VLOOKUP(A705,'Aux - pivots1'!$A:$E,5,0))</f>
        <v/>
      </c>
      <c r="P737" s="202"/>
      <c r="Q737" s="202"/>
      <c r="R737" s="202"/>
      <c r="S737" s="324"/>
      <c r="T737" s="324"/>
      <c r="U737" s="372" t="s">
        <v>2326</v>
      </c>
      <c r="V737" s="323"/>
    </row>
    <row r="738" spans="1:22" ht="16.5" hidden="1" customHeight="1">
      <c r="A738" s="29" t="str">
        <f t="shared" si="13"/>
        <v>modesg_inp_emss_nacefator_emissao</v>
      </c>
      <c r="B738" s="141" t="s">
        <v>26</v>
      </c>
      <c r="C738" s="137" t="s">
        <v>181</v>
      </c>
      <c r="D738" s="133" t="s">
        <v>40</v>
      </c>
      <c r="E738" s="134" t="s">
        <v>218</v>
      </c>
      <c r="F738" s="476" t="s">
        <v>648</v>
      </c>
      <c r="G738" s="135" t="str">
        <f>VLOOKUP(A738,Plano_V3!$A$26:$G$769,7,0)</f>
        <v>0. Cancelado</v>
      </c>
      <c r="H738" s="135" t="s">
        <v>611</v>
      </c>
      <c r="I738" s="473"/>
      <c r="J738" s="142"/>
      <c r="K738" s="142"/>
      <c r="L738" s="142" t="s">
        <v>2360</v>
      </c>
      <c r="M738" s="152" t="str">
        <f>IF(VLOOKUP(A706,'Aux - pivots1'!$A:$E,3,0)=0, "",VLOOKUP(A706,'Aux - pivots1'!$A:$E,3,0))</f>
        <v/>
      </c>
      <c r="N738" s="152" t="str">
        <f>IF(VLOOKUP(A706,'Aux - pivots1'!$A:$E,4,0)=0, "",VLOOKUP(A706,'Aux - pivots1'!$A:$E,4,0))</f>
        <v/>
      </c>
      <c r="O738" s="152" t="str">
        <f>IF(VLOOKUP(A706,'Aux - pivots1'!$A:$E,5,0)=0, "",VLOOKUP(A706,'Aux - pivots1'!$A:$E,5,0))</f>
        <v/>
      </c>
      <c r="P738" s="202"/>
      <c r="Q738" s="202"/>
      <c r="R738" s="202"/>
      <c r="S738" s="324"/>
      <c r="T738" s="324"/>
      <c r="U738" s="372" t="s">
        <v>2326</v>
      </c>
      <c r="V738" s="323"/>
    </row>
    <row r="739" spans="1:22" ht="16.5" hidden="1" customHeight="1">
      <c r="A739" s="29" t="str">
        <f t="shared" si="13"/>
        <v>modesg_inp_km_medios_emss_vclsmedia_scp1_emss</v>
      </c>
      <c r="B739" s="141" t="s">
        <v>26</v>
      </c>
      <c r="C739" s="137" t="s">
        <v>181</v>
      </c>
      <c r="D739" s="133" t="s">
        <v>40</v>
      </c>
      <c r="E739" s="134" t="s">
        <v>213</v>
      </c>
      <c r="F739" s="476" t="s">
        <v>649</v>
      </c>
      <c r="G739" s="135" t="str">
        <f>VLOOKUP(A739,Plano_V3!$A$26:$G$769,7,0)</f>
        <v>0. Cancelado</v>
      </c>
      <c r="H739" s="135" t="s">
        <v>611</v>
      </c>
      <c r="I739" s="473"/>
      <c r="J739" s="142"/>
      <c r="K739" s="142"/>
      <c r="L739" s="142"/>
      <c r="M739" s="152" t="str">
        <f>IF(VLOOKUP(A730,'Aux - pivots1'!$A:$E,3,0)=0, "",VLOOKUP(A730,'Aux - pivots1'!$A:$E,3,0))</f>
        <v/>
      </c>
      <c r="N739" s="152" t="str">
        <f>IF(VLOOKUP(A730,'Aux - pivots1'!$A:$E,4,0)=0, "",VLOOKUP(A730,'Aux - pivots1'!$A:$E,4,0))</f>
        <v/>
      </c>
      <c r="O739" s="152" t="str">
        <f>IF(VLOOKUP(A730,'Aux - pivots1'!$A:$E,5,0)=0, "",VLOOKUP(A730,'Aux - pivots1'!$A:$E,5,0))</f>
        <v/>
      </c>
      <c r="P739" s="202"/>
      <c r="Q739" s="202"/>
      <c r="R739" s="202"/>
      <c r="S739" s="324"/>
      <c r="T739" s="324"/>
      <c r="U739" s="372" t="s">
        <v>2326</v>
      </c>
      <c r="V739" s="323"/>
    </row>
    <row r="740" spans="1:22" ht="16.5" hidden="1" customHeight="1">
      <c r="A740" s="29" t="str">
        <f t="shared" si="13"/>
        <v>modesg_inp_km_medios_emss_vclsmedia_scp2_emss</v>
      </c>
      <c r="B740" s="141" t="s">
        <v>26</v>
      </c>
      <c r="C740" s="137" t="s">
        <v>181</v>
      </c>
      <c r="D740" s="133" t="s">
        <v>40</v>
      </c>
      <c r="E740" s="134" t="s">
        <v>213</v>
      </c>
      <c r="F740" s="476" t="s">
        <v>650</v>
      </c>
      <c r="G740" s="135" t="str">
        <f>VLOOKUP(A740,Plano_V3!$A$26:$G$769,7,0)</f>
        <v>0. Cancelado</v>
      </c>
      <c r="H740" s="135" t="s">
        <v>611</v>
      </c>
      <c r="I740" s="473"/>
      <c r="J740" s="142"/>
      <c r="K740" s="142"/>
      <c r="L740" s="142"/>
      <c r="M740" s="152" t="str">
        <f>IF(VLOOKUP(A731,'Aux - pivots1'!$A:$E,3,0)=0, "",VLOOKUP(A731,'Aux - pivots1'!$A:$E,3,0))</f>
        <v/>
      </c>
      <c r="N740" s="152" t="str">
        <f>IF(VLOOKUP(A731,'Aux - pivots1'!$A:$E,4,0)=0, "",VLOOKUP(A731,'Aux - pivots1'!$A:$E,4,0))</f>
        <v/>
      </c>
      <c r="O740" s="152" t="str">
        <f>IF(VLOOKUP(A731,'Aux - pivots1'!$A:$E,5,0)=0, "",VLOOKUP(A731,'Aux - pivots1'!$A:$E,5,0))</f>
        <v/>
      </c>
      <c r="P740" s="202"/>
      <c r="Q740" s="202"/>
      <c r="R740" s="202"/>
      <c r="S740" s="324"/>
      <c r="T740" s="324"/>
      <c r="U740" s="372" t="s">
        <v>2326</v>
      </c>
      <c r="V740" s="323"/>
    </row>
    <row r="741" spans="1:22" ht="16.5" hidden="1" customHeight="1">
      <c r="A741" s="29" t="str">
        <f t="shared" si="13"/>
        <v>modesg_inp_km_medios_emss_vclsmedia_scp3_emss</v>
      </c>
      <c r="B741" s="145" t="s">
        <v>26</v>
      </c>
      <c r="C741" s="146" t="s">
        <v>181</v>
      </c>
      <c r="D741" s="147" t="s">
        <v>40</v>
      </c>
      <c r="E741" s="148" t="s">
        <v>213</v>
      </c>
      <c r="F741" s="481" t="s">
        <v>651</v>
      </c>
      <c r="G741" s="149" t="str">
        <f>VLOOKUP(A741,Plano_V3!$A$26:$G$769,7,0)</f>
        <v>0. Cancelado</v>
      </c>
      <c r="H741" s="135" t="s">
        <v>611</v>
      </c>
      <c r="I741" s="474"/>
      <c r="J741" s="150"/>
      <c r="K741" s="150"/>
      <c r="L741" s="150"/>
      <c r="M741" s="152" t="str">
        <f>IF(VLOOKUP(A732,'Aux - pivots1'!$A:$E,3,0)=0, "",VLOOKUP(A732,'Aux - pivots1'!$A:$E,3,0))</f>
        <v/>
      </c>
      <c r="N741" s="152" t="str">
        <f>IF(VLOOKUP(A732,'Aux - pivots1'!$A:$E,4,0)=0, "",VLOOKUP(A732,'Aux - pivots1'!$A:$E,4,0))</f>
        <v/>
      </c>
      <c r="O741" s="152" t="str">
        <f>IF(VLOOKUP(A732,'Aux - pivots1'!$A:$E,5,0)=0, "",VLOOKUP(A732,'Aux - pivots1'!$A:$E,5,0))</f>
        <v/>
      </c>
      <c r="P741" s="204"/>
      <c r="Q741" s="204"/>
      <c r="R741" s="204"/>
      <c r="S741" s="324"/>
      <c r="T741" s="324"/>
      <c r="U741" s="372" t="s">
        <v>2326</v>
      </c>
      <c r="V741" s="323"/>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6"/>
  <sheetViews>
    <sheetView topLeftCell="C1" workbookViewId="0">
      <selection activeCell="A2" sqref="A2"/>
    </sheetView>
  </sheetViews>
  <sheetFormatPr defaultRowHeight="13.8"/>
  <cols>
    <col min="1" max="1" width="6.5" bestFit="1" customWidth="1"/>
    <col min="2" max="2" width="10.19921875" bestFit="1" customWidth="1"/>
    <col min="3" max="3" width="11.296875" bestFit="1" customWidth="1"/>
    <col min="4" max="4" width="15.796875" bestFit="1" customWidth="1"/>
    <col min="5" max="5" width="33" bestFit="1" customWidth="1"/>
    <col min="6" max="6" width="33" customWidth="1"/>
    <col min="7" max="7" width="19.5" bestFit="1" customWidth="1"/>
    <col min="8" max="8" width="34.59765625" bestFit="1" customWidth="1"/>
    <col min="9" max="9" width="5" bestFit="1" customWidth="1"/>
    <col min="10" max="10" width="58.69921875" bestFit="1" customWidth="1"/>
    <col min="11" max="11" width="19.296875" bestFit="1" customWidth="1"/>
    <col min="12" max="12" width="33.09765625" bestFit="1" customWidth="1"/>
    <col min="13" max="13" width="28" bestFit="1" customWidth="1"/>
    <col min="14" max="14" width="22.5" bestFit="1" customWidth="1"/>
    <col min="15" max="15" width="41.296875" bestFit="1" customWidth="1"/>
    <col min="16" max="16" width="12.09765625" bestFit="1" customWidth="1"/>
    <col min="17" max="17" width="16" bestFit="1" customWidth="1"/>
  </cols>
  <sheetData>
    <row r="1" spans="1:17">
      <c r="B1" t="s">
        <v>8</v>
      </c>
      <c r="C1" t="s">
        <v>9</v>
      </c>
      <c r="D1" t="s">
        <v>10</v>
      </c>
      <c r="E1" t="s">
        <v>11</v>
      </c>
      <c r="F1" t="s">
        <v>12</v>
      </c>
      <c r="G1" t="s">
        <v>636</v>
      </c>
      <c r="H1" t="s">
        <v>637</v>
      </c>
      <c r="I1" t="s">
        <v>2420</v>
      </c>
      <c r="J1" t="s">
        <v>2346</v>
      </c>
      <c r="K1" t="s">
        <v>2347</v>
      </c>
      <c r="L1" t="s">
        <v>2369</v>
      </c>
      <c r="M1" t="s">
        <v>2387</v>
      </c>
      <c r="N1" t="s">
        <v>2330</v>
      </c>
      <c r="O1" t="s">
        <v>2380</v>
      </c>
      <c r="P1" t="s">
        <v>1940</v>
      </c>
      <c r="Q1" t="s">
        <v>1161</v>
      </c>
    </row>
    <row r="2" spans="1:17">
      <c r="A2" t="str">
        <f>C2&amp;E2&amp;F2</f>
        <v>Pilar IIIlt003_entityesg_sbsctr</v>
      </c>
      <c r="B2" t="s">
        <v>26</v>
      </c>
      <c r="C2" t="s">
        <v>26</v>
      </c>
      <c r="D2" t="s">
        <v>40</v>
      </c>
      <c r="E2" t="s">
        <v>335</v>
      </c>
      <c r="F2" t="s">
        <v>360</v>
      </c>
      <c r="G2" t="s">
        <v>2325</v>
      </c>
      <c r="H2" t="s">
        <v>613</v>
      </c>
      <c r="J2" t="s">
        <v>2312</v>
      </c>
      <c r="K2" t="s">
        <v>2360</v>
      </c>
      <c r="N2" t="s">
        <v>2427</v>
      </c>
      <c r="P2" t="s">
        <v>2326</v>
      </c>
      <c r="Q2" t="s">
        <v>2316</v>
      </c>
    </row>
    <row r="3" spans="1:17">
      <c r="A3" t="str">
        <f t="shared" ref="A3:A66" si="0">C3&amp;E3&amp;F3</f>
        <v>Pilar IIIlt007_instr_activitysstnbl_indctr</v>
      </c>
      <c r="B3" t="s">
        <v>26</v>
      </c>
      <c r="C3" t="s">
        <v>26</v>
      </c>
      <c r="D3" t="s">
        <v>40</v>
      </c>
      <c r="E3" t="s">
        <v>1865</v>
      </c>
      <c r="F3" t="s">
        <v>418</v>
      </c>
      <c r="G3" t="s">
        <v>614</v>
      </c>
      <c r="H3" t="s">
        <v>614</v>
      </c>
      <c r="J3" t="s">
        <v>2247</v>
      </c>
      <c r="K3" t="s">
        <v>2360</v>
      </c>
      <c r="M3" t="s">
        <v>2321</v>
      </c>
      <c r="P3" t="s">
        <v>2326</v>
      </c>
      <c r="Q3" t="s">
        <v>2314</v>
      </c>
    </row>
    <row r="4" spans="1:17">
      <c r="A4" t="str">
        <f t="shared" si="0"/>
        <v>Pilar IIIlt007_instr_activityCOD_SOC</v>
      </c>
      <c r="B4" t="s">
        <v>26</v>
      </c>
      <c r="C4" t="s">
        <v>26</v>
      </c>
      <c r="D4" t="s">
        <v>40</v>
      </c>
      <c r="E4" t="s">
        <v>1865</v>
      </c>
      <c r="F4" t="s">
        <v>1298</v>
      </c>
      <c r="G4" t="s">
        <v>2325</v>
      </c>
      <c r="H4" t="s">
        <v>28</v>
      </c>
      <c r="J4" t="s">
        <v>2246</v>
      </c>
      <c r="K4" t="s">
        <v>2360</v>
      </c>
      <c r="M4" t="s">
        <v>2319</v>
      </c>
      <c r="N4" t="s">
        <v>2388</v>
      </c>
      <c r="O4" t="s">
        <v>2367</v>
      </c>
      <c r="P4" t="s">
        <v>2327</v>
      </c>
      <c r="Q4" t="s">
        <v>2314</v>
      </c>
    </row>
    <row r="5" spans="1:17">
      <c r="A5" t="str">
        <f t="shared" si="0"/>
        <v>Pilar IIIlt007_instr_activityDT_RFRNC</v>
      </c>
      <c r="B5" t="s">
        <v>26</v>
      </c>
      <c r="C5" t="s">
        <v>26</v>
      </c>
      <c r="D5" t="s">
        <v>40</v>
      </c>
      <c r="E5" t="s">
        <v>1865</v>
      </c>
      <c r="F5" t="s">
        <v>1303</v>
      </c>
      <c r="G5" t="s">
        <v>2325</v>
      </c>
      <c r="H5" t="s">
        <v>2325</v>
      </c>
      <c r="J5" t="s">
        <v>2245</v>
      </c>
      <c r="K5" t="s">
        <v>2360</v>
      </c>
      <c r="M5" t="s">
        <v>2319</v>
      </c>
      <c r="N5" t="s">
        <v>2388</v>
      </c>
      <c r="O5" t="s">
        <v>2367</v>
      </c>
      <c r="P5" t="s">
        <v>2327</v>
      </c>
      <c r="Q5" t="s">
        <v>2314</v>
      </c>
    </row>
    <row r="6" spans="1:17">
      <c r="A6" t="str">
        <f t="shared" si="0"/>
        <v>Pilar IIIlt007_instr_activityINSTRMNT_ID</v>
      </c>
      <c r="B6" t="s">
        <v>26</v>
      </c>
      <c r="C6" t="s">
        <v>26</v>
      </c>
      <c r="D6" t="s">
        <v>40</v>
      </c>
      <c r="E6" t="s">
        <v>1865</v>
      </c>
      <c r="F6" t="s">
        <v>1312</v>
      </c>
      <c r="G6" t="s">
        <v>2325</v>
      </c>
      <c r="H6" t="s">
        <v>28</v>
      </c>
      <c r="J6" t="s">
        <v>2246</v>
      </c>
      <c r="K6" t="s">
        <v>2360</v>
      </c>
      <c r="M6" t="s">
        <v>2319</v>
      </c>
      <c r="N6" t="s">
        <v>2388</v>
      </c>
      <c r="O6" t="s">
        <v>2367</v>
      </c>
      <c r="P6" t="s">
        <v>2327</v>
      </c>
      <c r="Q6" t="s">
        <v>2314</v>
      </c>
    </row>
    <row r="7" spans="1:17">
      <c r="A7" t="str">
        <f t="shared" si="0"/>
        <v>Pilar IIIlt007_instr_activityPRCNTG_ACTVTY</v>
      </c>
      <c r="B7" t="s">
        <v>26</v>
      </c>
      <c r="C7" t="s">
        <v>26</v>
      </c>
      <c r="D7" t="s">
        <v>40</v>
      </c>
      <c r="E7" t="s">
        <v>1865</v>
      </c>
      <c r="F7" t="s">
        <v>2297</v>
      </c>
      <c r="G7" t="s">
        <v>2325</v>
      </c>
      <c r="H7" t="s">
        <v>28</v>
      </c>
      <c r="J7" t="s">
        <v>2247</v>
      </c>
      <c r="K7" t="s">
        <v>2360</v>
      </c>
      <c r="M7" t="s">
        <v>2319</v>
      </c>
      <c r="N7" t="s">
        <v>2388</v>
      </c>
      <c r="O7" t="s">
        <v>2367</v>
      </c>
      <c r="P7" t="s">
        <v>2327</v>
      </c>
      <c r="Q7" t="s">
        <v>2314</v>
      </c>
    </row>
    <row r="8" spans="1:17">
      <c r="A8" t="str">
        <f t="shared" si="0"/>
        <v>Pilar IIIlt007_instr_activityFLG_SBSTNTL_CNTRBTN</v>
      </c>
      <c r="B8" t="s">
        <v>26</v>
      </c>
      <c r="C8" t="s">
        <v>26</v>
      </c>
      <c r="D8" t="s">
        <v>40</v>
      </c>
      <c r="E8" t="s">
        <v>1865</v>
      </c>
      <c r="F8" t="s">
        <v>2298</v>
      </c>
      <c r="G8" t="s">
        <v>2325</v>
      </c>
      <c r="H8" t="s">
        <v>28</v>
      </c>
      <c r="J8" t="s">
        <v>2247</v>
      </c>
      <c r="K8" t="s">
        <v>2360</v>
      </c>
      <c r="M8" t="s">
        <v>2319</v>
      </c>
      <c r="N8" t="s">
        <v>2389</v>
      </c>
      <c r="O8" t="s">
        <v>2367</v>
      </c>
      <c r="P8" t="s">
        <v>2327</v>
      </c>
      <c r="Q8" t="s">
        <v>2314</v>
      </c>
    </row>
    <row r="9" spans="1:17">
      <c r="A9" t="str">
        <f t="shared" si="0"/>
        <v>Pilar IIIlt007_instr_activityFLG_DNSH_CMPLNC</v>
      </c>
      <c r="B9" t="s">
        <v>26</v>
      </c>
      <c r="C9" t="s">
        <v>26</v>
      </c>
      <c r="D9" t="s">
        <v>40</v>
      </c>
      <c r="E9" t="s">
        <v>1865</v>
      </c>
      <c r="F9" t="s">
        <v>2299</v>
      </c>
      <c r="G9" t="s">
        <v>2325</v>
      </c>
      <c r="H9" t="s">
        <v>2325</v>
      </c>
      <c r="J9" t="s">
        <v>2312</v>
      </c>
      <c r="K9" t="s">
        <v>2360</v>
      </c>
      <c r="M9" t="s">
        <v>2319</v>
      </c>
      <c r="N9" t="s">
        <v>2389</v>
      </c>
      <c r="O9" t="s">
        <v>2367</v>
      </c>
      <c r="P9" t="s">
        <v>2327</v>
      </c>
      <c r="Q9" t="s">
        <v>2316</v>
      </c>
    </row>
    <row r="10" spans="1:17">
      <c r="A10" t="str">
        <f t="shared" si="0"/>
        <v>Pilar IIIlt007_instr_activityDNSH_DTL</v>
      </c>
      <c r="B10" t="s">
        <v>26</v>
      </c>
      <c r="C10" t="s">
        <v>26</v>
      </c>
      <c r="D10" t="s">
        <v>40</v>
      </c>
      <c r="E10" t="s">
        <v>1865</v>
      </c>
      <c r="F10" t="s">
        <v>2300</v>
      </c>
      <c r="G10" t="s">
        <v>2325</v>
      </c>
      <c r="H10" t="s">
        <v>2325</v>
      </c>
      <c r="J10" t="s">
        <v>2312</v>
      </c>
      <c r="K10" t="s">
        <v>2360</v>
      </c>
      <c r="M10" t="s">
        <v>2319</v>
      </c>
      <c r="N10" t="s">
        <v>2389</v>
      </c>
      <c r="O10" t="s">
        <v>2367</v>
      </c>
      <c r="P10" t="s">
        <v>2327</v>
      </c>
      <c r="Q10" t="s">
        <v>2316</v>
      </c>
    </row>
    <row r="11" spans="1:17">
      <c r="A11" t="str">
        <f t="shared" si="0"/>
        <v>Pilar IIIlt007_instr_activitysstnbl_ctgry</v>
      </c>
      <c r="B11" t="s">
        <v>26</v>
      </c>
      <c r="C11" t="s">
        <v>26</v>
      </c>
      <c r="D11" t="s">
        <v>40</v>
      </c>
      <c r="E11" t="s">
        <v>1865</v>
      </c>
      <c r="F11" t="s">
        <v>419</v>
      </c>
      <c r="G11" t="s">
        <v>2325</v>
      </c>
      <c r="H11" t="s">
        <v>614</v>
      </c>
      <c r="J11" t="s">
        <v>2247</v>
      </c>
      <c r="K11" t="s">
        <v>2360</v>
      </c>
      <c r="M11" t="s">
        <v>2321</v>
      </c>
      <c r="P11" t="s">
        <v>2326</v>
      </c>
      <c r="Q11" t="s">
        <v>2314</v>
      </c>
    </row>
    <row r="12" spans="1:17">
      <c r="A12" t="str">
        <f t="shared" si="0"/>
        <v>Pilar IIIlt002_instrumentFRBRNC_STTS_INSTRMNT</v>
      </c>
      <c r="B12" t="s">
        <v>26</v>
      </c>
      <c r="C12" t="s">
        <v>26</v>
      </c>
      <c r="D12" t="s">
        <v>40</v>
      </c>
      <c r="E12" t="s">
        <v>379</v>
      </c>
      <c r="F12" t="s">
        <v>2169</v>
      </c>
      <c r="G12" t="s">
        <v>2325</v>
      </c>
      <c r="H12" t="s">
        <v>2325</v>
      </c>
      <c r="J12" t="s">
        <v>2312</v>
      </c>
      <c r="K12" t="s">
        <v>2360</v>
      </c>
      <c r="M12" t="s">
        <v>2319</v>
      </c>
      <c r="N12" t="s">
        <v>2390</v>
      </c>
      <c r="O12" t="s">
        <v>2366</v>
      </c>
      <c r="P12" t="s">
        <v>2327</v>
      </c>
      <c r="Q12" t="s">
        <v>1861</v>
      </c>
    </row>
    <row r="13" spans="1:17">
      <c r="A13" t="str">
        <f t="shared" si="0"/>
        <v>Pilar IIIlt002_instrumentINTRNL_SGMNT</v>
      </c>
      <c r="B13" t="s">
        <v>26</v>
      </c>
      <c r="C13" t="s">
        <v>26</v>
      </c>
      <c r="D13" t="s">
        <v>40</v>
      </c>
      <c r="E13" t="s">
        <v>379</v>
      </c>
      <c r="F13" t="s">
        <v>2170</v>
      </c>
      <c r="G13" t="s">
        <v>2325</v>
      </c>
      <c r="H13" t="s">
        <v>2325</v>
      </c>
      <c r="J13" t="s">
        <v>2245</v>
      </c>
      <c r="K13" t="s">
        <v>2360</v>
      </c>
      <c r="M13" t="s">
        <v>2319</v>
      </c>
      <c r="N13" t="s">
        <v>2391</v>
      </c>
      <c r="O13" t="s">
        <v>2366</v>
      </c>
      <c r="P13" t="s">
        <v>2327</v>
      </c>
      <c r="Q13" t="s">
        <v>1862</v>
      </c>
    </row>
    <row r="14" spans="1:17">
      <c r="A14" t="str">
        <f t="shared" si="0"/>
        <v>Pilar IIIlt002_instrumentDT_ORGNL_MTRTY</v>
      </c>
      <c r="B14" t="s">
        <v>26</v>
      </c>
      <c r="C14" t="s">
        <v>26</v>
      </c>
      <c r="D14" t="s">
        <v>40</v>
      </c>
      <c r="E14" t="s">
        <v>379</v>
      </c>
      <c r="F14" t="s">
        <v>2171</v>
      </c>
      <c r="G14" t="s">
        <v>2325</v>
      </c>
      <c r="H14" t="s">
        <v>2325</v>
      </c>
      <c r="J14" t="s">
        <v>2245</v>
      </c>
      <c r="K14" t="s">
        <v>2360</v>
      </c>
      <c r="M14" t="s">
        <v>2319</v>
      </c>
      <c r="N14" t="s">
        <v>2392</v>
      </c>
      <c r="O14" t="s">
        <v>2366</v>
      </c>
      <c r="P14" t="s">
        <v>2327</v>
      </c>
      <c r="Q14" t="s">
        <v>1862</v>
      </c>
    </row>
    <row r="15" spans="1:17">
      <c r="A15" t="str">
        <f t="shared" si="0"/>
        <v>Pilar IIIlt002_instrumentEAD</v>
      </c>
      <c r="B15" t="s">
        <v>26</v>
      </c>
      <c r="C15" t="s">
        <v>26</v>
      </c>
      <c r="D15" t="s">
        <v>40</v>
      </c>
      <c r="E15" t="s">
        <v>379</v>
      </c>
      <c r="F15" t="s">
        <v>2172</v>
      </c>
      <c r="G15" t="s">
        <v>2325</v>
      </c>
      <c r="H15" t="s">
        <v>2325</v>
      </c>
      <c r="J15" t="s">
        <v>2245</v>
      </c>
      <c r="K15" t="s">
        <v>2360</v>
      </c>
      <c r="M15" t="s">
        <v>2319</v>
      </c>
      <c r="N15" t="s">
        <v>2393</v>
      </c>
      <c r="O15" t="s">
        <v>2366</v>
      </c>
      <c r="P15" t="s">
        <v>2327</v>
      </c>
      <c r="Q15" t="s">
        <v>1862</v>
      </c>
    </row>
    <row r="16" spans="1:17">
      <c r="A16" t="str">
        <f t="shared" si="0"/>
        <v>Pilar IIIlt002_instrumentOFF_BLNC_SHT_AMNT_INSTRMNT</v>
      </c>
      <c r="B16" t="s">
        <v>26</v>
      </c>
      <c r="C16" t="s">
        <v>26</v>
      </c>
      <c r="D16" t="s">
        <v>40</v>
      </c>
      <c r="E16" t="s">
        <v>379</v>
      </c>
      <c r="F16" t="s">
        <v>1417</v>
      </c>
      <c r="G16" t="s">
        <v>2325</v>
      </c>
      <c r="H16" t="s">
        <v>28</v>
      </c>
      <c r="J16" t="s">
        <v>2246</v>
      </c>
      <c r="K16" t="s">
        <v>2360</v>
      </c>
      <c r="M16" t="s">
        <v>2319</v>
      </c>
      <c r="N16" t="s">
        <v>2394</v>
      </c>
      <c r="O16" t="s">
        <v>2366</v>
      </c>
      <c r="P16" t="s">
        <v>2327</v>
      </c>
      <c r="Q16" t="s">
        <v>1862</v>
      </c>
    </row>
    <row r="17" spans="1:17">
      <c r="A17" t="str">
        <f t="shared" si="0"/>
        <v>Pilar IIIlt002_instrumentRWA</v>
      </c>
      <c r="B17" t="s">
        <v>26</v>
      </c>
      <c r="C17" t="s">
        <v>26</v>
      </c>
      <c r="D17" t="s">
        <v>40</v>
      </c>
      <c r="E17" t="s">
        <v>379</v>
      </c>
      <c r="F17" t="s">
        <v>1423</v>
      </c>
      <c r="G17" t="s">
        <v>2325</v>
      </c>
      <c r="H17" t="s">
        <v>2325</v>
      </c>
      <c r="J17" t="s">
        <v>2245</v>
      </c>
      <c r="K17" t="s">
        <v>2360</v>
      </c>
      <c r="M17" t="s">
        <v>2319</v>
      </c>
      <c r="N17" t="s">
        <v>2395</v>
      </c>
      <c r="O17" t="s">
        <v>2366</v>
      </c>
      <c r="P17" t="s">
        <v>2327</v>
      </c>
      <c r="Q17" t="s">
        <v>1862</v>
      </c>
    </row>
    <row r="18" spans="1:17">
      <c r="A18" t="str">
        <f t="shared" si="0"/>
        <v>Pilar IIIlt002_instrumentLTV</v>
      </c>
      <c r="B18" t="s">
        <v>26</v>
      </c>
      <c r="C18" t="s">
        <v>26</v>
      </c>
      <c r="D18" t="s">
        <v>40</v>
      </c>
      <c r="E18" t="s">
        <v>379</v>
      </c>
      <c r="F18" t="s">
        <v>2173</v>
      </c>
      <c r="G18" t="s">
        <v>2325</v>
      </c>
      <c r="H18" t="s">
        <v>2325</v>
      </c>
      <c r="J18" t="s">
        <v>2245</v>
      </c>
      <c r="K18" t="s">
        <v>2360</v>
      </c>
      <c r="M18" t="s">
        <v>2319</v>
      </c>
      <c r="N18" t="s">
        <v>2396</v>
      </c>
      <c r="O18" t="s">
        <v>2366</v>
      </c>
      <c r="P18" t="s">
        <v>2327</v>
      </c>
      <c r="Q18" t="s">
        <v>1862</v>
      </c>
    </row>
    <row r="19" spans="1:17">
      <c r="A19" t="str">
        <f t="shared" si="0"/>
        <v>Pilar IIIlt002_instrumentLTV_INCPTN</v>
      </c>
      <c r="B19" t="s">
        <v>26</v>
      </c>
      <c r="C19" t="s">
        <v>26</v>
      </c>
      <c r="D19" t="s">
        <v>40</v>
      </c>
      <c r="E19" t="s">
        <v>379</v>
      </c>
      <c r="F19" t="s">
        <v>2174</v>
      </c>
      <c r="G19" t="s">
        <v>2325</v>
      </c>
      <c r="H19" t="s">
        <v>2325</v>
      </c>
      <c r="J19" t="s">
        <v>2245</v>
      </c>
      <c r="K19" t="s">
        <v>2360</v>
      </c>
      <c r="M19" t="s">
        <v>2319</v>
      </c>
      <c r="N19" t="s">
        <v>2396</v>
      </c>
      <c r="O19" t="s">
        <v>2366</v>
      </c>
      <c r="P19" t="s">
        <v>2327</v>
      </c>
      <c r="Q19" t="s">
        <v>1861</v>
      </c>
    </row>
    <row r="20" spans="1:17">
      <c r="A20" t="str">
        <f t="shared" si="0"/>
        <v>Pilar IIIlt002_instrumentEIR</v>
      </c>
      <c r="B20" t="s">
        <v>26</v>
      </c>
      <c r="C20" t="s">
        <v>26</v>
      </c>
      <c r="D20" t="s">
        <v>40</v>
      </c>
      <c r="E20" t="s">
        <v>379</v>
      </c>
      <c r="F20" t="s">
        <v>2175</v>
      </c>
      <c r="G20" t="s">
        <v>2325</v>
      </c>
      <c r="H20" t="s">
        <v>2325</v>
      </c>
      <c r="J20" t="s">
        <v>2245</v>
      </c>
      <c r="K20" t="s">
        <v>2360</v>
      </c>
      <c r="M20" t="s">
        <v>2319</v>
      </c>
      <c r="N20" t="s">
        <v>2390</v>
      </c>
      <c r="O20" t="s">
        <v>2366</v>
      </c>
      <c r="P20" t="s">
        <v>2327</v>
      </c>
      <c r="Q20" t="s">
        <v>1861</v>
      </c>
    </row>
    <row r="21" spans="1:17">
      <c r="A21" t="str">
        <f t="shared" si="0"/>
        <v>Pilar IIIlt002_instrumentEIR_INCPTN</v>
      </c>
      <c r="B21" t="s">
        <v>26</v>
      </c>
      <c r="C21" t="s">
        <v>26</v>
      </c>
      <c r="D21" t="s">
        <v>40</v>
      </c>
      <c r="E21" t="s">
        <v>379</v>
      </c>
      <c r="F21" t="s">
        <v>2176</v>
      </c>
      <c r="G21" t="s">
        <v>2325</v>
      </c>
      <c r="H21" t="s">
        <v>2325</v>
      </c>
      <c r="J21" t="s">
        <v>2245</v>
      </c>
      <c r="K21" t="s">
        <v>2360</v>
      </c>
      <c r="M21" t="s">
        <v>2319</v>
      </c>
      <c r="N21" t="s">
        <v>2396</v>
      </c>
      <c r="O21" t="s">
        <v>2366</v>
      </c>
      <c r="P21" t="s">
        <v>2327</v>
      </c>
      <c r="Q21" t="s">
        <v>1861</v>
      </c>
    </row>
    <row r="22" spans="1:17">
      <c r="A22" t="str">
        <f t="shared" si="0"/>
        <v>Pilar IIIlt002_instrumentINTRNL_SGMNT_CAT_MSTA</v>
      </c>
      <c r="B22" t="s">
        <v>26</v>
      </c>
      <c r="C22" t="s">
        <v>26</v>
      </c>
      <c r="D22" t="s">
        <v>40</v>
      </c>
      <c r="E22" t="s">
        <v>379</v>
      </c>
      <c r="F22" t="s">
        <v>2177</v>
      </c>
      <c r="G22" t="s">
        <v>2325</v>
      </c>
      <c r="H22" t="s">
        <v>2325</v>
      </c>
      <c r="J22" t="s">
        <v>2245</v>
      </c>
      <c r="K22" t="s">
        <v>2360</v>
      </c>
      <c r="M22" t="s">
        <v>2319</v>
      </c>
      <c r="N22" t="s">
        <v>2397</v>
      </c>
      <c r="O22" t="s">
        <v>2366</v>
      </c>
      <c r="P22" t="s">
        <v>2327</v>
      </c>
      <c r="Q22" t="s">
        <v>1861</v>
      </c>
    </row>
    <row r="23" spans="1:17">
      <c r="A23" t="str">
        <f t="shared" si="0"/>
        <v>Pilar IIIlt002_instrumentINTRNL_SGMNT_CATGSUB</v>
      </c>
      <c r="B23" t="s">
        <v>26</v>
      </c>
      <c r="C23" t="s">
        <v>26</v>
      </c>
      <c r="D23" t="s">
        <v>40</v>
      </c>
      <c r="E23" t="s">
        <v>379</v>
      </c>
      <c r="F23" t="s">
        <v>2178</v>
      </c>
      <c r="G23" t="s">
        <v>2325</v>
      </c>
      <c r="H23" t="s">
        <v>2325</v>
      </c>
      <c r="J23" t="s">
        <v>2245</v>
      </c>
      <c r="K23" t="s">
        <v>2360</v>
      </c>
      <c r="M23" t="s">
        <v>2319</v>
      </c>
      <c r="N23" t="s">
        <v>2397</v>
      </c>
      <c r="O23" t="s">
        <v>2366</v>
      </c>
      <c r="P23" t="s">
        <v>2327</v>
      </c>
      <c r="Q23" t="s">
        <v>1861</v>
      </c>
    </row>
    <row r="24" spans="1:17">
      <c r="A24" t="str">
        <f t="shared" si="0"/>
        <v>Pilar IIIlt002_instrumentNW_BSNSS</v>
      </c>
      <c r="B24" t="s">
        <v>26</v>
      </c>
      <c r="C24" t="s">
        <v>26</v>
      </c>
      <c r="D24" t="s">
        <v>40</v>
      </c>
      <c r="E24" t="s">
        <v>379</v>
      </c>
      <c r="F24" t="s">
        <v>1339</v>
      </c>
      <c r="G24" t="s">
        <v>2325</v>
      </c>
      <c r="H24" t="s">
        <v>28</v>
      </c>
      <c r="J24" t="s">
        <v>2247</v>
      </c>
      <c r="K24" t="s">
        <v>2360</v>
      </c>
      <c r="M24" t="s">
        <v>2319</v>
      </c>
      <c r="N24" t="s">
        <v>2388</v>
      </c>
      <c r="O24" t="s">
        <v>2367</v>
      </c>
      <c r="P24" t="s">
        <v>2327</v>
      </c>
      <c r="Q24" t="s">
        <v>2314</v>
      </c>
    </row>
    <row r="25" spans="1:17">
      <c r="A25" t="str">
        <f t="shared" si="0"/>
        <v>Pilar IIIlt002_instrumentCNCLLD_INSTRMNT_STTS</v>
      </c>
      <c r="B25" t="s">
        <v>26</v>
      </c>
      <c r="C25" t="s">
        <v>26</v>
      </c>
      <c r="D25" t="s">
        <v>40</v>
      </c>
      <c r="E25" t="s">
        <v>379</v>
      </c>
      <c r="F25" t="s">
        <v>1349</v>
      </c>
      <c r="G25" t="s">
        <v>614</v>
      </c>
      <c r="H25" t="s">
        <v>28</v>
      </c>
      <c r="J25" t="s">
        <v>2247</v>
      </c>
      <c r="K25" t="s">
        <v>2360</v>
      </c>
      <c r="M25" t="s">
        <v>2319</v>
      </c>
      <c r="N25" t="s">
        <v>2388</v>
      </c>
      <c r="O25" t="s">
        <v>2367</v>
      </c>
      <c r="P25" t="s">
        <v>2327</v>
      </c>
      <c r="Q25" t="s">
        <v>2314</v>
      </c>
    </row>
    <row r="26" spans="1:17">
      <c r="A26" t="str">
        <f t="shared" si="0"/>
        <v>Pilar IIIlt002_instrumentTYP_OFF_BLNC_PRDCT</v>
      </c>
      <c r="B26" t="s">
        <v>26</v>
      </c>
      <c r="C26" t="s">
        <v>26</v>
      </c>
      <c r="D26" t="s">
        <v>40</v>
      </c>
      <c r="E26" t="s">
        <v>379</v>
      </c>
      <c r="F26" t="s">
        <v>2179</v>
      </c>
      <c r="G26" t="s">
        <v>2325</v>
      </c>
      <c r="H26" t="s">
        <v>28</v>
      </c>
      <c r="J26" t="s">
        <v>2406</v>
      </c>
      <c r="K26" t="s">
        <v>2360</v>
      </c>
      <c r="M26" t="s">
        <v>2319</v>
      </c>
      <c r="N26" t="s">
        <v>2398</v>
      </c>
      <c r="O26" t="s">
        <v>2366</v>
      </c>
      <c r="P26" t="s">
        <v>2327</v>
      </c>
      <c r="Q26" t="s">
        <v>1861</v>
      </c>
    </row>
    <row r="27" spans="1:17">
      <c r="A27" t="str">
        <f t="shared" si="0"/>
        <v>Pilar IIIlt002_instrumentFLG_MNMM_SFGRDS</v>
      </c>
      <c r="B27" t="s">
        <v>26</v>
      </c>
      <c r="C27" t="s">
        <v>26</v>
      </c>
      <c r="D27" t="s">
        <v>40</v>
      </c>
      <c r="E27" t="s">
        <v>379</v>
      </c>
      <c r="F27" t="s">
        <v>2180</v>
      </c>
      <c r="G27" t="s">
        <v>2325</v>
      </c>
      <c r="H27" t="s">
        <v>2325</v>
      </c>
      <c r="J27" t="s">
        <v>2312</v>
      </c>
      <c r="K27" t="s">
        <v>2360</v>
      </c>
      <c r="M27" t="s">
        <v>2319</v>
      </c>
      <c r="N27" t="s">
        <v>2399</v>
      </c>
      <c r="O27" t="s">
        <v>2367</v>
      </c>
      <c r="P27" t="s">
        <v>2327</v>
      </c>
      <c r="Q27" t="s">
        <v>1861</v>
      </c>
    </row>
    <row r="28" spans="1:17">
      <c r="A28" t="str">
        <f t="shared" si="0"/>
        <v>Pilar IIIlt003_entityentty_nm</v>
      </c>
      <c r="B28" t="s">
        <v>26</v>
      </c>
      <c r="C28" t="s">
        <v>26</v>
      </c>
      <c r="D28" t="s">
        <v>40</v>
      </c>
      <c r="E28" t="s">
        <v>335</v>
      </c>
      <c r="F28" t="s">
        <v>2197</v>
      </c>
      <c r="G28" t="s">
        <v>2325</v>
      </c>
      <c r="H28" t="s">
        <v>2325</v>
      </c>
      <c r="J28" t="s">
        <v>2245</v>
      </c>
      <c r="K28" t="s">
        <v>2360</v>
      </c>
      <c r="M28" t="s">
        <v>2319</v>
      </c>
      <c r="N28" t="s">
        <v>2392</v>
      </c>
      <c r="O28" t="s">
        <v>2366</v>
      </c>
      <c r="P28" t="s">
        <v>2327</v>
      </c>
      <c r="Q28" t="s">
        <v>1861</v>
      </c>
    </row>
    <row r="29" spans="1:17">
      <c r="A29" t="str">
        <f t="shared" si="0"/>
        <v>Pilar IIIlt003_entityec_grp_id</v>
      </c>
      <c r="B29" t="s">
        <v>26</v>
      </c>
      <c r="C29" t="s">
        <v>26</v>
      </c>
      <c r="D29" t="s">
        <v>40</v>
      </c>
      <c r="E29" t="s">
        <v>335</v>
      </c>
      <c r="F29" t="s">
        <v>2198</v>
      </c>
      <c r="G29" t="s">
        <v>2325</v>
      </c>
      <c r="H29" t="s">
        <v>28</v>
      </c>
      <c r="J29" t="s">
        <v>2246</v>
      </c>
      <c r="K29" t="s">
        <v>2360</v>
      </c>
      <c r="M29" t="s">
        <v>2319</v>
      </c>
      <c r="N29" t="s">
        <v>2392</v>
      </c>
      <c r="O29" t="s">
        <v>2366</v>
      </c>
      <c r="P29" t="s">
        <v>2327</v>
      </c>
      <c r="Q29" t="s">
        <v>1861</v>
      </c>
    </row>
    <row r="30" spans="1:17">
      <c r="A30" t="str">
        <f t="shared" si="0"/>
        <v>Pilar IIIlt003_entityec_grp_nm</v>
      </c>
      <c r="B30" t="s">
        <v>26</v>
      </c>
      <c r="C30" t="s">
        <v>26</v>
      </c>
      <c r="D30" t="s">
        <v>40</v>
      </c>
      <c r="E30" t="s">
        <v>335</v>
      </c>
      <c r="F30" t="s">
        <v>2199</v>
      </c>
      <c r="G30" t="s">
        <v>2325</v>
      </c>
      <c r="H30" t="s">
        <v>28</v>
      </c>
      <c r="J30" t="s">
        <v>2246</v>
      </c>
      <c r="K30" t="s">
        <v>2360</v>
      </c>
      <c r="M30" t="s">
        <v>2319</v>
      </c>
      <c r="N30" t="s">
        <v>2392</v>
      </c>
      <c r="O30" t="s">
        <v>2366</v>
      </c>
      <c r="P30" t="s">
        <v>2327</v>
      </c>
      <c r="Q30" t="s">
        <v>1861</v>
      </c>
    </row>
    <row r="31" spans="1:17">
      <c r="A31" t="str">
        <f t="shared" si="0"/>
        <v>Pilar IIIlt003_entitygrp_ecnmc_actvty</v>
      </c>
      <c r="B31" t="s">
        <v>26</v>
      </c>
      <c r="C31" t="s">
        <v>26</v>
      </c>
      <c r="D31" t="s">
        <v>40</v>
      </c>
      <c r="E31" t="s">
        <v>335</v>
      </c>
      <c r="F31" t="s">
        <v>2200</v>
      </c>
      <c r="G31" t="s">
        <v>2325</v>
      </c>
      <c r="H31" t="s">
        <v>28</v>
      </c>
      <c r="J31" t="s">
        <v>2247</v>
      </c>
      <c r="K31" t="s">
        <v>2360</v>
      </c>
      <c r="M31" t="s">
        <v>2319</v>
      </c>
      <c r="N31" t="s">
        <v>2400</v>
      </c>
      <c r="O31" t="s">
        <v>2367</v>
      </c>
      <c r="P31" t="s">
        <v>2327</v>
      </c>
      <c r="Q31" t="s">
        <v>1861</v>
      </c>
    </row>
    <row r="32" spans="1:17">
      <c r="A32" t="str">
        <f t="shared" si="0"/>
        <v>Pilar IIIlt003_entitytxnmy_elgbl_capex_w</v>
      </c>
      <c r="B32" t="s">
        <v>26</v>
      </c>
      <c r="C32" t="s">
        <v>26</v>
      </c>
      <c r="D32" t="s">
        <v>40</v>
      </c>
      <c r="E32" t="s">
        <v>335</v>
      </c>
      <c r="F32" t="s">
        <v>2201</v>
      </c>
      <c r="G32" t="s">
        <v>2325</v>
      </c>
      <c r="H32" t="s">
        <v>2325</v>
      </c>
      <c r="J32" t="s">
        <v>2248</v>
      </c>
      <c r="K32" t="s">
        <v>2405</v>
      </c>
      <c r="M32" t="s">
        <v>2319</v>
      </c>
      <c r="N32" t="s">
        <v>2389</v>
      </c>
      <c r="O32" t="s">
        <v>2367</v>
      </c>
      <c r="P32" t="s">
        <v>2327</v>
      </c>
      <c r="Q32" t="s">
        <v>1861</v>
      </c>
    </row>
    <row r="33" spans="1:17">
      <c r="A33" t="str">
        <f t="shared" si="0"/>
        <v>Pilar IIIlt003_entitytxnmy_elgbl_trnvr_w</v>
      </c>
      <c r="B33" t="s">
        <v>26</v>
      </c>
      <c r="C33" t="s">
        <v>26</v>
      </c>
      <c r="D33" t="s">
        <v>40</v>
      </c>
      <c r="E33" t="s">
        <v>335</v>
      </c>
      <c r="F33" t="s">
        <v>2202</v>
      </c>
      <c r="G33" t="s">
        <v>2325</v>
      </c>
      <c r="H33" t="s">
        <v>2325</v>
      </c>
      <c r="J33" t="s">
        <v>2248</v>
      </c>
      <c r="K33" t="s">
        <v>2405</v>
      </c>
      <c r="M33" t="s">
        <v>2319</v>
      </c>
      <c r="N33" t="s">
        <v>2389</v>
      </c>
      <c r="O33" t="s">
        <v>2367</v>
      </c>
      <c r="P33" t="s">
        <v>2327</v>
      </c>
      <c r="Q33" t="s">
        <v>1861</v>
      </c>
    </row>
    <row r="34" spans="1:17">
      <c r="A34" t="str">
        <f t="shared" si="0"/>
        <v>Pilar IIIlt003_entitytxnmy_elgbl_capex_p</v>
      </c>
      <c r="B34" t="s">
        <v>26</v>
      </c>
      <c r="C34" t="s">
        <v>26</v>
      </c>
      <c r="D34" t="s">
        <v>40</v>
      </c>
      <c r="E34" t="s">
        <v>335</v>
      </c>
      <c r="F34" t="s">
        <v>2203</v>
      </c>
      <c r="G34" t="s">
        <v>2325</v>
      </c>
      <c r="H34" t="s">
        <v>2325</v>
      </c>
      <c r="J34" t="s">
        <v>2248</v>
      </c>
      <c r="K34" t="s">
        <v>2405</v>
      </c>
      <c r="M34" t="s">
        <v>2319</v>
      </c>
      <c r="N34" t="s">
        <v>2389</v>
      </c>
      <c r="O34" t="s">
        <v>2367</v>
      </c>
      <c r="P34" t="s">
        <v>2327</v>
      </c>
      <c r="Q34" t="s">
        <v>1861</v>
      </c>
    </row>
    <row r="35" spans="1:17">
      <c r="A35" t="str">
        <f t="shared" si="0"/>
        <v>Pilar IIIlt003_entitytxnmy_elgbl_trnvr_p</v>
      </c>
      <c r="B35" t="s">
        <v>26</v>
      </c>
      <c r="C35" t="s">
        <v>26</v>
      </c>
      <c r="D35" t="s">
        <v>40</v>
      </c>
      <c r="E35" t="s">
        <v>335</v>
      </c>
      <c r="F35" t="s">
        <v>2204</v>
      </c>
      <c r="G35" t="s">
        <v>2325</v>
      </c>
      <c r="H35" t="s">
        <v>2325</v>
      </c>
      <c r="J35" t="s">
        <v>2248</v>
      </c>
      <c r="K35" t="s">
        <v>2405</v>
      </c>
      <c r="M35" t="s">
        <v>2319</v>
      </c>
      <c r="N35" t="s">
        <v>2389</v>
      </c>
      <c r="O35" t="s">
        <v>2367</v>
      </c>
      <c r="P35" t="s">
        <v>2327</v>
      </c>
      <c r="Q35" t="s">
        <v>1861</v>
      </c>
    </row>
    <row r="36" spans="1:17">
      <c r="A36" t="str">
        <f t="shared" si="0"/>
        <v>Pilar IIIlt003_entitytxnmy_elgbl_capex_b</v>
      </c>
      <c r="B36" t="s">
        <v>26</v>
      </c>
      <c r="C36" t="s">
        <v>26</v>
      </c>
      <c r="D36" t="s">
        <v>40</v>
      </c>
      <c r="E36" t="s">
        <v>335</v>
      </c>
      <c r="F36" t="s">
        <v>2205</v>
      </c>
      <c r="G36" t="s">
        <v>2325</v>
      </c>
      <c r="H36" t="s">
        <v>2325</v>
      </c>
      <c r="J36" t="s">
        <v>2248</v>
      </c>
      <c r="K36" t="s">
        <v>2405</v>
      </c>
      <c r="M36" t="s">
        <v>2319</v>
      </c>
      <c r="N36" t="s">
        <v>2389</v>
      </c>
      <c r="O36" t="s">
        <v>2367</v>
      </c>
      <c r="P36" t="s">
        <v>2327</v>
      </c>
      <c r="Q36" t="s">
        <v>1861</v>
      </c>
    </row>
    <row r="37" spans="1:17">
      <c r="A37" t="str">
        <f t="shared" si="0"/>
        <v>Pilar IIIlt003_entitytxnmy_elgbl_trnvr_b</v>
      </c>
      <c r="B37" t="s">
        <v>26</v>
      </c>
      <c r="C37" t="s">
        <v>26</v>
      </c>
      <c r="D37" t="s">
        <v>40</v>
      </c>
      <c r="E37" t="s">
        <v>335</v>
      </c>
      <c r="F37" t="s">
        <v>2206</v>
      </c>
      <c r="G37" t="s">
        <v>2325</v>
      </c>
      <c r="H37" t="s">
        <v>2325</v>
      </c>
      <c r="J37" t="s">
        <v>2248</v>
      </c>
      <c r="K37" t="s">
        <v>2405</v>
      </c>
      <c r="M37" t="s">
        <v>2319</v>
      </c>
      <c r="N37" t="s">
        <v>2389</v>
      </c>
      <c r="O37" t="s">
        <v>2367</v>
      </c>
      <c r="P37" t="s">
        <v>2327</v>
      </c>
      <c r="Q37" t="s">
        <v>1861</v>
      </c>
    </row>
    <row r="38" spans="1:17">
      <c r="A38" t="str">
        <f t="shared" si="0"/>
        <v>Pilar IIIlt003_entitytxnmy_elgbl_capex_ce</v>
      </c>
      <c r="B38" t="s">
        <v>26</v>
      </c>
      <c r="C38" t="s">
        <v>26</v>
      </c>
      <c r="D38" t="s">
        <v>40</v>
      </c>
      <c r="E38" t="s">
        <v>335</v>
      </c>
      <c r="F38" t="s">
        <v>2207</v>
      </c>
      <c r="G38" t="s">
        <v>2325</v>
      </c>
      <c r="H38" t="s">
        <v>2325</v>
      </c>
      <c r="J38" t="s">
        <v>2248</v>
      </c>
      <c r="K38" t="s">
        <v>2405</v>
      </c>
      <c r="M38" t="s">
        <v>2319</v>
      </c>
      <c r="N38" t="s">
        <v>2389</v>
      </c>
      <c r="O38" t="s">
        <v>2367</v>
      </c>
      <c r="P38" t="s">
        <v>2327</v>
      </c>
      <c r="Q38" t="s">
        <v>1861</v>
      </c>
    </row>
    <row r="39" spans="1:17">
      <c r="A39" t="str">
        <f t="shared" si="0"/>
        <v>Pilar IIIlt003_entitytxnmy_elgbl_trnvr_ce</v>
      </c>
      <c r="B39" t="s">
        <v>26</v>
      </c>
      <c r="C39" t="s">
        <v>26</v>
      </c>
      <c r="D39" t="s">
        <v>40</v>
      </c>
      <c r="E39" t="s">
        <v>335</v>
      </c>
      <c r="F39" t="s">
        <v>2208</v>
      </c>
      <c r="G39" t="s">
        <v>2325</v>
      </c>
      <c r="H39" t="s">
        <v>2325</v>
      </c>
      <c r="J39" t="s">
        <v>2248</v>
      </c>
      <c r="K39" t="s">
        <v>2405</v>
      </c>
      <c r="M39" t="s">
        <v>2319</v>
      </c>
      <c r="N39" t="s">
        <v>2389</v>
      </c>
      <c r="O39" t="s">
        <v>2367</v>
      </c>
      <c r="P39" t="s">
        <v>2327</v>
      </c>
      <c r="Q39" t="s">
        <v>1861</v>
      </c>
    </row>
    <row r="40" spans="1:17">
      <c r="A40" t="str">
        <f t="shared" si="0"/>
        <v>Pilar IIIlt003_entitypure_capex_p</v>
      </c>
      <c r="B40" t="s">
        <v>26</v>
      </c>
      <c r="C40" t="s">
        <v>26</v>
      </c>
      <c r="D40" t="s">
        <v>40</v>
      </c>
      <c r="E40" t="s">
        <v>335</v>
      </c>
      <c r="F40" t="s">
        <v>2209</v>
      </c>
      <c r="G40" t="s">
        <v>2325</v>
      </c>
      <c r="H40" t="s">
        <v>2325</v>
      </c>
      <c r="J40" t="s">
        <v>2248</v>
      </c>
      <c r="K40" t="s">
        <v>2405</v>
      </c>
      <c r="M40" t="s">
        <v>2319</v>
      </c>
      <c r="N40" t="s">
        <v>2389</v>
      </c>
      <c r="O40" t="s">
        <v>2367</v>
      </c>
      <c r="P40" t="s">
        <v>2327</v>
      </c>
      <c r="Q40" t="s">
        <v>1861</v>
      </c>
    </row>
    <row r="41" spans="1:17">
      <c r="A41" t="str">
        <f t="shared" si="0"/>
        <v>Pilar IIIlt003_entitypure_trnvr_p</v>
      </c>
      <c r="B41" t="s">
        <v>26</v>
      </c>
      <c r="C41" t="s">
        <v>26</v>
      </c>
      <c r="D41" t="s">
        <v>40</v>
      </c>
      <c r="E41" t="s">
        <v>335</v>
      </c>
      <c r="F41" t="s">
        <v>2210</v>
      </c>
      <c r="G41" t="s">
        <v>2325</v>
      </c>
      <c r="H41" t="s">
        <v>2325</v>
      </c>
      <c r="J41" t="s">
        <v>2248</v>
      </c>
      <c r="K41" t="s">
        <v>2405</v>
      </c>
      <c r="M41" t="s">
        <v>2319</v>
      </c>
      <c r="N41" t="s">
        <v>2389</v>
      </c>
      <c r="O41" t="s">
        <v>2367</v>
      </c>
      <c r="P41" t="s">
        <v>2327</v>
      </c>
      <c r="Q41" t="s">
        <v>1861</v>
      </c>
    </row>
    <row r="42" spans="1:17">
      <c r="A42" t="str">
        <f t="shared" si="0"/>
        <v>Pilar IIIlt003_entitypure_capex_b</v>
      </c>
      <c r="B42" t="s">
        <v>26</v>
      </c>
      <c r="C42" t="s">
        <v>26</v>
      </c>
      <c r="D42" t="s">
        <v>40</v>
      </c>
      <c r="E42" t="s">
        <v>335</v>
      </c>
      <c r="F42" t="s">
        <v>2211</v>
      </c>
      <c r="G42" t="s">
        <v>2325</v>
      </c>
      <c r="H42" t="s">
        <v>2325</v>
      </c>
      <c r="J42" t="s">
        <v>2248</v>
      </c>
      <c r="K42" t="s">
        <v>2405</v>
      </c>
      <c r="M42" t="s">
        <v>2319</v>
      </c>
      <c r="N42" t="s">
        <v>2389</v>
      </c>
      <c r="O42" t="s">
        <v>2367</v>
      </c>
      <c r="P42" t="s">
        <v>2327</v>
      </c>
      <c r="Q42" t="s">
        <v>1861</v>
      </c>
    </row>
    <row r="43" spans="1:17">
      <c r="A43" t="str">
        <f t="shared" si="0"/>
        <v>Pilar IIIlt003_entitypure_trnvr_b</v>
      </c>
      <c r="B43" t="s">
        <v>26</v>
      </c>
      <c r="C43" t="s">
        <v>26</v>
      </c>
      <c r="D43" t="s">
        <v>40</v>
      </c>
      <c r="E43" t="s">
        <v>335</v>
      </c>
      <c r="F43" t="s">
        <v>2212</v>
      </c>
      <c r="G43" t="s">
        <v>2325</v>
      </c>
      <c r="H43" t="s">
        <v>2325</v>
      </c>
      <c r="J43" t="s">
        <v>2248</v>
      </c>
      <c r="K43" t="s">
        <v>2405</v>
      </c>
      <c r="M43" t="s">
        <v>2319</v>
      </c>
      <c r="N43" t="s">
        <v>2389</v>
      </c>
      <c r="O43" t="s">
        <v>2367</v>
      </c>
      <c r="P43" t="s">
        <v>2327</v>
      </c>
      <c r="Q43" t="s">
        <v>1861</v>
      </c>
    </row>
    <row r="44" spans="1:17">
      <c r="A44" t="str">
        <f t="shared" si="0"/>
        <v>Pilar IIIlt003_entitypure_capex_w</v>
      </c>
      <c r="B44" t="s">
        <v>26</v>
      </c>
      <c r="C44" t="s">
        <v>26</v>
      </c>
      <c r="D44" t="s">
        <v>40</v>
      </c>
      <c r="E44" t="s">
        <v>335</v>
      </c>
      <c r="F44" t="s">
        <v>2213</v>
      </c>
      <c r="G44" t="s">
        <v>2325</v>
      </c>
      <c r="H44" t="s">
        <v>2325</v>
      </c>
      <c r="J44" t="s">
        <v>2248</v>
      </c>
      <c r="K44" t="s">
        <v>2405</v>
      </c>
      <c r="M44" t="s">
        <v>2319</v>
      </c>
      <c r="N44" t="s">
        <v>2389</v>
      </c>
      <c r="O44" t="s">
        <v>2367</v>
      </c>
      <c r="P44" t="s">
        <v>2327</v>
      </c>
      <c r="Q44" t="s">
        <v>1861</v>
      </c>
    </row>
    <row r="45" spans="1:17">
      <c r="A45" t="str">
        <f t="shared" si="0"/>
        <v>Pilar IIIlt003_entitypure_trnvr_w</v>
      </c>
      <c r="B45" t="s">
        <v>26</v>
      </c>
      <c r="C45" t="s">
        <v>26</v>
      </c>
      <c r="D45" t="s">
        <v>40</v>
      </c>
      <c r="E45" t="s">
        <v>335</v>
      </c>
      <c r="F45" t="s">
        <v>2214</v>
      </c>
      <c r="G45" t="s">
        <v>2325</v>
      </c>
      <c r="H45" t="s">
        <v>2325</v>
      </c>
      <c r="J45" t="s">
        <v>2248</v>
      </c>
      <c r="K45" t="s">
        <v>2405</v>
      </c>
      <c r="M45" t="s">
        <v>2319</v>
      </c>
      <c r="N45" t="s">
        <v>2389</v>
      </c>
      <c r="O45" t="s">
        <v>2367</v>
      </c>
      <c r="P45" t="s">
        <v>2327</v>
      </c>
      <c r="Q45" t="s">
        <v>1861</v>
      </c>
    </row>
    <row r="46" spans="1:17">
      <c r="A46" t="str">
        <f t="shared" si="0"/>
        <v>Pilar IIIlt003_entitypure_capex_ce</v>
      </c>
      <c r="B46" t="s">
        <v>26</v>
      </c>
      <c r="C46" t="s">
        <v>26</v>
      </c>
      <c r="D46" t="s">
        <v>40</v>
      </c>
      <c r="E46" t="s">
        <v>335</v>
      </c>
      <c r="F46" t="s">
        <v>2215</v>
      </c>
      <c r="G46" t="s">
        <v>2325</v>
      </c>
      <c r="H46" t="s">
        <v>2325</v>
      </c>
      <c r="J46" t="s">
        <v>2248</v>
      </c>
      <c r="K46" t="s">
        <v>2405</v>
      </c>
      <c r="M46" t="s">
        <v>2319</v>
      </c>
      <c r="N46" t="s">
        <v>2389</v>
      </c>
      <c r="O46" t="s">
        <v>2367</v>
      </c>
      <c r="P46" t="s">
        <v>2327</v>
      </c>
      <c r="Q46" t="s">
        <v>1861</v>
      </c>
    </row>
    <row r="47" spans="1:17">
      <c r="A47" t="str">
        <f t="shared" si="0"/>
        <v>Pilar IIIlt003_entitypure_trnvr_ce</v>
      </c>
      <c r="B47" t="s">
        <v>26</v>
      </c>
      <c r="C47" t="s">
        <v>26</v>
      </c>
      <c r="D47" t="s">
        <v>40</v>
      </c>
      <c r="E47" t="s">
        <v>335</v>
      </c>
      <c r="F47" t="s">
        <v>2216</v>
      </c>
      <c r="G47" t="s">
        <v>2325</v>
      </c>
      <c r="H47" t="s">
        <v>2325</v>
      </c>
      <c r="J47" t="s">
        <v>2248</v>
      </c>
      <c r="K47" t="s">
        <v>2405</v>
      </c>
      <c r="M47" t="s">
        <v>2319</v>
      </c>
      <c r="N47" t="s">
        <v>2389</v>
      </c>
      <c r="O47" t="s">
        <v>2367</v>
      </c>
      <c r="P47" t="s">
        <v>2327</v>
      </c>
      <c r="Q47" t="s">
        <v>1861</v>
      </c>
    </row>
    <row r="48" spans="1:17">
      <c r="A48" t="str">
        <f t="shared" si="0"/>
        <v>Pilar IIIlt003_entityenblng_capex_w</v>
      </c>
      <c r="B48" t="s">
        <v>26</v>
      </c>
      <c r="C48" t="s">
        <v>26</v>
      </c>
      <c r="D48" t="s">
        <v>40</v>
      </c>
      <c r="E48" t="s">
        <v>335</v>
      </c>
      <c r="F48" t="s">
        <v>2217</v>
      </c>
      <c r="G48" t="s">
        <v>2325</v>
      </c>
      <c r="H48" t="s">
        <v>2325</v>
      </c>
      <c r="J48" t="s">
        <v>2248</v>
      </c>
      <c r="K48" t="s">
        <v>2405</v>
      </c>
      <c r="M48" t="s">
        <v>2319</v>
      </c>
      <c r="N48" t="s">
        <v>2389</v>
      </c>
      <c r="O48" t="s">
        <v>2367</v>
      </c>
      <c r="P48" t="s">
        <v>2327</v>
      </c>
      <c r="Q48" t="s">
        <v>1861</v>
      </c>
    </row>
    <row r="49" spans="1:17">
      <c r="A49" t="str">
        <f t="shared" si="0"/>
        <v>Pilar IIIlt003_entityenblng_trnvr_w</v>
      </c>
      <c r="B49" t="s">
        <v>26</v>
      </c>
      <c r="C49" t="s">
        <v>26</v>
      </c>
      <c r="D49" t="s">
        <v>40</v>
      </c>
      <c r="E49" t="s">
        <v>335</v>
      </c>
      <c r="F49" t="s">
        <v>2218</v>
      </c>
      <c r="G49" t="s">
        <v>2325</v>
      </c>
      <c r="H49" t="s">
        <v>2325</v>
      </c>
      <c r="J49" t="s">
        <v>2248</v>
      </c>
      <c r="K49" t="s">
        <v>2405</v>
      </c>
      <c r="M49" t="s">
        <v>2319</v>
      </c>
      <c r="N49" t="s">
        <v>2389</v>
      </c>
      <c r="O49" t="s">
        <v>2367</v>
      </c>
      <c r="P49" t="s">
        <v>2327</v>
      </c>
      <c r="Q49" t="s">
        <v>1861</v>
      </c>
    </row>
    <row r="50" spans="1:17">
      <c r="A50" t="str">
        <f t="shared" si="0"/>
        <v>Pilar IIIlt003_entityenblng_capex_ce</v>
      </c>
      <c r="B50" t="s">
        <v>26</v>
      </c>
      <c r="C50" t="s">
        <v>26</v>
      </c>
      <c r="D50" t="s">
        <v>40</v>
      </c>
      <c r="E50" t="s">
        <v>335</v>
      </c>
      <c r="F50" t="s">
        <v>2219</v>
      </c>
      <c r="G50" t="s">
        <v>2325</v>
      </c>
      <c r="H50" t="s">
        <v>2325</v>
      </c>
      <c r="J50" t="s">
        <v>2248</v>
      </c>
      <c r="K50" t="s">
        <v>2405</v>
      </c>
      <c r="M50" t="s">
        <v>2319</v>
      </c>
      <c r="N50" t="s">
        <v>2389</v>
      </c>
      <c r="O50" t="s">
        <v>2367</v>
      </c>
      <c r="P50" t="s">
        <v>2327</v>
      </c>
      <c r="Q50" t="s">
        <v>1861</v>
      </c>
    </row>
    <row r="51" spans="1:17">
      <c r="A51" t="str">
        <f t="shared" si="0"/>
        <v>Pilar IIIlt003_entityenblng_trnvr_ce</v>
      </c>
      <c r="B51" t="s">
        <v>26</v>
      </c>
      <c r="C51" t="s">
        <v>26</v>
      </c>
      <c r="D51" t="s">
        <v>40</v>
      </c>
      <c r="E51" t="s">
        <v>335</v>
      </c>
      <c r="F51" t="s">
        <v>2220</v>
      </c>
      <c r="G51" t="s">
        <v>2325</v>
      </c>
      <c r="H51" t="s">
        <v>2325</v>
      </c>
      <c r="J51" t="s">
        <v>2248</v>
      </c>
      <c r="K51" t="s">
        <v>2405</v>
      </c>
      <c r="M51" t="s">
        <v>2319</v>
      </c>
      <c r="N51" t="s">
        <v>2389</v>
      </c>
      <c r="O51" t="s">
        <v>2367</v>
      </c>
      <c r="P51" t="s">
        <v>2327</v>
      </c>
      <c r="Q51" t="s">
        <v>1861</v>
      </c>
    </row>
    <row r="52" spans="1:17">
      <c r="A52" t="str">
        <f t="shared" si="0"/>
        <v>Pilar IIIlt006_instr_protprtctn_allctd_vl</v>
      </c>
      <c r="B52" t="s">
        <v>26</v>
      </c>
      <c r="C52" t="s">
        <v>26</v>
      </c>
      <c r="D52" t="s">
        <v>40</v>
      </c>
      <c r="E52" t="s">
        <v>441</v>
      </c>
      <c r="F52" t="s">
        <v>442</v>
      </c>
      <c r="G52" t="s">
        <v>2325</v>
      </c>
      <c r="H52" t="s">
        <v>2325</v>
      </c>
      <c r="J52" t="s">
        <v>2312</v>
      </c>
      <c r="K52" t="s">
        <v>2360</v>
      </c>
      <c r="M52" t="s">
        <v>2319</v>
      </c>
      <c r="P52" t="s">
        <v>2326</v>
      </c>
      <c r="Q52" t="s">
        <v>2317</v>
      </c>
    </row>
    <row r="53" spans="1:17">
      <c r="A53" t="str">
        <f t="shared" si="0"/>
        <v>Pilar IIIlt006_instr_protTYP_RLTN</v>
      </c>
      <c r="B53" t="s">
        <v>26</v>
      </c>
      <c r="C53" t="s">
        <v>26</v>
      </c>
      <c r="D53" t="s">
        <v>40</v>
      </c>
      <c r="E53" t="s">
        <v>441</v>
      </c>
      <c r="F53" t="s">
        <v>2295</v>
      </c>
      <c r="G53" t="s">
        <v>2325</v>
      </c>
      <c r="H53" t="s">
        <v>28</v>
      </c>
      <c r="J53" t="s">
        <v>2247</v>
      </c>
      <c r="K53" t="s">
        <v>2360</v>
      </c>
      <c r="M53" t="s">
        <v>2319</v>
      </c>
      <c r="N53" t="s">
        <v>2401</v>
      </c>
      <c r="O53" t="s">
        <v>2367</v>
      </c>
      <c r="P53" t="s">
        <v>2327</v>
      </c>
      <c r="Q53" t="s">
        <v>1861</v>
      </c>
    </row>
    <row r="54" spans="1:17">
      <c r="A54" t="str">
        <f t="shared" si="0"/>
        <v>Pilar IIIlt004_protectionRL_ESTT_ADDRSS</v>
      </c>
      <c r="B54" t="s">
        <v>26</v>
      </c>
      <c r="C54" t="s">
        <v>26</v>
      </c>
      <c r="D54" t="s">
        <v>40</v>
      </c>
      <c r="E54" t="s">
        <v>368</v>
      </c>
      <c r="F54" t="s">
        <v>2249</v>
      </c>
      <c r="G54" t="s">
        <v>2325</v>
      </c>
      <c r="H54" t="s">
        <v>28</v>
      </c>
      <c r="J54" t="s">
        <v>2246</v>
      </c>
      <c r="K54" t="s">
        <v>2360</v>
      </c>
      <c r="M54" t="s">
        <v>2319</v>
      </c>
      <c r="N54" t="s">
        <v>2397</v>
      </c>
      <c r="O54" t="s">
        <v>2366</v>
      </c>
      <c r="P54" t="s">
        <v>2327</v>
      </c>
      <c r="Q54" t="s">
        <v>1861</v>
      </c>
    </row>
    <row r="55" spans="1:17">
      <c r="A55" t="str">
        <f t="shared" si="0"/>
        <v>Pilar IIIlt004_protectionRL_ESTT_CLLTRL_LCTN_INT</v>
      </c>
      <c r="B55" t="s">
        <v>26</v>
      </c>
      <c r="C55" t="s">
        <v>26</v>
      </c>
      <c r="D55" t="s">
        <v>40</v>
      </c>
      <c r="E55" t="s">
        <v>368</v>
      </c>
      <c r="F55" t="s">
        <v>2250</v>
      </c>
      <c r="G55" t="s">
        <v>2325</v>
      </c>
      <c r="H55" t="s">
        <v>28</v>
      </c>
      <c r="J55" t="s">
        <v>2247</v>
      </c>
      <c r="K55" t="s">
        <v>2360</v>
      </c>
      <c r="M55" t="s">
        <v>2319</v>
      </c>
      <c r="N55" t="s">
        <v>2397</v>
      </c>
      <c r="O55" t="s">
        <v>2366</v>
      </c>
      <c r="P55" t="s">
        <v>2327</v>
      </c>
      <c r="Q55" t="s">
        <v>1861</v>
      </c>
    </row>
    <row r="56" spans="1:17">
      <c r="A56" t="str">
        <f t="shared" si="0"/>
        <v>Pilar IIIlt004_protectionRL_ESTT_CTY</v>
      </c>
      <c r="B56" t="s">
        <v>26</v>
      </c>
      <c r="C56" t="s">
        <v>26</v>
      </c>
      <c r="D56" t="s">
        <v>40</v>
      </c>
      <c r="E56" t="s">
        <v>368</v>
      </c>
      <c r="F56" t="s">
        <v>2251</v>
      </c>
      <c r="G56" t="s">
        <v>2325</v>
      </c>
      <c r="H56" t="s">
        <v>2325</v>
      </c>
      <c r="J56" t="s">
        <v>2245</v>
      </c>
      <c r="K56" t="s">
        <v>2360</v>
      </c>
      <c r="M56" t="s">
        <v>2319</v>
      </c>
      <c r="N56" t="s">
        <v>2397</v>
      </c>
      <c r="O56" t="s">
        <v>2366</v>
      </c>
      <c r="P56" t="s">
        <v>2327</v>
      </c>
      <c r="Q56" t="s">
        <v>1861</v>
      </c>
    </row>
    <row r="57" spans="1:17">
      <c r="A57" t="str">
        <f t="shared" si="0"/>
        <v>Pilar IIIlt004_protectionTYP_EMSSNS_LBL</v>
      </c>
      <c r="B57" t="s">
        <v>26</v>
      </c>
      <c r="C57" t="s">
        <v>26</v>
      </c>
      <c r="D57" t="s">
        <v>40</v>
      </c>
      <c r="E57" t="s">
        <v>368</v>
      </c>
      <c r="F57" t="s">
        <v>2252</v>
      </c>
      <c r="G57" t="s">
        <v>2325</v>
      </c>
      <c r="H57" t="s">
        <v>2325</v>
      </c>
      <c r="J57" t="s">
        <v>2312</v>
      </c>
      <c r="K57" t="s">
        <v>2360</v>
      </c>
      <c r="M57" t="s">
        <v>2319</v>
      </c>
      <c r="N57" t="s">
        <v>2402</v>
      </c>
      <c r="O57" t="s">
        <v>2367</v>
      </c>
      <c r="P57" t="s">
        <v>2327</v>
      </c>
      <c r="Q57" t="s">
        <v>1861</v>
      </c>
    </row>
    <row r="58" spans="1:17">
      <c r="A58" t="str">
        <f t="shared" si="0"/>
        <v>Pilar IIIlt004_protectionEPC_EMSSNS_LBL</v>
      </c>
      <c r="B58" t="s">
        <v>26</v>
      </c>
      <c r="C58" t="s">
        <v>26</v>
      </c>
      <c r="D58" t="s">
        <v>40</v>
      </c>
      <c r="E58" t="s">
        <v>368</v>
      </c>
      <c r="F58" t="s">
        <v>2253</v>
      </c>
      <c r="G58" t="s">
        <v>2324</v>
      </c>
      <c r="H58" t="s">
        <v>28</v>
      </c>
      <c r="J58" t="s">
        <v>2246</v>
      </c>
      <c r="K58" t="s">
        <v>2360</v>
      </c>
      <c r="M58" t="s">
        <v>2319</v>
      </c>
      <c r="N58" t="s">
        <v>2402</v>
      </c>
      <c r="O58" t="s">
        <v>2367</v>
      </c>
      <c r="P58" t="s">
        <v>2327</v>
      </c>
      <c r="Q58" t="s">
        <v>1861</v>
      </c>
    </row>
    <row r="59" spans="1:17">
      <c r="A59" t="str">
        <f t="shared" si="0"/>
        <v>Pilar IIIlt004_protectionVHCL_EMSSNS_LBL</v>
      </c>
      <c r="B59" t="s">
        <v>26</v>
      </c>
      <c r="C59" t="s">
        <v>26</v>
      </c>
      <c r="D59" t="s">
        <v>40</v>
      </c>
      <c r="E59" t="s">
        <v>368</v>
      </c>
      <c r="F59" t="s">
        <v>2254</v>
      </c>
      <c r="G59" t="s">
        <v>2325</v>
      </c>
      <c r="H59" t="s">
        <v>2325</v>
      </c>
      <c r="J59" t="s">
        <v>2312</v>
      </c>
      <c r="K59" t="s">
        <v>2360</v>
      </c>
      <c r="M59" t="s">
        <v>2319</v>
      </c>
      <c r="N59" t="s">
        <v>2402</v>
      </c>
      <c r="O59" t="s">
        <v>2367</v>
      </c>
      <c r="P59" t="s">
        <v>2327</v>
      </c>
      <c r="Q59" t="s">
        <v>1861</v>
      </c>
    </row>
    <row r="60" spans="1:17">
      <c r="A60" t="str">
        <f t="shared" si="0"/>
        <v>Pilar IIIlt004_protectionTYP_EMSSNS_SCR</v>
      </c>
      <c r="B60" t="s">
        <v>26</v>
      </c>
      <c r="C60" t="s">
        <v>26</v>
      </c>
      <c r="D60" t="s">
        <v>40</v>
      </c>
      <c r="E60" t="s">
        <v>368</v>
      </c>
      <c r="F60" t="s">
        <v>2255</v>
      </c>
      <c r="G60" t="s">
        <v>2324</v>
      </c>
      <c r="H60" t="s">
        <v>28</v>
      </c>
      <c r="J60" t="s">
        <v>2246</v>
      </c>
      <c r="K60" t="s">
        <v>2360</v>
      </c>
      <c r="M60" t="s">
        <v>2319</v>
      </c>
      <c r="N60" t="s">
        <v>2402</v>
      </c>
      <c r="O60" t="s">
        <v>2367</v>
      </c>
      <c r="P60" t="s">
        <v>2327</v>
      </c>
      <c r="Q60" t="s">
        <v>1861</v>
      </c>
    </row>
    <row r="61" spans="1:17">
      <c r="A61" t="str">
        <f t="shared" si="0"/>
        <v>Pilar IIIlt004_protectionEPC_EMSSNS_SCR</v>
      </c>
      <c r="B61" t="s">
        <v>26</v>
      </c>
      <c r="C61" t="s">
        <v>26</v>
      </c>
      <c r="D61" t="s">
        <v>40</v>
      </c>
      <c r="E61" t="s">
        <v>368</v>
      </c>
      <c r="F61" t="s">
        <v>2256</v>
      </c>
      <c r="G61" t="s">
        <v>2324</v>
      </c>
      <c r="H61" t="s">
        <v>28</v>
      </c>
      <c r="J61" t="s">
        <v>2246</v>
      </c>
      <c r="K61" t="s">
        <v>2360</v>
      </c>
      <c r="M61" t="s">
        <v>2319</v>
      </c>
      <c r="N61" t="s">
        <v>2402</v>
      </c>
      <c r="O61" t="s">
        <v>2367</v>
      </c>
      <c r="P61" t="s">
        <v>2327</v>
      </c>
      <c r="Q61" t="s">
        <v>1861</v>
      </c>
    </row>
    <row r="62" spans="1:17">
      <c r="A62" t="str">
        <f t="shared" si="0"/>
        <v>Pilar IIIlt004_protectionVHCL_EMSSNS_SCR</v>
      </c>
      <c r="B62" t="s">
        <v>26</v>
      </c>
      <c r="C62" t="s">
        <v>26</v>
      </c>
      <c r="D62" t="s">
        <v>40</v>
      </c>
      <c r="E62" t="s">
        <v>368</v>
      </c>
      <c r="F62" t="s">
        <v>2257</v>
      </c>
      <c r="G62" t="s">
        <v>2325</v>
      </c>
      <c r="H62" t="s">
        <v>2325</v>
      </c>
      <c r="J62" t="s">
        <v>2312</v>
      </c>
      <c r="K62" t="s">
        <v>2360</v>
      </c>
      <c r="M62" t="s">
        <v>2319</v>
      </c>
      <c r="N62" t="s">
        <v>2402</v>
      </c>
      <c r="O62" t="s">
        <v>2367</v>
      </c>
      <c r="P62" t="s">
        <v>2327</v>
      </c>
      <c r="Q62" t="s">
        <v>1861</v>
      </c>
    </row>
    <row r="63" spans="1:17">
      <c r="A63" t="str">
        <f t="shared" si="0"/>
        <v>Pilar IIIlt004_protectionINSRNC_ID</v>
      </c>
      <c r="B63" t="s">
        <v>26</v>
      </c>
      <c r="C63" t="s">
        <v>26</v>
      </c>
      <c r="D63" t="s">
        <v>40</v>
      </c>
      <c r="E63" t="s">
        <v>368</v>
      </c>
      <c r="F63" t="s">
        <v>2258</v>
      </c>
      <c r="G63" t="s">
        <v>2325</v>
      </c>
      <c r="H63" t="s">
        <v>2325</v>
      </c>
      <c r="J63" t="s">
        <v>2312</v>
      </c>
      <c r="K63" t="s">
        <v>2360</v>
      </c>
      <c r="M63" t="s">
        <v>2319</v>
      </c>
      <c r="N63" t="s">
        <v>2402</v>
      </c>
      <c r="O63" t="s">
        <v>2367</v>
      </c>
      <c r="P63" t="s">
        <v>2327</v>
      </c>
      <c r="Q63" t="s">
        <v>1861</v>
      </c>
    </row>
    <row r="64" spans="1:17">
      <c r="A64" t="str">
        <f t="shared" si="0"/>
        <v>Pilar IIIlt004_protectionTYP_HZRDS_INSRD</v>
      </c>
      <c r="B64" t="s">
        <v>26</v>
      </c>
      <c r="C64" t="s">
        <v>26</v>
      </c>
      <c r="D64" t="s">
        <v>40</v>
      </c>
      <c r="E64" t="s">
        <v>368</v>
      </c>
      <c r="F64" t="s">
        <v>2259</v>
      </c>
      <c r="G64" t="s">
        <v>2325</v>
      </c>
      <c r="H64" t="s">
        <v>2325</v>
      </c>
      <c r="J64" t="s">
        <v>2312</v>
      </c>
      <c r="K64" t="s">
        <v>2360</v>
      </c>
      <c r="M64" t="s">
        <v>2319</v>
      </c>
      <c r="N64" t="s">
        <v>2402</v>
      </c>
      <c r="O64" t="s">
        <v>2367</v>
      </c>
      <c r="P64" t="s">
        <v>2327</v>
      </c>
      <c r="Q64" t="s">
        <v>1861</v>
      </c>
    </row>
    <row r="65" spans="1:17">
      <c r="A65" t="str">
        <f t="shared" si="0"/>
        <v>Pilar IIIlt004_protectionAMNT_CVRD_INSRNC</v>
      </c>
      <c r="B65" t="s">
        <v>26</v>
      </c>
      <c r="C65" t="s">
        <v>26</v>
      </c>
      <c r="D65" t="s">
        <v>40</v>
      </c>
      <c r="E65" t="s">
        <v>368</v>
      </c>
      <c r="F65" t="s">
        <v>2260</v>
      </c>
      <c r="G65" t="s">
        <v>2325</v>
      </c>
      <c r="H65" t="s">
        <v>2325</v>
      </c>
      <c r="J65" t="s">
        <v>2312</v>
      </c>
      <c r="K65" t="s">
        <v>2360</v>
      </c>
      <c r="M65" t="s">
        <v>2319</v>
      </c>
      <c r="N65" t="s">
        <v>2402</v>
      </c>
      <c r="O65" t="s">
        <v>2367</v>
      </c>
      <c r="P65" t="s">
        <v>2327</v>
      </c>
      <c r="Q65" t="s">
        <v>1861</v>
      </c>
    </row>
    <row r="66" spans="1:17">
      <c r="A66" t="str">
        <f t="shared" si="0"/>
        <v>Pilar IIIlt004_protectionDT_MTRTY_INSRNC</v>
      </c>
      <c r="B66" t="s">
        <v>26</v>
      </c>
      <c r="C66" t="s">
        <v>26</v>
      </c>
      <c r="D66" t="s">
        <v>40</v>
      </c>
      <c r="E66" t="s">
        <v>368</v>
      </c>
      <c r="F66" t="s">
        <v>2261</v>
      </c>
      <c r="G66" t="s">
        <v>2325</v>
      </c>
      <c r="H66" t="s">
        <v>2325</v>
      </c>
      <c r="J66" t="s">
        <v>2312</v>
      </c>
      <c r="K66" t="s">
        <v>2360</v>
      </c>
      <c r="M66" t="s">
        <v>2319</v>
      </c>
      <c r="N66" t="s">
        <v>2402</v>
      </c>
      <c r="O66" t="s">
        <v>2367</v>
      </c>
      <c r="P66" t="s">
        <v>2327</v>
      </c>
      <c r="Q66" t="s">
        <v>1861</v>
      </c>
    </row>
    <row r="67" spans="1:17">
      <c r="A67" t="str">
        <f t="shared" ref="A67:A76" si="1">C67&amp;E67&amp;F67</f>
        <v>Pilar IIIlt004_protectionFLG_FRST_HM</v>
      </c>
      <c r="B67" t="s">
        <v>26</v>
      </c>
      <c r="C67" t="s">
        <v>26</v>
      </c>
      <c r="D67" t="s">
        <v>40</v>
      </c>
      <c r="E67" t="s">
        <v>368</v>
      </c>
      <c r="F67" t="s">
        <v>2262</v>
      </c>
      <c r="G67" t="s">
        <v>2325</v>
      </c>
      <c r="H67" t="s">
        <v>2325</v>
      </c>
      <c r="J67" t="s">
        <v>2312</v>
      </c>
      <c r="K67" t="s">
        <v>2360</v>
      </c>
      <c r="M67" t="s">
        <v>2319</v>
      </c>
      <c r="N67" t="s">
        <v>2402</v>
      </c>
      <c r="O67" t="s">
        <v>2367</v>
      </c>
      <c r="P67" t="s">
        <v>2327</v>
      </c>
      <c r="Q67" t="s">
        <v>1861</v>
      </c>
    </row>
    <row r="68" spans="1:17">
      <c r="A68" t="str">
        <f t="shared" si="1"/>
        <v>Pilar IIIlt004_protectionYR_CNSTRCTN</v>
      </c>
      <c r="B68" t="s">
        <v>26</v>
      </c>
      <c r="C68" t="s">
        <v>26</v>
      </c>
      <c r="D68" t="s">
        <v>40</v>
      </c>
      <c r="E68" t="s">
        <v>368</v>
      </c>
      <c r="F68" t="s">
        <v>2263</v>
      </c>
      <c r="G68" t="s">
        <v>2325</v>
      </c>
      <c r="H68" t="s">
        <v>2325</v>
      </c>
      <c r="J68" t="s">
        <v>2245</v>
      </c>
      <c r="K68" t="s">
        <v>2360</v>
      </c>
      <c r="M68" t="s">
        <v>2319</v>
      </c>
      <c r="N68" t="s">
        <v>2403</v>
      </c>
      <c r="O68" t="s">
        <v>2366</v>
      </c>
      <c r="P68" t="s">
        <v>2327</v>
      </c>
      <c r="Q68" t="s">
        <v>1861</v>
      </c>
    </row>
    <row r="69" spans="1:17">
      <c r="A69" t="str">
        <f t="shared" si="1"/>
        <v>Pilar IIIlt004_protectionBLDNG_AR</v>
      </c>
      <c r="B69" t="s">
        <v>26</v>
      </c>
      <c r="C69" t="s">
        <v>26</v>
      </c>
      <c r="D69" t="s">
        <v>40</v>
      </c>
      <c r="E69" t="s">
        <v>368</v>
      </c>
      <c r="F69" t="s">
        <v>2264</v>
      </c>
      <c r="G69" t="s">
        <v>2325</v>
      </c>
      <c r="H69" t="s">
        <v>2325</v>
      </c>
      <c r="J69" t="s">
        <v>2245</v>
      </c>
      <c r="K69" t="s">
        <v>2360</v>
      </c>
      <c r="M69" t="s">
        <v>2319</v>
      </c>
      <c r="N69" t="s">
        <v>2399</v>
      </c>
      <c r="O69" t="s">
        <v>2367</v>
      </c>
      <c r="P69" t="s">
        <v>2327</v>
      </c>
      <c r="Q69" t="s">
        <v>1861</v>
      </c>
    </row>
    <row r="70" spans="1:17">
      <c r="A70" t="str">
        <f t="shared" si="1"/>
        <v>Pilar IIIlt004_protectionRL_ESTT_CRTFCTN</v>
      </c>
      <c r="B70" t="s">
        <v>26</v>
      </c>
      <c r="C70" t="s">
        <v>26</v>
      </c>
      <c r="D70" t="s">
        <v>40</v>
      </c>
      <c r="E70" t="s">
        <v>368</v>
      </c>
      <c r="F70" t="s">
        <v>2265</v>
      </c>
      <c r="G70" t="s">
        <v>2325</v>
      </c>
      <c r="H70" t="s">
        <v>2325</v>
      </c>
      <c r="J70" t="s">
        <v>2312</v>
      </c>
      <c r="K70" t="s">
        <v>2360</v>
      </c>
      <c r="M70" t="s">
        <v>2319</v>
      </c>
      <c r="N70" t="s">
        <v>2399</v>
      </c>
      <c r="O70" t="s">
        <v>2367</v>
      </c>
      <c r="P70" t="s">
        <v>2327</v>
      </c>
      <c r="Q70" t="s">
        <v>1861</v>
      </c>
    </row>
    <row r="71" spans="1:17">
      <c r="A71" t="str">
        <f t="shared" si="1"/>
        <v>Pilar IIIlt004_protectionTYP_VHCL</v>
      </c>
      <c r="B71" t="s">
        <v>26</v>
      </c>
      <c r="C71" t="s">
        <v>26</v>
      </c>
      <c r="D71" t="s">
        <v>40</v>
      </c>
      <c r="E71" t="s">
        <v>368</v>
      </c>
      <c r="F71" t="s">
        <v>2266</v>
      </c>
      <c r="G71" t="s">
        <v>2325</v>
      </c>
      <c r="H71" t="s">
        <v>28</v>
      </c>
      <c r="J71" t="s">
        <v>2246</v>
      </c>
      <c r="K71" t="s">
        <v>2360</v>
      </c>
      <c r="M71" t="s">
        <v>2319</v>
      </c>
      <c r="N71" t="s">
        <v>2404</v>
      </c>
      <c r="O71" t="s">
        <v>2367</v>
      </c>
      <c r="P71" t="s">
        <v>2327</v>
      </c>
      <c r="Q71" t="s">
        <v>1861</v>
      </c>
    </row>
    <row r="72" spans="1:17">
      <c r="A72" t="str">
        <f t="shared" si="1"/>
        <v>Pilar IIIlt004_protectionDT_RGSTRTN</v>
      </c>
      <c r="B72" t="s">
        <v>26</v>
      </c>
      <c r="C72" t="s">
        <v>26</v>
      </c>
      <c r="D72" t="s">
        <v>40</v>
      </c>
      <c r="E72" t="s">
        <v>368</v>
      </c>
      <c r="F72" t="s">
        <v>2267</v>
      </c>
      <c r="G72" t="s">
        <v>2325</v>
      </c>
      <c r="H72" t="s">
        <v>2325</v>
      </c>
      <c r="J72" t="s">
        <v>2312</v>
      </c>
      <c r="K72" t="s">
        <v>2360</v>
      </c>
      <c r="M72" t="s">
        <v>2319</v>
      </c>
      <c r="N72" t="s">
        <v>2399</v>
      </c>
      <c r="O72" t="s">
        <v>2367</v>
      </c>
      <c r="P72" t="s">
        <v>2327</v>
      </c>
      <c r="Q72" t="s">
        <v>1861</v>
      </c>
    </row>
    <row r="73" spans="1:17">
      <c r="A73" t="str">
        <f t="shared" si="1"/>
        <v>Pilar IIIlt004_protectionPRMRY_ENRGY_DMND_NN_RNWBL</v>
      </c>
      <c r="B73" t="s">
        <v>26</v>
      </c>
      <c r="C73" t="s">
        <v>26</v>
      </c>
      <c r="D73" t="s">
        <v>40</v>
      </c>
      <c r="E73" t="s">
        <v>368</v>
      </c>
      <c r="F73" t="s">
        <v>2268</v>
      </c>
      <c r="G73" t="s">
        <v>2325</v>
      </c>
      <c r="H73" t="s">
        <v>2325</v>
      </c>
      <c r="J73" t="s">
        <v>2245</v>
      </c>
      <c r="K73" t="s">
        <v>2360</v>
      </c>
      <c r="M73" t="s">
        <v>2319</v>
      </c>
      <c r="N73" t="s">
        <v>2399</v>
      </c>
      <c r="O73" t="s">
        <v>2367</v>
      </c>
      <c r="P73" t="s">
        <v>2327</v>
      </c>
      <c r="Q73" t="s">
        <v>1862</v>
      </c>
    </row>
    <row r="74" spans="1:17">
      <c r="A74" t="str">
        <f t="shared" si="1"/>
        <v>Pilar IIIlt004_protectionPRMRY_ENRGY_DMND_TTL</v>
      </c>
      <c r="B74" t="s">
        <v>26</v>
      </c>
      <c r="C74" t="s">
        <v>26</v>
      </c>
      <c r="D74" t="s">
        <v>40</v>
      </c>
      <c r="E74" t="s">
        <v>368</v>
      </c>
      <c r="F74" t="s">
        <v>2269</v>
      </c>
      <c r="G74" t="s">
        <v>2325</v>
      </c>
      <c r="H74" t="s">
        <v>28</v>
      </c>
      <c r="J74" t="s">
        <v>2246</v>
      </c>
      <c r="K74" t="s">
        <v>2360</v>
      </c>
      <c r="M74" t="s">
        <v>2319</v>
      </c>
      <c r="N74" t="s">
        <v>2399</v>
      </c>
      <c r="O74" t="s">
        <v>2367</v>
      </c>
      <c r="P74" t="s">
        <v>2327</v>
      </c>
      <c r="Q74" t="s">
        <v>1862</v>
      </c>
    </row>
    <row r="75" spans="1:17">
      <c r="A75" t="str">
        <f t="shared" si="1"/>
        <v>Pilar IIIlt004_protectionPRMRY_ENRGY_DMND_RFRNC_VL</v>
      </c>
      <c r="B75" t="s">
        <v>26</v>
      </c>
      <c r="C75" t="s">
        <v>26</v>
      </c>
      <c r="D75" t="s">
        <v>40</v>
      </c>
      <c r="E75" t="s">
        <v>368</v>
      </c>
      <c r="F75" t="s">
        <v>2270</v>
      </c>
      <c r="G75" t="s">
        <v>2325</v>
      </c>
      <c r="H75" t="s">
        <v>28</v>
      </c>
      <c r="J75" t="s">
        <v>2246</v>
      </c>
      <c r="K75" t="s">
        <v>2360</v>
      </c>
      <c r="M75" t="s">
        <v>2319</v>
      </c>
      <c r="N75" t="s">
        <v>2399</v>
      </c>
      <c r="O75" t="s">
        <v>2367</v>
      </c>
      <c r="P75" t="s">
        <v>2327</v>
      </c>
      <c r="Q75" t="s">
        <v>1862</v>
      </c>
    </row>
    <row r="76" spans="1:17">
      <c r="A76" t="str">
        <f t="shared" si="1"/>
        <v>Pilar IIIlt004_protectionRL_ESTT_CLMT_ZN</v>
      </c>
      <c r="B76" t="s">
        <v>26</v>
      </c>
      <c r="C76" t="s">
        <v>26</v>
      </c>
      <c r="D76" t="s">
        <v>40</v>
      </c>
      <c r="E76" t="s">
        <v>368</v>
      </c>
      <c r="F76" t="s">
        <v>2271</v>
      </c>
      <c r="G76" t="s">
        <v>2325</v>
      </c>
      <c r="H76" t="s">
        <v>28</v>
      </c>
      <c r="J76" t="s">
        <v>2246</v>
      </c>
      <c r="K76" t="s">
        <v>2360</v>
      </c>
      <c r="M76" t="s">
        <v>2319</v>
      </c>
      <c r="N76" t="s">
        <v>2399</v>
      </c>
      <c r="O76" t="s">
        <v>2367</v>
      </c>
      <c r="P76" t="s">
        <v>2327</v>
      </c>
      <c r="Q76" t="s">
        <v>1861</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40"/>
  <sheetViews>
    <sheetView topLeftCell="A3" zoomScale="70" zoomScaleNormal="70" workbookViewId="0">
      <selection activeCell="F6" sqref="F6"/>
    </sheetView>
  </sheetViews>
  <sheetFormatPr defaultRowHeight="13.8"/>
  <cols>
    <col min="1" max="1" width="74.796875" bestFit="1" customWidth="1"/>
    <col min="2" max="2" width="14.3984375" bestFit="1" customWidth="1"/>
    <col min="3" max="3" width="48.296875" bestFit="1" customWidth="1"/>
    <col min="4" max="4" width="40.09765625" bestFit="1" customWidth="1"/>
    <col min="5" max="5" width="39.09765625" bestFit="1" customWidth="1"/>
  </cols>
  <sheetData>
    <row r="3" spans="1:2">
      <c r="A3" s="49" t="s">
        <v>652</v>
      </c>
      <c r="B3" t="s">
        <v>653</v>
      </c>
    </row>
    <row r="4" spans="1:2">
      <c r="A4" t="s">
        <v>2385</v>
      </c>
      <c r="B4" s="482">
        <v>0</v>
      </c>
    </row>
    <row r="5" spans="1:2">
      <c r="A5" t="s">
        <v>2013</v>
      </c>
      <c r="B5" s="482">
        <v>2</v>
      </c>
    </row>
    <row r="6" spans="1:2">
      <c r="A6" t="s">
        <v>2014</v>
      </c>
      <c r="B6" s="482">
        <v>2</v>
      </c>
    </row>
    <row r="7" spans="1:2">
      <c r="A7" t="s">
        <v>2015</v>
      </c>
      <c r="B7" s="482">
        <v>2</v>
      </c>
    </row>
    <row r="8" spans="1:2">
      <c r="A8" t="s">
        <v>2016</v>
      </c>
      <c r="B8" s="482">
        <v>2</v>
      </c>
    </row>
    <row r="9" spans="1:2">
      <c r="A9" t="s">
        <v>2017</v>
      </c>
      <c r="B9" s="482">
        <v>2</v>
      </c>
    </row>
    <row r="10" spans="1:2">
      <c r="A10" t="s">
        <v>2018</v>
      </c>
      <c r="B10" s="482">
        <v>2</v>
      </c>
    </row>
    <row r="11" spans="1:2">
      <c r="A11" t="s">
        <v>2019</v>
      </c>
      <c r="B11" s="482">
        <v>2</v>
      </c>
    </row>
    <row r="12" spans="1:2">
      <c r="A12" t="s">
        <v>2020</v>
      </c>
      <c r="B12" s="482">
        <v>2</v>
      </c>
    </row>
    <row r="13" spans="1:2">
      <c r="A13" t="s">
        <v>2021</v>
      </c>
      <c r="B13" s="482">
        <v>2</v>
      </c>
    </row>
    <row r="14" spans="1:2">
      <c r="A14" t="s">
        <v>2022</v>
      </c>
      <c r="B14" s="482">
        <v>2</v>
      </c>
    </row>
    <row r="15" spans="1:2">
      <c r="A15" t="s">
        <v>2023</v>
      </c>
      <c r="B15" s="482">
        <v>2</v>
      </c>
    </row>
    <row r="16" spans="1:2">
      <c r="A16" t="s">
        <v>2024</v>
      </c>
      <c r="B16" s="482">
        <v>2</v>
      </c>
    </row>
    <row r="17" spans="1:2">
      <c r="A17" t="s">
        <v>2025</v>
      </c>
      <c r="B17" s="482">
        <v>2</v>
      </c>
    </row>
    <row r="18" spans="1:2">
      <c r="A18" t="s">
        <v>2026</v>
      </c>
      <c r="B18" s="482">
        <v>2</v>
      </c>
    </row>
    <row r="19" spans="1:2">
      <c r="A19" t="s">
        <v>2027</v>
      </c>
      <c r="B19" s="482">
        <v>2</v>
      </c>
    </row>
    <row r="20" spans="1:2">
      <c r="A20" t="s">
        <v>2028</v>
      </c>
      <c r="B20" s="482">
        <v>2</v>
      </c>
    </row>
    <row r="21" spans="1:2">
      <c r="A21" t="s">
        <v>2029</v>
      </c>
      <c r="B21" s="482">
        <v>2</v>
      </c>
    </row>
    <row r="22" spans="1:2">
      <c r="A22" t="s">
        <v>2386</v>
      </c>
      <c r="B22" s="482">
        <v>0</v>
      </c>
    </row>
    <row r="23" spans="1:2">
      <c r="A23" t="s">
        <v>2030</v>
      </c>
      <c r="B23" s="482">
        <v>2</v>
      </c>
    </row>
    <row r="24" spans="1:2">
      <c r="A24" t="s">
        <v>2031</v>
      </c>
      <c r="B24" s="482">
        <v>2</v>
      </c>
    </row>
    <row r="25" spans="1:2">
      <c r="A25" t="s">
        <v>2032</v>
      </c>
      <c r="B25" s="482">
        <v>2</v>
      </c>
    </row>
    <row r="26" spans="1:2">
      <c r="A26" t="s">
        <v>2033</v>
      </c>
      <c r="B26" s="482">
        <v>2</v>
      </c>
    </row>
    <row r="27" spans="1:2">
      <c r="A27" t="s">
        <v>2034</v>
      </c>
      <c r="B27" s="482">
        <v>2</v>
      </c>
    </row>
    <row r="28" spans="1:2">
      <c r="A28" t="s">
        <v>2035</v>
      </c>
      <c r="B28" s="482">
        <v>2</v>
      </c>
    </row>
    <row r="29" spans="1:2">
      <c r="A29" t="s">
        <v>2036</v>
      </c>
      <c r="B29" s="482">
        <v>2</v>
      </c>
    </row>
    <row r="30" spans="1:2">
      <c r="A30" t="s">
        <v>2037</v>
      </c>
      <c r="B30" s="482">
        <v>2</v>
      </c>
    </row>
    <row r="31" spans="1:2">
      <c r="A31" t="s">
        <v>654</v>
      </c>
      <c r="B31" s="482">
        <v>2</v>
      </c>
    </row>
    <row r="32" spans="1:2">
      <c r="A32" t="s">
        <v>2038</v>
      </c>
      <c r="B32" s="482">
        <v>2</v>
      </c>
    </row>
    <row r="33" spans="1:2">
      <c r="A33" t="s">
        <v>2039</v>
      </c>
      <c r="B33" s="482">
        <v>2</v>
      </c>
    </row>
    <row r="34" spans="1:2">
      <c r="A34" t="s">
        <v>2040</v>
      </c>
      <c r="B34" s="482">
        <v>2</v>
      </c>
    </row>
    <row r="35" spans="1:2">
      <c r="A35" t="s">
        <v>2041</v>
      </c>
      <c r="B35" s="482">
        <v>2</v>
      </c>
    </row>
    <row r="36" spans="1:2">
      <c r="A36" t="s">
        <v>2042</v>
      </c>
      <c r="B36" s="482">
        <v>2</v>
      </c>
    </row>
    <row r="37" spans="1:2">
      <c r="A37" t="s">
        <v>2043</v>
      </c>
      <c r="B37" s="482">
        <v>2</v>
      </c>
    </row>
    <row r="38" spans="1:2">
      <c r="A38" t="s">
        <v>2044</v>
      </c>
      <c r="B38" s="482">
        <v>2</v>
      </c>
    </row>
    <row r="39" spans="1:2">
      <c r="A39" t="s">
        <v>2045</v>
      </c>
      <c r="B39" s="482">
        <v>2</v>
      </c>
    </row>
    <row r="40" spans="1:2">
      <c r="A40" t="s">
        <v>655</v>
      </c>
      <c r="B40" s="482">
        <v>2</v>
      </c>
    </row>
    <row r="41" spans="1:2">
      <c r="A41" t="s">
        <v>656</v>
      </c>
      <c r="B41" s="482">
        <v>2</v>
      </c>
    </row>
    <row r="42" spans="1:2">
      <c r="A42" t="s">
        <v>657</v>
      </c>
      <c r="B42" s="482">
        <v>2</v>
      </c>
    </row>
    <row r="43" spans="1:2">
      <c r="A43" t="s">
        <v>658</v>
      </c>
      <c r="B43" s="482">
        <v>2</v>
      </c>
    </row>
    <row r="44" spans="1:2">
      <c r="A44" t="s">
        <v>2046</v>
      </c>
      <c r="B44" s="482">
        <v>2</v>
      </c>
    </row>
    <row r="45" spans="1:2">
      <c r="A45" t="s">
        <v>2047</v>
      </c>
      <c r="B45" s="482">
        <v>2</v>
      </c>
    </row>
    <row r="46" spans="1:2">
      <c r="A46" t="s">
        <v>2048</v>
      </c>
      <c r="B46" s="482">
        <v>2</v>
      </c>
    </row>
    <row r="47" spans="1:2">
      <c r="A47" t="s">
        <v>2049</v>
      </c>
      <c r="B47" s="482">
        <v>2</v>
      </c>
    </row>
    <row r="48" spans="1:2">
      <c r="A48" t="s">
        <v>2050</v>
      </c>
      <c r="B48" s="482">
        <v>2</v>
      </c>
    </row>
    <row r="49" spans="1:2">
      <c r="A49" t="s">
        <v>2051</v>
      </c>
      <c r="B49" s="482">
        <v>2</v>
      </c>
    </row>
    <row r="50" spans="1:2">
      <c r="A50" t="s">
        <v>2052</v>
      </c>
      <c r="B50" s="482">
        <v>2</v>
      </c>
    </row>
    <row r="51" spans="1:2">
      <c r="A51" t="s">
        <v>659</v>
      </c>
      <c r="B51" s="482">
        <v>1</v>
      </c>
    </row>
    <row r="52" spans="1:2">
      <c r="A52" t="s">
        <v>660</v>
      </c>
      <c r="B52" s="482">
        <v>1</v>
      </c>
    </row>
    <row r="53" spans="1:2">
      <c r="A53" t="s">
        <v>661</v>
      </c>
      <c r="B53" s="482">
        <v>1</v>
      </c>
    </row>
    <row r="54" spans="1:2">
      <c r="A54" t="s">
        <v>2181</v>
      </c>
      <c r="B54" s="482">
        <v>5</v>
      </c>
    </row>
    <row r="55" spans="1:2">
      <c r="A55" t="s">
        <v>662</v>
      </c>
      <c r="B55" s="482">
        <v>1</v>
      </c>
    </row>
    <row r="56" spans="1:2">
      <c r="A56" t="s">
        <v>663</v>
      </c>
      <c r="B56" s="482">
        <v>1</v>
      </c>
    </row>
    <row r="57" spans="1:2">
      <c r="A57" t="s">
        <v>664</v>
      </c>
      <c r="B57" s="482">
        <v>1</v>
      </c>
    </row>
    <row r="58" spans="1:2">
      <c r="A58" t="s">
        <v>665</v>
      </c>
      <c r="B58" s="482">
        <v>1</v>
      </c>
    </row>
    <row r="59" spans="1:2">
      <c r="A59" t="s">
        <v>2182</v>
      </c>
      <c r="B59" s="482">
        <v>7</v>
      </c>
    </row>
    <row r="60" spans="1:2">
      <c r="A60" t="s">
        <v>666</v>
      </c>
      <c r="B60" s="482">
        <v>1</v>
      </c>
    </row>
    <row r="61" spans="1:2">
      <c r="A61" t="s">
        <v>2183</v>
      </c>
      <c r="B61" s="482">
        <v>7</v>
      </c>
    </row>
    <row r="62" spans="1:2">
      <c r="A62" t="s">
        <v>2184</v>
      </c>
      <c r="B62" s="482">
        <v>7</v>
      </c>
    </row>
    <row r="63" spans="1:2">
      <c r="A63" t="s">
        <v>2185</v>
      </c>
      <c r="B63" s="482">
        <v>7</v>
      </c>
    </row>
    <row r="64" spans="1:2">
      <c r="A64" t="s">
        <v>2186</v>
      </c>
      <c r="B64" s="482">
        <v>7</v>
      </c>
    </row>
    <row r="65" spans="1:2">
      <c r="A65" t="s">
        <v>2187</v>
      </c>
      <c r="B65" s="482">
        <v>7</v>
      </c>
    </row>
    <row r="66" spans="1:2">
      <c r="A66" t="s">
        <v>667</v>
      </c>
      <c r="B66" s="482">
        <v>3</v>
      </c>
    </row>
    <row r="67" spans="1:2">
      <c r="A67" t="s">
        <v>668</v>
      </c>
      <c r="B67" s="482">
        <v>3</v>
      </c>
    </row>
    <row r="68" spans="1:2">
      <c r="A68" t="s">
        <v>669</v>
      </c>
      <c r="B68" s="482">
        <v>1</v>
      </c>
    </row>
    <row r="69" spans="1:2">
      <c r="A69" t="s">
        <v>670</v>
      </c>
      <c r="B69" s="482">
        <v>3</v>
      </c>
    </row>
    <row r="70" spans="1:2">
      <c r="A70" t="s">
        <v>671</v>
      </c>
      <c r="B70" s="482">
        <v>1</v>
      </c>
    </row>
    <row r="71" spans="1:2">
      <c r="A71" t="s">
        <v>672</v>
      </c>
      <c r="B71" s="482">
        <v>1</v>
      </c>
    </row>
    <row r="72" spans="1:2">
      <c r="A72" t="s">
        <v>673</v>
      </c>
      <c r="B72" s="482">
        <v>1</v>
      </c>
    </row>
    <row r="73" spans="1:2">
      <c r="A73" t="s">
        <v>2188</v>
      </c>
      <c r="B73" s="482">
        <v>7</v>
      </c>
    </row>
    <row r="74" spans="1:2">
      <c r="A74" t="s">
        <v>2189</v>
      </c>
      <c r="B74" s="482">
        <v>7</v>
      </c>
    </row>
    <row r="75" spans="1:2">
      <c r="A75" t="s">
        <v>2190</v>
      </c>
      <c r="B75" s="482">
        <v>7</v>
      </c>
    </row>
    <row r="76" spans="1:2">
      <c r="A76" t="s">
        <v>674</v>
      </c>
      <c r="B76" s="482">
        <v>1</v>
      </c>
    </row>
    <row r="77" spans="1:2">
      <c r="A77" t="s">
        <v>675</v>
      </c>
      <c r="B77" s="482">
        <v>1</v>
      </c>
    </row>
    <row r="78" spans="1:2">
      <c r="A78" t="s">
        <v>676</v>
      </c>
      <c r="B78" s="482">
        <v>1</v>
      </c>
    </row>
    <row r="79" spans="1:2">
      <c r="A79" t="s">
        <v>677</v>
      </c>
      <c r="B79" s="482">
        <v>1</v>
      </c>
    </row>
    <row r="80" spans="1:2">
      <c r="A80" t="s">
        <v>2191</v>
      </c>
      <c r="B80" s="482">
        <v>7</v>
      </c>
    </row>
    <row r="81" spans="1:2">
      <c r="A81" t="s">
        <v>2192</v>
      </c>
      <c r="B81" s="482">
        <v>7</v>
      </c>
    </row>
    <row r="82" spans="1:2">
      <c r="A82" t="s">
        <v>678</v>
      </c>
      <c r="B82" s="482">
        <v>3</v>
      </c>
    </row>
    <row r="83" spans="1:2">
      <c r="A83" t="s">
        <v>679</v>
      </c>
      <c r="B83" s="482">
        <v>3</v>
      </c>
    </row>
    <row r="84" spans="1:2">
      <c r="A84" t="s">
        <v>680</v>
      </c>
      <c r="B84" s="482">
        <v>3</v>
      </c>
    </row>
    <row r="85" spans="1:2">
      <c r="A85" t="s">
        <v>2193</v>
      </c>
      <c r="B85" s="482">
        <v>7</v>
      </c>
    </row>
    <row r="86" spans="1:2">
      <c r="A86" t="s">
        <v>2194</v>
      </c>
      <c r="B86" s="482">
        <v>7</v>
      </c>
    </row>
    <row r="87" spans="1:2">
      <c r="A87" t="s">
        <v>681</v>
      </c>
      <c r="B87" s="482">
        <v>1</v>
      </c>
    </row>
    <row r="88" spans="1:2">
      <c r="A88" t="s">
        <v>682</v>
      </c>
      <c r="B88" s="482">
        <v>1</v>
      </c>
    </row>
    <row r="89" spans="1:2">
      <c r="A89" t="s">
        <v>683</v>
      </c>
      <c r="B89" s="482">
        <v>1</v>
      </c>
    </row>
    <row r="90" spans="1:2">
      <c r="A90" t="s">
        <v>684</v>
      </c>
      <c r="B90" s="482">
        <v>7</v>
      </c>
    </row>
    <row r="91" spans="1:2">
      <c r="A91" t="s">
        <v>685</v>
      </c>
      <c r="B91" s="482">
        <v>1</v>
      </c>
    </row>
    <row r="92" spans="1:2">
      <c r="A92" t="s">
        <v>2195</v>
      </c>
      <c r="B92" s="482">
        <v>7</v>
      </c>
    </row>
    <row r="93" spans="1:2">
      <c r="A93" t="s">
        <v>686</v>
      </c>
      <c r="B93" s="482">
        <v>1</v>
      </c>
    </row>
    <row r="94" spans="1:2">
      <c r="A94" t="s">
        <v>687</v>
      </c>
      <c r="B94" s="482">
        <v>1</v>
      </c>
    </row>
    <row r="95" spans="1:2">
      <c r="A95" t="s">
        <v>688</v>
      </c>
      <c r="B95" s="482">
        <v>1</v>
      </c>
    </row>
    <row r="96" spans="1:2">
      <c r="A96" t="s">
        <v>2196</v>
      </c>
      <c r="B96" s="482">
        <v>7</v>
      </c>
    </row>
    <row r="97" spans="1:2">
      <c r="A97" t="s">
        <v>689</v>
      </c>
      <c r="B97" s="482">
        <v>1</v>
      </c>
    </row>
    <row r="98" spans="1:2">
      <c r="A98" t="s">
        <v>690</v>
      </c>
      <c r="B98" s="482">
        <v>1</v>
      </c>
    </row>
    <row r="99" spans="1:2">
      <c r="A99" t="s">
        <v>691</v>
      </c>
      <c r="B99" s="482">
        <v>1</v>
      </c>
    </row>
    <row r="100" spans="1:2">
      <c r="A100" t="s">
        <v>692</v>
      </c>
      <c r="B100" s="482">
        <v>1</v>
      </c>
    </row>
    <row r="101" spans="1:2">
      <c r="A101" t="s">
        <v>693</v>
      </c>
      <c r="B101" s="482">
        <v>1</v>
      </c>
    </row>
    <row r="102" spans="1:2">
      <c r="A102" t="s">
        <v>694</v>
      </c>
      <c r="B102" s="482">
        <v>1</v>
      </c>
    </row>
    <row r="103" spans="1:2">
      <c r="A103" t="s">
        <v>695</v>
      </c>
      <c r="B103" s="482">
        <v>1</v>
      </c>
    </row>
    <row r="104" spans="1:2">
      <c r="A104" t="s">
        <v>2221</v>
      </c>
      <c r="B104" s="482">
        <v>7</v>
      </c>
    </row>
    <row r="105" spans="1:2">
      <c r="A105" t="s">
        <v>2222</v>
      </c>
      <c r="B105" s="482">
        <v>7</v>
      </c>
    </row>
    <row r="106" spans="1:2">
      <c r="A106" t="s">
        <v>696</v>
      </c>
      <c r="B106" s="482">
        <v>1</v>
      </c>
    </row>
    <row r="107" spans="1:2">
      <c r="A107" t="s">
        <v>697</v>
      </c>
      <c r="B107" s="482">
        <v>1</v>
      </c>
    </row>
    <row r="108" spans="1:2">
      <c r="A108" t="s">
        <v>698</v>
      </c>
      <c r="B108" s="482">
        <v>1</v>
      </c>
    </row>
    <row r="109" spans="1:2">
      <c r="A109" t="s">
        <v>2223</v>
      </c>
      <c r="B109" s="482">
        <v>7</v>
      </c>
    </row>
    <row r="110" spans="1:2">
      <c r="A110" t="s">
        <v>2224</v>
      </c>
      <c r="B110" s="482">
        <v>7</v>
      </c>
    </row>
    <row r="111" spans="1:2">
      <c r="A111" t="s">
        <v>699</v>
      </c>
      <c r="B111" s="482">
        <v>1</v>
      </c>
    </row>
    <row r="112" spans="1:2">
      <c r="A112" t="s">
        <v>700</v>
      </c>
      <c r="B112" s="482">
        <v>1</v>
      </c>
    </row>
    <row r="113" spans="1:2">
      <c r="A113" t="s">
        <v>2225</v>
      </c>
      <c r="B113" s="482">
        <v>7</v>
      </c>
    </row>
    <row r="114" spans="1:2">
      <c r="A114" t="s">
        <v>2226</v>
      </c>
      <c r="B114" s="482">
        <v>7</v>
      </c>
    </row>
    <row r="115" spans="1:2">
      <c r="A115" t="s">
        <v>701</v>
      </c>
      <c r="B115" s="482">
        <v>1</v>
      </c>
    </row>
    <row r="116" spans="1:2">
      <c r="A116" t="s">
        <v>2227</v>
      </c>
      <c r="B116" s="482">
        <v>7</v>
      </c>
    </row>
    <row r="117" spans="1:2">
      <c r="A117" t="s">
        <v>702</v>
      </c>
      <c r="B117" s="482">
        <v>1</v>
      </c>
    </row>
    <row r="118" spans="1:2">
      <c r="A118" t="s">
        <v>703</v>
      </c>
      <c r="B118" s="482">
        <v>7</v>
      </c>
    </row>
    <row r="119" spans="1:2">
      <c r="A119" t="s">
        <v>704</v>
      </c>
      <c r="B119" s="482">
        <v>7</v>
      </c>
    </row>
    <row r="120" spans="1:2">
      <c r="A120" t="s">
        <v>705</v>
      </c>
      <c r="B120" s="482">
        <v>7</v>
      </c>
    </row>
    <row r="121" spans="1:2">
      <c r="A121" t="s">
        <v>706</v>
      </c>
      <c r="B121" s="482">
        <v>1</v>
      </c>
    </row>
    <row r="122" spans="1:2">
      <c r="A122" t="s">
        <v>707</v>
      </c>
      <c r="B122" s="482">
        <v>1</v>
      </c>
    </row>
    <row r="123" spans="1:2">
      <c r="A123" t="s">
        <v>708</v>
      </c>
      <c r="B123" s="482">
        <v>1</v>
      </c>
    </row>
    <row r="124" spans="1:2">
      <c r="A124" t="s">
        <v>709</v>
      </c>
      <c r="B124" s="482">
        <v>1</v>
      </c>
    </row>
    <row r="125" spans="1:2">
      <c r="A125" t="s">
        <v>2228</v>
      </c>
      <c r="B125" s="482">
        <v>7</v>
      </c>
    </row>
    <row r="126" spans="1:2">
      <c r="A126" t="s">
        <v>710</v>
      </c>
      <c r="B126" s="482">
        <v>1</v>
      </c>
    </row>
    <row r="127" spans="1:2">
      <c r="A127" t="s">
        <v>711</v>
      </c>
      <c r="B127" s="482">
        <v>1</v>
      </c>
    </row>
    <row r="128" spans="1:2">
      <c r="A128" t="s">
        <v>712</v>
      </c>
      <c r="B128" s="482">
        <v>1</v>
      </c>
    </row>
    <row r="129" spans="1:2">
      <c r="A129" t="s">
        <v>713</v>
      </c>
      <c r="B129" s="482">
        <v>1</v>
      </c>
    </row>
    <row r="130" spans="1:2">
      <c r="A130" t="s">
        <v>714</v>
      </c>
      <c r="B130" s="482">
        <v>1</v>
      </c>
    </row>
    <row r="131" spans="1:2">
      <c r="A131" t="s">
        <v>715</v>
      </c>
      <c r="B131" s="482">
        <v>1</v>
      </c>
    </row>
    <row r="132" spans="1:2">
      <c r="A132" t="s">
        <v>716</v>
      </c>
      <c r="B132" s="482">
        <v>1</v>
      </c>
    </row>
    <row r="133" spans="1:2">
      <c r="A133" t="s">
        <v>717</v>
      </c>
      <c r="B133" s="482">
        <v>1</v>
      </c>
    </row>
    <row r="134" spans="1:2">
      <c r="A134" t="s">
        <v>718</v>
      </c>
      <c r="B134" s="482">
        <v>7</v>
      </c>
    </row>
    <row r="135" spans="1:2">
      <c r="A135" t="s">
        <v>719</v>
      </c>
      <c r="B135" s="482">
        <v>1</v>
      </c>
    </row>
    <row r="136" spans="1:2">
      <c r="A136" t="s">
        <v>2229</v>
      </c>
      <c r="B136" s="482">
        <v>7</v>
      </c>
    </row>
    <row r="137" spans="1:2">
      <c r="A137" t="s">
        <v>720</v>
      </c>
      <c r="B137" s="482">
        <v>1</v>
      </c>
    </row>
    <row r="138" spans="1:2">
      <c r="A138" t="s">
        <v>721</v>
      </c>
      <c r="B138" s="482">
        <v>1</v>
      </c>
    </row>
    <row r="139" spans="1:2">
      <c r="A139" t="s">
        <v>2230</v>
      </c>
      <c r="B139" s="482">
        <v>7</v>
      </c>
    </row>
    <row r="140" spans="1:2">
      <c r="A140" t="s">
        <v>2231</v>
      </c>
      <c r="B140" s="482">
        <v>7</v>
      </c>
    </row>
    <row r="141" spans="1:2">
      <c r="A141" t="s">
        <v>2232</v>
      </c>
      <c r="B141" s="482">
        <v>7</v>
      </c>
    </row>
    <row r="142" spans="1:2">
      <c r="A142" t="s">
        <v>2233</v>
      </c>
      <c r="B142" s="482">
        <v>7</v>
      </c>
    </row>
    <row r="143" spans="1:2">
      <c r="A143" t="s">
        <v>722</v>
      </c>
      <c r="B143" s="482">
        <v>1</v>
      </c>
    </row>
    <row r="144" spans="1:2">
      <c r="A144" t="s">
        <v>723</v>
      </c>
      <c r="B144" s="482">
        <v>1</v>
      </c>
    </row>
    <row r="145" spans="1:2">
      <c r="A145" t="s">
        <v>2234</v>
      </c>
      <c r="B145" s="482">
        <v>7</v>
      </c>
    </row>
    <row r="146" spans="1:2">
      <c r="A146" t="s">
        <v>2235</v>
      </c>
      <c r="B146" s="482">
        <v>7</v>
      </c>
    </row>
    <row r="147" spans="1:2">
      <c r="A147" t="s">
        <v>2236</v>
      </c>
      <c r="B147" s="482">
        <v>7</v>
      </c>
    </row>
    <row r="148" spans="1:2">
      <c r="A148" t="s">
        <v>724</v>
      </c>
      <c r="B148" s="482">
        <v>1</v>
      </c>
    </row>
    <row r="149" spans="1:2">
      <c r="A149" t="s">
        <v>725</v>
      </c>
      <c r="B149" s="482">
        <v>1</v>
      </c>
    </row>
    <row r="150" spans="1:2">
      <c r="A150" t="s">
        <v>726</v>
      </c>
      <c r="B150" s="482">
        <v>1</v>
      </c>
    </row>
    <row r="151" spans="1:2">
      <c r="A151" t="s">
        <v>727</v>
      </c>
      <c r="B151" s="482">
        <v>1</v>
      </c>
    </row>
    <row r="152" spans="1:2">
      <c r="A152" t="s">
        <v>2237</v>
      </c>
      <c r="B152" s="482">
        <v>7</v>
      </c>
    </row>
    <row r="153" spans="1:2">
      <c r="A153" t="s">
        <v>728</v>
      </c>
      <c r="B153" s="482">
        <v>1</v>
      </c>
    </row>
    <row r="154" spans="1:2">
      <c r="A154" t="s">
        <v>729</v>
      </c>
      <c r="B154" s="482">
        <v>1</v>
      </c>
    </row>
    <row r="155" spans="1:2">
      <c r="A155" t="s">
        <v>2238</v>
      </c>
      <c r="B155" s="482">
        <v>7</v>
      </c>
    </row>
    <row r="156" spans="1:2">
      <c r="A156" t="s">
        <v>2239</v>
      </c>
      <c r="B156" s="482">
        <v>7</v>
      </c>
    </row>
    <row r="157" spans="1:2">
      <c r="A157" t="s">
        <v>2240</v>
      </c>
      <c r="B157" s="482">
        <v>7</v>
      </c>
    </row>
    <row r="158" spans="1:2">
      <c r="A158" t="s">
        <v>2241</v>
      </c>
      <c r="B158" s="482">
        <v>7</v>
      </c>
    </row>
    <row r="159" spans="1:2">
      <c r="A159" t="s">
        <v>730</v>
      </c>
      <c r="B159" s="482">
        <v>1</v>
      </c>
    </row>
    <row r="160" spans="1:2">
      <c r="A160" t="s">
        <v>731</v>
      </c>
      <c r="B160" s="482">
        <v>1</v>
      </c>
    </row>
    <row r="161" spans="1:2">
      <c r="A161" t="s">
        <v>2242</v>
      </c>
      <c r="B161" s="482">
        <v>7</v>
      </c>
    </row>
    <row r="162" spans="1:2">
      <c r="A162" t="s">
        <v>2243</v>
      </c>
      <c r="B162" s="482">
        <v>7</v>
      </c>
    </row>
    <row r="163" spans="1:2">
      <c r="A163" t="s">
        <v>2244</v>
      </c>
      <c r="B163" s="482">
        <v>7</v>
      </c>
    </row>
    <row r="164" spans="1:2">
      <c r="A164" t="s">
        <v>2272</v>
      </c>
      <c r="B164" s="482">
        <v>7</v>
      </c>
    </row>
    <row r="165" spans="1:2">
      <c r="A165" t="s">
        <v>2273</v>
      </c>
      <c r="B165" s="482">
        <v>7</v>
      </c>
    </row>
    <row r="166" spans="1:2">
      <c r="A166" t="s">
        <v>732</v>
      </c>
      <c r="B166" s="482">
        <v>1</v>
      </c>
    </row>
    <row r="167" spans="1:2">
      <c r="A167" t="s">
        <v>2274</v>
      </c>
      <c r="B167" s="482">
        <v>7</v>
      </c>
    </row>
    <row r="168" spans="1:2">
      <c r="A168" t="s">
        <v>733</v>
      </c>
      <c r="B168" s="482">
        <v>1</v>
      </c>
    </row>
    <row r="169" spans="1:2">
      <c r="A169" t="s">
        <v>2275</v>
      </c>
      <c r="B169" s="482">
        <v>7</v>
      </c>
    </row>
    <row r="170" spans="1:2">
      <c r="A170" t="s">
        <v>734</v>
      </c>
      <c r="B170" s="482">
        <v>1</v>
      </c>
    </row>
    <row r="171" spans="1:2">
      <c r="A171" t="s">
        <v>735</v>
      </c>
      <c r="B171" s="482">
        <v>1</v>
      </c>
    </row>
    <row r="172" spans="1:2">
      <c r="A172" t="s">
        <v>736</v>
      </c>
      <c r="B172" s="482">
        <v>1</v>
      </c>
    </row>
    <row r="173" spans="1:2">
      <c r="A173" t="s">
        <v>737</v>
      </c>
      <c r="B173" s="482">
        <v>5</v>
      </c>
    </row>
    <row r="174" spans="1:2">
      <c r="A174" t="s">
        <v>2276</v>
      </c>
      <c r="B174" s="482">
        <v>5</v>
      </c>
    </row>
    <row r="175" spans="1:2">
      <c r="A175" t="s">
        <v>2277</v>
      </c>
      <c r="B175" s="482">
        <v>5</v>
      </c>
    </row>
    <row r="176" spans="1:2">
      <c r="A176" t="s">
        <v>738</v>
      </c>
      <c r="B176" s="482">
        <v>1</v>
      </c>
    </row>
    <row r="177" spans="1:2">
      <c r="A177" t="s">
        <v>739</v>
      </c>
      <c r="B177" s="482">
        <v>2</v>
      </c>
    </row>
    <row r="178" spans="1:2">
      <c r="A178" t="s">
        <v>740</v>
      </c>
      <c r="B178" s="482">
        <v>2</v>
      </c>
    </row>
    <row r="179" spans="1:2">
      <c r="A179" t="s">
        <v>741</v>
      </c>
      <c r="B179" s="482">
        <v>0</v>
      </c>
    </row>
    <row r="180" spans="1:2">
      <c r="A180" t="s">
        <v>742</v>
      </c>
      <c r="B180" s="482">
        <v>0</v>
      </c>
    </row>
    <row r="181" spans="1:2">
      <c r="A181" t="s">
        <v>743</v>
      </c>
      <c r="B181" s="482">
        <v>0</v>
      </c>
    </row>
    <row r="182" spans="1:2">
      <c r="A182" t="s">
        <v>2278</v>
      </c>
      <c r="B182" s="482">
        <v>7</v>
      </c>
    </row>
    <row r="183" spans="1:2">
      <c r="A183" t="s">
        <v>744</v>
      </c>
      <c r="B183" s="482">
        <v>0</v>
      </c>
    </row>
    <row r="184" spans="1:2">
      <c r="A184" t="s">
        <v>2279</v>
      </c>
      <c r="B184" s="482">
        <v>7</v>
      </c>
    </row>
    <row r="185" spans="1:2">
      <c r="A185" t="s">
        <v>745</v>
      </c>
      <c r="B185" s="482">
        <v>1</v>
      </c>
    </row>
    <row r="186" spans="1:2">
      <c r="A186" t="s">
        <v>746</v>
      </c>
      <c r="B186" s="482">
        <v>1</v>
      </c>
    </row>
    <row r="187" spans="1:2">
      <c r="A187" t="s">
        <v>747</v>
      </c>
      <c r="B187" s="482">
        <v>1</v>
      </c>
    </row>
    <row r="188" spans="1:2">
      <c r="A188" t="s">
        <v>748</v>
      </c>
      <c r="B188" s="482">
        <v>1</v>
      </c>
    </row>
    <row r="189" spans="1:2">
      <c r="A189" t="s">
        <v>2280</v>
      </c>
      <c r="B189" s="482">
        <v>7</v>
      </c>
    </row>
    <row r="190" spans="1:2">
      <c r="A190" t="s">
        <v>2281</v>
      </c>
      <c r="B190" s="482">
        <v>7</v>
      </c>
    </row>
    <row r="191" spans="1:2">
      <c r="A191" t="s">
        <v>2282</v>
      </c>
      <c r="B191" s="482">
        <v>7</v>
      </c>
    </row>
    <row r="192" spans="1:2">
      <c r="A192" t="s">
        <v>749</v>
      </c>
      <c r="B192" s="482">
        <v>1</v>
      </c>
    </row>
    <row r="193" spans="1:2">
      <c r="A193" t="s">
        <v>750</v>
      </c>
      <c r="B193" s="482">
        <v>1</v>
      </c>
    </row>
    <row r="194" spans="1:2">
      <c r="A194" t="s">
        <v>2283</v>
      </c>
      <c r="B194" s="482">
        <v>7</v>
      </c>
    </row>
    <row r="195" spans="1:2">
      <c r="A195" t="s">
        <v>751</v>
      </c>
      <c r="B195" s="482">
        <v>1</v>
      </c>
    </row>
    <row r="196" spans="1:2">
      <c r="A196" t="s">
        <v>2284</v>
      </c>
      <c r="B196" s="482">
        <v>7</v>
      </c>
    </row>
    <row r="197" spans="1:2">
      <c r="A197" t="s">
        <v>2285</v>
      </c>
      <c r="B197" s="482">
        <v>7</v>
      </c>
    </row>
    <row r="198" spans="1:2">
      <c r="A198" t="s">
        <v>2286</v>
      </c>
      <c r="B198" s="482">
        <v>7</v>
      </c>
    </row>
    <row r="199" spans="1:2">
      <c r="A199" t="s">
        <v>2287</v>
      </c>
      <c r="B199" s="482">
        <v>7</v>
      </c>
    </row>
    <row r="200" spans="1:2">
      <c r="A200" t="s">
        <v>752</v>
      </c>
      <c r="B200" s="482">
        <v>1</v>
      </c>
    </row>
    <row r="201" spans="1:2">
      <c r="A201" t="s">
        <v>2288</v>
      </c>
      <c r="B201" s="482">
        <v>7</v>
      </c>
    </row>
    <row r="202" spans="1:2">
      <c r="A202" t="s">
        <v>2289</v>
      </c>
      <c r="B202" s="482">
        <v>5</v>
      </c>
    </row>
    <row r="203" spans="1:2">
      <c r="A203" t="s">
        <v>753</v>
      </c>
      <c r="B203" s="482">
        <v>5</v>
      </c>
    </row>
    <row r="204" spans="1:2">
      <c r="A204" t="s">
        <v>754</v>
      </c>
      <c r="B204" s="482">
        <v>1</v>
      </c>
    </row>
    <row r="205" spans="1:2">
      <c r="A205" t="s">
        <v>2290</v>
      </c>
      <c r="B205" s="482">
        <v>7</v>
      </c>
    </row>
    <row r="206" spans="1:2">
      <c r="A206" t="s">
        <v>755</v>
      </c>
      <c r="B206" s="482">
        <v>1</v>
      </c>
    </row>
    <row r="207" spans="1:2">
      <c r="A207" t="s">
        <v>2291</v>
      </c>
      <c r="B207" s="482">
        <v>7</v>
      </c>
    </row>
    <row r="208" spans="1:2">
      <c r="A208" t="s">
        <v>2292</v>
      </c>
      <c r="B208" s="482">
        <v>7</v>
      </c>
    </row>
    <row r="209" spans="1:2">
      <c r="A209" t="s">
        <v>2293</v>
      </c>
      <c r="B209" s="482">
        <v>7</v>
      </c>
    </row>
    <row r="210" spans="1:2">
      <c r="A210" t="s">
        <v>2294</v>
      </c>
      <c r="B210" s="482">
        <v>7</v>
      </c>
    </row>
    <row r="211" spans="1:2">
      <c r="A211" t="s">
        <v>756</v>
      </c>
      <c r="B211" s="482">
        <v>1</v>
      </c>
    </row>
    <row r="212" spans="1:2">
      <c r="A212" t="s">
        <v>757</v>
      </c>
      <c r="B212" s="482">
        <v>1</v>
      </c>
    </row>
    <row r="213" spans="1:2">
      <c r="A213" t="s">
        <v>758</v>
      </c>
      <c r="B213" s="482">
        <v>1</v>
      </c>
    </row>
    <row r="214" spans="1:2">
      <c r="A214" t="s">
        <v>759</v>
      </c>
      <c r="B214" s="482">
        <v>1</v>
      </c>
    </row>
    <row r="215" spans="1:2">
      <c r="A215" t="s">
        <v>760</v>
      </c>
      <c r="B215" s="482">
        <v>1</v>
      </c>
    </row>
    <row r="216" spans="1:2">
      <c r="A216" t="s">
        <v>761</v>
      </c>
      <c r="B216" s="482">
        <v>1</v>
      </c>
    </row>
    <row r="217" spans="1:2">
      <c r="A217" t="s">
        <v>762</v>
      </c>
      <c r="B217" s="482">
        <v>1</v>
      </c>
    </row>
    <row r="218" spans="1:2">
      <c r="A218" t="s">
        <v>763</v>
      </c>
      <c r="B218" s="482">
        <v>1</v>
      </c>
    </row>
    <row r="219" spans="1:2">
      <c r="A219" t="s">
        <v>764</v>
      </c>
      <c r="B219" s="482">
        <v>7</v>
      </c>
    </row>
    <row r="220" spans="1:2">
      <c r="A220" t="s">
        <v>765</v>
      </c>
      <c r="B220" s="482">
        <v>1</v>
      </c>
    </row>
    <row r="221" spans="1:2">
      <c r="A221" t="s">
        <v>2296</v>
      </c>
      <c r="B221" s="482">
        <v>7</v>
      </c>
    </row>
    <row r="222" spans="1:2">
      <c r="A222" t="s">
        <v>2301</v>
      </c>
      <c r="B222" s="482">
        <v>7</v>
      </c>
    </row>
    <row r="223" spans="1:2">
      <c r="A223" t="s">
        <v>2302</v>
      </c>
      <c r="B223" s="482">
        <v>7</v>
      </c>
    </row>
    <row r="224" spans="1:2">
      <c r="A224" t="s">
        <v>2303</v>
      </c>
      <c r="B224" s="482">
        <v>7</v>
      </c>
    </row>
    <row r="225" spans="1:2">
      <c r="A225" t="s">
        <v>1890</v>
      </c>
      <c r="B225" s="482">
        <v>1</v>
      </c>
    </row>
    <row r="226" spans="1:2">
      <c r="A226" t="s">
        <v>2304</v>
      </c>
      <c r="B226" s="482">
        <v>7</v>
      </c>
    </row>
    <row r="227" spans="1:2">
      <c r="A227" t="s">
        <v>2305</v>
      </c>
      <c r="B227" s="482">
        <v>7</v>
      </c>
    </row>
    <row r="228" spans="1:2">
      <c r="A228" t="s">
        <v>2306</v>
      </c>
      <c r="B228" s="482">
        <v>7</v>
      </c>
    </row>
    <row r="229" spans="1:2">
      <c r="A229" t="s">
        <v>2307</v>
      </c>
      <c r="B229" s="482">
        <v>7</v>
      </c>
    </row>
    <row r="230" spans="1:2">
      <c r="A230" t="s">
        <v>1891</v>
      </c>
      <c r="B230" s="482">
        <v>7</v>
      </c>
    </row>
    <row r="231" spans="1:2">
      <c r="A231" t="s">
        <v>1892</v>
      </c>
      <c r="B231" s="482">
        <v>5</v>
      </c>
    </row>
    <row r="232" spans="1:2">
      <c r="A232" t="s">
        <v>1893</v>
      </c>
      <c r="B232" s="482">
        <v>1</v>
      </c>
    </row>
    <row r="233" spans="1:2">
      <c r="A233" t="s">
        <v>766</v>
      </c>
      <c r="B233" s="482">
        <v>1</v>
      </c>
    </row>
    <row r="234" spans="1:2">
      <c r="A234" t="s">
        <v>767</v>
      </c>
      <c r="B234" s="482">
        <v>1</v>
      </c>
    </row>
    <row r="235" spans="1:2">
      <c r="A235" t="s">
        <v>768</v>
      </c>
      <c r="B235" s="482">
        <v>1</v>
      </c>
    </row>
    <row r="236" spans="1:2">
      <c r="A236" t="s">
        <v>769</v>
      </c>
      <c r="B236" s="482">
        <v>1</v>
      </c>
    </row>
    <row r="237" spans="1:2">
      <c r="A237" t="s">
        <v>770</v>
      </c>
      <c r="B237" s="482">
        <v>1</v>
      </c>
    </row>
    <row r="238" spans="1:2">
      <c r="A238" t="s">
        <v>771</v>
      </c>
      <c r="B238" s="482">
        <v>1</v>
      </c>
    </row>
    <row r="239" spans="1:2">
      <c r="A239" t="s">
        <v>772</v>
      </c>
      <c r="B239" s="482">
        <v>1</v>
      </c>
    </row>
    <row r="240" spans="1:2">
      <c r="A240" t="s">
        <v>773</v>
      </c>
      <c r="B240" s="482">
        <v>1</v>
      </c>
    </row>
    <row r="241" spans="1:2">
      <c r="A241" t="s">
        <v>774</v>
      </c>
      <c r="B241" s="482">
        <v>1</v>
      </c>
    </row>
    <row r="242" spans="1:2">
      <c r="A242" t="s">
        <v>1894</v>
      </c>
      <c r="B242" s="482">
        <v>1</v>
      </c>
    </row>
    <row r="243" spans="1:2">
      <c r="A243" t="s">
        <v>1895</v>
      </c>
      <c r="B243" s="482">
        <v>1</v>
      </c>
    </row>
    <row r="244" spans="1:2">
      <c r="A244" t="s">
        <v>1896</v>
      </c>
      <c r="B244" s="482">
        <v>1</v>
      </c>
    </row>
    <row r="245" spans="1:2">
      <c r="A245" t="s">
        <v>1897</v>
      </c>
      <c r="B245" s="482">
        <v>1</v>
      </c>
    </row>
    <row r="246" spans="1:2">
      <c r="A246" t="s">
        <v>1898</v>
      </c>
      <c r="B246" s="482">
        <v>1</v>
      </c>
    </row>
    <row r="247" spans="1:2">
      <c r="A247" t="s">
        <v>1899</v>
      </c>
      <c r="B247" s="482">
        <v>1</v>
      </c>
    </row>
    <row r="248" spans="1:2">
      <c r="A248" t="s">
        <v>1900</v>
      </c>
      <c r="B248" s="482">
        <v>1</v>
      </c>
    </row>
    <row r="249" spans="1:2">
      <c r="A249" t="s">
        <v>1901</v>
      </c>
      <c r="B249" s="482">
        <v>1</v>
      </c>
    </row>
    <row r="250" spans="1:2">
      <c r="A250" t="s">
        <v>1902</v>
      </c>
      <c r="B250" s="482">
        <v>1</v>
      </c>
    </row>
    <row r="251" spans="1:2">
      <c r="A251" t="s">
        <v>1903</v>
      </c>
      <c r="B251" s="482">
        <v>1</v>
      </c>
    </row>
    <row r="252" spans="1:2">
      <c r="A252" t="s">
        <v>1904</v>
      </c>
      <c r="B252" s="482">
        <v>1</v>
      </c>
    </row>
    <row r="253" spans="1:2">
      <c r="A253" t="s">
        <v>1905</v>
      </c>
      <c r="B253" s="482">
        <v>1</v>
      </c>
    </row>
    <row r="254" spans="1:2">
      <c r="A254" t="s">
        <v>1906</v>
      </c>
      <c r="B254" s="482">
        <v>1</v>
      </c>
    </row>
    <row r="255" spans="1:2">
      <c r="A255" t="s">
        <v>1907</v>
      </c>
      <c r="B255" s="482">
        <v>1</v>
      </c>
    </row>
    <row r="256" spans="1:2">
      <c r="A256" t="s">
        <v>1908</v>
      </c>
      <c r="B256" s="482">
        <v>1</v>
      </c>
    </row>
    <row r="257" spans="1:2">
      <c r="A257" t="s">
        <v>775</v>
      </c>
      <c r="B257" s="482">
        <v>1</v>
      </c>
    </row>
    <row r="258" spans="1:2">
      <c r="A258" t="s">
        <v>776</v>
      </c>
      <c r="B258" s="482">
        <v>1</v>
      </c>
    </row>
    <row r="259" spans="1:2">
      <c r="A259" t="s">
        <v>777</v>
      </c>
      <c r="B259" s="482">
        <v>1</v>
      </c>
    </row>
    <row r="260" spans="1:2">
      <c r="A260" t="s">
        <v>778</v>
      </c>
      <c r="B260" s="482">
        <v>1</v>
      </c>
    </row>
    <row r="261" spans="1:2">
      <c r="A261" t="s">
        <v>779</v>
      </c>
      <c r="B261" s="482">
        <v>1</v>
      </c>
    </row>
    <row r="262" spans="1:2">
      <c r="A262" t="s">
        <v>780</v>
      </c>
      <c r="B262" s="482">
        <v>1</v>
      </c>
    </row>
    <row r="263" spans="1:2">
      <c r="A263" t="s">
        <v>781</v>
      </c>
      <c r="B263" s="482">
        <v>1</v>
      </c>
    </row>
    <row r="264" spans="1:2">
      <c r="A264" t="s">
        <v>782</v>
      </c>
      <c r="B264" s="482">
        <v>1</v>
      </c>
    </row>
    <row r="265" spans="1:2">
      <c r="A265" t="s">
        <v>783</v>
      </c>
      <c r="B265" s="482">
        <v>1</v>
      </c>
    </row>
    <row r="266" spans="1:2">
      <c r="A266" t="s">
        <v>784</v>
      </c>
      <c r="B266" s="482">
        <v>1</v>
      </c>
    </row>
    <row r="267" spans="1:2">
      <c r="A267" t="s">
        <v>785</v>
      </c>
      <c r="B267" s="482">
        <v>1</v>
      </c>
    </row>
    <row r="268" spans="1:2">
      <c r="A268" t="s">
        <v>786</v>
      </c>
      <c r="B268" s="482">
        <v>0</v>
      </c>
    </row>
    <row r="269" spans="1:2">
      <c r="A269" t="s">
        <v>787</v>
      </c>
      <c r="B269" s="482">
        <v>1</v>
      </c>
    </row>
    <row r="270" spans="1:2">
      <c r="A270" t="s">
        <v>788</v>
      </c>
      <c r="B270" s="482">
        <v>1</v>
      </c>
    </row>
    <row r="271" spans="1:2">
      <c r="A271" t="s">
        <v>789</v>
      </c>
      <c r="B271" s="482">
        <v>1</v>
      </c>
    </row>
    <row r="272" spans="1:2">
      <c r="A272" t="s">
        <v>790</v>
      </c>
      <c r="B272" s="482">
        <v>1</v>
      </c>
    </row>
    <row r="273" spans="1:2">
      <c r="A273" t="s">
        <v>791</v>
      </c>
      <c r="B273" s="482">
        <v>1</v>
      </c>
    </row>
    <row r="274" spans="1:2">
      <c r="A274" t="s">
        <v>792</v>
      </c>
      <c r="B274" s="482">
        <v>1</v>
      </c>
    </row>
    <row r="275" spans="1:2">
      <c r="A275" t="s">
        <v>793</v>
      </c>
      <c r="B275" s="482">
        <v>1</v>
      </c>
    </row>
    <row r="276" spans="1:2">
      <c r="A276" t="s">
        <v>794</v>
      </c>
      <c r="B276" s="482">
        <v>1</v>
      </c>
    </row>
    <row r="277" spans="1:2">
      <c r="A277" t="s">
        <v>795</v>
      </c>
      <c r="B277" s="482">
        <v>1</v>
      </c>
    </row>
    <row r="278" spans="1:2">
      <c r="A278" t="s">
        <v>796</v>
      </c>
      <c r="B278" s="482">
        <v>1</v>
      </c>
    </row>
    <row r="279" spans="1:2">
      <c r="A279" t="s">
        <v>797</v>
      </c>
      <c r="B279" s="482">
        <v>1</v>
      </c>
    </row>
    <row r="280" spans="1:2">
      <c r="A280" t="s">
        <v>798</v>
      </c>
      <c r="B280" s="482">
        <v>1</v>
      </c>
    </row>
    <row r="281" spans="1:2">
      <c r="A281" t="s">
        <v>799</v>
      </c>
      <c r="B281" s="482">
        <v>1</v>
      </c>
    </row>
    <row r="282" spans="1:2">
      <c r="A282" t="s">
        <v>800</v>
      </c>
      <c r="B282" s="482">
        <v>1</v>
      </c>
    </row>
    <row r="283" spans="1:2">
      <c r="A283" t="s">
        <v>801</v>
      </c>
      <c r="B283" s="482">
        <v>1</v>
      </c>
    </row>
    <row r="284" spans="1:2">
      <c r="A284" t="s">
        <v>802</v>
      </c>
      <c r="B284" s="482">
        <v>1</v>
      </c>
    </row>
    <row r="285" spans="1:2">
      <c r="A285" t="s">
        <v>803</v>
      </c>
      <c r="B285" s="482">
        <v>0</v>
      </c>
    </row>
    <row r="286" spans="1:2">
      <c r="A286" t="s">
        <v>804</v>
      </c>
      <c r="B286" s="482">
        <v>1</v>
      </c>
    </row>
    <row r="287" spans="1:2">
      <c r="A287" t="s">
        <v>805</v>
      </c>
      <c r="B287" s="482">
        <v>1</v>
      </c>
    </row>
    <row r="288" spans="1:2">
      <c r="A288" t="s">
        <v>806</v>
      </c>
      <c r="B288" s="482">
        <v>1</v>
      </c>
    </row>
    <row r="289" spans="1:2">
      <c r="A289" t="s">
        <v>807</v>
      </c>
      <c r="B289" s="482">
        <v>0</v>
      </c>
    </row>
    <row r="290" spans="1:2">
      <c r="A290" t="s">
        <v>808</v>
      </c>
      <c r="B290" s="482">
        <v>1</v>
      </c>
    </row>
    <row r="291" spans="1:2">
      <c r="A291" t="s">
        <v>809</v>
      </c>
      <c r="B291" s="482">
        <v>1</v>
      </c>
    </row>
    <row r="292" spans="1:2">
      <c r="A292" t="s">
        <v>810</v>
      </c>
      <c r="B292" s="482">
        <v>1</v>
      </c>
    </row>
    <row r="293" spans="1:2">
      <c r="A293" t="s">
        <v>811</v>
      </c>
      <c r="B293" s="482">
        <v>0</v>
      </c>
    </row>
    <row r="294" spans="1:2">
      <c r="A294" t="s">
        <v>812</v>
      </c>
      <c r="B294" s="482">
        <v>1</v>
      </c>
    </row>
    <row r="295" spans="1:2">
      <c r="A295" t="s">
        <v>813</v>
      </c>
      <c r="B295" s="482">
        <v>1</v>
      </c>
    </row>
    <row r="296" spans="1:2">
      <c r="A296" t="s">
        <v>814</v>
      </c>
      <c r="B296" s="482">
        <v>1</v>
      </c>
    </row>
    <row r="297" spans="1:2">
      <c r="A297" t="s">
        <v>815</v>
      </c>
      <c r="B297" s="482">
        <v>1</v>
      </c>
    </row>
    <row r="298" spans="1:2">
      <c r="A298" t="s">
        <v>816</v>
      </c>
      <c r="B298" s="482">
        <v>1</v>
      </c>
    </row>
    <row r="299" spans="1:2">
      <c r="A299" t="s">
        <v>817</v>
      </c>
      <c r="B299" s="482">
        <v>1</v>
      </c>
    </row>
    <row r="300" spans="1:2">
      <c r="A300" t="s">
        <v>818</v>
      </c>
      <c r="B300" s="482">
        <v>0</v>
      </c>
    </row>
    <row r="301" spans="1:2">
      <c r="A301" t="s">
        <v>819</v>
      </c>
      <c r="B301" s="482">
        <v>0</v>
      </c>
    </row>
    <row r="302" spans="1:2">
      <c r="A302" t="s">
        <v>820</v>
      </c>
      <c r="B302" s="482">
        <v>0</v>
      </c>
    </row>
    <row r="303" spans="1:2">
      <c r="A303" t="s">
        <v>821</v>
      </c>
      <c r="B303" s="482">
        <v>1</v>
      </c>
    </row>
    <row r="304" spans="1:2">
      <c r="A304" t="s">
        <v>822</v>
      </c>
      <c r="B304" s="482">
        <v>1</v>
      </c>
    </row>
    <row r="305" spans="1:2">
      <c r="A305" t="s">
        <v>823</v>
      </c>
      <c r="B305" s="482">
        <v>0</v>
      </c>
    </row>
    <row r="306" spans="1:2">
      <c r="A306" t="s">
        <v>824</v>
      </c>
      <c r="B306" s="482">
        <v>1</v>
      </c>
    </row>
    <row r="307" spans="1:2">
      <c r="A307" t="s">
        <v>825</v>
      </c>
      <c r="B307" s="482">
        <v>1</v>
      </c>
    </row>
    <row r="308" spans="1:2">
      <c r="A308" t="s">
        <v>826</v>
      </c>
      <c r="B308" s="482">
        <v>1</v>
      </c>
    </row>
    <row r="309" spans="1:2">
      <c r="A309" t="s">
        <v>827</v>
      </c>
      <c r="B309" s="482">
        <v>1</v>
      </c>
    </row>
    <row r="310" spans="1:2">
      <c r="A310" t="s">
        <v>828</v>
      </c>
      <c r="B310" s="482">
        <v>1</v>
      </c>
    </row>
    <row r="311" spans="1:2">
      <c r="A311" t="s">
        <v>829</v>
      </c>
      <c r="B311" s="482">
        <v>1</v>
      </c>
    </row>
    <row r="312" spans="1:2">
      <c r="A312" t="s">
        <v>830</v>
      </c>
      <c r="B312" s="482">
        <v>1</v>
      </c>
    </row>
    <row r="313" spans="1:2">
      <c r="A313" t="s">
        <v>831</v>
      </c>
      <c r="B313" s="482">
        <v>1</v>
      </c>
    </row>
    <row r="314" spans="1:2">
      <c r="A314" t="s">
        <v>832</v>
      </c>
      <c r="B314" s="482">
        <v>1</v>
      </c>
    </row>
    <row r="315" spans="1:2">
      <c r="A315" t="s">
        <v>833</v>
      </c>
      <c r="B315" s="482">
        <v>1</v>
      </c>
    </row>
    <row r="316" spans="1:2">
      <c r="A316" t="s">
        <v>834</v>
      </c>
      <c r="B316" s="482">
        <v>1</v>
      </c>
    </row>
    <row r="317" spans="1:2">
      <c r="A317" t="s">
        <v>835</v>
      </c>
      <c r="B317" s="482">
        <v>1</v>
      </c>
    </row>
    <row r="318" spans="1:2">
      <c r="A318" t="s">
        <v>836</v>
      </c>
      <c r="B318" s="482">
        <v>1</v>
      </c>
    </row>
    <row r="319" spans="1:2">
      <c r="A319" t="s">
        <v>837</v>
      </c>
      <c r="B319" s="482">
        <v>1</v>
      </c>
    </row>
    <row r="320" spans="1:2">
      <c r="A320" t="s">
        <v>838</v>
      </c>
      <c r="B320" s="482">
        <v>1</v>
      </c>
    </row>
    <row r="321" spans="1:2">
      <c r="A321" t="s">
        <v>839</v>
      </c>
      <c r="B321" s="482">
        <v>1</v>
      </c>
    </row>
    <row r="322" spans="1:2">
      <c r="A322" t="s">
        <v>840</v>
      </c>
      <c r="B322" s="482">
        <v>1</v>
      </c>
    </row>
    <row r="323" spans="1:2">
      <c r="A323" t="s">
        <v>841</v>
      </c>
      <c r="B323" s="482">
        <v>1</v>
      </c>
    </row>
    <row r="324" spans="1:2">
      <c r="A324" t="s">
        <v>842</v>
      </c>
      <c r="B324" s="482">
        <v>1</v>
      </c>
    </row>
    <row r="325" spans="1:2">
      <c r="A325" t="s">
        <v>843</v>
      </c>
      <c r="B325" s="482">
        <v>1</v>
      </c>
    </row>
    <row r="326" spans="1:2">
      <c r="A326" t="s">
        <v>844</v>
      </c>
      <c r="B326" s="482">
        <v>1</v>
      </c>
    </row>
    <row r="327" spans="1:2">
      <c r="A327" t="s">
        <v>845</v>
      </c>
      <c r="B327" s="482">
        <v>1</v>
      </c>
    </row>
    <row r="328" spans="1:2">
      <c r="A328" t="s">
        <v>846</v>
      </c>
      <c r="B328" s="482">
        <v>1</v>
      </c>
    </row>
    <row r="329" spans="1:2">
      <c r="A329" t="s">
        <v>847</v>
      </c>
      <c r="B329" s="482">
        <v>1</v>
      </c>
    </row>
    <row r="330" spans="1:2">
      <c r="A330" t="s">
        <v>848</v>
      </c>
      <c r="B330" s="482">
        <v>1</v>
      </c>
    </row>
    <row r="331" spans="1:2">
      <c r="A331" t="s">
        <v>849</v>
      </c>
      <c r="B331" s="482">
        <v>1</v>
      </c>
    </row>
    <row r="332" spans="1:2">
      <c r="A332" t="s">
        <v>850</v>
      </c>
      <c r="B332" s="482">
        <v>1</v>
      </c>
    </row>
    <row r="333" spans="1:2">
      <c r="A333" t="s">
        <v>851</v>
      </c>
      <c r="B333" s="482">
        <v>1</v>
      </c>
    </row>
    <row r="334" spans="1:2">
      <c r="A334" t="s">
        <v>852</v>
      </c>
      <c r="B334" s="482">
        <v>1</v>
      </c>
    </row>
    <row r="335" spans="1:2">
      <c r="A335" t="s">
        <v>853</v>
      </c>
      <c r="B335" s="482">
        <v>1</v>
      </c>
    </row>
    <row r="336" spans="1:2">
      <c r="A336" t="s">
        <v>854</v>
      </c>
      <c r="B336" s="482">
        <v>1</v>
      </c>
    </row>
    <row r="337" spans="1:2">
      <c r="A337" t="s">
        <v>855</v>
      </c>
      <c r="B337" s="482">
        <v>1</v>
      </c>
    </row>
    <row r="338" spans="1:2">
      <c r="A338" t="s">
        <v>856</v>
      </c>
      <c r="B338" s="482">
        <v>1</v>
      </c>
    </row>
    <row r="339" spans="1:2">
      <c r="A339" t="s">
        <v>857</v>
      </c>
      <c r="B339" s="482">
        <v>1</v>
      </c>
    </row>
    <row r="340" spans="1:2">
      <c r="A340" t="s">
        <v>858</v>
      </c>
      <c r="B340" s="482">
        <v>1</v>
      </c>
    </row>
    <row r="341" spans="1:2">
      <c r="A341" t="s">
        <v>859</v>
      </c>
      <c r="B341" s="482">
        <v>1</v>
      </c>
    </row>
    <row r="342" spans="1:2">
      <c r="A342" t="s">
        <v>860</v>
      </c>
      <c r="B342" s="482">
        <v>1</v>
      </c>
    </row>
    <row r="343" spans="1:2">
      <c r="A343" t="s">
        <v>861</v>
      </c>
      <c r="B343" s="482">
        <v>0</v>
      </c>
    </row>
    <row r="344" spans="1:2">
      <c r="A344" t="s">
        <v>862</v>
      </c>
      <c r="B344" s="482">
        <v>0</v>
      </c>
    </row>
    <row r="345" spans="1:2">
      <c r="A345" t="s">
        <v>863</v>
      </c>
      <c r="B345" s="482">
        <v>0</v>
      </c>
    </row>
    <row r="346" spans="1:2">
      <c r="A346" t="s">
        <v>864</v>
      </c>
      <c r="B346" s="482">
        <v>1</v>
      </c>
    </row>
    <row r="347" spans="1:2">
      <c r="A347" t="s">
        <v>865</v>
      </c>
      <c r="B347" s="482">
        <v>1</v>
      </c>
    </row>
    <row r="348" spans="1:2">
      <c r="A348" t="s">
        <v>866</v>
      </c>
      <c r="B348" s="482">
        <v>1</v>
      </c>
    </row>
    <row r="349" spans="1:2">
      <c r="A349" t="s">
        <v>867</v>
      </c>
      <c r="B349" s="482">
        <v>1</v>
      </c>
    </row>
    <row r="350" spans="1:2">
      <c r="A350" t="s">
        <v>868</v>
      </c>
      <c r="B350" s="482">
        <v>1</v>
      </c>
    </row>
    <row r="351" spans="1:2">
      <c r="A351" t="s">
        <v>869</v>
      </c>
      <c r="B351" s="482">
        <v>1</v>
      </c>
    </row>
    <row r="352" spans="1:2">
      <c r="A352" t="s">
        <v>870</v>
      </c>
      <c r="B352" s="482">
        <v>1</v>
      </c>
    </row>
    <row r="353" spans="1:2">
      <c r="A353" t="s">
        <v>871</v>
      </c>
      <c r="B353" s="482">
        <v>1</v>
      </c>
    </row>
    <row r="354" spans="1:2">
      <c r="A354" t="s">
        <v>872</v>
      </c>
      <c r="B354" s="482">
        <v>1</v>
      </c>
    </row>
    <row r="355" spans="1:2">
      <c r="A355" t="s">
        <v>873</v>
      </c>
      <c r="B355" s="482">
        <v>1</v>
      </c>
    </row>
    <row r="356" spans="1:2">
      <c r="A356" t="s">
        <v>874</v>
      </c>
      <c r="B356" s="482">
        <v>1</v>
      </c>
    </row>
    <row r="357" spans="1:2">
      <c r="A357" t="s">
        <v>875</v>
      </c>
      <c r="B357" s="482">
        <v>1</v>
      </c>
    </row>
    <row r="358" spans="1:2">
      <c r="A358" t="s">
        <v>876</v>
      </c>
      <c r="B358" s="482">
        <v>1</v>
      </c>
    </row>
    <row r="359" spans="1:2">
      <c r="A359" t="s">
        <v>877</v>
      </c>
      <c r="B359" s="482">
        <v>1</v>
      </c>
    </row>
    <row r="360" spans="1:2">
      <c r="A360" t="s">
        <v>878</v>
      </c>
      <c r="B360" s="482">
        <v>1</v>
      </c>
    </row>
    <row r="361" spans="1:2">
      <c r="A361" t="s">
        <v>879</v>
      </c>
      <c r="B361" s="482">
        <v>1</v>
      </c>
    </row>
    <row r="362" spans="1:2">
      <c r="A362" t="s">
        <v>880</v>
      </c>
      <c r="B362" s="482">
        <v>1</v>
      </c>
    </row>
    <row r="363" spans="1:2">
      <c r="A363" t="s">
        <v>881</v>
      </c>
      <c r="B363" s="482">
        <v>1</v>
      </c>
    </row>
    <row r="364" spans="1:2">
      <c r="A364" t="s">
        <v>882</v>
      </c>
      <c r="B364" s="482">
        <v>1</v>
      </c>
    </row>
    <row r="365" spans="1:2">
      <c r="A365" t="s">
        <v>883</v>
      </c>
      <c r="B365" s="482">
        <v>1</v>
      </c>
    </row>
    <row r="366" spans="1:2">
      <c r="A366" t="s">
        <v>884</v>
      </c>
      <c r="B366" s="482">
        <v>1</v>
      </c>
    </row>
    <row r="367" spans="1:2">
      <c r="A367" t="s">
        <v>885</v>
      </c>
      <c r="B367" s="482">
        <v>1</v>
      </c>
    </row>
    <row r="368" spans="1:2">
      <c r="A368" t="s">
        <v>886</v>
      </c>
      <c r="B368" s="482">
        <v>1</v>
      </c>
    </row>
    <row r="369" spans="1:2">
      <c r="A369" t="s">
        <v>887</v>
      </c>
      <c r="B369" s="482">
        <v>1</v>
      </c>
    </row>
    <row r="370" spans="1:2">
      <c r="A370" t="s">
        <v>888</v>
      </c>
      <c r="B370" s="482">
        <v>1</v>
      </c>
    </row>
    <row r="371" spans="1:2">
      <c r="A371" t="s">
        <v>889</v>
      </c>
      <c r="B371" s="482">
        <v>1</v>
      </c>
    </row>
    <row r="372" spans="1:2">
      <c r="A372" t="s">
        <v>890</v>
      </c>
      <c r="B372" s="482">
        <v>1</v>
      </c>
    </row>
    <row r="373" spans="1:2">
      <c r="A373" t="s">
        <v>891</v>
      </c>
      <c r="B373" s="482">
        <v>1</v>
      </c>
    </row>
    <row r="374" spans="1:2">
      <c r="A374" t="s">
        <v>892</v>
      </c>
      <c r="B374" s="482">
        <v>1</v>
      </c>
    </row>
    <row r="375" spans="1:2">
      <c r="A375" t="s">
        <v>893</v>
      </c>
      <c r="B375" s="482">
        <v>1</v>
      </c>
    </row>
    <row r="376" spans="1:2">
      <c r="A376" t="s">
        <v>894</v>
      </c>
      <c r="B376" s="482">
        <v>1</v>
      </c>
    </row>
    <row r="377" spans="1:2">
      <c r="A377" t="s">
        <v>895</v>
      </c>
      <c r="B377" s="482">
        <v>1</v>
      </c>
    </row>
    <row r="378" spans="1:2">
      <c r="A378" t="s">
        <v>896</v>
      </c>
      <c r="B378" s="482">
        <v>1</v>
      </c>
    </row>
    <row r="379" spans="1:2">
      <c r="A379" t="s">
        <v>897</v>
      </c>
      <c r="B379" s="482">
        <v>1</v>
      </c>
    </row>
    <row r="380" spans="1:2">
      <c r="A380" t="s">
        <v>898</v>
      </c>
      <c r="B380" s="482">
        <v>1</v>
      </c>
    </row>
    <row r="381" spans="1:2">
      <c r="A381" t="s">
        <v>899</v>
      </c>
      <c r="B381" s="482">
        <v>1</v>
      </c>
    </row>
    <row r="382" spans="1:2">
      <c r="A382" t="s">
        <v>900</v>
      </c>
      <c r="B382" s="482">
        <v>1</v>
      </c>
    </row>
    <row r="383" spans="1:2">
      <c r="A383" t="s">
        <v>901</v>
      </c>
      <c r="B383" s="482">
        <v>1</v>
      </c>
    </row>
    <row r="384" spans="1:2">
      <c r="A384" t="s">
        <v>902</v>
      </c>
      <c r="B384" s="482">
        <v>1</v>
      </c>
    </row>
    <row r="385" spans="1:2">
      <c r="A385" t="s">
        <v>903</v>
      </c>
      <c r="B385" s="482">
        <v>1</v>
      </c>
    </row>
    <row r="386" spans="1:2">
      <c r="A386" t="s">
        <v>904</v>
      </c>
      <c r="B386" s="482">
        <v>1</v>
      </c>
    </row>
    <row r="387" spans="1:2">
      <c r="A387" t="s">
        <v>905</v>
      </c>
      <c r="B387" s="482">
        <v>1</v>
      </c>
    </row>
    <row r="388" spans="1:2">
      <c r="A388" t="s">
        <v>906</v>
      </c>
      <c r="B388" s="482">
        <v>1</v>
      </c>
    </row>
    <row r="389" spans="1:2">
      <c r="A389" t="s">
        <v>907</v>
      </c>
      <c r="B389" s="482">
        <v>1</v>
      </c>
    </row>
    <row r="390" spans="1:2">
      <c r="A390" t="s">
        <v>908</v>
      </c>
      <c r="B390" s="482">
        <v>1</v>
      </c>
    </row>
    <row r="391" spans="1:2">
      <c r="A391" t="s">
        <v>909</v>
      </c>
      <c r="B391" s="482">
        <v>1</v>
      </c>
    </row>
    <row r="392" spans="1:2">
      <c r="A392" t="s">
        <v>910</v>
      </c>
      <c r="B392" s="482">
        <v>1</v>
      </c>
    </row>
    <row r="393" spans="1:2">
      <c r="A393" t="s">
        <v>911</v>
      </c>
      <c r="B393" s="482">
        <v>1</v>
      </c>
    </row>
    <row r="394" spans="1:2">
      <c r="A394" t="s">
        <v>2076</v>
      </c>
      <c r="B394" s="482">
        <v>1</v>
      </c>
    </row>
    <row r="395" spans="1:2">
      <c r="A395" t="s">
        <v>2077</v>
      </c>
      <c r="B395" s="482">
        <v>1</v>
      </c>
    </row>
    <row r="396" spans="1:2">
      <c r="A396" t="s">
        <v>2078</v>
      </c>
      <c r="B396" s="482">
        <v>1</v>
      </c>
    </row>
    <row r="397" spans="1:2">
      <c r="A397" t="s">
        <v>2079</v>
      </c>
      <c r="B397" s="482">
        <v>1</v>
      </c>
    </row>
    <row r="398" spans="1:2">
      <c r="A398" t="s">
        <v>2080</v>
      </c>
      <c r="B398" s="482">
        <v>1</v>
      </c>
    </row>
    <row r="399" spans="1:2">
      <c r="A399" t="s">
        <v>2084</v>
      </c>
      <c r="B399" s="482">
        <v>1</v>
      </c>
    </row>
    <row r="400" spans="1:2">
      <c r="A400" t="s">
        <v>2081</v>
      </c>
      <c r="B400" s="482">
        <v>1</v>
      </c>
    </row>
    <row r="401" spans="1:2">
      <c r="A401" t="s">
        <v>2082</v>
      </c>
      <c r="B401" s="482">
        <v>1</v>
      </c>
    </row>
    <row r="402" spans="1:2">
      <c r="A402" t="s">
        <v>2083</v>
      </c>
      <c r="B402" s="482">
        <v>1</v>
      </c>
    </row>
    <row r="403" spans="1:2">
      <c r="A403" t="s">
        <v>2162</v>
      </c>
      <c r="B403" s="482">
        <v>2</v>
      </c>
    </row>
    <row r="404" spans="1:2">
      <c r="A404" t="s">
        <v>2163</v>
      </c>
      <c r="B404" s="482">
        <v>2</v>
      </c>
    </row>
    <row r="405" spans="1:2">
      <c r="A405" t="s">
        <v>2164</v>
      </c>
      <c r="B405" s="482">
        <v>2</v>
      </c>
    </row>
    <row r="406" spans="1:2">
      <c r="A406" t="s">
        <v>2165</v>
      </c>
      <c r="B406" s="482">
        <v>2</v>
      </c>
    </row>
    <row r="407" spans="1:2">
      <c r="A407" t="s">
        <v>2166</v>
      </c>
      <c r="B407" s="482">
        <v>2</v>
      </c>
    </row>
    <row r="408" spans="1:2">
      <c r="A408" t="s">
        <v>912</v>
      </c>
      <c r="B408" s="482">
        <v>1</v>
      </c>
    </row>
    <row r="409" spans="1:2">
      <c r="A409" t="s">
        <v>913</v>
      </c>
      <c r="B409" s="482">
        <v>1</v>
      </c>
    </row>
    <row r="410" spans="1:2">
      <c r="A410" t="s">
        <v>914</v>
      </c>
      <c r="B410" s="482">
        <v>1</v>
      </c>
    </row>
    <row r="411" spans="1:2">
      <c r="A411" t="s">
        <v>915</v>
      </c>
      <c r="B411" s="482">
        <v>1</v>
      </c>
    </row>
    <row r="412" spans="1:2">
      <c r="A412" t="s">
        <v>916</v>
      </c>
      <c r="B412" s="482">
        <v>1</v>
      </c>
    </row>
    <row r="413" spans="1:2">
      <c r="A413" t="s">
        <v>917</v>
      </c>
      <c r="B413" s="482">
        <v>1</v>
      </c>
    </row>
    <row r="414" spans="1:2">
      <c r="A414" t="s">
        <v>918</v>
      </c>
      <c r="B414" s="482">
        <v>1</v>
      </c>
    </row>
    <row r="415" spans="1:2">
      <c r="A415" t="s">
        <v>919</v>
      </c>
      <c r="B415" s="482">
        <v>1</v>
      </c>
    </row>
    <row r="416" spans="1:2">
      <c r="A416" t="s">
        <v>920</v>
      </c>
      <c r="B416" s="482">
        <v>1</v>
      </c>
    </row>
    <row r="417" spans="1:2">
      <c r="A417" t="s">
        <v>921</v>
      </c>
      <c r="B417" s="482">
        <v>1</v>
      </c>
    </row>
    <row r="418" spans="1:2">
      <c r="A418" t="s">
        <v>922</v>
      </c>
      <c r="B418" s="482">
        <v>1</v>
      </c>
    </row>
    <row r="419" spans="1:2">
      <c r="A419" t="s">
        <v>923</v>
      </c>
      <c r="B419" s="482">
        <v>2</v>
      </c>
    </row>
    <row r="420" spans="1:2">
      <c r="A420" t="s">
        <v>924</v>
      </c>
      <c r="B420" s="482">
        <v>2</v>
      </c>
    </row>
    <row r="421" spans="1:2">
      <c r="A421" t="s">
        <v>925</v>
      </c>
      <c r="B421" s="482">
        <v>1</v>
      </c>
    </row>
    <row r="422" spans="1:2">
      <c r="A422" t="s">
        <v>926</v>
      </c>
      <c r="B422" s="482">
        <v>2</v>
      </c>
    </row>
    <row r="423" spans="1:2">
      <c r="A423" t="s">
        <v>927</v>
      </c>
      <c r="B423" s="482">
        <v>2</v>
      </c>
    </row>
    <row r="424" spans="1:2">
      <c r="A424" t="s">
        <v>928</v>
      </c>
      <c r="B424" s="482">
        <v>1</v>
      </c>
    </row>
    <row r="425" spans="1:2">
      <c r="A425" t="s">
        <v>929</v>
      </c>
      <c r="B425" s="482">
        <v>1</v>
      </c>
    </row>
    <row r="426" spans="1:2">
      <c r="A426" t="s">
        <v>930</v>
      </c>
      <c r="B426" s="482">
        <v>1</v>
      </c>
    </row>
    <row r="427" spans="1:2">
      <c r="A427" t="s">
        <v>931</v>
      </c>
      <c r="B427" s="482">
        <v>1</v>
      </c>
    </row>
    <row r="428" spans="1:2">
      <c r="A428" t="s">
        <v>932</v>
      </c>
      <c r="B428" s="482">
        <v>1</v>
      </c>
    </row>
    <row r="429" spans="1:2">
      <c r="A429" t="s">
        <v>933</v>
      </c>
      <c r="B429" s="482">
        <v>1</v>
      </c>
    </row>
    <row r="430" spans="1:2">
      <c r="A430" t="s">
        <v>934</v>
      </c>
      <c r="B430" s="482">
        <v>1</v>
      </c>
    </row>
    <row r="431" spans="1:2">
      <c r="A431" t="s">
        <v>935</v>
      </c>
      <c r="B431" s="482">
        <v>1</v>
      </c>
    </row>
    <row r="432" spans="1:2">
      <c r="A432" t="s">
        <v>936</v>
      </c>
      <c r="B432" s="482">
        <v>1</v>
      </c>
    </row>
    <row r="433" spans="1:2">
      <c r="A433" t="s">
        <v>937</v>
      </c>
      <c r="B433" s="482">
        <v>1</v>
      </c>
    </row>
    <row r="434" spans="1:2">
      <c r="A434" t="s">
        <v>2140</v>
      </c>
      <c r="B434" s="482">
        <v>1</v>
      </c>
    </row>
    <row r="435" spans="1:2">
      <c r="A435" t="s">
        <v>2141</v>
      </c>
      <c r="B435" s="482">
        <v>1</v>
      </c>
    </row>
    <row r="436" spans="1:2">
      <c r="A436" t="s">
        <v>2142</v>
      </c>
      <c r="B436" s="482">
        <v>1</v>
      </c>
    </row>
    <row r="437" spans="1:2">
      <c r="A437" t="s">
        <v>2143</v>
      </c>
      <c r="B437" s="482">
        <v>1</v>
      </c>
    </row>
    <row r="438" spans="1:2">
      <c r="A438" t="s">
        <v>2446</v>
      </c>
      <c r="B438" s="482">
        <v>2</v>
      </c>
    </row>
    <row r="439" spans="1:2">
      <c r="A439" t="s">
        <v>938</v>
      </c>
      <c r="B439" s="482">
        <v>1</v>
      </c>
    </row>
    <row r="440" spans="1:2">
      <c r="A440" t="s">
        <v>939</v>
      </c>
      <c r="B440" s="482">
        <v>1</v>
      </c>
    </row>
    <row r="441" spans="1:2">
      <c r="A441" t="s">
        <v>940</v>
      </c>
      <c r="B441" s="482">
        <v>1</v>
      </c>
    </row>
    <row r="442" spans="1:2">
      <c r="A442" t="s">
        <v>941</v>
      </c>
      <c r="B442" s="482">
        <v>1</v>
      </c>
    </row>
    <row r="443" spans="1:2">
      <c r="A443" t="s">
        <v>942</v>
      </c>
      <c r="B443" s="482">
        <v>1</v>
      </c>
    </row>
    <row r="444" spans="1:2">
      <c r="A444" t="s">
        <v>943</v>
      </c>
      <c r="B444" s="482">
        <v>1</v>
      </c>
    </row>
    <row r="445" spans="1:2">
      <c r="A445" t="s">
        <v>944</v>
      </c>
      <c r="B445" s="482">
        <v>1</v>
      </c>
    </row>
    <row r="446" spans="1:2">
      <c r="A446" t="s">
        <v>945</v>
      </c>
      <c r="B446" s="482">
        <v>1</v>
      </c>
    </row>
    <row r="447" spans="1:2">
      <c r="A447" t="s">
        <v>946</v>
      </c>
      <c r="B447" s="482">
        <v>1</v>
      </c>
    </row>
    <row r="448" spans="1:2">
      <c r="A448" t="s">
        <v>947</v>
      </c>
      <c r="B448" s="482">
        <v>1</v>
      </c>
    </row>
    <row r="449" spans="1:2">
      <c r="A449" t="s">
        <v>948</v>
      </c>
      <c r="B449" s="482">
        <v>1</v>
      </c>
    </row>
    <row r="450" spans="1:2">
      <c r="A450" t="s">
        <v>949</v>
      </c>
      <c r="B450" s="482">
        <v>1</v>
      </c>
    </row>
    <row r="451" spans="1:2">
      <c r="A451" t="s">
        <v>950</v>
      </c>
      <c r="B451" s="482">
        <v>1</v>
      </c>
    </row>
    <row r="452" spans="1:2">
      <c r="A452" t="s">
        <v>951</v>
      </c>
      <c r="B452" s="482">
        <v>1</v>
      </c>
    </row>
    <row r="453" spans="1:2">
      <c r="A453" t="s">
        <v>2144</v>
      </c>
      <c r="B453" s="482">
        <v>1</v>
      </c>
    </row>
    <row r="454" spans="1:2">
      <c r="A454" t="s">
        <v>2145</v>
      </c>
      <c r="B454" s="482">
        <v>1</v>
      </c>
    </row>
    <row r="455" spans="1:2">
      <c r="A455" t="s">
        <v>2146</v>
      </c>
      <c r="B455" s="482">
        <v>1</v>
      </c>
    </row>
    <row r="456" spans="1:2">
      <c r="A456" t="s">
        <v>2147</v>
      </c>
      <c r="B456" s="482">
        <v>1</v>
      </c>
    </row>
    <row r="457" spans="1:2">
      <c r="A457" t="s">
        <v>2148</v>
      </c>
      <c r="B457" s="482">
        <v>1</v>
      </c>
    </row>
    <row r="458" spans="1:2">
      <c r="A458" t="s">
        <v>2149</v>
      </c>
      <c r="B458" s="482">
        <v>1</v>
      </c>
    </row>
    <row r="459" spans="1:2">
      <c r="A459" t="s">
        <v>952</v>
      </c>
      <c r="B459" s="482">
        <v>7</v>
      </c>
    </row>
    <row r="460" spans="1:2">
      <c r="A460" t="s">
        <v>2447</v>
      </c>
      <c r="B460" s="482">
        <v>2</v>
      </c>
    </row>
    <row r="461" spans="1:2">
      <c r="A461" t="s">
        <v>953</v>
      </c>
      <c r="B461" s="482">
        <v>1</v>
      </c>
    </row>
    <row r="462" spans="1:2">
      <c r="A462" t="s">
        <v>954</v>
      </c>
      <c r="B462" s="482">
        <v>1</v>
      </c>
    </row>
    <row r="463" spans="1:2">
      <c r="A463" t="s">
        <v>955</v>
      </c>
      <c r="B463" s="482">
        <v>7</v>
      </c>
    </row>
    <row r="464" spans="1:2">
      <c r="A464" t="s">
        <v>956</v>
      </c>
      <c r="B464" s="482">
        <v>7</v>
      </c>
    </row>
    <row r="465" spans="1:2">
      <c r="A465" t="s">
        <v>957</v>
      </c>
      <c r="B465" s="482">
        <v>1</v>
      </c>
    </row>
    <row r="466" spans="1:2">
      <c r="A466" t="s">
        <v>958</v>
      </c>
      <c r="B466" s="482">
        <v>1</v>
      </c>
    </row>
    <row r="467" spans="1:2">
      <c r="A467" t="s">
        <v>959</v>
      </c>
      <c r="B467" s="482">
        <v>1</v>
      </c>
    </row>
    <row r="468" spans="1:2">
      <c r="A468" t="s">
        <v>960</v>
      </c>
      <c r="B468" s="482">
        <v>1</v>
      </c>
    </row>
    <row r="469" spans="1:2">
      <c r="A469" t="s">
        <v>961</v>
      </c>
      <c r="B469" s="482">
        <v>7</v>
      </c>
    </row>
    <row r="470" spans="1:2">
      <c r="A470" t="s">
        <v>962</v>
      </c>
      <c r="B470" s="482">
        <v>7</v>
      </c>
    </row>
    <row r="471" spans="1:2">
      <c r="A471" t="s">
        <v>963</v>
      </c>
      <c r="B471" s="482">
        <v>2</v>
      </c>
    </row>
    <row r="472" spans="1:2">
      <c r="A472" t="s">
        <v>964</v>
      </c>
      <c r="B472" s="482">
        <v>2</v>
      </c>
    </row>
    <row r="473" spans="1:2">
      <c r="A473" t="s">
        <v>965</v>
      </c>
      <c r="B473" s="482">
        <v>2</v>
      </c>
    </row>
    <row r="474" spans="1:2">
      <c r="A474" t="s">
        <v>2150</v>
      </c>
      <c r="B474" s="482">
        <v>1</v>
      </c>
    </row>
    <row r="475" spans="1:2">
      <c r="A475" t="s">
        <v>2151</v>
      </c>
      <c r="B475" s="482">
        <v>1</v>
      </c>
    </row>
    <row r="476" spans="1:2">
      <c r="A476" t="s">
        <v>2152</v>
      </c>
      <c r="B476" s="482">
        <v>1</v>
      </c>
    </row>
    <row r="477" spans="1:2">
      <c r="A477" t="s">
        <v>2153</v>
      </c>
      <c r="B477" s="482">
        <v>1</v>
      </c>
    </row>
    <row r="478" spans="1:2">
      <c r="A478" t="s">
        <v>966</v>
      </c>
      <c r="B478" s="482">
        <v>1</v>
      </c>
    </row>
    <row r="479" spans="1:2">
      <c r="A479" t="s">
        <v>967</v>
      </c>
      <c r="B479" s="482">
        <v>2</v>
      </c>
    </row>
    <row r="480" spans="1:2">
      <c r="A480" t="s">
        <v>968</v>
      </c>
      <c r="B480" s="482">
        <v>2</v>
      </c>
    </row>
    <row r="481" spans="1:2">
      <c r="A481" t="s">
        <v>969</v>
      </c>
      <c r="B481" s="482">
        <v>2</v>
      </c>
    </row>
    <row r="482" spans="1:2">
      <c r="A482" t="s">
        <v>2154</v>
      </c>
      <c r="B482" s="482">
        <v>1</v>
      </c>
    </row>
    <row r="483" spans="1:2">
      <c r="A483" t="s">
        <v>2155</v>
      </c>
      <c r="B483" s="482">
        <v>1</v>
      </c>
    </row>
    <row r="484" spans="1:2">
      <c r="A484" t="s">
        <v>2156</v>
      </c>
      <c r="B484" s="482">
        <v>1</v>
      </c>
    </row>
    <row r="485" spans="1:2">
      <c r="A485" t="s">
        <v>2157</v>
      </c>
      <c r="B485" s="482">
        <v>1</v>
      </c>
    </row>
    <row r="486" spans="1:2">
      <c r="A486" t="s">
        <v>2158</v>
      </c>
      <c r="B486" s="482">
        <v>1</v>
      </c>
    </row>
    <row r="487" spans="1:2">
      <c r="A487" t="s">
        <v>2159</v>
      </c>
      <c r="B487" s="482">
        <v>1</v>
      </c>
    </row>
    <row r="488" spans="1:2">
      <c r="A488" t="s">
        <v>970</v>
      </c>
      <c r="B488" s="482">
        <v>1</v>
      </c>
    </row>
    <row r="489" spans="1:2">
      <c r="A489" t="s">
        <v>971</v>
      </c>
      <c r="B489" s="482">
        <v>1</v>
      </c>
    </row>
    <row r="490" spans="1:2">
      <c r="A490" t="s">
        <v>972</v>
      </c>
      <c r="B490" s="482">
        <v>1</v>
      </c>
    </row>
    <row r="491" spans="1:2">
      <c r="A491" t="s">
        <v>973</v>
      </c>
      <c r="B491" s="482">
        <v>1</v>
      </c>
    </row>
    <row r="492" spans="1:2">
      <c r="A492" t="s">
        <v>974</v>
      </c>
      <c r="B492" s="482">
        <v>1</v>
      </c>
    </row>
    <row r="493" spans="1:2">
      <c r="A493" t="s">
        <v>975</v>
      </c>
      <c r="B493" s="482">
        <v>1</v>
      </c>
    </row>
    <row r="494" spans="1:2">
      <c r="A494" t="s">
        <v>976</v>
      </c>
      <c r="B494" s="482">
        <v>1</v>
      </c>
    </row>
    <row r="495" spans="1:2">
      <c r="A495" t="s">
        <v>977</v>
      </c>
      <c r="B495" s="482">
        <v>1</v>
      </c>
    </row>
    <row r="496" spans="1:2">
      <c r="A496" t="s">
        <v>978</v>
      </c>
      <c r="B496" s="482">
        <v>1</v>
      </c>
    </row>
    <row r="497" spans="1:2">
      <c r="A497" t="s">
        <v>979</v>
      </c>
      <c r="B497" s="482">
        <v>1</v>
      </c>
    </row>
    <row r="498" spans="1:2">
      <c r="A498" t="s">
        <v>980</v>
      </c>
      <c r="B498" s="482">
        <v>1</v>
      </c>
    </row>
    <row r="499" spans="1:2">
      <c r="A499" t="s">
        <v>981</v>
      </c>
      <c r="B499" s="482">
        <v>1</v>
      </c>
    </row>
    <row r="500" spans="1:2">
      <c r="A500" t="s">
        <v>982</v>
      </c>
      <c r="B500" s="482">
        <v>1</v>
      </c>
    </row>
    <row r="501" spans="1:2">
      <c r="A501" t="s">
        <v>983</v>
      </c>
      <c r="B501" s="482">
        <v>1</v>
      </c>
    </row>
    <row r="502" spans="1:2">
      <c r="A502" t="s">
        <v>984</v>
      </c>
      <c r="B502" s="482">
        <v>1</v>
      </c>
    </row>
    <row r="503" spans="1:2">
      <c r="A503" t="s">
        <v>985</v>
      </c>
      <c r="B503" s="482">
        <v>1</v>
      </c>
    </row>
    <row r="504" spans="1:2">
      <c r="A504" t="s">
        <v>986</v>
      </c>
      <c r="B504" s="482">
        <v>1</v>
      </c>
    </row>
    <row r="505" spans="1:2">
      <c r="A505" t="s">
        <v>2086</v>
      </c>
      <c r="B505" s="482">
        <v>7</v>
      </c>
    </row>
    <row r="506" spans="1:2">
      <c r="A506" t="s">
        <v>2087</v>
      </c>
      <c r="B506" s="482">
        <v>7</v>
      </c>
    </row>
    <row r="507" spans="1:2">
      <c r="A507" t="s">
        <v>2088</v>
      </c>
      <c r="B507" s="482">
        <v>7</v>
      </c>
    </row>
    <row r="508" spans="1:2">
      <c r="A508" t="s">
        <v>2089</v>
      </c>
      <c r="B508" s="482">
        <v>7</v>
      </c>
    </row>
    <row r="509" spans="1:2">
      <c r="A509" t="s">
        <v>2090</v>
      </c>
      <c r="B509" s="482">
        <v>7</v>
      </c>
    </row>
    <row r="510" spans="1:2">
      <c r="A510" t="s">
        <v>2091</v>
      </c>
      <c r="B510" s="482">
        <v>7</v>
      </c>
    </row>
    <row r="511" spans="1:2">
      <c r="A511" t="s">
        <v>2428</v>
      </c>
      <c r="B511" s="482">
        <v>7</v>
      </c>
    </row>
    <row r="512" spans="1:2">
      <c r="A512" t="s">
        <v>2092</v>
      </c>
      <c r="B512" s="482">
        <v>7</v>
      </c>
    </row>
    <row r="513" spans="1:2">
      <c r="A513" t="s">
        <v>2093</v>
      </c>
      <c r="B513" s="482">
        <v>7</v>
      </c>
    </row>
    <row r="514" spans="1:2">
      <c r="A514" t="s">
        <v>2094</v>
      </c>
      <c r="B514" s="482">
        <v>7</v>
      </c>
    </row>
    <row r="515" spans="1:2">
      <c r="A515" t="s">
        <v>2095</v>
      </c>
      <c r="B515" s="482">
        <v>7</v>
      </c>
    </row>
    <row r="516" spans="1:2">
      <c r="A516" t="s">
        <v>2096</v>
      </c>
      <c r="B516" s="482">
        <v>7</v>
      </c>
    </row>
    <row r="517" spans="1:2">
      <c r="A517" t="s">
        <v>2097</v>
      </c>
      <c r="B517" s="482">
        <v>7</v>
      </c>
    </row>
    <row r="518" spans="1:2">
      <c r="A518" t="s">
        <v>2098</v>
      </c>
      <c r="B518" s="482">
        <v>0</v>
      </c>
    </row>
    <row r="519" spans="1:2">
      <c r="A519" t="s">
        <v>2099</v>
      </c>
      <c r="B519" s="482">
        <v>0</v>
      </c>
    </row>
    <row r="520" spans="1:2">
      <c r="A520" t="s">
        <v>2100</v>
      </c>
      <c r="B520" s="482">
        <v>7</v>
      </c>
    </row>
    <row r="521" spans="1:2">
      <c r="A521" t="s">
        <v>2426</v>
      </c>
      <c r="B521" s="482">
        <v>3</v>
      </c>
    </row>
    <row r="522" spans="1:2">
      <c r="A522" t="s">
        <v>2101</v>
      </c>
      <c r="B522" s="482">
        <v>7</v>
      </c>
    </row>
    <row r="523" spans="1:2">
      <c r="A523" t="s">
        <v>2410</v>
      </c>
      <c r="B523" s="482">
        <v>7</v>
      </c>
    </row>
    <row r="524" spans="1:2">
      <c r="A524" t="s">
        <v>2411</v>
      </c>
      <c r="B524" s="482">
        <v>7</v>
      </c>
    </row>
    <row r="525" spans="1:2">
      <c r="A525" t="s">
        <v>2103</v>
      </c>
      <c r="B525" s="482">
        <v>7</v>
      </c>
    </row>
    <row r="526" spans="1:2">
      <c r="A526" t="s">
        <v>2104</v>
      </c>
      <c r="B526" s="482">
        <v>7</v>
      </c>
    </row>
    <row r="527" spans="1:2">
      <c r="A527" t="s">
        <v>2417</v>
      </c>
      <c r="B527" s="482">
        <v>7</v>
      </c>
    </row>
    <row r="528" spans="1:2">
      <c r="A528" t="s">
        <v>2412</v>
      </c>
      <c r="B528" s="482">
        <v>7</v>
      </c>
    </row>
    <row r="529" spans="1:2">
      <c r="A529" t="s">
        <v>2105</v>
      </c>
      <c r="B529" s="482">
        <v>7</v>
      </c>
    </row>
    <row r="530" spans="1:2">
      <c r="A530" t="s">
        <v>2413</v>
      </c>
      <c r="B530" s="482">
        <v>7</v>
      </c>
    </row>
    <row r="531" spans="1:2">
      <c r="A531" t="s">
        <v>2106</v>
      </c>
      <c r="B531" s="482">
        <v>7</v>
      </c>
    </row>
    <row r="532" spans="1:2">
      <c r="A532" t="s">
        <v>2107</v>
      </c>
      <c r="B532" s="482">
        <v>7</v>
      </c>
    </row>
    <row r="533" spans="1:2">
      <c r="A533" t="s">
        <v>2108</v>
      </c>
      <c r="B533" s="482">
        <v>7</v>
      </c>
    </row>
    <row r="534" spans="1:2">
      <c r="A534" t="s">
        <v>2109</v>
      </c>
      <c r="B534" s="482">
        <v>7</v>
      </c>
    </row>
    <row r="535" spans="1:2">
      <c r="A535" t="s">
        <v>2110</v>
      </c>
      <c r="B535" s="482">
        <v>7</v>
      </c>
    </row>
    <row r="536" spans="1:2">
      <c r="A536" t="s">
        <v>2111</v>
      </c>
      <c r="B536" s="482">
        <v>7</v>
      </c>
    </row>
    <row r="537" spans="1:2">
      <c r="A537" t="s">
        <v>2112</v>
      </c>
      <c r="B537" s="482">
        <v>7</v>
      </c>
    </row>
    <row r="538" spans="1:2">
      <c r="A538" t="s">
        <v>2113</v>
      </c>
      <c r="B538" s="482">
        <v>7</v>
      </c>
    </row>
    <row r="539" spans="1:2">
      <c r="A539" t="s">
        <v>2114</v>
      </c>
      <c r="B539" s="482">
        <v>7</v>
      </c>
    </row>
    <row r="540" spans="1:2">
      <c r="A540" t="s">
        <v>2115</v>
      </c>
      <c r="B540" s="482">
        <v>7</v>
      </c>
    </row>
    <row r="541" spans="1:2">
      <c r="A541" t="s">
        <v>2116</v>
      </c>
      <c r="B541" s="482">
        <v>7</v>
      </c>
    </row>
    <row r="542" spans="1:2">
      <c r="A542" t="s">
        <v>2117</v>
      </c>
      <c r="B542" s="482">
        <v>7</v>
      </c>
    </row>
    <row r="543" spans="1:2">
      <c r="A543" t="s">
        <v>2118</v>
      </c>
      <c r="B543" s="482">
        <v>7</v>
      </c>
    </row>
    <row r="544" spans="1:2">
      <c r="A544" t="s">
        <v>2381</v>
      </c>
      <c r="B544" s="482">
        <v>0</v>
      </c>
    </row>
    <row r="545" spans="1:2">
      <c r="A545" t="s">
        <v>2119</v>
      </c>
      <c r="B545" s="482">
        <v>7</v>
      </c>
    </row>
    <row r="546" spans="1:2">
      <c r="A546" t="s">
        <v>2120</v>
      </c>
      <c r="B546" s="482">
        <v>7</v>
      </c>
    </row>
    <row r="547" spans="1:2">
      <c r="A547" t="s">
        <v>2121</v>
      </c>
      <c r="B547" s="482">
        <v>7</v>
      </c>
    </row>
    <row r="548" spans="1:2">
      <c r="A548" t="s">
        <v>2122</v>
      </c>
      <c r="B548" s="482">
        <v>7</v>
      </c>
    </row>
    <row r="549" spans="1:2">
      <c r="A549" t="s">
        <v>2123</v>
      </c>
      <c r="B549" s="482">
        <v>7</v>
      </c>
    </row>
    <row r="550" spans="1:2">
      <c r="A550" t="s">
        <v>2124</v>
      </c>
      <c r="B550" s="482">
        <v>7</v>
      </c>
    </row>
    <row r="551" spans="1:2">
      <c r="A551" t="s">
        <v>2424</v>
      </c>
      <c r="B551" s="482">
        <v>7</v>
      </c>
    </row>
    <row r="552" spans="1:2">
      <c r="A552" t="s">
        <v>2125</v>
      </c>
      <c r="B552" s="482">
        <v>7</v>
      </c>
    </row>
    <row r="553" spans="1:2">
      <c r="A553" t="s">
        <v>2126</v>
      </c>
      <c r="B553" s="482">
        <v>7</v>
      </c>
    </row>
    <row r="554" spans="1:2">
      <c r="A554" t="s">
        <v>2408</v>
      </c>
      <c r="B554" s="482">
        <v>7</v>
      </c>
    </row>
    <row r="555" spans="1:2">
      <c r="A555" t="s">
        <v>2415</v>
      </c>
      <c r="B555" s="482">
        <v>7</v>
      </c>
    </row>
    <row r="556" spans="1:2">
      <c r="A556" t="s">
        <v>2127</v>
      </c>
      <c r="B556" s="482">
        <v>7</v>
      </c>
    </row>
    <row r="557" spans="1:2">
      <c r="A557" t="s">
        <v>2128</v>
      </c>
      <c r="B557" s="482">
        <v>7</v>
      </c>
    </row>
    <row r="558" spans="1:2">
      <c r="A558" t="s">
        <v>2382</v>
      </c>
      <c r="B558" s="482">
        <v>0</v>
      </c>
    </row>
    <row r="559" spans="1:2">
      <c r="A559" t="s">
        <v>2129</v>
      </c>
      <c r="B559" s="482">
        <v>7</v>
      </c>
    </row>
    <row r="560" spans="1:2">
      <c r="A560" t="s">
        <v>2130</v>
      </c>
      <c r="B560" s="482">
        <v>7</v>
      </c>
    </row>
    <row r="561" spans="1:2">
      <c r="A561" t="s">
        <v>2131</v>
      </c>
      <c r="B561" s="482">
        <v>7</v>
      </c>
    </row>
    <row r="562" spans="1:2">
      <c r="A562" t="s">
        <v>2132</v>
      </c>
      <c r="B562" s="482">
        <v>7</v>
      </c>
    </row>
    <row r="563" spans="1:2">
      <c r="A563" t="s">
        <v>2383</v>
      </c>
      <c r="B563" s="482">
        <v>0</v>
      </c>
    </row>
    <row r="564" spans="1:2">
      <c r="A564" t="s">
        <v>2133</v>
      </c>
      <c r="B564" s="482">
        <v>7</v>
      </c>
    </row>
    <row r="565" spans="1:2">
      <c r="A565" t="s">
        <v>2419</v>
      </c>
      <c r="B565" s="482">
        <v>7</v>
      </c>
    </row>
    <row r="566" spans="1:2">
      <c r="A566" t="s">
        <v>2134</v>
      </c>
      <c r="B566" s="482">
        <v>7</v>
      </c>
    </row>
    <row r="567" spans="1:2">
      <c r="A567" t="s">
        <v>2135</v>
      </c>
      <c r="B567" s="482">
        <v>7</v>
      </c>
    </row>
    <row r="568" spans="1:2">
      <c r="A568" t="s">
        <v>2136</v>
      </c>
      <c r="B568" s="482">
        <v>7</v>
      </c>
    </row>
    <row r="569" spans="1:2">
      <c r="A569" t="s">
        <v>2425</v>
      </c>
      <c r="B569" s="482">
        <v>7</v>
      </c>
    </row>
    <row r="570" spans="1:2">
      <c r="A570" t="s">
        <v>2137</v>
      </c>
      <c r="B570" s="482">
        <v>7</v>
      </c>
    </row>
    <row r="571" spans="1:2">
      <c r="A571" t="s">
        <v>2138</v>
      </c>
      <c r="B571" s="482">
        <v>7</v>
      </c>
    </row>
    <row r="572" spans="1:2">
      <c r="A572" t="s">
        <v>2139</v>
      </c>
      <c r="B572" s="482">
        <v>7</v>
      </c>
    </row>
    <row r="573" spans="1:2">
      <c r="A573" t="s">
        <v>987</v>
      </c>
      <c r="B573" s="482">
        <v>1</v>
      </c>
    </row>
    <row r="574" spans="1:2">
      <c r="A574" t="s">
        <v>988</v>
      </c>
      <c r="B574" s="482">
        <v>0</v>
      </c>
    </row>
    <row r="575" spans="1:2">
      <c r="A575" t="s">
        <v>989</v>
      </c>
      <c r="B575" s="482">
        <v>1</v>
      </c>
    </row>
    <row r="576" spans="1:2">
      <c r="A576" t="s">
        <v>990</v>
      </c>
      <c r="B576" s="482">
        <v>1</v>
      </c>
    </row>
    <row r="577" spans="1:2">
      <c r="A577" t="s">
        <v>991</v>
      </c>
      <c r="B577" s="482">
        <v>1</v>
      </c>
    </row>
    <row r="578" spans="1:2">
      <c r="A578" t="s">
        <v>992</v>
      </c>
      <c r="B578" s="482">
        <v>1</v>
      </c>
    </row>
    <row r="579" spans="1:2">
      <c r="A579" t="s">
        <v>993</v>
      </c>
      <c r="B579" s="482">
        <v>1</v>
      </c>
    </row>
    <row r="580" spans="1:2">
      <c r="A580" t="s">
        <v>994</v>
      </c>
      <c r="B580" s="482">
        <v>1</v>
      </c>
    </row>
    <row r="581" spans="1:2">
      <c r="A581" t="s">
        <v>995</v>
      </c>
      <c r="B581" s="482">
        <v>1</v>
      </c>
    </row>
    <row r="582" spans="1:2">
      <c r="A582" t="s">
        <v>996</v>
      </c>
      <c r="B582" s="482">
        <v>1</v>
      </c>
    </row>
    <row r="583" spans="1:2">
      <c r="A583" t="s">
        <v>997</v>
      </c>
      <c r="B583" s="482">
        <v>1</v>
      </c>
    </row>
    <row r="584" spans="1:2">
      <c r="A584" t="s">
        <v>998</v>
      </c>
      <c r="B584" s="482">
        <v>1</v>
      </c>
    </row>
    <row r="585" spans="1:2">
      <c r="A585" t="s">
        <v>999</v>
      </c>
      <c r="B585" s="482">
        <v>1</v>
      </c>
    </row>
    <row r="586" spans="1:2">
      <c r="A586" t="s">
        <v>1000</v>
      </c>
      <c r="B586" s="482">
        <v>1</v>
      </c>
    </row>
    <row r="587" spans="1:2">
      <c r="A587" t="s">
        <v>1001</v>
      </c>
      <c r="B587" s="482">
        <v>1</v>
      </c>
    </row>
    <row r="588" spans="1:2">
      <c r="A588" t="s">
        <v>1002</v>
      </c>
      <c r="B588" s="482">
        <v>1</v>
      </c>
    </row>
    <row r="589" spans="1:2">
      <c r="A589" t="s">
        <v>1003</v>
      </c>
      <c r="B589" s="482">
        <v>0</v>
      </c>
    </row>
    <row r="590" spans="1:2">
      <c r="A590" t="s">
        <v>1004</v>
      </c>
      <c r="B590" s="482">
        <v>1</v>
      </c>
    </row>
    <row r="591" spans="1:2">
      <c r="A591" t="s">
        <v>1005</v>
      </c>
      <c r="B591" s="482">
        <v>1</v>
      </c>
    </row>
    <row r="592" spans="1:2">
      <c r="A592" t="s">
        <v>1006</v>
      </c>
      <c r="B592" s="482">
        <v>1</v>
      </c>
    </row>
    <row r="593" spans="1:2">
      <c r="A593" t="s">
        <v>1007</v>
      </c>
      <c r="B593" s="482">
        <v>1</v>
      </c>
    </row>
    <row r="594" spans="1:2">
      <c r="A594" t="s">
        <v>1008</v>
      </c>
      <c r="B594" s="482">
        <v>0</v>
      </c>
    </row>
    <row r="595" spans="1:2">
      <c r="A595" t="s">
        <v>1009</v>
      </c>
      <c r="B595" s="482">
        <v>0</v>
      </c>
    </row>
    <row r="596" spans="1:2">
      <c r="A596" t="s">
        <v>1010</v>
      </c>
      <c r="B596" s="482">
        <v>1</v>
      </c>
    </row>
    <row r="597" spans="1:2">
      <c r="A597" t="s">
        <v>1011</v>
      </c>
      <c r="B597" s="482">
        <v>0</v>
      </c>
    </row>
    <row r="598" spans="1:2">
      <c r="A598" t="s">
        <v>1012</v>
      </c>
      <c r="B598" s="482">
        <v>1</v>
      </c>
    </row>
    <row r="599" spans="1:2">
      <c r="A599" t="s">
        <v>1013</v>
      </c>
      <c r="B599" s="482">
        <v>1</v>
      </c>
    </row>
    <row r="600" spans="1:2">
      <c r="A600" t="s">
        <v>1014</v>
      </c>
      <c r="B600" s="482">
        <v>1</v>
      </c>
    </row>
    <row r="601" spans="1:2">
      <c r="A601" t="s">
        <v>1015</v>
      </c>
      <c r="B601" s="482">
        <v>1</v>
      </c>
    </row>
    <row r="602" spans="1:2">
      <c r="A602" t="s">
        <v>1016</v>
      </c>
      <c r="B602" s="482">
        <v>1</v>
      </c>
    </row>
    <row r="603" spans="1:2">
      <c r="A603" t="s">
        <v>1017</v>
      </c>
      <c r="B603" s="482">
        <v>1</v>
      </c>
    </row>
    <row r="604" spans="1:2">
      <c r="A604" t="s">
        <v>1018</v>
      </c>
      <c r="B604" s="482">
        <v>1</v>
      </c>
    </row>
    <row r="605" spans="1:2">
      <c r="A605" t="s">
        <v>1019</v>
      </c>
      <c r="B605" s="482">
        <v>1</v>
      </c>
    </row>
    <row r="606" spans="1:2">
      <c r="A606" t="s">
        <v>1020</v>
      </c>
      <c r="B606" s="482">
        <v>1</v>
      </c>
    </row>
    <row r="607" spans="1:2">
      <c r="A607" t="s">
        <v>2440</v>
      </c>
      <c r="B607" s="482">
        <v>1</v>
      </c>
    </row>
    <row r="608" spans="1:2">
      <c r="A608" t="s">
        <v>1021</v>
      </c>
      <c r="B608" s="482">
        <v>1</v>
      </c>
    </row>
    <row r="609" spans="1:2">
      <c r="A609" t="s">
        <v>1022</v>
      </c>
      <c r="B609" s="482">
        <v>1</v>
      </c>
    </row>
    <row r="610" spans="1:2">
      <c r="A610" t="s">
        <v>1023</v>
      </c>
      <c r="B610" s="482">
        <v>1</v>
      </c>
    </row>
    <row r="611" spans="1:2">
      <c r="A611" t="s">
        <v>1024</v>
      </c>
      <c r="B611" s="482">
        <v>1</v>
      </c>
    </row>
    <row r="612" spans="1:2">
      <c r="A612" t="s">
        <v>1025</v>
      </c>
      <c r="B612" s="482">
        <v>1</v>
      </c>
    </row>
    <row r="613" spans="1:2">
      <c r="A613" t="s">
        <v>1026</v>
      </c>
      <c r="B613" s="482">
        <v>1</v>
      </c>
    </row>
    <row r="614" spans="1:2">
      <c r="A614" t="s">
        <v>1027</v>
      </c>
      <c r="B614" s="482">
        <v>2</v>
      </c>
    </row>
    <row r="615" spans="1:2">
      <c r="A615" t="s">
        <v>1028</v>
      </c>
      <c r="B615" s="482">
        <v>1</v>
      </c>
    </row>
    <row r="616" spans="1:2">
      <c r="A616" t="s">
        <v>1029</v>
      </c>
      <c r="B616" s="482">
        <v>1</v>
      </c>
    </row>
    <row r="617" spans="1:2">
      <c r="A617" t="s">
        <v>1030</v>
      </c>
      <c r="B617" s="482">
        <v>1</v>
      </c>
    </row>
    <row r="618" spans="1:2">
      <c r="A618" t="s">
        <v>1964</v>
      </c>
      <c r="B618" s="482">
        <v>1</v>
      </c>
    </row>
    <row r="619" spans="1:2">
      <c r="A619" t="s">
        <v>1031</v>
      </c>
      <c r="B619" s="482">
        <v>1</v>
      </c>
    </row>
    <row r="620" spans="1:2">
      <c r="A620" t="s">
        <v>1032</v>
      </c>
      <c r="B620" s="482">
        <v>1</v>
      </c>
    </row>
    <row r="621" spans="1:2">
      <c r="A621" t="s">
        <v>1033</v>
      </c>
      <c r="B621" s="482">
        <v>1</v>
      </c>
    </row>
    <row r="622" spans="1:2">
      <c r="A622" t="s">
        <v>1034</v>
      </c>
      <c r="B622" s="482">
        <v>1</v>
      </c>
    </row>
    <row r="623" spans="1:2">
      <c r="A623" t="s">
        <v>1035</v>
      </c>
      <c r="B623" s="482">
        <v>1</v>
      </c>
    </row>
    <row r="624" spans="1:2">
      <c r="A624" t="s">
        <v>1036</v>
      </c>
      <c r="B624" s="482">
        <v>1</v>
      </c>
    </row>
    <row r="625" spans="1:2">
      <c r="A625" t="s">
        <v>1037</v>
      </c>
      <c r="B625" s="482">
        <v>1</v>
      </c>
    </row>
    <row r="626" spans="1:2">
      <c r="A626" t="s">
        <v>1038</v>
      </c>
      <c r="B626" s="482">
        <v>1</v>
      </c>
    </row>
    <row r="627" spans="1:2">
      <c r="A627" t="s">
        <v>1039</v>
      </c>
      <c r="B627" s="482">
        <v>1</v>
      </c>
    </row>
    <row r="628" spans="1:2">
      <c r="A628" t="s">
        <v>1040</v>
      </c>
      <c r="B628" s="482">
        <v>5</v>
      </c>
    </row>
    <row r="629" spans="1:2">
      <c r="A629" t="s">
        <v>1041</v>
      </c>
      <c r="B629" s="482">
        <v>1</v>
      </c>
    </row>
    <row r="630" spans="1:2">
      <c r="A630" t="s">
        <v>1042</v>
      </c>
      <c r="B630" s="482">
        <v>5</v>
      </c>
    </row>
    <row r="631" spans="1:2">
      <c r="A631" t="s">
        <v>1043</v>
      </c>
      <c r="B631" s="482">
        <v>2</v>
      </c>
    </row>
    <row r="632" spans="1:2">
      <c r="A632" t="s">
        <v>1044</v>
      </c>
      <c r="B632" s="482">
        <v>1</v>
      </c>
    </row>
    <row r="633" spans="1:2">
      <c r="A633" t="s">
        <v>1045</v>
      </c>
      <c r="B633" s="482">
        <v>1</v>
      </c>
    </row>
    <row r="634" spans="1:2">
      <c r="A634" t="s">
        <v>1046</v>
      </c>
      <c r="B634" s="482">
        <v>1</v>
      </c>
    </row>
    <row r="635" spans="1:2">
      <c r="A635" t="s">
        <v>2443</v>
      </c>
      <c r="B635" s="482">
        <v>1</v>
      </c>
    </row>
    <row r="636" spans="1:2">
      <c r="A636" t="s">
        <v>2444</v>
      </c>
      <c r="B636" s="482">
        <v>1</v>
      </c>
    </row>
    <row r="637" spans="1:2">
      <c r="A637" t="s">
        <v>1047</v>
      </c>
      <c r="B637" s="482">
        <v>1</v>
      </c>
    </row>
    <row r="638" spans="1:2">
      <c r="A638" t="s">
        <v>1048</v>
      </c>
      <c r="B638" s="482">
        <v>1</v>
      </c>
    </row>
    <row r="639" spans="1:2">
      <c r="A639" t="s">
        <v>1049</v>
      </c>
      <c r="B639" s="482">
        <v>1</v>
      </c>
    </row>
    <row r="640" spans="1:2">
      <c r="A640" t="s">
        <v>1050</v>
      </c>
      <c r="B640" s="482">
        <v>1</v>
      </c>
    </row>
    <row r="641" spans="1:2">
      <c r="A641" t="s">
        <v>1051</v>
      </c>
      <c r="B641" s="482">
        <v>1</v>
      </c>
    </row>
    <row r="642" spans="1:2">
      <c r="A642" t="s">
        <v>1052</v>
      </c>
      <c r="B642" s="482">
        <v>1</v>
      </c>
    </row>
    <row r="643" spans="1:2">
      <c r="A643" t="s">
        <v>1053</v>
      </c>
      <c r="B643" s="482">
        <v>1</v>
      </c>
    </row>
    <row r="644" spans="1:2">
      <c r="A644" t="s">
        <v>1054</v>
      </c>
      <c r="B644" s="482">
        <v>1</v>
      </c>
    </row>
    <row r="645" spans="1:2">
      <c r="A645" t="s">
        <v>1055</v>
      </c>
      <c r="B645" s="482">
        <v>1</v>
      </c>
    </row>
    <row r="646" spans="1:2">
      <c r="A646" t="s">
        <v>1056</v>
      </c>
      <c r="B646" s="482">
        <v>1</v>
      </c>
    </row>
    <row r="647" spans="1:2">
      <c r="A647" t="s">
        <v>1057</v>
      </c>
      <c r="B647" s="482">
        <v>1</v>
      </c>
    </row>
    <row r="648" spans="1:2">
      <c r="A648" t="s">
        <v>1058</v>
      </c>
      <c r="B648" s="482">
        <v>1</v>
      </c>
    </row>
    <row r="649" spans="1:2">
      <c r="A649" t="s">
        <v>1059</v>
      </c>
      <c r="B649" s="482">
        <v>1</v>
      </c>
    </row>
    <row r="650" spans="1:2">
      <c r="A650" t="s">
        <v>1060</v>
      </c>
      <c r="B650" s="482">
        <v>1</v>
      </c>
    </row>
    <row r="651" spans="1:2">
      <c r="A651" t="s">
        <v>1061</v>
      </c>
      <c r="B651" s="482">
        <v>1</v>
      </c>
    </row>
    <row r="652" spans="1:2">
      <c r="A652" t="s">
        <v>1062</v>
      </c>
      <c r="B652" s="482">
        <v>1</v>
      </c>
    </row>
    <row r="653" spans="1:2">
      <c r="A653" t="s">
        <v>1063</v>
      </c>
      <c r="B653" s="482">
        <v>1</v>
      </c>
    </row>
    <row r="654" spans="1:2">
      <c r="A654" t="s">
        <v>1064</v>
      </c>
      <c r="B654" s="482">
        <v>1</v>
      </c>
    </row>
    <row r="655" spans="1:2">
      <c r="A655" t="s">
        <v>2432</v>
      </c>
      <c r="B655" s="482">
        <v>1</v>
      </c>
    </row>
    <row r="656" spans="1:2">
      <c r="A656" t="s">
        <v>1065</v>
      </c>
      <c r="B656" s="482">
        <v>1</v>
      </c>
    </row>
    <row r="657" spans="1:2">
      <c r="A657" t="s">
        <v>1066</v>
      </c>
      <c r="B657" s="482">
        <v>1</v>
      </c>
    </row>
    <row r="658" spans="1:2">
      <c r="A658" t="s">
        <v>1067</v>
      </c>
      <c r="B658" s="482">
        <v>1</v>
      </c>
    </row>
    <row r="659" spans="1:2">
      <c r="A659" t="s">
        <v>1068</v>
      </c>
      <c r="B659" s="482">
        <v>1</v>
      </c>
    </row>
    <row r="660" spans="1:2">
      <c r="A660" t="s">
        <v>1069</v>
      </c>
      <c r="B660" s="482">
        <v>1</v>
      </c>
    </row>
    <row r="661" spans="1:2">
      <c r="A661" t="s">
        <v>1070</v>
      </c>
      <c r="B661" s="482">
        <v>1</v>
      </c>
    </row>
    <row r="662" spans="1:2">
      <c r="A662" t="s">
        <v>2445</v>
      </c>
      <c r="B662" s="482">
        <v>1</v>
      </c>
    </row>
    <row r="663" spans="1:2">
      <c r="A663" t="s">
        <v>1071</v>
      </c>
      <c r="B663" s="482">
        <v>1</v>
      </c>
    </row>
    <row r="664" spans="1:2">
      <c r="A664" t="s">
        <v>1072</v>
      </c>
      <c r="B664" s="482">
        <v>1</v>
      </c>
    </row>
    <row r="665" spans="1:2">
      <c r="A665" t="s">
        <v>1073</v>
      </c>
      <c r="B665" s="482">
        <v>1</v>
      </c>
    </row>
    <row r="666" spans="1:2">
      <c r="A666" t="s">
        <v>1074</v>
      </c>
      <c r="B666" s="482">
        <v>1</v>
      </c>
    </row>
    <row r="667" spans="1:2">
      <c r="A667" t="s">
        <v>1075</v>
      </c>
      <c r="B667" s="482">
        <v>1</v>
      </c>
    </row>
    <row r="668" spans="1:2">
      <c r="A668" t="s">
        <v>1076</v>
      </c>
      <c r="B668" s="482">
        <v>1</v>
      </c>
    </row>
    <row r="669" spans="1:2">
      <c r="A669" t="s">
        <v>1077</v>
      </c>
      <c r="B669" s="482">
        <v>1</v>
      </c>
    </row>
    <row r="670" spans="1:2">
      <c r="A670" t="s">
        <v>1078</v>
      </c>
      <c r="B670" s="482">
        <v>1</v>
      </c>
    </row>
    <row r="671" spans="1:2">
      <c r="A671" t="s">
        <v>1079</v>
      </c>
      <c r="B671" s="482">
        <v>1</v>
      </c>
    </row>
    <row r="672" spans="1:2">
      <c r="A672" t="s">
        <v>1080</v>
      </c>
      <c r="B672" s="482">
        <v>1</v>
      </c>
    </row>
    <row r="673" spans="1:2">
      <c r="A673" t="s">
        <v>1081</v>
      </c>
      <c r="B673" s="482">
        <v>1</v>
      </c>
    </row>
    <row r="674" spans="1:2">
      <c r="A674" t="s">
        <v>1082</v>
      </c>
      <c r="B674" s="482">
        <v>1</v>
      </c>
    </row>
    <row r="675" spans="1:2">
      <c r="A675" t="s">
        <v>1083</v>
      </c>
      <c r="B675" s="482">
        <v>1</v>
      </c>
    </row>
    <row r="676" spans="1:2">
      <c r="A676" t="s">
        <v>1084</v>
      </c>
      <c r="B676" s="482">
        <v>1</v>
      </c>
    </row>
    <row r="677" spans="1:2">
      <c r="A677" t="s">
        <v>1085</v>
      </c>
      <c r="B677" s="482">
        <v>1</v>
      </c>
    </row>
    <row r="678" spans="1:2">
      <c r="A678" t="s">
        <v>1086</v>
      </c>
      <c r="B678" s="482">
        <v>1</v>
      </c>
    </row>
    <row r="679" spans="1:2">
      <c r="A679" t="s">
        <v>1087</v>
      </c>
      <c r="B679" s="482">
        <v>1</v>
      </c>
    </row>
    <row r="680" spans="1:2">
      <c r="A680" t="s">
        <v>1088</v>
      </c>
      <c r="B680" s="482">
        <v>1</v>
      </c>
    </row>
    <row r="681" spans="1:2">
      <c r="A681" t="s">
        <v>1089</v>
      </c>
      <c r="B681" s="482">
        <v>1</v>
      </c>
    </row>
    <row r="682" spans="1:2">
      <c r="A682" t="s">
        <v>1090</v>
      </c>
      <c r="B682" s="482">
        <v>1</v>
      </c>
    </row>
    <row r="683" spans="1:2">
      <c r="A683" t="s">
        <v>1091</v>
      </c>
      <c r="B683" s="482">
        <v>1</v>
      </c>
    </row>
    <row r="684" spans="1:2">
      <c r="A684" t="s">
        <v>1092</v>
      </c>
      <c r="B684" s="482">
        <v>1</v>
      </c>
    </row>
    <row r="685" spans="1:2">
      <c r="A685" t="s">
        <v>1093</v>
      </c>
      <c r="B685" s="482">
        <v>1</v>
      </c>
    </row>
    <row r="686" spans="1:2">
      <c r="A686" t="s">
        <v>1094</v>
      </c>
      <c r="B686" s="482">
        <v>1</v>
      </c>
    </row>
    <row r="687" spans="1:2">
      <c r="A687" t="s">
        <v>1095</v>
      </c>
      <c r="B687" s="482">
        <v>1</v>
      </c>
    </row>
    <row r="688" spans="1:2">
      <c r="A688" t="s">
        <v>1096</v>
      </c>
      <c r="B688" s="482">
        <v>1</v>
      </c>
    </row>
    <row r="689" spans="1:2">
      <c r="A689" t="s">
        <v>1097</v>
      </c>
      <c r="B689" s="482">
        <v>0</v>
      </c>
    </row>
    <row r="690" spans="1:2">
      <c r="A690" t="s">
        <v>1098</v>
      </c>
      <c r="B690" s="482">
        <v>1</v>
      </c>
    </row>
    <row r="691" spans="1:2">
      <c r="A691" t="s">
        <v>1099</v>
      </c>
      <c r="B691" s="482">
        <v>1</v>
      </c>
    </row>
    <row r="692" spans="1:2">
      <c r="A692" t="s">
        <v>1100</v>
      </c>
      <c r="B692" s="482">
        <v>1</v>
      </c>
    </row>
    <row r="693" spans="1:2">
      <c r="A693" t="s">
        <v>1101</v>
      </c>
      <c r="B693" s="482">
        <v>1</v>
      </c>
    </row>
    <row r="694" spans="1:2">
      <c r="A694" t="s">
        <v>1102</v>
      </c>
      <c r="B694" s="482">
        <v>1</v>
      </c>
    </row>
    <row r="695" spans="1:2">
      <c r="A695" t="s">
        <v>1103</v>
      </c>
      <c r="B695" s="482">
        <v>1</v>
      </c>
    </row>
    <row r="696" spans="1:2">
      <c r="A696" t="s">
        <v>1104</v>
      </c>
      <c r="B696" s="482">
        <v>1</v>
      </c>
    </row>
    <row r="697" spans="1:2">
      <c r="A697" t="s">
        <v>1105</v>
      </c>
      <c r="B697" s="482">
        <v>1</v>
      </c>
    </row>
    <row r="698" spans="1:2">
      <c r="A698" t="s">
        <v>1106</v>
      </c>
      <c r="B698" s="482">
        <v>1</v>
      </c>
    </row>
    <row r="699" spans="1:2">
      <c r="A699" t="s">
        <v>1107</v>
      </c>
      <c r="B699" s="482">
        <v>1</v>
      </c>
    </row>
    <row r="700" spans="1:2">
      <c r="A700" t="s">
        <v>1108</v>
      </c>
      <c r="B700" s="482">
        <v>1</v>
      </c>
    </row>
    <row r="701" spans="1:2">
      <c r="A701" t="s">
        <v>1109</v>
      </c>
      <c r="B701" s="482">
        <v>1</v>
      </c>
    </row>
    <row r="702" spans="1:2">
      <c r="A702" t="s">
        <v>1110</v>
      </c>
      <c r="B702" s="482">
        <v>1</v>
      </c>
    </row>
    <row r="703" spans="1:2">
      <c r="A703" t="s">
        <v>1111</v>
      </c>
      <c r="B703" s="482">
        <v>1</v>
      </c>
    </row>
    <row r="704" spans="1:2">
      <c r="A704" t="s">
        <v>1112</v>
      </c>
      <c r="B704" s="482">
        <v>1</v>
      </c>
    </row>
    <row r="705" spans="1:2">
      <c r="A705" t="s">
        <v>1113</v>
      </c>
      <c r="B705" s="482">
        <v>0</v>
      </c>
    </row>
    <row r="706" spans="1:2">
      <c r="A706" t="s">
        <v>1114</v>
      </c>
      <c r="B706" s="482">
        <v>1</v>
      </c>
    </row>
    <row r="707" spans="1:2">
      <c r="A707" t="s">
        <v>1115</v>
      </c>
      <c r="B707" s="482">
        <v>1</v>
      </c>
    </row>
    <row r="708" spans="1:2">
      <c r="A708" t="s">
        <v>1116</v>
      </c>
      <c r="B708" s="482">
        <v>1</v>
      </c>
    </row>
    <row r="709" spans="1:2">
      <c r="A709" t="s">
        <v>2168</v>
      </c>
      <c r="B709" s="482">
        <v>1</v>
      </c>
    </row>
    <row r="710" spans="1:2">
      <c r="A710" t="s">
        <v>1117</v>
      </c>
      <c r="B710" s="482">
        <v>1</v>
      </c>
    </row>
    <row r="711" spans="1:2">
      <c r="A711" t="s">
        <v>1118</v>
      </c>
      <c r="B711" s="482">
        <v>1</v>
      </c>
    </row>
    <row r="712" spans="1:2">
      <c r="A712" t="s">
        <v>1119</v>
      </c>
      <c r="B712" s="482">
        <v>1</v>
      </c>
    </row>
    <row r="713" spans="1:2">
      <c r="A713" t="s">
        <v>1120</v>
      </c>
      <c r="B713" s="482">
        <v>1</v>
      </c>
    </row>
    <row r="714" spans="1:2">
      <c r="A714" t="s">
        <v>1121</v>
      </c>
      <c r="B714" s="482">
        <v>1</v>
      </c>
    </row>
    <row r="715" spans="1:2">
      <c r="A715" t="s">
        <v>1122</v>
      </c>
      <c r="B715" s="482">
        <v>1</v>
      </c>
    </row>
    <row r="716" spans="1:2">
      <c r="A716" t="s">
        <v>1123</v>
      </c>
      <c r="B716" s="482">
        <v>1</v>
      </c>
    </row>
    <row r="717" spans="1:2">
      <c r="A717" t="s">
        <v>1124</v>
      </c>
      <c r="B717" s="482">
        <v>1</v>
      </c>
    </row>
    <row r="718" spans="1:2">
      <c r="A718" t="s">
        <v>1125</v>
      </c>
      <c r="B718" s="482">
        <v>1</v>
      </c>
    </row>
    <row r="719" spans="1:2">
      <c r="A719" t="s">
        <v>1126</v>
      </c>
      <c r="B719" s="482">
        <v>1</v>
      </c>
    </row>
    <row r="720" spans="1:2">
      <c r="A720" t="s">
        <v>1127</v>
      </c>
      <c r="B720" s="482">
        <v>1</v>
      </c>
    </row>
    <row r="721" spans="1:2">
      <c r="A721" t="s">
        <v>1128</v>
      </c>
      <c r="B721" s="482">
        <v>0</v>
      </c>
    </row>
    <row r="722" spans="1:2">
      <c r="A722" t="s">
        <v>1129</v>
      </c>
      <c r="B722" s="482">
        <v>1</v>
      </c>
    </row>
    <row r="723" spans="1:2">
      <c r="A723" t="s">
        <v>1130</v>
      </c>
      <c r="B723" s="482">
        <v>1</v>
      </c>
    </row>
    <row r="724" spans="1:2">
      <c r="A724" t="s">
        <v>1131</v>
      </c>
      <c r="B724" s="482">
        <v>1</v>
      </c>
    </row>
    <row r="725" spans="1:2">
      <c r="A725" t="s">
        <v>1132</v>
      </c>
      <c r="B725" s="482">
        <v>0</v>
      </c>
    </row>
    <row r="726" spans="1:2">
      <c r="A726" t="s">
        <v>1133</v>
      </c>
      <c r="B726" s="482">
        <v>1</v>
      </c>
    </row>
    <row r="727" spans="1:2">
      <c r="A727" t="s">
        <v>1134</v>
      </c>
      <c r="B727" s="482">
        <v>1</v>
      </c>
    </row>
    <row r="728" spans="1:2">
      <c r="A728" t="s">
        <v>1135</v>
      </c>
      <c r="B728" s="482">
        <v>0</v>
      </c>
    </row>
    <row r="729" spans="1:2">
      <c r="A729" t="s">
        <v>1136</v>
      </c>
      <c r="B729" s="482">
        <v>1</v>
      </c>
    </row>
    <row r="730" spans="1:2">
      <c r="A730" t="s">
        <v>1137</v>
      </c>
      <c r="B730" s="482">
        <v>1</v>
      </c>
    </row>
    <row r="731" spans="1:2">
      <c r="A731" t="s">
        <v>1138</v>
      </c>
      <c r="B731" s="482">
        <v>1</v>
      </c>
    </row>
    <row r="732" spans="1:2">
      <c r="A732" t="s">
        <v>1139</v>
      </c>
      <c r="B732" s="482">
        <v>1</v>
      </c>
    </row>
    <row r="733" spans="1:2">
      <c r="A733" t="s">
        <v>1140</v>
      </c>
      <c r="B733" s="482">
        <v>1</v>
      </c>
    </row>
    <row r="734" spans="1:2">
      <c r="A734" t="s">
        <v>1141</v>
      </c>
      <c r="B734" s="482">
        <v>1</v>
      </c>
    </row>
    <row r="735" spans="1:2">
      <c r="A735" t="s">
        <v>1142</v>
      </c>
      <c r="B735" s="482">
        <v>1</v>
      </c>
    </row>
    <row r="736" spans="1:2">
      <c r="A736" t="s">
        <v>1143</v>
      </c>
      <c r="B736" s="482">
        <v>1</v>
      </c>
    </row>
    <row r="737" spans="1:2">
      <c r="A737" t="s">
        <v>1144</v>
      </c>
      <c r="B737" s="482">
        <v>1</v>
      </c>
    </row>
    <row r="738" spans="1:2">
      <c r="A738" t="s">
        <v>1145</v>
      </c>
      <c r="B738" s="482">
        <v>1</v>
      </c>
    </row>
    <row r="739" spans="1:2">
      <c r="A739" t="s">
        <v>1146</v>
      </c>
      <c r="B739" s="482">
        <v>1</v>
      </c>
    </row>
    <row r="740" spans="1:2">
      <c r="A740" t="s">
        <v>1147</v>
      </c>
      <c r="B740" s="482">
        <v>7</v>
      </c>
    </row>
  </sheetData>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35"/>
  <sheetViews>
    <sheetView showGridLines="0" zoomScale="70" zoomScaleNormal="70" workbookViewId="0">
      <selection activeCell="A1502" sqref="A1502"/>
    </sheetView>
  </sheetViews>
  <sheetFormatPr defaultColWidth="0" defaultRowHeight="13.8"/>
  <cols>
    <col min="1" max="1" width="2.59765625" customWidth="1"/>
    <col min="2" max="2" width="13.59765625" customWidth="1"/>
    <col min="3" max="3" width="27.09765625" customWidth="1"/>
    <col min="4" max="4" width="42.09765625" customWidth="1"/>
    <col min="5" max="5" width="20.59765625" customWidth="1"/>
    <col min="6" max="7" width="40.59765625" customWidth="1"/>
    <col min="8" max="8" width="6.09765625" customWidth="1"/>
    <col min="9" max="9" width="51.09765625" customWidth="1"/>
    <col min="10" max="10" width="10.5" bestFit="1" customWidth="1"/>
    <col min="11" max="11" width="37.09765625" customWidth="1"/>
    <col min="12" max="12" width="20.59765625" customWidth="1"/>
    <col min="13" max="14" width="24.5" customWidth="1"/>
    <col min="15" max="15" width="22" customWidth="1"/>
    <col min="16" max="16" width="50.59765625" customWidth="1"/>
    <col min="17" max="18" width="20.59765625" customWidth="1"/>
    <col min="19" max="19" width="18.59765625" bestFit="1" customWidth="1"/>
    <col min="20" max="20" width="37.09765625" bestFit="1" customWidth="1"/>
    <col min="21" max="21" width="30.5" bestFit="1" customWidth="1"/>
    <col min="22" max="22" width="21.09765625" customWidth="1"/>
    <col min="23" max="24" width="8.796875" customWidth="1"/>
    <col min="25" max="25" width="7" customWidth="1"/>
    <col min="26" max="45" width="0" hidden="1" customWidth="1"/>
    <col min="46" max="16384" width="8.796875" hidden="1"/>
  </cols>
  <sheetData>
    <row r="1" spans="1:25" ht="16.350000000000001" customHeight="1"/>
    <row r="2" spans="1:25">
      <c r="A2" s="6"/>
      <c r="B2" s="6"/>
      <c r="C2" s="6"/>
      <c r="D2" s="6"/>
      <c r="E2" s="6"/>
      <c r="F2" s="6"/>
      <c r="G2" s="6"/>
      <c r="H2" s="6"/>
      <c r="I2" s="6"/>
      <c r="J2" s="6"/>
      <c r="K2" s="6"/>
      <c r="L2" s="6"/>
      <c r="M2" s="6"/>
      <c r="N2" s="6"/>
      <c r="O2" s="6"/>
      <c r="P2" s="6"/>
      <c r="Q2" s="6"/>
      <c r="R2" s="6"/>
      <c r="S2" s="6"/>
      <c r="T2" s="6"/>
      <c r="U2" s="6"/>
      <c r="V2" s="6"/>
      <c r="W2" s="6"/>
      <c r="X2" s="6"/>
      <c r="Y2" s="6"/>
    </row>
    <row r="3" spans="1:25">
      <c r="A3" s="9"/>
      <c r="B3" s="9"/>
      <c r="C3" s="9"/>
      <c r="D3" s="9"/>
      <c r="E3" s="9"/>
      <c r="F3" s="9"/>
      <c r="G3" s="9"/>
      <c r="H3" s="9"/>
      <c r="I3" s="8"/>
      <c r="J3" s="8"/>
      <c r="K3" s="8"/>
      <c r="L3" s="8"/>
      <c r="M3" s="8"/>
      <c r="N3" s="8"/>
      <c r="O3" s="8"/>
      <c r="P3" s="8"/>
      <c r="Q3" s="8"/>
      <c r="R3" s="8"/>
      <c r="S3" s="8"/>
      <c r="T3" s="7"/>
      <c r="U3" s="7"/>
      <c r="V3" s="7"/>
      <c r="W3" s="7"/>
      <c r="X3" s="7"/>
      <c r="Y3" s="7"/>
    </row>
    <row r="4" spans="1:25">
      <c r="A4" s="6"/>
      <c r="B4" s="6"/>
      <c r="C4" s="6"/>
      <c r="D4" s="6"/>
      <c r="E4" s="6"/>
      <c r="F4" s="6"/>
      <c r="G4" s="6"/>
      <c r="H4" s="6"/>
      <c r="I4" s="6"/>
      <c r="J4" s="6"/>
      <c r="K4" s="6"/>
      <c r="L4" s="6"/>
      <c r="M4" s="6"/>
      <c r="N4" s="6"/>
      <c r="O4" s="6"/>
      <c r="P4" s="6"/>
      <c r="Q4" s="6"/>
      <c r="R4" s="6"/>
      <c r="S4" s="6"/>
      <c r="T4" s="6"/>
      <c r="U4" s="6"/>
      <c r="V4" s="6"/>
      <c r="W4" s="6"/>
      <c r="X4" s="6"/>
      <c r="Y4" s="6"/>
    </row>
    <row r="5" spans="1:25" ht="3" customHeight="1">
      <c r="A5" s="5"/>
      <c r="B5" s="5"/>
      <c r="C5" s="5"/>
      <c r="D5" s="5"/>
      <c r="E5" s="5"/>
      <c r="F5" s="5"/>
      <c r="G5" s="5"/>
      <c r="H5" s="5"/>
      <c r="I5" s="5"/>
      <c r="J5" s="5"/>
      <c r="K5" s="5"/>
      <c r="L5" s="5"/>
      <c r="M5" s="5"/>
      <c r="N5" s="5"/>
      <c r="O5" s="5"/>
      <c r="P5" s="5"/>
      <c r="Q5" s="5"/>
      <c r="R5" s="5"/>
      <c r="S5" s="5"/>
      <c r="T5" s="5"/>
      <c r="U5" s="5"/>
      <c r="V5" s="5"/>
      <c r="W5" s="5"/>
      <c r="X5" s="5"/>
      <c r="Y5" s="5"/>
    </row>
    <row r="7" spans="1:25">
      <c r="N7" t="s">
        <v>1152</v>
      </c>
      <c r="R7" t="s">
        <v>1153</v>
      </c>
    </row>
    <row r="8" spans="1:25" ht="15" customHeight="1">
      <c r="B8" s="194" t="s">
        <v>8</v>
      </c>
      <c r="C8" s="194" t="s">
        <v>9</v>
      </c>
      <c r="D8" s="193" t="s">
        <v>119</v>
      </c>
      <c r="E8" s="193" t="s">
        <v>1154</v>
      </c>
      <c r="F8" s="197" t="s">
        <v>11</v>
      </c>
      <c r="G8" s="193" t="s">
        <v>12</v>
      </c>
      <c r="H8" s="195" t="s">
        <v>652</v>
      </c>
      <c r="I8" s="196" t="s">
        <v>13</v>
      </c>
      <c r="J8" s="196" t="s">
        <v>14</v>
      </c>
      <c r="K8" s="193" t="s">
        <v>1155</v>
      </c>
      <c r="L8" s="193" t="s">
        <v>1156</v>
      </c>
      <c r="M8" s="193" t="s">
        <v>1157</v>
      </c>
      <c r="N8" s="193" t="s">
        <v>1158</v>
      </c>
      <c r="O8" s="193" t="s">
        <v>1159</v>
      </c>
      <c r="P8" s="193" t="s">
        <v>1160</v>
      </c>
      <c r="Q8" s="193" t="s">
        <v>1161</v>
      </c>
      <c r="R8" s="193" t="s">
        <v>1162</v>
      </c>
      <c r="S8" s="193" t="s">
        <v>1163</v>
      </c>
      <c r="T8" s="193" t="s">
        <v>1164</v>
      </c>
      <c r="U8" s="193" t="s">
        <v>1165</v>
      </c>
      <c r="V8" s="193" t="s">
        <v>1166</v>
      </c>
      <c r="W8" s="193" t="s">
        <v>17</v>
      </c>
      <c r="X8" s="193" t="s">
        <v>1167</v>
      </c>
    </row>
    <row r="9" spans="1:25" ht="17.850000000000001" hidden="1" customHeight="1">
      <c r="B9" s="2" t="s">
        <v>26</v>
      </c>
      <c r="C9" s="2" t="s">
        <v>34</v>
      </c>
      <c r="D9" s="2" t="s">
        <v>1181</v>
      </c>
      <c r="E9" s="2" t="s">
        <v>38</v>
      </c>
      <c r="F9" s="2" t="s">
        <v>37</v>
      </c>
      <c r="G9" s="2" t="s">
        <v>38</v>
      </c>
      <c r="H9" s="56" t="str">
        <f>Table1[[#This Row],[Tabela]]&amp;Table1[[#This Row],[Campo]]</f>
        <v>ENERGY_CERTIFICATE_EST_INPUTn.a.</v>
      </c>
      <c r="I9" s="2" t="s">
        <v>1845</v>
      </c>
      <c r="J9" s="42">
        <f>VLOOKUP(Table1[[#This Row],[Status]],Auxiliar!$B$16:$C$24,2,0)</f>
        <v>2</v>
      </c>
      <c r="K9" s="2" t="s">
        <v>1168</v>
      </c>
      <c r="L9" s="2" t="s">
        <v>1177</v>
      </c>
      <c r="M9" s="20" t="s">
        <v>1178</v>
      </c>
      <c r="N9" s="47">
        <v>45688</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4</v>
      </c>
      <c r="X9" s="166" t="str">
        <f>+VLOOKUP(CONCATENATE(Table1[[#This Row],[Tabela]],Table1[[#This Row],[Campo]]),'2. Status Detalhe Campos FY24'!A:J,9,FALSE)</f>
        <v>Fase I</v>
      </c>
      <c r="Y9" s="167"/>
    </row>
    <row r="10" spans="1:25" ht="17.850000000000001" hidden="1" customHeight="1">
      <c r="B10" s="2" t="s">
        <v>26</v>
      </c>
      <c r="C10" s="2" t="s">
        <v>34</v>
      </c>
      <c r="D10" s="2" t="s">
        <v>1181</v>
      </c>
      <c r="E10" s="2" t="s">
        <v>38</v>
      </c>
      <c r="F10" s="2" t="s">
        <v>37</v>
      </c>
      <c r="G10" s="134" t="s">
        <v>48</v>
      </c>
      <c r="H10" s="56" t="str">
        <f>Table1[[#This Row],[Tabela]]&amp;Table1[[#This Row],[Campo]]</f>
        <v>ENERGY_CERTIFICATE_EST_INPUTDATA_PROVIDER</v>
      </c>
      <c r="I10" s="2" t="s">
        <v>611</v>
      </c>
      <c r="J10" s="42">
        <f>VLOOKUP(Table1[[#This Row],[Status]],Auxiliar!$B$16:$C$24,2,0)</f>
        <v>0</v>
      </c>
      <c r="K10" s="2"/>
      <c r="L10" s="2"/>
      <c r="M10" s="20"/>
      <c r="N10" s="47">
        <v>45688</v>
      </c>
      <c r="O10" s="20" t="e">
        <f>INDEX(Auxiliar!$D$5:$F$11,MATCH(Table1[[#This Row],[Tipologia_Testes]],Auxiliar!$B$5:$B$11,0),MATCH(Table1[[#This Row],[Complexidade]],Auxiliar!$D$4:$F$4,0))</f>
        <v>#N/A</v>
      </c>
      <c r="P10" s="2"/>
      <c r="Q10" s="2"/>
      <c r="R10" s="151"/>
      <c r="S10" s="151"/>
      <c r="T10" s="151"/>
      <c r="U10" s="151"/>
      <c r="V10" s="151"/>
      <c r="W10" s="2" t="e">
        <f>VLOOKUP(Table1[[#This Row],[Status]],Auxiliar!$B$16:$D$24,3,0)*Table1[[#This Row],[Estimação (horas)]]</f>
        <v>#N/A</v>
      </c>
      <c r="X10" s="166" t="str">
        <f>+VLOOKUP(CONCATENATE(Table1[[#This Row],[Tabela]],Table1[[#This Row],[Campo]]),'2. Status Detalhe Campos FY24'!A:J,9,FALSE)</f>
        <v>Fase I</v>
      </c>
      <c r="Y10" s="167"/>
    </row>
    <row r="11" spans="1:25" ht="17.850000000000001" hidden="1" customHeight="1">
      <c r="B11" s="2" t="s">
        <v>26</v>
      </c>
      <c r="C11" s="2" t="s">
        <v>34</v>
      </c>
      <c r="D11" s="2" t="s">
        <v>1181</v>
      </c>
      <c r="E11" s="2" t="s">
        <v>38</v>
      </c>
      <c r="F11" s="2" t="s">
        <v>37</v>
      </c>
      <c r="G11" s="134" t="s">
        <v>49</v>
      </c>
      <c r="H11" s="56" t="str">
        <f>Table1[[#This Row],[Tabela]]&amp;Table1[[#This Row],[Campo]]</f>
        <v>ENERGY_CERTIFICATE_EST_INPUTACTUAL_VALUE_IND</v>
      </c>
      <c r="I11" s="2" t="s">
        <v>611</v>
      </c>
      <c r="J11" s="42">
        <f>VLOOKUP(Table1[[#This Row],[Status]],Auxiliar!$B$16:$C$24,2,0)</f>
        <v>0</v>
      </c>
      <c r="K11" s="2"/>
      <c r="L11" s="2"/>
      <c r="M11" s="20"/>
      <c r="N11" s="47">
        <v>45688</v>
      </c>
      <c r="O11" s="20" t="e">
        <f>INDEX(Auxiliar!$D$5:$F$11,MATCH(Table1[[#This Row],[Tipologia_Testes]],Auxiliar!$B$5:$B$11,0),MATCH(Table1[[#This Row],[Complexidade]],Auxiliar!$D$4:$F$4,0))</f>
        <v>#N/A</v>
      </c>
      <c r="P11" s="2"/>
      <c r="Q11" s="2"/>
      <c r="R11" s="151"/>
      <c r="S11" s="151"/>
      <c r="T11" s="151"/>
      <c r="U11" s="151"/>
      <c r="V11" s="151"/>
      <c r="W11" s="2" t="e">
        <f>VLOOKUP(Table1[[#This Row],[Status]],Auxiliar!$B$16:$D$24,3,0)*Table1[[#This Row],[Estimação (horas)]]</f>
        <v>#N/A</v>
      </c>
      <c r="X11" s="166" t="str">
        <f>+VLOOKUP(CONCATENATE(Table1[[#This Row],[Tabela]],Table1[[#This Row],[Campo]]),'2. Status Detalhe Campos FY24'!A:J,9,FALSE)</f>
        <v>Fase I</v>
      </c>
      <c r="Y11" s="167"/>
    </row>
    <row r="12" spans="1:25" ht="17.850000000000001" hidden="1" customHeight="1">
      <c r="B12" s="2" t="s">
        <v>26</v>
      </c>
      <c r="C12" s="2" t="s">
        <v>34</v>
      </c>
      <c r="D12" s="2" t="s">
        <v>1181</v>
      </c>
      <c r="E12" s="2" t="s">
        <v>38</v>
      </c>
      <c r="F12" s="2" t="s">
        <v>37</v>
      </c>
      <c r="G12" s="134" t="s">
        <v>1973</v>
      </c>
      <c r="H12" s="56" t="str">
        <f>Table1[[#This Row],[Tabela]]&amp;Table1[[#This Row],[Campo]]</f>
        <v>ENERGY_CERTIFICATE_EST_INPUTCHAVE_GLOVAL</v>
      </c>
      <c r="I12" s="2" t="s">
        <v>1845</v>
      </c>
      <c r="J12" s="42">
        <f>VLOOKUP(Table1[[#This Row],[Status]],Auxiliar!$B$16:$C$24,2,0)</f>
        <v>2</v>
      </c>
      <c r="K12" s="2" t="s">
        <v>1174</v>
      </c>
      <c r="L12" s="28" t="s">
        <v>1169</v>
      </c>
      <c r="M12" s="20" t="s">
        <v>1178</v>
      </c>
      <c r="N12" s="47">
        <v>45688</v>
      </c>
      <c r="O12" s="20">
        <f>INDEX(Auxiliar!$D$5:$F$13,MATCH(Table1[[#This Row],[Tipologia_Testes]],Auxiliar!$B$5:$B$13,0),MATCH(Table1[[#This Row],[Complexidade]],Auxiliar!$D$4:$F$4,0))</f>
        <v>0.1</v>
      </c>
      <c r="P12" s="2"/>
      <c r="Q12" s="2"/>
      <c r="R12" s="151">
        <v>45261</v>
      </c>
      <c r="S12" s="151"/>
      <c r="T12" s="151">
        <v>45510</v>
      </c>
      <c r="U12" s="151">
        <v>45624</v>
      </c>
      <c r="V12" s="151"/>
      <c r="W12" s="2">
        <f>VLOOKUP(Table1[[#This Row],[Status]],Auxiliar!$B$16:$D$24,3,0)*Table1[[#This Row],[Estimação (horas)]]</f>
        <v>0.05</v>
      </c>
      <c r="X12" s="166" t="str">
        <f>+VLOOKUP(CONCATENATE(Table1[[#This Row],[Tabela]],Table1[[#This Row],[Campo]]),'2. Status Detalhe Campos FY24'!A:J,9,FALSE)</f>
        <v>Fase I</v>
      </c>
      <c r="Y12" s="167"/>
    </row>
    <row r="13" spans="1:25" ht="17.850000000000001" hidden="1" customHeight="1">
      <c r="B13" s="2" t="s">
        <v>26</v>
      </c>
      <c r="C13" s="2" t="s">
        <v>34</v>
      </c>
      <c r="D13" s="2" t="s">
        <v>1181</v>
      </c>
      <c r="E13" s="2" t="s">
        <v>38</v>
      </c>
      <c r="F13" s="2" t="s">
        <v>37</v>
      </c>
      <c r="G13" s="134" t="s">
        <v>41</v>
      </c>
      <c r="H13" s="56" t="str">
        <f>Table1[[#This Row],[Tabela]]&amp;Table1[[#This Row],[Campo]]</f>
        <v>ENERGY_CERTIFICATE_EST_INPUTPROPERTY_BANK_ID</v>
      </c>
      <c r="I13" s="2" t="s">
        <v>1845</v>
      </c>
      <c r="J13" s="42">
        <f>VLOOKUP(Table1[[#This Row],[Status]],Auxiliar!$B$16:$C$24,2,0)</f>
        <v>2</v>
      </c>
      <c r="K13" s="2" t="s">
        <v>1174</v>
      </c>
      <c r="L13" s="28" t="s">
        <v>1169</v>
      </c>
      <c r="M13" s="20" t="s">
        <v>1178</v>
      </c>
      <c r="N13" s="47">
        <v>45688</v>
      </c>
      <c r="O13" s="20">
        <f>INDEX(Auxiliar!$D$5:$F$13,MATCH(Table1[[#This Row],[Tipologia_Testes]],Auxiliar!$B$5:$B$13,0),MATCH(Table1[[#This Row],[Complexidade]],Auxiliar!$D$4:$F$4,0))</f>
        <v>0.1</v>
      </c>
      <c r="P13" s="2" t="s">
        <v>1183</v>
      </c>
      <c r="Q13" s="2"/>
      <c r="R13" s="151">
        <v>45261</v>
      </c>
      <c r="S13" s="151"/>
      <c r="T13" s="151">
        <v>45510</v>
      </c>
      <c r="U13" s="151">
        <v>45624</v>
      </c>
      <c r="V13" s="151"/>
      <c r="W13" s="2">
        <f>VLOOKUP(Table1[[#This Row],[Status]],Auxiliar!$B$16:$D$24,3,0)*Table1[[#This Row],[Estimação (horas)]]</f>
        <v>0.05</v>
      </c>
      <c r="X13" s="166" t="str">
        <f>+VLOOKUP(CONCATENATE(Table1[[#This Row],[Tabela]],Table1[[#This Row],[Campo]]),'2. Status Detalhe Campos FY24'!A:J,9,FALSE)</f>
        <v>Fase I</v>
      </c>
      <c r="Y13" s="167"/>
    </row>
    <row r="14" spans="1:25" ht="69.599999999999994" hidden="1" customHeight="1">
      <c r="B14" s="2" t="s">
        <v>26</v>
      </c>
      <c r="C14" s="2" t="s">
        <v>34</v>
      </c>
      <c r="D14" s="2" t="s">
        <v>1181</v>
      </c>
      <c r="E14" s="2" t="s">
        <v>38</v>
      </c>
      <c r="F14" s="2" t="s">
        <v>37</v>
      </c>
      <c r="G14" s="134" t="s">
        <v>43</v>
      </c>
      <c r="H14" s="56" t="str">
        <f>Table1[[#This Row],[Tabela]]&amp;Table1[[#This Row],[Campo]]</f>
        <v>ENERGY_CERTIFICATE_EST_INPUTPROPERTY_BRANCH_CODE</v>
      </c>
      <c r="I14" s="2" t="s">
        <v>1845</v>
      </c>
      <c r="J14" s="42">
        <f>VLOOKUP(Table1[[#This Row],[Status]],Auxiliar!$B$16:$C$24,2,0)</f>
        <v>2</v>
      </c>
      <c r="K14" s="2" t="s">
        <v>1174</v>
      </c>
      <c r="L14" s="28" t="s">
        <v>1169</v>
      </c>
      <c r="M14" s="20" t="s">
        <v>1178</v>
      </c>
      <c r="N14" s="47">
        <v>45688</v>
      </c>
      <c r="O14" s="20">
        <f>INDEX(Auxiliar!$D$5:$F$13,MATCH(Table1[[#This Row],[Tipologia_Testes]],Auxiliar!$B$5:$B$13,0),MATCH(Table1[[#This Row],[Complexidade]],Auxiliar!$D$4:$F$4,0))</f>
        <v>0.1</v>
      </c>
      <c r="P14" s="48" t="s">
        <v>1184</v>
      </c>
      <c r="Q14" s="32"/>
      <c r="R14" s="151">
        <v>45261</v>
      </c>
      <c r="S14" s="151"/>
      <c r="T14" s="151">
        <v>45510</v>
      </c>
      <c r="U14" s="151">
        <v>45624</v>
      </c>
      <c r="V14" s="151"/>
      <c r="W14" s="2">
        <f>VLOOKUP(Table1[[#This Row],[Status]],Auxiliar!$B$16:$D$24,3,0)*Table1[[#This Row],[Estimação (horas)]]</f>
        <v>0.05</v>
      </c>
      <c r="X14" s="166" t="str">
        <f>+VLOOKUP(CONCATENATE(Table1[[#This Row],[Tabela]],Table1[[#This Row],[Campo]]),'2. Status Detalhe Campos FY24'!A:J,9,FALSE)</f>
        <v>Fase I</v>
      </c>
      <c r="Y14" s="168"/>
    </row>
    <row r="15" spans="1:25" ht="69.599999999999994" hidden="1" customHeight="1">
      <c r="B15" s="2" t="s">
        <v>26</v>
      </c>
      <c r="C15" s="2" t="s">
        <v>34</v>
      </c>
      <c r="D15" s="2" t="s">
        <v>1181</v>
      </c>
      <c r="E15" s="2" t="s">
        <v>38</v>
      </c>
      <c r="F15" s="2" t="s">
        <v>37</v>
      </c>
      <c r="G15" s="134" t="s">
        <v>44</v>
      </c>
      <c r="H15" s="56" t="str">
        <f>Table1[[#This Row],[Tabela]]&amp;Table1[[#This Row],[Campo]]</f>
        <v>ENERGY_CERTIFICATE_EST_INPUTPROPERTY_CONTRACT_ID</v>
      </c>
      <c r="I15" s="2" t="s">
        <v>1845</v>
      </c>
      <c r="J15" s="42">
        <f>VLOOKUP(Table1[[#This Row],[Status]],Auxiliar!$B$16:$C$24,2,0)</f>
        <v>2</v>
      </c>
      <c r="K15" s="2" t="s">
        <v>1174</v>
      </c>
      <c r="L15" s="28" t="s">
        <v>1169</v>
      </c>
      <c r="M15" s="20" t="s">
        <v>1178</v>
      </c>
      <c r="N15" s="47">
        <v>45688</v>
      </c>
      <c r="O15" s="20">
        <f>INDEX(Auxiliar!$D$5:$F$13,MATCH(Table1[[#This Row],[Tipologia_Testes]],Auxiliar!$B$5:$B$13,0),MATCH(Table1[[#This Row],[Complexidade]],Auxiliar!$D$4:$F$4,0))</f>
        <v>0.1</v>
      </c>
      <c r="P15" s="48" t="s">
        <v>1184</v>
      </c>
      <c r="Q15" s="32"/>
      <c r="R15" s="151">
        <v>45261</v>
      </c>
      <c r="S15" s="151"/>
      <c r="T15" s="151">
        <v>45510</v>
      </c>
      <c r="U15" s="151">
        <v>45624</v>
      </c>
      <c r="V15" s="151"/>
      <c r="W15" s="2">
        <f>VLOOKUP(Table1[[#This Row],[Status]],Auxiliar!$B$16:$D$24,3,0)*Table1[[#This Row],[Estimação (horas)]]</f>
        <v>0.05</v>
      </c>
      <c r="X15" s="166" t="str">
        <f>+VLOOKUP(CONCATENATE(Table1[[#This Row],[Tabela]],Table1[[#This Row],[Campo]]),'2. Status Detalhe Campos FY24'!A:J,9,FALSE)</f>
        <v>Fase I</v>
      </c>
      <c r="Y15" s="168"/>
    </row>
    <row r="16" spans="1:25" ht="17.850000000000001" hidden="1" customHeight="1">
      <c r="B16" s="2" t="s">
        <v>26</v>
      </c>
      <c r="C16" s="2" t="s">
        <v>34</v>
      </c>
      <c r="D16" s="2" t="s">
        <v>1181</v>
      </c>
      <c r="E16" s="2" t="s">
        <v>38</v>
      </c>
      <c r="F16" s="2" t="s">
        <v>37</v>
      </c>
      <c r="G16" s="134" t="s">
        <v>45</v>
      </c>
      <c r="H16" s="56" t="str">
        <f>Table1[[#This Row],[Tabela]]&amp;Table1[[#This Row],[Campo]]</f>
        <v>ENERGY_CERTIFICATE_EST_INPUTPROPERTY_REFERENCE_CODE</v>
      </c>
      <c r="I16" s="2" t="s">
        <v>1845</v>
      </c>
      <c r="J16" s="42">
        <f>VLOOKUP(Table1[[#This Row],[Status]],Auxiliar!$B$16:$C$24,2,0)</f>
        <v>2</v>
      </c>
      <c r="K16" s="2" t="s">
        <v>1174</v>
      </c>
      <c r="L16" s="28" t="s">
        <v>1169</v>
      </c>
      <c r="M16" s="20" t="s">
        <v>1178</v>
      </c>
      <c r="N16" s="47">
        <v>45688</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0.05</v>
      </c>
      <c r="X16" s="166" t="str">
        <f>+VLOOKUP(CONCATENATE(Table1[[#This Row],[Tabela]],Table1[[#This Row],[Campo]]),'2. Status Detalhe Campos FY24'!A:J,9,FALSE)</f>
        <v>Fase I</v>
      </c>
      <c r="Y16" s="167"/>
    </row>
    <row r="17" spans="2:25" ht="17.850000000000001" hidden="1" customHeight="1">
      <c r="B17" s="2" t="s">
        <v>26</v>
      </c>
      <c r="C17" s="2" t="s">
        <v>34</v>
      </c>
      <c r="D17" s="2" t="s">
        <v>1181</v>
      </c>
      <c r="E17" s="2" t="s">
        <v>38</v>
      </c>
      <c r="F17" s="2" t="s">
        <v>37</v>
      </c>
      <c r="G17" s="134" t="s">
        <v>1974</v>
      </c>
      <c r="H17" s="56" t="str">
        <f>Table1[[#This Row],[Tabela]]&amp;Table1[[#This Row],[Campo]]</f>
        <v>ENERGY_CERTIFICATE_EST_INPUTCÓDIGO_DISTRITO</v>
      </c>
      <c r="I17" s="2" t="s">
        <v>1845</v>
      </c>
      <c r="J17" s="42">
        <f>VLOOKUP(Table1[[#This Row],[Status]],Auxiliar!$B$16:$C$24,2,0)</f>
        <v>2</v>
      </c>
      <c r="K17" s="2" t="s">
        <v>1174</v>
      </c>
      <c r="L17" s="28" t="s">
        <v>1169</v>
      </c>
      <c r="M17" s="20" t="s">
        <v>1178</v>
      </c>
      <c r="N17" s="47">
        <v>45688</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0.05</v>
      </c>
      <c r="X17" s="166" t="str">
        <f>+VLOOKUP(CONCATENATE(Table1[[#This Row],[Tabela]],Table1[[#This Row],[Campo]]),'2. Status Detalhe Campos FY24'!A:J,9,FALSE)</f>
        <v>Fase I</v>
      </c>
      <c r="Y17" s="167"/>
    </row>
    <row r="18" spans="2:25" ht="17.850000000000001" hidden="1" customHeight="1">
      <c r="B18" s="2" t="s">
        <v>26</v>
      </c>
      <c r="C18" s="2" t="s">
        <v>34</v>
      </c>
      <c r="D18" s="2" t="s">
        <v>1181</v>
      </c>
      <c r="E18" s="2" t="s">
        <v>38</v>
      </c>
      <c r="F18" s="2" t="s">
        <v>37</v>
      </c>
      <c r="G18" s="134" t="s">
        <v>1975</v>
      </c>
      <c r="H18" s="56" t="str">
        <f>Table1[[#This Row],[Tabela]]&amp;Table1[[#This Row],[Campo]]</f>
        <v>ENERGY_CERTIFICATE_EST_INPUTNOMBRE_DISTRITO</v>
      </c>
      <c r="I18" s="2" t="s">
        <v>1845</v>
      </c>
      <c r="J18" s="42">
        <f>VLOOKUP(Table1[[#This Row],[Status]],Auxiliar!$B$16:$C$24,2,0)</f>
        <v>2</v>
      </c>
      <c r="K18" s="2" t="s">
        <v>1174</v>
      </c>
      <c r="L18" s="28" t="s">
        <v>1169</v>
      </c>
      <c r="M18" s="20" t="s">
        <v>1178</v>
      </c>
      <c r="N18" s="47">
        <v>45688</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0.05</v>
      </c>
      <c r="X18" s="166" t="str">
        <f>+VLOOKUP(CONCATENATE(Table1[[#This Row],[Tabela]],Table1[[#This Row],[Campo]]),'2. Status Detalhe Campos FY24'!A:J,9,FALSE)</f>
        <v>Fase I</v>
      </c>
      <c r="Y18" s="167"/>
    </row>
    <row r="19" spans="2:25" ht="17.850000000000001" hidden="1" customHeight="1">
      <c r="B19" s="2" t="s">
        <v>26</v>
      </c>
      <c r="C19" s="2" t="s">
        <v>34</v>
      </c>
      <c r="D19" s="2" t="s">
        <v>1181</v>
      </c>
      <c r="E19" s="2" t="s">
        <v>38</v>
      </c>
      <c r="F19" s="2" t="s">
        <v>37</v>
      </c>
      <c r="G19" s="134" t="s">
        <v>1976</v>
      </c>
      <c r="H19" s="56" t="str">
        <f>Table1[[#This Row],[Tabela]]&amp;Table1[[#This Row],[Campo]]</f>
        <v>ENERGY_CERTIFICATE_EST_INPUTCÓDIGO_CONCEJO</v>
      </c>
      <c r="I19" s="2" t="s">
        <v>1845</v>
      </c>
      <c r="J19" s="42">
        <f>VLOOKUP(Table1[[#This Row],[Status]],Auxiliar!$B$16:$C$24,2,0)</f>
        <v>2</v>
      </c>
      <c r="K19" s="2" t="s">
        <v>1174</v>
      </c>
      <c r="L19" s="28" t="s">
        <v>1169</v>
      </c>
      <c r="M19" s="20" t="s">
        <v>1178</v>
      </c>
      <c r="N19" s="47">
        <v>45688</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0.05</v>
      </c>
      <c r="X19" s="166" t="str">
        <f>+VLOOKUP(CONCATENATE(Table1[[#This Row],[Tabela]],Table1[[#This Row],[Campo]]),'2. Status Detalhe Campos FY24'!A:J,9,FALSE)</f>
        <v>Fase I</v>
      </c>
      <c r="Y19" s="167"/>
    </row>
    <row r="20" spans="2:25" ht="17.850000000000001" hidden="1" customHeight="1">
      <c r="B20" s="2" t="s">
        <v>26</v>
      </c>
      <c r="C20" s="2" t="s">
        <v>34</v>
      </c>
      <c r="D20" s="2" t="s">
        <v>1181</v>
      </c>
      <c r="E20" s="2" t="s">
        <v>38</v>
      </c>
      <c r="F20" s="2" t="s">
        <v>37</v>
      </c>
      <c r="G20" s="134" t="s">
        <v>1977</v>
      </c>
      <c r="H20" s="56" t="str">
        <f>Table1[[#This Row],[Tabela]]&amp;Table1[[#This Row],[Campo]]</f>
        <v>ENERGY_CERTIFICATE_EST_INPUTNOMBRE_CONCEJO</v>
      </c>
      <c r="I20" s="2" t="s">
        <v>1845</v>
      </c>
      <c r="J20" s="42">
        <f>VLOOKUP(Table1[[#This Row],[Status]],Auxiliar!$B$16:$C$24,2,0)</f>
        <v>2</v>
      </c>
      <c r="K20" s="2" t="s">
        <v>1174</v>
      </c>
      <c r="L20" s="28" t="s">
        <v>1169</v>
      </c>
      <c r="M20" s="20" t="s">
        <v>1178</v>
      </c>
      <c r="N20" s="47">
        <v>45688</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0.05</v>
      </c>
      <c r="X20" s="166" t="str">
        <f>+VLOOKUP(CONCATENATE(Table1[[#This Row],[Tabela]],Table1[[#This Row],[Campo]]),'2. Status Detalhe Campos FY24'!A:J,9,FALSE)</f>
        <v>Fase I</v>
      </c>
      <c r="Y20" s="167"/>
    </row>
    <row r="21" spans="2:25" ht="17.850000000000001" hidden="1" customHeight="1">
      <c r="B21" s="2" t="s">
        <v>26</v>
      </c>
      <c r="C21" s="2" t="s">
        <v>34</v>
      </c>
      <c r="D21" s="2" t="s">
        <v>1181</v>
      </c>
      <c r="E21" s="2" t="s">
        <v>38</v>
      </c>
      <c r="F21" s="2" t="s">
        <v>37</v>
      </c>
      <c r="G21" s="134" t="s">
        <v>1978</v>
      </c>
      <c r="H21" s="56" t="str">
        <f>Table1[[#This Row],[Tabela]]&amp;Table1[[#This Row],[Campo]]</f>
        <v>ENERGY_CERTIFICATE_EST_INPUTCÓDIGO_FREGUESIA</v>
      </c>
      <c r="I21" s="2" t="s">
        <v>1845</v>
      </c>
      <c r="J21" s="42">
        <f>VLOOKUP(Table1[[#This Row],[Status]],Auxiliar!$B$16:$C$24,2,0)</f>
        <v>2</v>
      </c>
      <c r="K21" s="2" t="s">
        <v>1174</v>
      </c>
      <c r="L21" s="28" t="s">
        <v>1169</v>
      </c>
      <c r="M21" s="20" t="s">
        <v>1178</v>
      </c>
      <c r="N21" s="47">
        <v>45688</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0.05</v>
      </c>
      <c r="X21" s="166" t="str">
        <f>+VLOOKUP(CONCATENATE(Table1[[#This Row],[Tabela]],Table1[[#This Row],[Campo]]),'2. Status Detalhe Campos FY24'!A:J,9,FALSE)</f>
        <v>Fase I</v>
      </c>
      <c r="Y21" s="167"/>
    </row>
    <row r="22" spans="2:25" ht="17.850000000000001" hidden="1" customHeight="1">
      <c r="B22" s="2" t="s">
        <v>26</v>
      </c>
      <c r="C22" s="2" t="s">
        <v>34</v>
      </c>
      <c r="D22" s="2" t="s">
        <v>1181</v>
      </c>
      <c r="E22" s="2" t="s">
        <v>38</v>
      </c>
      <c r="F22" s="2" t="s">
        <v>37</v>
      </c>
      <c r="G22" s="134" t="s">
        <v>1979</v>
      </c>
      <c r="H22" s="56" t="str">
        <f>Table1[[#This Row],[Tabela]]&amp;Table1[[#This Row],[Campo]]</f>
        <v>ENERGY_CERTIFICATE_EST_INPUTNOMBRE_FREGUESIA</v>
      </c>
      <c r="I22" s="2" t="s">
        <v>1845</v>
      </c>
      <c r="J22" s="42">
        <f>VLOOKUP(Table1[[#This Row],[Status]],Auxiliar!$B$16:$C$24,2,0)</f>
        <v>2</v>
      </c>
      <c r="K22" s="2" t="s">
        <v>1174</v>
      </c>
      <c r="L22" s="28" t="s">
        <v>1169</v>
      </c>
      <c r="M22" s="20" t="s">
        <v>1178</v>
      </c>
      <c r="N22" s="47">
        <v>45688</v>
      </c>
      <c r="O22" s="20">
        <f>INDEX(Auxiliar!$D$5:$F$13,MATCH(Table1[[#This Row],[Tipologia_Testes]],Auxiliar!$B$5:$B$13,0),MATCH(Table1[[#This Row],[Complexidade]],Auxiliar!$D$4:$F$4,0))</f>
        <v>0.1</v>
      </c>
      <c r="P22" s="2"/>
      <c r="Q22" s="2"/>
      <c r="R22" s="151">
        <v>45261</v>
      </c>
      <c r="S22" s="151"/>
      <c r="T22" s="151">
        <v>45510</v>
      </c>
      <c r="U22" s="151">
        <v>45624</v>
      </c>
      <c r="V22" s="151"/>
      <c r="W22" s="2">
        <f>VLOOKUP(Table1[[#This Row],[Status]],Auxiliar!$B$16:$D$24,3,0)*Table1[[#This Row],[Estimação (horas)]]</f>
        <v>0.05</v>
      </c>
      <c r="X22" s="166" t="str">
        <f>+VLOOKUP(CONCATENATE(Table1[[#This Row],[Tabela]],Table1[[#This Row],[Campo]]),'2. Status Detalhe Campos FY24'!A:J,9,FALSE)</f>
        <v>Fase I</v>
      </c>
      <c r="Y22" s="167"/>
    </row>
    <row r="23" spans="2:25" ht="17.850000000000001" hidden="1" customHeight="1">
      <c r="B23" s="2" t="s">
        <v>26</v>
      </c>
      <c r="C23" s="2" t="s">
        <v>34</v>
      </c>
      <c r="D23" s="2" t="s">
        <v>1181</v>
      </c>
      <c r="E23" s="2" t="s">
        <v>38</v>
      </c>
      <c r="F23" s="2" t="s">
        <v>37</v>
      </c>
      <c r="G23" s="134" t="s">
        <v>1980</v>
      </c>
      <c r="H23" s="56" t="str">
        <f>Table1[[#This Row],[Tabela]]&amp;Table1[[#This Row],[Campo]]</f>
        <v>ENERGY_CERTIFICATE_EST_INPUTLOCALIDADE</v>
      </c>
      <c r="I23" s="2" t="s">
        <v>1845</v>
      </c>
      <c r="J23" s="42">
        <f>VLOOKUP(Table1[[#This Row],[Status]],Auxiliar!$B$16:$C$24,2,0)</f>
        <v>2</v>
      </c>
      <c r="K23" s="2" t="s">
        <v>1174</v>
      </c>
      <c r="L23" s="28" t="s">
        <v>1169</v>
      </c>
      <c r="M23" s="20" t="s">
        <v>1178</v>
      </c>
      <c r="N23" s="47">
        <v>45688</v>
      </c>
      <c r="O23" s="20">
        <f>INDEX(Auxiliar!$D$5:$F$13,MATCH(Table1[[#This Row],[Tipologia_Testes]],Auxiliar!$B$5:$B$13,0),MATCH(Table1[[#This Row],[Complexidade]],Auxiliar!$D$4:$F$4,0))</f>
        <v>0.1</v>
      </c>
      <c r="P23" s="2"/>
      <c r="Q23" s="2"/>
      <c r="R23" s="151">
        <v>45261</v>
      </c>
      <c r="S23" s="151"/>
      <c r="T23" s="151">
        <v>45510</v>
      </c>
      <c r="U23" s="151">
        <v>45624</v>
      </c>
      <c r="V23" s="151"/>
      <c r="W23" s="2">
        <f>VLOOKUP(Table1[[#This Row],[Status]],Auxiliar!$B$16:$D$24,3,0)*Table1[[#This Row],[Estimação (horas)]]</f>
        <v>0.05</v>
      </c>
      <c r="X23" s="166" t="str">
        <f>+VLOOKUP(CONCATENATE(Table1[[#This Row],[Tabela]],Table1[[#This Row],[Campo]]),'2. Status Detalhe Campos FY24'!A:J,9,FALSE)</f>
        <v>Fase I</v>
      </c>
      <c r="Y23" s="167"/>
    </row>
    <row r="24" spans="2:25" ht="17.850000000000001" hidden="1" customHeight="1">
      <c r="B24" s="2" t="s">
        <v>26</v>
      </c>
      <c r="C24" s="2" t="s">
        <v>34</v>
      </c>
      <c r="D24" s="2" t="s">
        <v>1181</v>
      </c>
      <c r="E24" s="2" t="s">
        <v>38</v>
      </c>
      <c r="F24" s="2" t="s">
        <v>37</v>
      </c>
      <c r="G24" s="134" t="s">
        <v>1981</v>
      </c>
      <c r="H24" s="56" t="str">
        <f>Table1[[#This Row],[Tabela]]&amp;Table1[[#This Row],[Campo]]</f>
        <v>ENERGY_CERTIFICATE_EST_INPUTTIPO_VIA</v>
      </c>
      <c r="I24" s="2" t="s">
        <v>1845</v>
      </c>
      <c r="J24" s="42">
        <f>VLOOKUP(Table1[[#This Row],[Status]],Auxiliar!$B$16:$C$24,2,0)</f>
        <v>2</v>
      </c>
      <c r="K24" s="2" t="s">
        <v>1174</v>
      </c>
      <c r="L24" s="28" t="s">
        <v>1169</v>
      </c>
      <c r="M24" s="20" t="s">
        <v>1178</v>
      </c>
      <c r="N24" s="47">
        <v>45688</v>
      </c>
      <c r="O24" s="20">
        <f>INDEX(Auxiliar!$D$5:$F$13,MATCH(Table1[[#This Row],[Tipologia_Testes]],Auxiliar!$B$5:$B$13,0),MATCH(Table1[[#This Row],[Complexidade]],Auxiliar!$D$4:$F$4,0))</f>
        <v>0.1</v>
      </c>
      <c r="P24" s="2" t="s">
        <v>1185</v>
      </c>
      <c r="Q24" s="2"/>
      <c r="R24" s="151">
        <v>45261</v>
      </c>
      <c r="S24" s="151"/>
      <c r="T24" s="151">
        <v>45510</v>
      </c>
      <c r="U24" s="151">
        <v>45624</v>
      </c>
      <c r="V24" s="151"/>
      <c r="W24" s="2">
        <f>VLOOKUP(Table1[[#This Row],[Status]],Auxiliar!$B$16:$D$24,3,0)*Table1[[#This Row],[Estimação (horas)]]</f>
        <v>0.05</v>
      </c>
      <c r="X24" s="166" t="str">
        <f>+VLOOKUP(CONCATENATE(Table1[[#This Row],[Tabela]],Table1[[#This Row],[Campo]]),'2. Status Detalhe Campos FY24'!A:J,9,FALSE)</f>
        <v>Fase I</v>
      </c>
      <c r="Y24" s="167"/>
    </row>
    <row r="25" spans="2:25" ht="17.850000000000001" hidden="1" customHeight="1">
      <c r="B25" s="2" t="s">
        <v>26</v>
      </c>
      <c r="C25" s="2" t="s">
        <v>34</v>
      </c>
      <c r="D25" s="2" t="s">
        <v>1181</v>
      </c>
      <c r="E25" s="2" t="s">
        <v>38</v>
      </c>
      <c r="F25" s="2" t="s">
        <v>37</v>
      </c>
      <c r="G25" s="134" t="s">
        <v>1982</v>
      </c>
      <c r="H25" s="56" t="str">
        <f>Table1[[#This Row],[Tabela]]&amp;Table1[[#This Row],[Campo]]</f>
        <v>ENERGY_CERTIFICATE_EST_INPUTNOMBRE_TIPO_VIA</v>
      </c>
      <c r="I25" s="2" t="s">
        <v>1845</v>
      </c>
      <c r="J25" s="42">
        <f>VLOOKUP(Table1[[#This Row],[Status]],Auxiliar!$B$16:$C$24,2,0)</f>
        <v>2</v>
      </c>
      <c r="K25" s="2" t="s">
        <v>1174</v>
      </c>
      <c r="L25" s="28" t="s">
        <v>1169</v>
      </c>
      <c r="M25" s="20" t="s">
        <v>1178</v>
      </c>
      <c r="N25" s="47">
        <v>45688</v>
      </c>
      <c r="O25" s="20">
        <f>INDEX(Auxiliar!$D$5:$F$13,MATCH(Table1[[#This Row],[Tipologia_Testes]],Auxiliar!$B$5:$B$13,0),MATCH(Table1[[#This Row],[Complexidade]],Auxiliar!$D$4:$F$4,0))</f>
        <v>0.1</v>
      </c>
      <c r="P25" s="2" t="s">
        <v>1185</v>
      </c>
      <c r="Q25" s="2"/>
      <c r="R25" s="151">
        <v>45261</v>
      </c>
      <c r="S25" s="151"/>
      <c r="T25" s="151">
        <v>45510</v>
      </c>
      <c r="U25" s="151">
        <v>45624</v>
      </c>
      <c r="V25" s="151"/>
      <c r="W25" s="2">
        <f>VLOOKUP(Table1[[#This Row],[Status]],Auxiliar!$B$16:$D$24,3,0)*Table1[[#This Row],[Estimação (horas)]]</f>
        <v>0.05</v>
      </c>
      <c r="X25" s="166" t="str">
        <f>+VLOOKUP(CONCATENATE(Table1[[#This Row],[Tabela]],Table1[[#This Row],[Campo]]),'2. Status Detalhe Campos FY24'!A:J,9,FALSE)</f>
        <v>Fase I</v>
      </c>
      <c r="Y25" s="167"/>
    </row>
    <row r="26" spans="2:25" ht="17.850000000000001" hidden="1" customHeight="1">
      <c r="B26" s="2" t="s">
        <v>26</v>
      </c>
      <c r="C26" s="2" t="s">
        <v>34</v>
      </c>
      <c r="D26" s="2" t="s">
        <v>1181</v>
      </c>
      <c r="E26" s="2" t="s">
        <v>38</v>
      </c>
      <c r="F26" s="2" t="s">
        <v>37</v>
      </c>
      <c r="G26" s="134" t="s">
        <v>1983</v>
      </c>
      <c r="H26" s="56" t="str">
        <f>Table1[[#This Row],[Tabela]]&amp;Table1[[#This Row],[Campo]]</f>
        <v>ENERGY_CERTIFICATE_EST_INPUTNOMBRE_VIA</v>
      </c>
      <c r="I26" s="2" t="s">
        <v>1845</v>
      </c>
      <c r="J26" s="42">
        <f>VLOOKUP(Table1[[#This Row],[Status]],Auxiliar!$B$16:$C$24,2,0)</f>
        <v>2</v>
      </c>
      <c r="K26" s="2" t="s">
        <v>1174</v>
      </c>
      <c r="L26" s="28" t="s">
        <v>1169</v>
      </c>
      <c r="M26" s="20" t="s">
        <v>1178</v>
      </c>
      <c r="N26" s="47">
        <v>45688</v>
      </c>
      <c r="O26" s="20">
        <f>INDEX(Auxiliar!$D$5:$F$13,MATCH(Table1[[#This Row],[Tipologia_Testes]],Auxiliar!$B$5:$B$13,0),MATCH(Table1[[#This Row],[Complexidade]],Auxiliar!$D$4:$F$4,0))</f>
        <v>0.1</v>
      </c>
      <c r="P26" s="48" t="s">
        <v>1186</v>
      </c>
      <c r="Q26" s="32"/>
      <c r="R26" s="151">
        <v>45261</v>
      </c>
      <c r="S26" s="151"/>
      <c r="T26" s="151">
        <v>45510</v>
      </c>
      <c r="U26" s="151">
        <v>45624</v>
      </c>
      <c r="V26" s="151"/>
      <c r="W26" s="2">
        <f>VLOOKUP(Table1[[#This Row],[Status]],Auxiliar!$B$16:$D$24,3,0)*Table1[[#This Row],[Estimação (horas)]]</f>
        <v>0.05</v>
      </c>
      <c r="X26" s="166" t="str">
        <f>+VLOOKUP(CONCATENATE(Table1[[#This Row],[Tabela]],Table1[[#This Row],[Campo]]),'2. Status Detalhe Campos FY24'!A:J,9,FALSE)</f>
        <v>Fase I</v>
      </c>
      <c r="Y26" s="168"/>
    </row>
    <row r="27" spans="2:25" ht="17.850000000000001" hidden="1" customHeight="1">
      <c r="B27" s="2" t="s">
        <v>26</v>
      </c>
      <c r="C27" s="2" t="s">
        <v>34</v>
      </c>
      <c r="D27" s="2" t="s">
        <v>1181</v>
      </c>
      <c r="E27" s="2" t="s">
        <v>38</v>
      </c>
      <c r="F27" s="2" t="s">
        <v>37</v>
      </c>
      <c r="G27" s="134" t="s">
        <v>1984</v>
      </c>
      <c r="H27" s="56" t="str">
        <f>Table1[[#This Row],[Tabela]]&amp;Table1[[#This Row],[Campo]]</f>
        <v>ENERGY_CERTIFICATE_EST_INPUTNUMERO_VIA</v>
      </c>
      <c r="I27" s="2" t="s">
        <v>1845</v>
      </c>
      <c r="J27" s="42">
        <f>VLOOKUP(Table1[[#This Row],[Status]],Auxiliar!$B$16:$C$24,2,0)</f>
        <v>2</v>
      </c>
      <c r="K27" s="2" t="s">
        <v>1174</v>
      </c>
      <c r="L27" s="28" t="s">
        <v>1169</v>
      </c>
      <c r="M27" s="20" t="s">
        <v>1178</v>
      </c>
      <c r="N27" s="47">
        <v>45688</v>
      </c>
      <c r="O27" s="20">
        <f>INDEX(Auxiliar!$D$5:$F$13,MATCH(Table1[[#This Row],[Tipologia_Testes]],Auxiliar!$B$5:$B$13,0),MATCH(Table1[[#This Row],[Complexidade]],Auxiliar!$D$4:$F$4,0))</f>
        <v>0.1</v>
      </c>
      <c r="P27" s="48" t="s">
        <v>1186</v>
      </c>
      <c r="Q27" s="32"/>
      <c r="R27" s="151">
        <v>45261</v>
      </c>
      <c r="S27" s="151"/>
      <c r="T27" s="151">
        <v>45510</v>
      </c>
      <c r="U27" s="151">
        <v>45624</v>
      </c>
      <c r="V27" s="151"/>
      <c r="W27" s="2">
        <f>VLOOKUP(Table1[[#This Row],[Status]],Auxiliar!$B$16:$D$24,3,0)*Table1[[#This Row],[Estimação (horas)]]</f>
        <v>0.05</v>
      </c>
      <c r="X27" s="166" t="str">
        <f>+VLOOKUP(CONCATENATE(Table1[[#This Row],[Tabela]],Table1[[#This Row],[Campo]]),'2. Status Detalhe Campos FY24'!A:J,9,FALSE)</f>
        <v>Fase I</v>
      </c>
      <c r="Y27" s="168"/>
    </row>
    <row r="28" spans="2:25" ht="17.850000000000001" hidden="1" customHeight="1">
      <c r="B28" s="2" t="s">
        <v>26</v>
      </c>
      <c r="C28" s="2" t="s">
        <v>34</v>
      </c>
      <c r="D28" s="2" t="s">
        <v>1181</v>
      </c>
      <c r="E28" s="2" t="s">
        <v>38</v>
      </c>
      <c r="F28" s="2" t="s">
        <v>37</v>
      </c>
      <c r="G28" s="134" t="s">
        <v>1985</v>
      </c>
      <c r="H28" s="56" t="str">
        <f>Table1[[#This Row],[Tabela]]&amp;Table1[[#This Row],[Campo]]</f>
        <v>ENERGY_CERTIFICATE_EST_INPUTLOTE</v>
      </c>
      <c r="I28" s="2" t="s">
        <v>1845</v>
      </c>
      <c r="J28" s="42">
        <f>VLOOKUP(Table1[[#This Row],[Status]],Auxiliar!$B$16:$C$24,2,0)</f>
        <v>2</v>
      </c>
      <c r="K28" s="2" t="s">
        <v>1174</v>
      </c>
      <c r="L28" s="28" t="s">
        <v>1169</v>
      </c>
      <c r="M28" s="20" t="s">
        <v>1178</v>
      </c>
      <c r="N28" s="47">
        <v>45688</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0.05</v>
      </c>
      <c r="X28" s="166" t="str">
        <f>+VLOOKUP(CONCATENATE(Table1[[#This Row],[Tabela]],Table1[[#This Row],[Campo]]),'2. Status Detalhe Campos FY24'!A:J,9,FALSE)</f>
        <v>Fase I</v>
      </c>
      <c r="Y28" s="167"/>
    </row>
    <row r="29" spans="2:25" ht="17.850000000000001" hidden="1" customHeight="1">
      <c r="B29" s="2" t="s">
        <v>26</v>
      </c>
      <c r="C29" s="2" t="s">
        <v>34</v>
      </c>
      <c r="D29" s="2" t="s">
        <v>1181</v>
      </c>
      <c r="E29" s="2" t="s">
        <v>38</v>
      </c>
      <c r="F29" s="2" t="s">
        <v>37</v>
      </c>
      <c r="G29" s="134" t="s">
        <v>1986</v>
      </c>
      <c r="H29" s="56" t="str">
        <f>Table1[[#This Row],[Tabela]]&amp;Table1[[#This Row],[Campo]]</f>
        <v>ENERGY_CERTIFICATE_EST_INPUTURBANIZACION</v>
      </c>
      <c r="I29" s="2" t="s">
        <v>1845</v>
      </c>
      <c r="J29" s="42">
        <f>VLOOKUP(Table1[[#This Row],[Status]],Auxiliar!$B$16:$C$24,2,0)</f>
        <v>2</v>
      </c>
      <c r="K29" s="2" t="s">
        <v>1174</v>
      </c>
      <c r="L29" s="28" t="s">
        <v>1169</v>
      </c>
      <c r="M29" s="20" t="s">
        <v>1178</v>
      </c>
      <c r="N29" s="47">
        <v>45688</v>
      </c>
      <c r="O29" s="20">
        <f>INDEX(Auxiliar!$D$5:$F$13,MATCH(Table1[[#This Row],[Tipologia_Testes]],Auxiliar!$B$5:$B$13,0),MATCH(Table1[[#This Row],[Complexidade]],Auxiliar!$D$4:$F$4,0))</f>
        <v>0.1</v>
      </c>
      <c r="P29" s="2"/>
      <c r="Q29" s="2"/>
      <c r="R29" s="151">
        <v>45261</v>
      </c>
      <c r="S29" s="151"/>
      <c r="T29" s="151">
        <v>45510</v>
      </c>
      <c r="U29" s="151">
        <v>45624</v>
      </c>
      <c r="V29" s="151"/>
      <c r="W29" s="2">
        <f>VLOOKUP(Table1[[#This Row],[Status]],Auxiliar!$B$16:$D$24,3,0)*Table1[[#This Row],[Estimação (horas)]]</f>
        <v>0.05</v>
      </c>
      <c r="X29" s="166" t="str">
        <f>+VLOOKUP(CONCATENATE(Table1[[#This Row],[Tabela]],Table1[[#This Row],[Campo]]),'2. Status Detalhe Campos FY24'!A:J,9,FALSE)</f>
        <v>Fase I</v>
      </c>
      <c r="Y29" s="167"/>
    </row>
    <row r="30" spans="2:25" ht="17.850000000000001" hidden="1" customHeight="1">
      <c r="B30" s="2" t="s">
        <v>26</v>
      </c>
      <c r="C30" s="2" t="s">
        <v>34</v>
      </c>
      <c r="D30" s="2" t="s">
        <v>1181</v>
      </c>
      <c r="E30" s="2" t="s">
        <v>38</v>
      </c>
      <c r="F30" s="2" t="s">
        <v>37</v>
      </c>
      <c r="G30" s="134" t="s">
        <v>1987</v>
      </c>
      <c r="H30" s="56" t="str">
        <f>Table1[[#This Row],[Tabela]]&amp;Table1[[#This Row],[Campo]]</f>
        <v>ENERGY_CERTIFICATE_EST_INPUTCAGLURB</v>
      </c>
      <c r="I30" s="2" t="s">
        <v>1845</v>
      </c>
      <c r="J30" s="42">
        <f>VLOOKUP(Table1[[#This Row],[Status]],Auxiliar!$B$16:$C$24,2,0)</f>
        <v>2</v>
      </c>
      <c r="K30" s="2" t="s">
        <v>1174</v>
      </c>
      <c r="L30" s="28" t="s">
        <v>1169</v>
      </c>
      <c r="M30" s="20" t="s">
        <v>1178</v>
      </c>
      <c r="N30" s="47">
        <v>45688</v>
      </c>
      <c r="O30" s="20">
        <f>INDEX(Auxiliar!$D$5:$F$13,MATCH(Table1[[#This Row],[Tipologia_Testes]],Auxiliar!$B$5:$B$13,0),MATCH(Table1[[#This Row],[Complexidade]],Auxiliar!$D$4:$F$4,0))</f>
        <v>0.1</v>
      </c>
      <c r="P30" s="2"/>
      <c r="Q30" s="2"/>
      <c r="R30" s="151">
        <v>45261</v>
      </c>
      <c r="S30" s="151"/>
      <c r="T30" s="151">
        <v>45510</v>
      </c>
      <c r="U30" s="151">
        <v>45624</v>
      </c>
      <c r="V30" s="151"/>
      <c r="W30" s="2">
        <f>VLOOKUP(Table1[[#This Row],[Status]],Auxiliar!$B$16:$D$24,3,0)*Table1[[#This Row],[Estimação (horas)]]</f>
        <v>0.05</v>
      </c>
      <c r="X30" s="166" t="str">
        <f>+VLOOKUP(CONCATENATE(Table1[[#This Row],[Tabela]],Table1[[#This Row],[Campo]]),'2. Status Detalhe Campos FY24'!A:J,9,FALSE)</f>
        <v>Fase I</v>
      </c>
      <c r="Y30" s="167"/>
    </row>
    <row r="31" spans="2:25" ht="17.850000000000001" hidden="1" customHeight="1">
      <c r="B31" s="2" t="s">
        <v>26</v>
      </c>
      <c r="C31" s="2" t="s">
        <v>34</v>
      </c>
      <c r="D31" s="2" t="s">
        <v>1181</v>
      </c>
      <c r="E31" s="2" t="s">
        <v>38</v>
      </c>
      <c r="F31" s="2" t="s">
        <v>37</v>
      </c>
      <c r="G31" s="134" t="s">
        <v>1988</v>
      </c>
      <c r="H31" s="56" t="str">
        <f>Table1[[#This Row],[Tabela]]&amp;Table1[[#This Row],[Campo]]</f>
        <v>ENERGY_CERTIFICATE_EST_INPUTRESTO_DIRECCION</v>
      </c>
      <c r="I31" s="2" t="s">
        <v>1845</v>
      </c>
      <c r="J31" s="42">
        <f>VLOOKUP(Table1[[#This Row],[Status]],Auxiliar!$B$16:$C$24,2,0)</f>
        <v>2</v>
      </c>
      <c r="K31" s="2" t="s">
        <v>1174</v>
      </c>
      <c r="L31" s="28" t="s">
        <v>1169</v>
      </c>
      <c r="M31" s="20" t="s">
        <v>1178</v>
      </c>
      <c r="N31" s="47">
        <v>45688</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0.05</v>
      </c>
      <c r="X31" s="166" t="str">
        <f>+VLOOKUP(CONCATENATE(Table1[[#This Row],[Tabela]],Table1[[#This Row],[Campo]]),'2. Status Detalhe Campos FY24'!A:J,9,FALSE)</f>
        <v>Fase I</v>
      </c>
      <c r="Y31" s="167"/>
    </row>
    <row r="32" spans="2:25" ht="17.850000000000001" hidden="1" customHeight="1">
      <c r="B32" s="2" t="s">
        <v>26</v>
      </c>
      <c r="C32" s="2" t="s">
        <v>34</v>
      </c>
      <c r="D32" s="2" t="s">
        <v>1181</v>
      </c>
      <c r="E32" s="2" t="s">
        <v>38</v>
      </c>
      <c r="F32" s="2" t="s">
        <v>37</v>
      </c>
      <c r="G32" s="134" t="s">
        <v>1989</v>
      </c>
      <c r="H32" s="56" t="str">
        <f>Table1[[#This Row],[Tabela]]&amp;Table1[[#This Row],[Campo]]</f>
        <v>ENERGY_CERTIFICATE_EST_INPUTLATITUDE</v>
      </c>
      <c r="I32" s="2" t="s">
        <v>1845</v>
      </c>
      <c r="J32" s="42">
        <f>VLOOKUP(Table1[[#This Row],[Status]],Auxiliar!$B$16:$C$24,2,0)</f>
        <v>2</v>
      </c>
      <c r="K32" s="2" t="s">
        <v>1174</v>
      </c>
      <c r="L32" s="28" t="s">
        <v>1169</v>
      </c>
      <c r="M32" s="20" t="s">
        <v>1178</v>
      </c>
      <c r="N32" s="47">
        <v>45688</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0.05</v>
      </c>
      <c r="X32" s="166" t="str">
        <f>+VLOOKUP(CONCATENATE(Table1[[#This Row],[Tabela]],Table1[[#This Row],[Campo]]),'2. Status Detalhe Campos FY24'!A:J,9,FALSE)</f>
        <v>Fase I</v>
      </c>
      <c r="Y32" s="167"/>
    </row>
    <row r="33" spans="2:25" ht="17.850000000000001" hidden="1" customHeight="1">
      <c r="B33" s="2" t="s">
        <v>26</v>
      </c>
      <c r="C33" s="2" t="s">
        <v>34</v>
      </c>
      <c r="D33" s="2" t="s">
        <v>1181</v>
      </c>
      <c r="E33" s="2" t="s">
        <v>38</v>
      </c>
      <c r="F33" s="2" t="s">
        <v>37</v>
      </c>
      <c r="G33" s="134" t="s">
        <v>1990</v>
      </c>
      <c r="H33" s="56" t="str">
        <f>Table1[[#This Row],[Tabela]]&amp;Table1[[#This Row],[Campo]]</f>
        <v>ENERGY_CERTIFICATE_EST_INPUTLONGITUDE</v>
      </c>
      <c r="I33" s="2" t="s">
        <v>1845</v>
      </c>
      <c r="J33" s="42">
        <f>VLOOKUP(Table1[[#This Row],[Status]],Auxiliar!$B$16:$C$24,2,0)</f>
        <v>2</v>
      </c>
      <c r="K33" s="2" t="s">
        <v>1174</v>
      </c>
      <c r="L33" s="28" t="s">
        <v>1169</v>
      </c>
      <c r="M33" s="20" t="s">
        <v>1178</v>
      </c>
      <c r="N33" s="47">
        <v>45688</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0.05</v>
      </c>
      <c r="X33" s="166" t="str">
        <f>+VLOOKUP(CONCATENATE(Table1[[#This Row],[Tabela]],Table1[[#This Row],[Campo]]),'2. Status Detalhe Campos FY24'!A:J,9,FALSE)</f>
        <v>Fase I</v>
      </c>
      <c r="Y33" s="167"/>
    </row>
    <row r="34" spans="2:25" ht="17.850000000000001" hidden="1" customHeight="1">
      <c r="B34" s="2" t="s">
        <v>26</v>
      </c>
      <c r="C34" s="2" t="s">
        <v>34</v>
      </c>
      <c r="D34" s="2" t="s">
        <v>1181</v>
      </c>
      <c r="E34" s="2" t="s">
        <v>38</v>
      </c>
      <c r="F34" s="2" t="s">
        <v>37</v>
      </c>
      <c r="G34" s="134" t="s">
        <v>1991</v>
      </c>
      <c r="H34" s="56" t="str">
        <f>Table1[[#This Row],[Tabela]]&amp;Table1[[#This Row],[Campo]]</f>
        <v>ENERGY_CERTIFICATE_EST_INPUTCODIGO_POSTAL</v>
      </c>
      <c r="I34" s="2" t="s">
        <v>1845</v>
      </c>
      <c r="J34" s="42">
        <f>VLOOKUP(Table1[[#This Row],[Status]],Auxiliar!$B$16:$C$24,2,0)</f>
        <v>2</v>
      </c>
      <c r="K34" s="2" t="s">
        <v>1174</v>
      </c>
      <c r="L34" s="28" t="s">
        <v>1169</v>
      </c>
      <c r="M34" s="20" t="s">
        <v>1178</v>
      </c>
      <c r="N34" s="47">
        <v>45688</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0.05</v>
      </c>
      <c r="X34" s="166" t="str">
        <f>+VLOOKUP(CONCATENATE(Table1[[#This Row],[Tabela]],Table1[[#This Row],[Campo]]),'2. Status Detalhe Campos FY24'!A:J,9,FALSE)</f>
        <v>Fase I</v>
      </c>
      <c r="Y34" s="167"/>
    </row>
    <row r="35" spans="2:25" ht="17.850000000000001" hidden="1" customHeight="1">
      <c r="B35" s="2" t="s">
        <v>26</v>
      </c>
      <c r="C35" s="2" t="s">
        <v>34</v>
      </c>
      <c r="D35" s="2" t="s">
        <v>1181</v>
      </c>
      <c r="E35" s="2" t="s">
        <v>38</v>
      </c>
      <c r="F35" s="2" t="s">
        <v>37</v>
      </c>
      <c r="G35" s="134" t="s">
        <v>1992</v>
      </c>
      <c r="H35" s="56" t="str">
        <f>Table1[[#This Row],[Tabela]]&amp;Table1[[#This Row],[Campo]]</f>
        <v>ENERGY_CERTIFICATE_EST_INPUTSUBCODIGO_POSTAL</v>
      </c>
      <c r="I35" s="2" t="s">
        <v>1845</v>
      </c>
      <c r="J35" s="42">
        <f>VLOOKUP(Table1[[#This Row],[Status]],Auxiliar!$B$16:$C$24,2,0)</f>
        <v>2</v>
      </c>
      <c r="K35" s="2" t="s">
        <v>1174</v>
      </c>
      <c r="L35" s="28" t="s">
        <v>1169</v>
      </c>
      <c r="M35" s="20" t="s">
        <v>1178</v>
      </c>
      <c r="N35" s="47">
        <v>45688</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0.05</v>
      </c>
      <c r="X35" s="166" t="str">
        <f>+VLOOKUP(CONCATENATE(Table1[[#This Row],[Tabela]],Table1[[#This Row],[Campo]]),'2. Status Detalhe Campos FY24'!A:J,9,FALSE)</f>
        <v>Fase I</v>
      </c>
      <c r="Y35" s="167"/>
    </row>
    <row r="36" spans="2:25" ht="17.850000000000001" hidden="1" customHeight="1">
      <c r="B36" s="2" t="s">
        <v>26</v>
      </c>
      <c r="C36" s="2" t="s">
        <v>34</v>
      </c>
      <c r="D36" s="2" t="s">
        <v>1181</v>
      </c>
      <c r="E36" s="2" t="s">
        <v>38</v>
      </c>
      <c r="F36" s="2" t="s">
        <v>37</v>
      </c>
      <c r="G36" s="134" t="s">
        <v>1993</v>
      </c>
      <c r="H36" s="56" t="str">
        <f>Table1[[#This Row],[Tabela]]&amp;Table1[[#This Row],[Campo]]</f>
        <v>ENERGY_CERTIFICATE_EST_INPUTASSUPERFICIE_UTIL</v>
      </c>
      <c r="I36" s="2" t="s">
        <v>1845</v>
      </c>
      <c r="J36" s="42">
        <f>VLOOKUP(Table1[[#This Row],[Status]],Auxiliar!$B$16:$C$24,2,0)</f>
        <v>2</v>
      </c>
      <c r="K36" s="2" t="s">
        <v>1174</v>
      </c>
      <c r="L36" s="28" t="s">
        <v>1169</v>
      </c>
      <c r="M36" s="20" t="s">
        <v>1178</v>
      </c>
      <c r="N36" s="47">
        <v>45688</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0.05</v>
      </c>
      <c r="X36" s="166" t="str">
        <f>+VLOOKUP(CONCATENATE(Table1[[#This Row],[Tabela]],Table1[[#This Row],[Campo]]),'2. Status Detalhe Campos FY24'!A:J,9,FALSE)</f>
        <v>Fase I</v>
      </c>
      <c r="Y36" s="167"/>
    </row>
    <row r="37" spans="2:25" ht="17.850000000000001" hidden="1" customHeight="1">
      <c r="B37" s="2" t="s">
        <v>26</v>
      </c>
      <c r="C37" s="2" t="s">
        <v>34</v>
      </c>
      <c r="D37" s="2" t="s">
        <v>1181</v>
      </c>
      <c r="E37" s="2" t="s">
        <v>38</v>
      </c>
      <c r="F37" s="2" t="s">
        <v>37</v>
      </c>
      <c r="G37" s="134" t="s">
        <v>1994</v>
      </c>
      <c r="H37" s="56" t="str">
        <f>Table1[[#This Row],[Tabela]]&amp;Table1[[#This Row],[Campo]]</f>
        <v>ENERGY_CERTIFICATE_EST_INPUTANIO_CONSTRUCCION</v>
      </c>
      <c r="I37" s="2" t="s">
        <v>1845</v>
      </c>
      <c r="J37" s="42">
        <f>VLOOKUP(Table1[[#This Row],[Status]],Auxiliar!$B$16:$C$24,2,0)</f>
        <v>2</v>
      </c>
      <c r="K37" s="2" t="s">
        <v>1174</v>
      </c>
      <c r="L37" s="28" t="s">
        <v>1169</v>
      </c>
      <c r="M37" s="20" t="s">
        <v>1178</v>
      </c>
      <c r="N37" s="47">
        <v>45688</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0.05</v>
      </c>
      <c r="X37" s="166" t="str">
        <f>+VLOOKUP(CONCATENATE(Table1[[#This Row],[Tabela]],Table1[[#This Row],[Campo]]),'2. Status Detalhe Campos FY24'!A:J,9,FALSE)</f>
        <v>Fase I</v>
      </c>
      <c r="Y37" s="167"/>
    </row>
    <row r="38" spans="2:25" ht="17.850000000000001" hidden="1" customHeight="1">
      <c r="B38" s="2" t="s">
        <v>26</v>
      </c>
      <c r="C38" s="2" t="s">
        <v>34</v>
      </c>
      <c r="D38" s="2" t="s">
        <v>1181</v>
      </c>
      <c r="E38" s="2" t="s">
        <v>38</v>
      </c>
      <c r="F38" s="2" t="s">
        <v>37</v>
      </c>
      <c r="G38" s="134" t="s">
        <v>1995</v>
      </c>
      <c r="H38" s="56" t="str">
        <f>Table1[[#This Row],[Tabela]]&amp;Table1[[#This Row],[Campo]]</f>
        <v>ENERGY_CERTIFICATE_EST_INPUTTIPO_INMUEBLE_HABITACAO</v>
      </c>
      <c r="I38" s="2" t="s">
        <v>1845</v>
      </c>
      <c r="J38" s="42">
        <f>VLOOKUP(Table1[[#This Row],[Status]],Auxiliar!$B$16:$C$24,2,0)</f>
        <v>2</v>
      </c>
      <c r="K38" s="2" t="s">
        <v>1174</v>
      </c>
      <c r="L38" s="28" t="s">
        <v>1169</v>
      </c>
      <c r="M38" s="20" t="s">
        <v>1178</v>
      </c>
      <c r="N38" s="47">
        <v>45688</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0.05</v>
      </c>
      <c r="X38" s="166" t="str">
        <f>+VLOOKUP(CONCATENATE(Table1[[#This Row],[Tabela]],Table1[[#This Row],[Campo]]),'2. Status Detalhe Campos FY24'!A:J,9,FALSE)</f>
        <v>Fase I</v>
      </c>
      <c r="Y38" s="167"/>
    </row>
    <row r="39" spans="2:25" ht="17.850000000000001" hidden="1" customHeight="1">
      <c r="B39" s="2" t="s">
        <v>26</v>
      </c>
      <c r="C39" s="2" t="s">
        <v>34</v>
      </c>
      <c r="D39" s="2" t="s">
        <v>1181</v>
      </c>
      <c r="E39" s="2" t="s">
        <v>38</v>
      </c>
      <c r="F39" s="2" t="s">
        <v>37</v>
      </c>
      <c r="G39" s="134" t="s">
        <v>1996</v>
      </c>
      <c r="H39" s="56" t="str">
        <f>Table1[[#This Row],[Tabela]]&amp;Table1[[#This Row],[Campo]]</f>
        <v>ENERGY_CERTIFICATE_EST_INPUTPISO_APARTAMENTO</v>
      </c>
      <c r="I39" s="2" t="s">
        <v>1845</v>
      </c>
      <c r="J39" s="42">
        <f>VLOOKUP(Table1[[#This Row],[Status]],Auxiliar!$B$16:$C$24,2,0)</f>
        <v>2</v>
      </c>
      <c r="K39" s="2" t="s">
        <v>1174</v>
      </c>
      <c r="L39" s="28" t="s">
        <v>1169</v>
      </c>
      <c r="M39" s="20" t="s">
        <v>1178</v>
      </c>
      <c r="N39" s="47">
        <v>45688</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0.05</v>
      </c>
      <c r="X39" s="166" t="str">
        <f>+VLOOKUP(CONCATENATE(Table1[[#This Row],[Tabela]],Table1[[#This Row],[Campo]]),'2. Status Detalhe Campos FY24'!A:J,9,FALSE)</f>
        <v>Fase I</v>
      </c>
      <c r="Y39" s="167"/>
    </row>
    <row r="40" spans="2:25" ht="17.850000000000001" hidden="1" customHeight="1">
      <c r="B40" s="2" t="s">
        <v>26</v>
      </c>
      <c r="C40" s="2" t="s">
        <v>34</v>
      </c>
      <c r="D40" s="2" t="s">
        <v>1181</v>
      </c>
      <c r="E40" s="2" t="s">
        <v>38</v>
      </c>
      <c r="F40" s="2" t="s">
        <v>37</v>
      </c>
      <c r="G40" s="134" t="s">
        <v>1997</v>
      </c>
      <c r="H40" s="56" t="str">
        <f>Table1[[#This Row],[Tabela]]&amp;Table1[[#This Row],[Campo]]</f>
        <v>ENERGY_CERTIFICATE_EST_INPUTCASA_UNIFAMILIAR</v>
      </c>
      <c r="I40" s="2" t="s">
        <v>1845</v>
      </c>
      <c r="J40" s="42">
        <f>VLOOKUP(Table1[[#This Row],[Status]],Auxiliar!$B$16:$C$24,2,0)</f>
        <v>2</v>
      </c>
      <c r="K40" s="2" t="s">
        <v>1174</v>
      </c>
      <c r="L40" s="28" t="s">
        <v>1169</v>
      </c>
      <c r="M40" s="20" t="s">
        <v>1178</v>
      </c>
      <c r="N40" s="47">
        <v>45688</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0.05</v>
      </c>
      <c r="X40" s="166" t="str">
        <f>+VLOOKUP(CONCATENATE(Table1[[#This Row],[Tabela]],Table1[[#This Row],[Campo]]),'2. Status Detalhe Campos FY24'!A:J,9,FALSE)</f>
        <v>Fase I</v>
      </c>
      <c r="Y40" s="167"/>
    </row>
    <row r="41" spans="2:25" ht="17.850000000000001" hidden="1" customHeight="1">
      <c r="B41" s="2" t="s">
        <v>26</v>
      </c>
      <c r="C41" s="2" t="s">
        <v>34</v>
      </c>
      <c r="D41" s="2" t="s">
        <v>1181</v>
      </c>
      <c r="E41" s="2" t="s">
        <v>38</v>
      </c>
      <c r="F41" s="2" t="s">
        <v>37</v>
      </c>
      <c r="G41" s="134" t="s">
        <v>1998</v>
      </c>
      <c r="H41" s="56" t="str">
        <f>Table1[[#This Row],[Tabela]]&amp;Table1[[#This Row],[Campo]]</f>
        <v>ENERGY_CERTIFICATE_EST_INPUTTIPO_INMUEBLE_COMERCIO_SERVICOS</v>
      </c>
      <c r="I41" s="2" t="s">
        <v>1845</v>
      </c>
      <c r="J41" s="42">
        <f>VLOOKUP(Table1[[#This Row],[Status]],Auxiliar!$B$16:$C$24,2,0)</f>
        <v>2</v>
      </c>
      <c r="K41" s="2" t="s">
        <v>1174</v>
      </c>
      <c r="L41" s="28" t="s">
        <v>1169</v>
      </c>
      <c r="M41" s="20" t="s">
        <v>1178</v>
      </c>
      <c r="N41" s="47">
        <v>45688</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0.05</v>
      </c>
      <c r="X41" s="166" t="str">
        <f>+VLOOKUP(CONCATENATE(Table1[[#This Row],[Tabela]],Table1[[#This Row],[Campo]]),'2. Status Detalhe Campos FY24'!A:J,9,FALSE)</f>
        <v>Fase I</v>
      </c>
      <c r="Y41" s="167"/>
    </row>
    <row r="42" spans="2:25" ht="17.850000000000001" hidden="1" customHeight="1">
      <c r="B42" s="2" t="s">
        <v>26</v>
      </c>
      <c r="C42" s="2" t="s">
        <v>34</v>
      </c>
      <c r="D42" s="2" t="s">
        <v>1181</v>
      </c>
      <c r="E42" s="2" t="s">
        <v>38</v>
      </c>
      <c r="F42" s="2" t="s">
        <v>37</v>
      </c>
      <c r="G42" s="134" t="s">
        <v>1999</v>
      </c>
      <c r="H42" s="56" t="str">
        <f>Table1[[#This Row],[Tabela]]&amp;Table1[[#This Row],[Campo]]</f>
        <v>ENERGY_CERTIFICATE_EST_INPUTNOME_CONSERVATORIA</v>
      </c>
      <c r="I42" s="2" t="s">
        <v>1845</v>
      </c>
      <c r="J42" s="42">
        <f>VLOOKUP(Table1[[#This Row],[Status]],Auxiliar!$B$16:$C$24,2,0)</f>
        <v>2</v>
      </c>
      <c r="K42" s="2" t="s">
        <v>1174</v>
      </c>
      <c r="L42" s="28" t="s">
        <v>1169</v>
      </c>
      <c r="M42" s="20" t="s">
        <v>1178</v>
      </c>
      <c r="N42" s="47">
        <v>45688</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0.05</v>
      </c>
      <c r="X42" s="166" t="str">
        <f>+VLOOKUP(CONCATENATE(Table1[[#This Row],[Tabela]],Table1[[#This Row],[Campo]]),'2. Status Detalhe Campos FY24'!A:J,9,FALSE)</f>
        <v>Fase I</v>
      </c>
      <c r="Y42" s="167"/>
    </row>
    <row r="43" spans="2:25" ht="17.850000000000001" hidden="1" customHeight="1">
      <c r="B43" s="2" t="s">
        <v>26</v>
      </c>
      <c r="C43" s="2" t="s">
        <v>34</v>
      </c>
      <c r="D43" s="2" t="s">
        <v>1181</v>
      </c>
      <c r="E43" s="2" t="s">
        <v>38</v>
      </c>
      <c r="F43" s="2" t="s">
        <v>37</v>
      </c>
      <c r="G43" s="134" t="s">
        <v>2000</v>
      </c>
      <c r="H43" s="56" t="str">
        <f>Table1[[#This Row],[Tabela]]&amp;Table1[[#This Row],[Campo]]</f>
        <v>ENERGY_CERTIFICATE_EST_INPUTCOD_CONSERVATORIA</v>
      </c>
      <c r="I43" s="2" t="s">
        <v>1845</v>
      </c>
      <c r="J43" s="42">
        <f>VLOOKUP(Table1[[#This Row],[Status]],Auxiliar!$B$16:$C$24,2,0)</f>
        <v>2</v>
      </c>
      <c r="K43" s="2" t="s">
        <v>1174</v>
      </c>
      <c r="L43" s="28" t="s">
        <v>1169</v>
      </c>
      <c r="M43" s="20" t="s">
        <v>1178</v>
      </c>
      <c r="N43" s="47">
        <v>45688</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0.05</v>
      </c>
      <c r="X43" s="166" t="str">
        <f>+VLOOKUP(CONCATENATE(Table1[[#This Row],[Tabela]],Table1[[#This Row],[Campo]]),'2. Status Detalhe Campos FY24'!A:J,9,FALSE)</f>
        <v>Fase I</v>
      </c>
      <c r="Y43" s="167"/>
    </row>
    <row r="44" spans="2:25" ht="17.850000000000001" hidden="1" customHeight="1">
      <c r="B44" s="2" t="s">
        <v>26</v>
      </c>
      <c r="C44" s="2" t="s">
        <v>34</v>
      </c>
      <c r="D44" s="2" t="s">
        <v>1181</v>
      </c>
      <c r="E44" s="2" t="s">
        <v>38</v>
      </c>
      <c r="F44" s="2" t="s">
        <v>37</v>
      </c>
      <c r="G44" s="134" t="s">
        <v>2001</v>
      </c>
      <c r="H44" s="56" t="str">
        <f>Table1[[#This Row],[Tabela]]&amp;Table1[[#This Row],[Campo]]</f>
        <v>ENERGY_CERTIFICATE_EST_INPUTREGISTRO_CONSERVATORIA</v>
      </c>
      <c r="I44" s="2" t="s">
        <v>1845</v>
      </c>
      <c r="J44" s="42">
        <f>VLOOKUP(Table1[[#This Row],[Status]],Auxiliar!$B$16:$C$24,2,0)</f>
        <v>2</v>
      </c>
      <c r="K44" s="2" t="s">
        <v>1174</v>
      </c>
      <c r="L44" s="28" t="s">
        <v>1169</v>
      </c>
      <c r="M44" s="20" t="s">
        <v>1178</v>
      </c>
      <c r="N44" s="47">
        <v>45688</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0.05</v>
      </c>
      <c r="X44" s="166" t="str">
        <f>+VLOOKUP(CONCATENATE(Table1[[#This Row],[Tabela]],Table1[[#This Row],[Campo]]),'2. Status Detalhe Campos FY24'!A:J,9,FALSE)</f>
        <v>Fase I</v>
      </c>
      <c r="Y44" s="167"/>
    </row>
    <row r="45" spans="2:25" ht="17.850000000000001" hidden="1" customHeight="1">
      <c r="B45" s="2" t="s">
        <v>26</v>
      </c>
      <c r="C45" s="2" t="s">
        <v>34</v>
      </c>
      <c r="D45" s="2" t="s">
        <v>1181</v>
      </c>
      <c r="E45" s="2" t="s">
        <v>38</v>
      </c>
      <c r="F45" s="2" t="s">
        <v>37</v>
      </c>
      <c r="G45" s="134" t="s">
        <v>2002</v>
      </c>
      <c r="H45" s="56" t="str">
        <f>Table1[[#This Row],[Tabela]]&amp;Table1[[#This Row],[Campo]]</f>
        <v>ENERGY_CERTIFICATE_EST_INPUTART_MATRICIAIS</v>
      </c>
      <c r="I45" s="2" t="s">
        <v>1845</v>
      </c>
      <c r="J45" s="42">
        <f>VLOOKUP(Table1[[#This Row],[Status]],Auxiliar!$B$16:$C$24,2,0)</f>
        <v>2</v>
      </c>
      <c r="K45" s="2" t="s">
        <v>1174</v>
      </c>
      <c r="L45" s="28" t="s">
        <v>1169</v>
      </c>
      <c r="M45" s="20" t="s">
        <v>1178</v>
      </c>
      <c r="N45" s="47">
        <v>45688</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0.05</v>
      </c>
      <c r="X45" s="166" t="str">
        <f>+VLOOKUP(CONCATENATE(Table1[[#This Row],[Tabela]],Table1[[#This Row],[Campo]]),'2. Status Detalhe Campos FY24'!A:J,9,FALSE)</f>
        <v>Fase I</v>
      </c>
      <c r="Y45" s="167"/>
    </row>
    <row r="46" spans="2:25" ht="17.850000000000001" hidden="1" customHeight="1">
      <c r="B46" s="2" t="s">
        <v>26</v>
      </c>
      <c r="C46" s="2" t="s">
        <v>34</v>
      </c>
      <c r="D46" s="2" t="s">
        <v>1181</v>
      </c>
      <c r="E46" s="2" t="s">
        <v>38</v>
      </c>
      <c r="F46" s="2" t="s">
        <v>37</v>
      </c>
      <c r="G46" s="134" t="s">
        <v>2003</v>
      </c>
      <c r="H46" s="56" t="str">
        <f>Table1[[#This Row],[Tabela]]&amp;Table1[[#This Row],[Campo]]</f>
        <v>ENERGY_CERTIFICATE_EST_INPUTFRACCAO_AUTONOMA</v>
      </c>
      <c r="I46" s="2" t="s">
        <v>1845</v>
      </c>
      <c r="J46" s="42">
        <f>VLOOKUP(Table1[[#This Row],[Status]],Auxiliar!$B$16:$C$24,2,0)</f>
        <v>2</v>
      </c>
      <c r="K46" s="2" t="s">
        <v>1174</v>
      </c>
      <c r="L46" s="28" t="s">
        <v>1169</v>
      </c>
      <c r="M46" s="20" t="s">
        <v>1178</v>
      </c>
      <c r="N46" s="47">
        <v>45688</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0.05</v>
      </c>
      <c r="X46" s="166" t="str">
        <f>+VLOOKUP(CONCATENATE(Table1[[#This Row],[Tabela]],Table1[[#This Row],[Campo]]),'2. Status Detalhe Campos FY24'!A:J,9,FALSE)</f>
        <v>Fase I</v>
      </c>
      <c r="Y46" s="167"/>
    </row>
    <row r="47" spans="2:25" ht="17.850000000000001" hidden="1" customHeight="1">
      <c r="B47" s="2" t="s">
        <v>26</v>
      </c>
      <c r="C47" s="2" t="s">
        <v>34</v>
      </c>
      <c r="D47" s="2" t="s">
        <v>1181</v>
      </c>
      <c r="E47" s="2" t="s">
        <v>38</v>
      </c>
      <c r="F47" s="2" t="s">
        <v>37</v>
      </c>
      <c r="G47" s="134" t="s">
        <v>2004</v>
      </c>
      <c r="H47" s="56" t="str">
        <f>Table1[[#This Row],[Tabela]]&amp;Table1[[#This Row],[Campo]]</f>
        <v>ENERGY_CERTIFICATE_EST_INPUTFINALIDADE_BEM</v>
      </c>
      <c r="I47" s="2" t="s">
        <v>1845</v>
      </c>
      <c r="J47" s="42">
        <f>VLOOKUP(Table1[[#This Row],[Status]],Auxiliar!$B$16:$C$24,2,0)</f>
        <v>2</v>
      </c>
      <c r="K47" s="2" t="s">
        <v>1174</v>
      </c>
      <c r="L47" s="28" t="s">
        <v>1169</v>
      </c>
      <c r="M47" s="20" t="s">
        <v>1178</v>
      </c>
      <c r="N47" s="47">
        <v>45688</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0.05</v>
      </c>
      <c r="X47" s="166" t="str">
        <f>+VLOOKUP(CONCATENATE(Table1[[#This Row],[Tabela]],Table1[[#This Row],[Campo]]),'2. Status Detalhe Campos FY24'!A:J,9,FALSE)</f>
        <v>Fase I</v>
      </c>
      <c r="Y47" s="167"/>
    </row>
    <row r="48" spans="2:25" ht="17.850000000000001" hidden="1" customHeight="1">
      <c r="B48" s="2" t="s">
        <v>26</v>
      </c>
      <c r="C48" s="2" t="s">
        <v>34</v>
      </c>
      <c r="D48" s="2" t="s">
        <v>1181</v>
      </c>
      <c r="E48" s="2" t="s">
        <v>38</v>
      </c>
      <c r="F48" s="2" t="s">
        <v>37</v>
      </c>
      <c r="G48" s="134" t="s">
        <v>2005</v>
      </c>
      <c r="H48" s="56" t="str">
        <f>Table1[[#This Row],[Tabela]]&amp;Table1[[#This Row],[Campo]]</f>
        <v>ENERGY_CERTIFICATE_EST_INPUTCLASS_GPT31</v>
      </c>
      <c r="I48" s="2" t="s">
        <v>1845</v>
      </c>
      <c r="J48" s="42">
        <f>VLOOKUP(Table1[[#This Row],[Status]],Auxiliar!$B$16:$C$24,2,0)</f>
        <v>2</v>
      </c>
      <c r="K48" s="2" t="s">
        <v>1174</v>
      </c>
      <c r="L48" s="28" t="s">
        <v>1169</v>
      </c>
      <c r="M48" s="20" t="s">
        <v>1178</v>
      </c>
      <c r="N48" s="47">
        <v>45688</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0.05</v>
      </c>
      <c r="X48" s="166" t="str">
        <f>+VLOOKUP(CONCATENATE(Table1[[#This Row],[Tabela]],Table1[[#This Row],[Campo]]),'2. Status Detalhe Campos FY24'!A:J,9,FALSE)</f>
        <v>Fase I</v>
      </c>
      <c r="Y48" s="167"/>
    </row>
    <row r="49" spans="2:25" ht="17.850000000000001" hidden="1" customHeight="1">
      <c r="B49" s="2" t="s">
        <v>26</v>
      </c>
      <c r="C49" s="2" t="s">
        <v>34</v>
      </c>
      <c r="D49" s="2" t="s">
        <v>1181</v>
      </c>
      <c r="E49" s="2" t="s">
        <v>38</v>
      </c>
      <c r="F49" s="2" t="s">
        <v>37</v>
      </c>
      <c r="G49" s="134" t="s">
        <v>2006</v>
      </c>
      <c r="H49" s="56" t="str">
        <f>Table1[[#This Row],[Tabela]]&amp;Table1[[#This Row],[Campo]]</f>
        <v>ENERGY_CERTIFICATE_EST_INPUTCLASS_STCLIM</v>
      </c>
      <c r="I49" s="2" t="s">
        <v>1845</v>
      </c>
      <c r="J49" s="42">
        <f>VLOOKUP(Table1[[#This Row],[Status]],Auxiliar!$B$16:$C$24,2,0)</f>
        <v>2</v>
      </c>
      <c r="K49" s="2" t="s">
        <v>1174</v>
      </c>
      <c r="L49" s="28" t="s">
        <v>1169</v>
      </c>
      <c r="M49" s="20" t="s">
        <v>1178</v>
      </c>
      <c r="N49" s="47">
        <v>45688</v>
      </c>
      <c r="O49" s="20">
        <f>INDEX(Auxiliar!$D$5:$F$11,MATCH(Table1[[#This Row],[Tipologia_Testes]],Auxiliar!$B$5:$B$11,0),MATCH(Table1[[#This Row],[Complexidade]],Auxiliar!$D$4:$F$4,0))</f>
        <v>0.1</v>
      </c>
      <c r="P49" s="2"/>
      <c r="Q49" s="2"/>
      <c r="R49" s="151"/>
      <c r="S49" s="151"/>
      <c r="T49" s="151"/>
      <c r="U49" s="151"/>
      <c r="V49" s="151"/>
      <c r="W49" s="2">
        <f>VLOOKUP(Table1[[#This Row],[Status]],Auxiliar!$B$16:$D$24,3,0)*Table1[[#This Row],[Estimação (horas)]]</f>
        <v>0.05</v>
      </c>
      <c r="X49" s="166" t="str">
        <f>+VLOOKUP(CONCATENATE(Table1[[#This Row],[Tabela]],Table1[[#This Row],[Campo]]),'2. Status Detalhe Campos FY24'!A:J,9,FALSE)</f>
        <v>Fase I</v>
      </c>
      <c r="Y49" s="167"/>
    </row>
    <row r="50" spans="2:25" ht="17.850000000000001" hidden="1" customHeight="1">
      <c r="B50" s="2" t="s">
        <v>26</v>
      </c>
      <c r="C50" s="2" t="s">
        <v>34</v>
      </c>
      <c r="D50" s="2" t="s">
        <v>1181</v>
      </c>
      <c r="E50" s="2" t="s">
        <v>38</v>
      </c>
      <c r="F50" s="2" t="s">
        <v>37</v>
      </c>
      <c r="G50" s="134" t="s">
        <v>2007</v>
      </c>
      <c r="H50" s="56" t="str">
        <f>Table1[[#This Row],[Tabela]]&amp;Table1[[#This Row],[Campo]]</f>
        <v>ENERGY_CERTIFICATE_EST_INPUTCONF_STCLIM</v>
      </c>
      <c r="I50" s="2" t="s">
        <v>1845</v>
      </c>
      <c r="J50" s="42">
        <f>VLOOKUP(Table1[[#This Row],[Status]],Auxiliar!$B$16:$C$24,2,0)</f>
        <v>2</v>
      </c>
      <c r="K50" s="2" t="s">
        <v>1174</v>
      </c>
      <c r="L50" s="28" t="s">
        <v>1169</v>
      </c>
      <c r="M50" s="20" t="s">
        <v>1178</v>
      </c>
      <c r="N50" s="47">
        <v>45688</v>
      </c>
      <c r="O50" s="20">
        <f>INDEX(Auxiliar!$D$5:$F$11,MATCH(Table1[[#This Row],[Tipologia_Testes]],Auxiliar!$B$5:$B$11,0),MATCH(Table1[[#This Row],[Complexidade]],Auxiliar!$D$4:$F$4,0))</f>
        <v>0.1</v>
      </c>
      <c r="P50" s="2"/>
      <c r="Q50" s="2"/>
      <c r="R50" s="151"/>
      <c r="S50" s="151"/>
      <c r="T50" s="151"/>
      <c r="U50" s="151"/>
      <c r="V50" s="151"/>
      <c r="W50" s="2">
        <f>VLOOKUP(Table1[[#This Row],[Status]],Auxiliar!$B$16:$D$24,3,0)*Table1[[#This Row],[Estimação (horas)]]</f>
        <v>0.05</v>
      </c>
      <c r="X50" s="166" t="str">
        <f>+VLOOKUP(CONCATENATE(Table1[[#This Row],[Tabela]],Table1[[#This Row],[Campo]]),'2. Status Detalhe Campos FY24'!A:J,9,FALSE)</f>
        <v>Fase I</v>
      </c>
      <c r="Y50" s="167"/>
    </row>
    <row r="51" spans="2:25" ht="17.850000000000001" hidden="1" customHeight="1">
      <c r="B51" s="2" t="s">
        <v>26</v>
      </c>
      <c r="C51" s="2" t="s">
        <v>34</v>
      </c>
      <c r="D51" s="2" t="s">
        <v>1181</v>
      </c>
      <c r="E51" s="2" t="s">
        <v>38</v>
      </c>
      <c r="F51" s="2" t="s">
        <v>37</v>
      </c>
      <c r="G51" s="134" t="s">
        <v>2008</v>
      </c>
      <c r="H51" s="56" t="str">
        <f>Table1[[#This Row],[Tabela]]&amp;Table1[[#This Row],[Campo]]</f>
        <v>ENERGY_CERTIFICATE_EST_INPUTCLASSE_ENERGETICA</v>
      </c>
      <c r="I51" s="2" t="s">
        <v>1845</v>
      </c>
      <c r="J51" s="42">
        <f>VLOOKUP(Table1[[#This Row],[Status]],Auxiliar!$B$16:$C$24,2,0)</f>
        <v>2</v>
      </c>
      <c r="K51" s="2" t="s">
        <v>1174</v>
      </c>
      <c r="L51" s="28" t="s">
        <v>1169</v>
      </c>
      <c r="M51" s="20" t="s">
        <v>1178</v>
      </c>
      <c r="N51" s="47">
        <v>45688</v>
      </c>
      <c r="O51" s="20">
        <f>INDEX(Auxiliar!$D$5:$F$13,MATCH(Table1[[#This Row],[Tipologia_Testes]],Auxiliar!$B$5:$B$13,0),MATCH(Table1[[#This Row],[Complexidade]],Auxiliar!$D$4:$F$4,0))</f>
        <v>0.1</v>
      </c>
      <c r="P51" s="2"/>
      <c r="Q51" s="2"/>
      <c r="R51" s="151">
        <v>45261</v>
      </c>
      <c r="S51" s="151"/>
      <c r="T51" s="151">
        <v>45510</v>
      </c>
      <c r="U51" s="151">
        <v>45624</v>
      </c>
      <c r="V51" s="151"/>
      <c r="W51" s="2">
        <f>VLOOKUP(Table1[[#This Row],[Status]],Auxiliar!$B$16:$D$24,3,0)*Table1[[#This Row],[Estimação (horas)]]</f>
        <v>0.05</v>
      </c>
      <c r="X51" s="166" t="str">
        <f>+VLOOKUP(CONCATENATE(Table1[[#This Row],[Tabela]],Table1[[#This Row],[Campo]]),'2. Status Detalhe Campos FY24'!A:J,9,FALSE)</f>
        <v>Fase I</v>
      </c>
      <c r="Y51" s="167"/>
    </row>
    <row r="52" spans="2:25" ht="17.850000000000001" hidden="1" customHeight="1">
      <c r="B52" s="2" t="s">
        <v>26</v>
      </c>
      <c r="C52" s="2" t="s">
        <v>34</v>
      </c>
      <c r="D52" s="2" t="s">
        <v>1181</v>
      </c>
      <c r="E52" s="2" t="s">
        <v>38</v>
      </c>
      <c r="F52" s="2" t="s">
        <v>37</v>
      </c>
      <c r="G52" s="134" t="s">
        <v>2009</v>
      </c>
      <c r="H52" s="56" t="str">
        <f>Table1[[#This Row],[Tabela]]&amp;Table1[[#This Row],[Campo]]</f>
        <v>ENERGY_CERTIFICATE_EST_INPUTFIABILIDAD</v>
      </c>
      <c r="I52" s="2" t="s">
        <v>1845</v>
      </c>
      <c r="J52" s="42">
        <f>VLOOKUP(Table1[[#This Row],[Status]],Auxiliar!$B$16:$C$24,2,0)</f>
        <v>2</v>
      </c>
      <c r="K52" s="2" t="s">
        <v>1174</v>
      </c>
      <c r="L52" s="28" t="s">
        <v>1169</v>
      </c>
      <c r="M52" s="20" t="s">
        <v>1178</v>
      </c>
      <c r="N52" s="47">
        <v>45688</v>
      </c>
      <c r="O52" s="20">
        <f>INDEX(Auxiliar!$D$5:$F$13,MATCH(Table1[[#This Row],[Tipologia_Testes]],Auxiliar!$B$5:$B$13,0),MATCH(Table1[[#This Row],[Complexidade]],Auxiliar!$D$4:$F$4,0))</f>
        <v>0.1</v>
      </c>
      <c r="P52" s="2" t="s">
        <v>1185</v>
      </c>
      <c r="Q52" s="2"/>
      <c r="R52" s="151">
        <v>45261</v>
      </c>
      <c r="S52" s="151"/>
      <c r="T52" s="151">
        <v>45510</v>
      </c>
      <c r="U52" s="151">
        <v>45624</v>
      </c>
      <c r="V52" s="151"/>
      <c r="W52" s="2">
        <f>VLOOKUP(Table1[[#This Row],[Status]],Auxiliar!$B$16:$D$24,3,0)*Table1[[#This Row],[Estimação (horas)]]</f>
        <v>0.05</v>
      </c>
      <c r="X52" s="166" t="str">
        <f>+VLOOKUP(CONCATENATE(Table1[[#This Row],[Tabela]],Table1[[#This Row],[Campo]]),'2. Status Detalhe Campos FY24'!A:J,9,FALSE)</f>
        <v>Fase I</v>
      </c>
      <c r="Y52" s="167"/>
    </row>
    <row r="53" spans="2:25" ht="17.850000000000001" hidden="1" customHeight="1">
      <c r="B53" s="2" t="s">
        <v>26</v>
      </c>
      <c r="C53" s="2" t="s">
        <v>34</v>
      </c>
      <c r="D53" s="2" t="s">
        <v>1181</v>
      </c>
      <c r="E53" s="2" t="s">
        <v>38</v>
      </c>
      <c r="F53" s="2" t="s">
        <v>37</v>
      </c>
      <c r="G53" s="134" t="s">
        <v>2010</v>
      </c>
      <c r="H53" s="56" t="str">
        <f>Table1[[#This Row],[Tabela]]&amp;Table1[[#This Row],[Campo]]</f>
        <v>ENERGY_CERTIFICATE_EST_INPUTEMISSIONES</v>
      </c>
      <c r="I53" s="2" t="s">
        <v>1845</v>
      </c>
      <c r="J53" s="42">
        <f>VLOOKUP(Table1[[#This Row],[Status]],Auxiliar!$B$16:$C$24,2,0)</f>
        <v>2</v>
      </c>
      <c r="K53" s="2" t="s">
        <v>1174</v>
      </c>
      <c r="L53" s="28" t="s">
        <v>1169</v>
      </c>
      <c r="M53" s="20" t="s">
        <v>1178</v>
      </c>
      <c r="N53" s="47">
        <v>45688</v>
      </c>
      <c r="O53" s="20">
        <f>INDEX(Auxiliar!$D$5:$F$13,MATCH(Table1[[#This Row],[Tipologia_Testes]],Auxiliar!$B$5:$B$13,0),MATCH(Table1[[#This Row],[Complexidade]],Auxiliar!$D$4:$F$4,0))</f>
        <v>0.1</v>
      </c>
      <c r="P53" s="2" t="s">
        <v>1185</v>
      </c>
      <c r="Q53" s="2"/>
      <c r="R53" s="151">
        <v>45261</v>
      </c>
      <c r="S53" s="151"/>
      <c r="T53" s="151">
        <v>45510</v>
      </c>
      <c r="U53" s="151">
        <v>45624</v>
      </c>
      <c r="V53" s="151"/>
      <c r="W53" s="2">
        <f>VLOOKUP(Table1[[#This Row],[Status]],Auxiliar!$B$16:$D$24,3,0)*Table1[[#This Row],[Estimação (horas)]]</f>
        <v>0.05</v>
      </c>
      <c r="X53" s="166" t="str">
        <f>+VLOOKUP(CONCATENATE(Table1[[#This Row],[Tabela]],Table1[[#This Row],[Campo]]),'2. Status Detalhe Campos FY24'!A:J,9,FALSE)</f>
        <v>Fase I</v>
      </c>
      <c r="Y53" s="167"/>
    </row>
    <row r="54" spans="2:25" ht="17.850000000000001" hidden="1" customHeight="1">
      <c r="B54" s="2" t="s">
        <v>26</v>
      </c>
      <c r="C54" s="2" t="s">
        <v>34</v>
      </c>
      <c r="D54" s="2" t="s">
        <v>1181</v>
      </c>
      <c r="E54" s="2" t="s">
        <v>38</v>
      </c>
      <c r="F54" s="2" t="s">
        <v>37</v>
      </c>
      <c r="G54" s="134" t="s">
        <v>2011</v>
      </c>
      <c r="H54" s="56" t="str">
        <f>Table1[[#This Row],[Tabela]]&amp;Table1[[#This Row],[Campo]]</f>
        <v>ENERGY_CERTIFICATE_EST_INPUTCONSUMOS</v>
      </c>
      <c r="I54" s="2" t="s">
        <v>1845</v>
      </c>
      <c r="J54" s="42">
        <f>VLOOKUP(Table1[[#This Row],[Status]],Auxiliar!$B$16:$C$24,2,0)</f>
        <v>2</v>
      </c>
      <c r="K54" s="2" t="s">
        <v>1174</v>
      </c>
      <c r="L54" s="28" t="s">
        <v>1169</v>
      </c>
      <c r="M54" s="20" t="s">
        <v>1178</v>
      </c>
      <c r="N54" s="47">
        <v>45688</v>
      </c>
      <c r="O54" s="20">
        <f>INDEX(Auxiliar!$D$5:$F$13,MATCH(Table1[[#This Row],[Tipologia_Testes]],Auxiliar!$B$5:$B$13,0),MATCH(Table1[[#This Row],[Complexidade]],Auxiliar!$D$4:$F$4,0))</f>
        <v>0.1</v>
      </c>
      <c r="P54" s="2" t="s">
        <v>1185</v>
      </c>
      <c r="Q54" s="2"/>
      <c r="R54" s="151">
        <v>45261</v>
      </c>
      <c r="S54" s="151"/>
      <c r="T54" s="151">
        <v>45510</v>
      </c>
      <c r="U54" s="151">
        <v>45624</v>
      </c>
      <c r="V54" s="151"/>
      <c r="W54" s="2">
        <f>VLOOKUP(Table1[[#This Row],[Status]],Auxiliar!$B$16:$D$24,3,0)*Table1[[#This Row],[Estimação (horas)]]</f>
        <v>0.05</v>
      </c>
      <c r="X54" s="166" t="str">
        <f>+VLOOKUP(CONCATENATE(Table1[[#This Row],[Tabela]],Table1[[#This Row],[Campo]]),'2. Status Detalhe Campos FY24'!A:J,9,FALSE)</f>
        <v>Fase I</v>
      </c>
      <c r="Y54" s="167"/>
    </row>
    <row r="55" spans="2:25" ht="17.850000000000001" hidden="1" customHeight="1">
      <c r="B55" s="2" t="s">
        <v>26</v>
      </c>
      <c r="C55" s="2" t="s">
        <v>34</v>
      </c>
      <c r="D55" s="2" t="s">
        <v>1181</v>
      </c>
      <c r="E55" s="2" t="s">
        <v>38</v>
      </c>
      <c r="F55" s="2" t="s">
        <v>37</v>
      </c>
      <c r="G55" s="134" t="s">
        <v>2012</v>
      </c>
      <c r="H55" s="56" t="str">
        <f>Table1[[#This Row],[Tabela]]&amp;Table1[[#This Row],[Campo]]</f>
        <v>ENERGY_CERTIFICATE_EST_INPUTDATA_ENVIO</v>
      </c>
      <c r="I55" s="2" t="s">
        <v>1845</v>
      </c>
      <c r="J55" s="42">
        <f>VLOOKUP(Table1[[#This Row],[Status]],Auxiliar!$B$16:$C$24,2,0)</f>
        <v>2</v>
      </c>
      <c r="K55" s="2" t="s">
        <v>1174</v>
      </c>
      <c r="L55" s="28" t="s">
        <v>1169</v>
      </c>
      <c r="M55" s="20" t="s">
        <v>1178</v>
      </c>
      <c r="N55" s="47">
        <v>45688</v>
      </c>
      <c r="O55" s="20">
        <f>INDEX(Auxiliar!$D$5:$F$13,MATCH(Table1[[#This Row],[Tipologia_Testes]],Auxiliar!$B$5:$B$13,0),MATCH(Table1[[#This Row],[Complexidade]],Auxiliar!$D$4:$F$4,0))</f>
        <v>0.1</v>
      </c>
      <c r="P55" s="2" t="s">
        <v>1185</v>
      </c>
      <c r="Q55" s="2"/>
      <c r="R55" s="151">
        <v>45261</v>
      </c>
      <c r="S55" s="151"/>
      <c r="T55" s="151">
        <v>45510</v>
      </c>
      <c r="U55" s="151">
        <v>45624</v>
      </c>
      <c r="V55" s="151"/>
      <c r="W55" s="2">
        <f>VLOOKUP(Table1[[#This Row],[Status]],Auxiliar!$B$16:$D$24,3,0)*Table1[[#This Row],[Estimação (horas)]]</f>
        <v>0.05</v>
      </c>
      <c r="X55" s="166" t="str">
        <f>+VLOOKUP(CONCATENATE(Table1[[#This Row],[Tabela]],Table1[[#This Row],[Campo]]),'2. Status Detalhe Campos FY24'!A:J,9,FALSE)</f>
        <v>Fase I</v>
      </c>
      <c r="Y55" s="167"/>
    </row>
    <row r="56" spans="2:25" ht="17.850000000000001" hidden="1" customHeight="1">
      <c r="B56" s="2" t="s">
        <v>26</v>
      </c>
      <c r="C56" s="2" t="s">
        <v>34</v>
      </c>
      <c r="D56" s="2" t="s">
        <v>1181</v>
      </c>
      <c r="E56" s="2" t="s">
        <v>38</v>
      </c>
      <c r="F56" s="2" t="s">
        <v>37</v>
      </c>
      <c r="G56" s="134" t="s">
        <v>1973</v>
      </c>
      <c r="H56" s="56" t="str">
        <f>Table1[[#This Row],[Tabela]]&amp;Table1[[#This Row],[Campo]]</f>
        <v>ENERGY_CERTIFICATE_EST_INPUTCHAVE_GLOVAL</v>
      </c>
      <c r="I56" s="2" t="s">
        <v>1845</v>
      </c>
      <c r="J56" s="42">
        <f>VLOOKUP(Table1[[#This Row],[Status]],Auxiliar!$B$16:$C$24,2,0)</f>
        <v>2</v>
      </c>
      <c r="K56" s="2" t="s">
        <v>1182</v>
      </c>
      <c r="L56" s="28" t="s">
        <v>1169</v>
      </c>
      <c r="M56" s="20" t="s">
        <v>1178</v>
      </c>
      <c r="N56" s="47">
        <v>45688</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6" t="str">
        <f>+VLOOKUP(CONCATENATE(Table1[[#This Row],[Tabela]],Table1[[#This Row],[Campo]]),'2. Status Detalhe Campos FY24'!A:J,9,FALSE)</f>
        <v>Fase I</v>
      </c>
      <c r="Y56" s="167"/>
    </row>
    <row r="57" spans="2:25" ht="17.850000000000001" hidden="1" customHeight="1">
      <c r="B57" s="2" t="s">
        <v>26</v>
      </c>
      <c r="C57" s="2" t="s">
        <v>34</v>
      </c>
      <c r="D57" s="2" t="s">
        <v>1181</v>
      </c>
      <c r="E57" s="2" t="s">
        <v>38</v>
      </c>
      <c r="F57" s="2" t="s">
        <v>37</v>
      </c>
      <c r="G57" s="134" t="s">
        <v>41</v>
      </c>
      <c r="H57" s="56" t="str">
        <f>Table1[[#This Row],[Tabela]]&amp;Table1[[#This Row],[Campo]]</f>
        <v>ENERGY_CERTIFICATE_EST_INPUTPROPERTY_BANK_ID</v>
      </c>
      <c r="I57" s="2" t="s">
        <v>1845</v>
      </c>
      <c r="J57" s="42">
        <f>VLOOKUP(Table1[[#This Row],[Status]],Auxiliar!$B$16:$C$24,2,0)</f>
        <v>2</v>
      </c>
      <c r="K57" s="2" t="s">
        <v>1182</v>
      </c>
      <c r="L57" s="28" t="s">
        <v>1169</v>
      </c>
      <c r="M57" s="20" t="s">
        <v>1178</v>
      </c>
      <c r="N57" s="47">
        <v>45688</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6" t="str">
        <f>+VLOOKUP(CONCATENATE(Table1[[#This Row],[Tabela]],Table1[[#This Row],[Campo]]),'2. Status Detalhe Campos FY24'!A:J,9,FALSE)</f>
        <v>Fase I</v>
      </c>
      <c r="Y57" s="167"/>
    </row>
    <row r="58" spans="2:25" ht="17.850000000000001" hidden="1" customHeight="1">
      <c r="B58" s="2" t="s">
        <v>26</v>
      </c>
      <c r="C58" s="2" t="s">
        <v>34</v>
      </c>
      <c r="D58" s="2" t="s">
        <v>1181</v>
      </c>
      <c r="E58" s="2" t="s">
        <v>38</v>
      </c>
      <c r="F58" s="2" t="s">
        <v>37</v>
      </c>
      <c r="G58" s="134" t="s">
        <v>43</v>
      </c>
      <c r="H58" s="56" t="str">
        <f>Table1[[#This Row],[Tabela]]&amp;Table1[[#This Row],[Campo]]</f>
        <v>ENERGY_CERTIFICATE_EST_INPUTPROPERTY_BRANCH_CODE</v>
      </c>
      <c r="I58" s="2" t="s">
        <v>1845</v>
      </c>
      <c r="J58" s="42">
        <f>VLOOKUP(Table1[[#This Row],[Status]],Auxiliar!$B$16:$C$24,2,0)</f>
        <v>2</v>
      </c>
      <c r="K58" s="2" t="s">
        <v>1182</v>
      </c>
      <c r="L58" s="28" t="s">
        <v>1169</v>
      </c>
      <c r="M58" s="20" t="s">
        <v>1178</v>
      </c>
      <c r="N58" s="47">
        <v>45688</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6" t="str">
        <f>+VLOOKUP(CONCATENATE(Table1[[#This Row],[Tabela]],Table1[[#This Row],[Campo]]),'2. Status Detalhe Campos FY24'!A:J,9,FALSE)</f>
        <v>Fase I</v>
      </c>
      <c r="Y58" s="167"/>
    </row>
    <row r="59" spans="2:25" ht="17.850000000000001" hidden="1" customHeight="1">
      <c r="B59" s="2" t="s">
        <v>26</v>
      </c>
      <c r="C59" s="2" t="s">
        <v>34</v>
      </c>
      <c r="D59" s="2" t="s">
        <v>1181</v>
      </c>
      <c r="E59" s="2" t="s">
        <v>38</v>
      </c>
      <c r="F59" s="2" t="s">
        <v>37</v>
      </c>
      <c r="G59" s="134" t="s">
        <v>44</v>
      </c>
      <c r="H59" s="56" t="str">
        <f>Table1[[#This Row],[Tabela]]&amp;Table1[[#This Row],[Campo]]</f>
        <v>ENERGY_CERTIFICATE_EST_INPUTPROPERTY_CONTRACT_ID</v>
      </c>
      <c r="I59" s="2" t="s">
        <v>1845</v>
      </c>
      <c r="J59" s="42">
        <f>VLOOKUP(Table1[[#This Row],[Status]],Auxiliar!$B$16:$C$24,2,0)</f>
        <v>2</v>
      </c>
      <c r="K59" s="2" t="s">
        <v>1182</v>
      </c>
      <c r="L59" s="28" t="s">
        <v>1169</v>
      </c>
      <c r="M59" s="20" t="s">
        <v>1178</v>
      </c>
      <c r="N59" s="47">
        <v>45688</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6" t="str">
        <f>+VLOOKUP(CONCATENATE(Table1[[#This Row],[Tabela]],Table1[[#This Row],[Campo]]),'2. Status Detalhe Campos FY24'!A:J,9,FALSE)</f>
        <v>Fase I</v>
      </c>
      <c r="Y59" s="167"/>
    </row>
    <row r="60" spans="2:25" ht="17.850000000000001" hidden="1" customHeight="1">
      <c r="B60" s="2" t="s">
        <v>26</v>
      </c>
      <c r="C60" s="2" t="s">
        <v>34</v>
      </c>
      <c r="D60" s="2" t="s">
        <v>1181</v>
      </c>
      <c r="E60" s="2" t="s">
        <v>38</v>
      </c>
      <c r="F60" s="2" t="s">
        <v>37</v>
      </c>
      <c r="G60" s="134" t="s">
        <v>45</v>
      </c>
      <c r="H60" s="56" t="str">
        <f>Table1[[#This Row],[Tabela]]&amp;Table1[[#This Row],[Campo]]</f>
        <v>ENERGY_CERTIFICATE_EST_INPUTPROPERTY_REFERENCE_CODE</v>
      </c>
      <c r="I60" s="2" t="s">
        <v>1845</v>
      </c>
      <c r="J60" s="42">
        <f>VLOOKUP(Table1[[#This Row],[Status]],Auxiliar!$B$16:$C$24,2,0)</f>
        <v>2</v>
      </c>
      <c r="K60" s="2" t="s">
        <v>1182</v>
      </c>
      <c r="L60" s="28" t="s">
        <v>1169</v>
      </c>
      <c r="M60" s="20" t="s">
        <v>1178</v>
      </c>
      <c r="N60" s="47">
        <v>45688</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6" t="str">
        <f>+VLOOKUP(CONCATENATE(Table1[[#This Row],[Tabela]],Table1[[#This Row],[Campo]]),'2. Status Detalhe Campos FY24'!A:J,9,FALSE)</f>
        <v>Fase I</v>
      </c>
      <c r="Y60" s="167"/>
    </row>
    <row r="61" spans="2:25" ht="17.850000000000001" hidden="1" customHeight="1">
      <c r="B61" s="2" t="s">
        <v>26</v>
      </c>
      <c r="C61" s="2" t="s">
        <v>34</v>
      </c>
      <c r="D61" s="2" t="s">
        <v>1181</v>
      </c>
      <c r="E61" s="2" t="s">
        <v>38</v>
      </c>
      <c r="F61" s="2" t="s">
        <v>37</v>
      </c>
      <c r="G61" s="134" t="s">
        <v>1974</v>
      </c>
      <c r="H61" s="56" t="str">
        <f>Table1[[#This Row],[Tabela]]&amp;Table1[[#This Row],[Campo]]</f>
        <v>ENERGY_CERTIFICATE_EST_INPUTCÓDIGO_DISTRITO</v>
      </c>
      <c r="I61" s="2" t="s">
        <v>1845</v>
      </c>
      <c r="J61" s="42">
        <f>VLOOKUP(Table1[[#This Row],[Status]],Auxiliar!$B$16:$C$24,2,0)</f>
        <v>2</v>
      </c>
      <c r="K61" s="2" t="s">
        <v>1182</v>
      </c>
      <c r="L61" s="28" t="s">
        <v>1169</v>
      </c>
      <c r="M61" s="20" t="s">
        <v>1178</v>
      </c>
      <c r="N61" s="47">
        <v>45688</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6" t="str">
        <f>+VLOOKUP(CONCATENATE(Table1[[#This Row],[Tabela]],Table1[[#This Row],[Campo]]),'2. Status Detalhe Campos FY24'!A:J,9,FALSE)</f>
        <v>Fase I</v>
      </c>
      <c r="Y61" s="167"/>
    </row>
    <row r="62" spans="2:25" ht="17.850000000000001" hidden="1" customHeight="1">
      <c r="B62" s="2" t="s">
        <v>26</v>
      </c>
      <c r="C62" s="2" t="s">
        <v>34</v>
      </c>
      <c r="D62" s="2" t="s">
        <v>1181</v>
      </c>
      <c r="E62" s="2" t="s">
        <v>38</v>
      </c>
      <c r="F62" s="2" t="s">
        <v>37</v>
      </c>
      <c r="G62" s="134" t="s">
        <v>1975</v>
      </c>
      <c r="H62" s="56" t="str">
        <f>Table1[[#This Row],[Tabela]]&amp;Table1[[#This Row],[Campo]]</f>
        <v>ENERGY_CERTIFICATE_EST_INPUTNOMBRE_DISTRITO</v>
      </c>
      <c r="I62" s="2" t="s">
        <v>1845</v>
      </c>
      <c r="J62" s="42">
        <f>VLOOKUP(Table1[[#This Row],[Status]],Auxiliar!$B$16:$C$24,2,0)</f>
        <v>2</v>
      </c>
      <c r="K62" s="2" t="s">
        <v>1182</v>
      </c>
      <c r="L62" s="28" t="s">
        <v>1169</v>
      </c>
      <c r="M62" s="20" t="s">
        <v>1178</v>
      </c>
      <c r="N62" s="47">
        <v>45688</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6" t="str">
        <f>+VLOOKUP(CONCATENATE(Table1[[#This Row],[Tabela]],Table1[[#This Row],[Campo]]),'2. Status Detalhe Campos FY24'!A:J,9,FALSE)</f>
        <v>Fase I</v>
      </c>
      <c r="Y62" s="167"/>
    </row>
    <row r="63" spans="2:25" ht="17.850000000000001" hidden="1" customHeight="1">
      <c r="B63" s="2" t="s">
        <v>26</v>
      </c>
      <c r="C63" s="2" t="s">
        <v>34</v>
      </c>
      <c r="D63" s="2" t="s">
        <v>1181</v>
      </c>
      <c r="E63" s="2" t="s">
        <v>38</v>
      </c>
      <c r="F63" s="2" t="s">
        <v>37</v>
      </c>
      <c r="G63" s="134" t="s">
        <v>1976</v>
      </c>
      <c r="H63" s="56" t="str">
        <f>Table1[[#This Row],[Tabela]]&amp;Table1[[#This Row],[Campo]]</f>
        <v>ENERGY_CERTIFICATE_EST_INPUTCÓDIGO_CONCEJO</v>
      </c>
      <c r="I63" s="2" t="s">
        <v>1845</v>
      </c>
      <c r="J63" s="42">
        <f>VLOOKUP(Table1[[#This Row],[Status]],Auxiliar!$B$16:$C$24,2,0)</f>
        <v>2</v>
      </c>
      <c r="K63" s="2" t="s">
        <v>1182</v>
      </c>
      <c r="L63" s="28" t="s">
        <v>1169</v>
      </c>
      <c r="M63" s="20" t="s">
        <v>1178</v>
      </c>
      <c r="N63" s="47">
        <v>45688</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6" t="str">
        <f>+VLOOKUP(CONCATENATE(Table1[[#This Row],[Tabela]],Table1[[#This Row],[Campo]]),'2. Status Detalhe Campos FY24'!A:J,9,FALSE)</f>
        <v>Fase I</v>
      </c>
      <c r="Y63" s="167"/>
    </row>
    <row r="64" spans="2:25" ht="17.850000000000001" hidden="1" customHeight="1">
      <c r="B64" s="2" t="s">
        <v>26</v>
      </c>
      <c r="C64" s="2" t="s">
        <v>34</v>
      </c>
      <c r="D64" s="2" t="s">
        <v>1181</v>
      </c>
      <c r="E64" s="2" t="s">
        <v>38</v>
      </c>
      <c r="F64" s="2" t="s">
        <v>37</v>
      </c>
      <c r="G64" s="134" t="s">
        <v>1977</v>
      </c>
      <c r="H64" s="56" t="str">
        <f>Table1[[#This Row],[Tabela]]&amp;Table1[[#This Row],[Campo]]</f>
        <v>ENERGY_CERTIFICATE_EST_INPUTNOMBRE_CONCEJO</v>
      </c>
      <c r="I64" s="2" t="s">
        <v>1845</v>
      </c>
      <c r="J64" s="42">
        <f>VLOOKUP(Table1[[#This Row],[Status]],Auxiliar!$B$16:$C$24,2,0)</f>
        <v>2</v>
      </c>
      <c r="K64" s="2" t="s">
        <v>1182</v>
      </c>
      <c r="L64" s="28" t="s">
        <v>1169</v>
      </c>
      <c r="M64" s="20" t="s">
        <v>1178</v>
      </c>
      <c r="N64" s="47">
        <v>45688</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6" t="str">
        <f>+VLOOKUP(CONCATENATE(Table1[[#This Row],[Tabela]],Table1[[#This Row],[Campo]]),'2. Status Detalhe Campos FY24'!A:J,9,FALSE)</f>
        <v>Fase I</v>
      </c>
      <c r="Y64" s="167"/>
    </row>
    <row r="65" spans="2:25" ht="17.850000000000001" hidden="1" customHeight="1">
      <c r="B65" s="2" t="s">
        <v>26</v>
      </c>
      <c r="C65" s="2" t="s">
        <v>34</v>
      </c>
      <c r="D65" s="2" t="s">
        <v>1181</v>
      </c>
      <c r="E65" s="2" t="s">
        <v>38</v>
      </c>
      <c r="F65" s="2" t="s">
        <v>37</v>
      </c>
      <c r="G65" s="134" t="s">
        <v>1978</v>
      </c>
      <c r="H65" s="56" t="str">
        <f>Table1[[#This Row],[Tabela]]&amp;Table1[[#This Row],[Campo]]</f>
        <v>ENERGY_CERTIFICATE_EST_INPUTCÓDIGO_FREGUESIA</v>
      </c>
      <c r="I65" s="2" t="s">
        <v>1845</v>
      </c>
      <c r="J65" s="42">
        <f>VLOOKUP(Table1[[#This Row],[Status]],Auxiliar!$B$16:$C$24,2,0)</f>
        <v>2</v>
      </c>
      <c r="K65" s="2" t="s">
        <v>1182</v>
      </c>
      <c r="L65" s="28" t="s">
        <v>1169</v>
      </c>
      <c r="M65" s="20" t="s">
        <v>1178</v>
      </c>
      <c r="N65" s="47">
        <v>45688</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6" t="str">
        <f>+VLOOKUP(CONCATENATE(Table1[[#This Row],[Tabela]],Table1[[#This Row],[Campo]]),'2. Status Detalhe Campos FY24'!A:J,9,FALSE)</f>
        <v>Fase I</v>
      </c>
      <c r="Y65" s="167"/>
    </row>
    <row r="66" spans="2:25" ht="17.850000000000001" hidden="1" customHeight="1">
      <c r="B66" s="2" t="s">
        <v>26</v>
      </c>
      <c r="C66" s="2" t="s">
        <v>34</v>
      </c>
      <c r="D66" s="2" t="s">
        <v>1181</v>
      </c>
      <c r="E66" s="2" t="s">
        <v>38</v>
      </c>
      <c r="F66" s="2" t="s">
        <v>37</v>
      </c>
      <c r="G66" s="134" t="s">
        <v>1979</v>
      </c>
      <c r="H66" s="56" t="str">
        <f>Table1[[#This Row],[Tabela]]&amp;Table1[[#This Row],[Campo]]</f>
        <v>ENERGY_CERTIFICATE_EST_INPUTNOMBRE_FREGUESIA</v>
      </c>
      <c r="I66" s="2" t="s">
        <v>1845</v>
      </c>
      <c r="J66" s="42">
        <f>VLOOKUP(Table1[[#This Row],[Status]],Auxiliar!$B$16:$C$24,2,0)</f>
        <v>2</v>
      </c>
      <c r="K66" s="2" t="s">
        <v>1182</v>
      </c>
      <c r="L66" s="28" t="s">
        <v>1169</v>
      </c>
      <c r="M66" s="20" t="s">
        <v>1178</v>
      </c>
      <c r="N66" s="47">
        <v>45688</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6" t="str">
        <f>+VLOOKUP(CONCATENATE(Table1[[#This Row],[Tabela]],Table1[[#This Row],[Campo]]),'2. Status Detalhe Campos FY24'!A:J,9,FALSE)</f>
        <v>Fase I</v>
      </c>
      <c r="Y66" s="167"/>
    </row>
    <row r="67" spans="2:25" ht="17.850000000000001" hidden="1" customHeight="1">
      <c r="B67" s="2" t="s">
        <v>26</v>
      </c>
      <c r="C67" s="2" t="s">
        <v>34</v>
      </c>
      <c r="D67" s="2" t="s">
        <v>1181</v>
      </c>
      <c r="E67" s="2" t="s">
        <v>38</v>
      </c>
      <c r="F67" s="2" t="s">
        <v>37</v>
      </c>
      <c r="G67" s="134" t="s">
        <v>1980</v>
      </c>
      <c r="H67" s="56" t="str">
        <f>Table1[[#This Row],[Tabela]]&amp;Table1[[#This Row],[Campo]]</f>
        <v>ENERGY_CERTIFICATE_EST_INPUTLOCALIDADE</v>
      </c>
      <c r="I67" s="2" t="s">
        <v>1845</v>
      </c>
      <c r="J67" s="42">
        <f>VLOOKUP(Table1[[#This Row],[Status]],Auxiliar!$B$16:$C$24,2,0)</f>
        <v>2</v>
      </c>
      <c r="K67" s="2" t="s">
        <v>1182</v>
      </c>
      <c r="L67" s="28" t="s">
        <v>1169</v>
      </c>
      <c r="M67" s="20" t="s">
        <v>1178</v>
      </c>
      <c r="N67" s="47">
        <v>45688</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6" t="str">
        <f>+VLOOKUP(CONCATENATE(Table1[[#This Row],[Tabela]],Table1[[#This Row],[Campo]]),'2. Status Detalhe Campos FY24'!A:J,9,FALSE)</f>
        <v>Fase I</v>
      </c>
      <c r="Y67" s="167"/>
    </row>
    <row r="68" spans="2:25" ht="17.850000000000001" hidden="1" customHeight="1">
      <c r="B68" s="2" t="s">
        <v>26</v>
      </c>
      <c r="C68" s="2" t="s">
        <v>34</v>
      </c>
      <c r="D68" s="2" t="s">
        <v>1181</v>
      </c>
      <c r="E68" s="2" t="s">
        <v>38</v>
      </c>
      <c r="F68" s="2" t="s">
        <v>37</v>
      </c>
      <c r="G68" s="134" t="s">
        <v>1981</v>
      </c>
      <c r="H68" s="56" t="str">
        <f>Table1[[#This Row],[Tabela]]&amp;Table1[[#This Row],[Campo]]</f>
        <v>ENERGY_CERTIFICATE_EST_INPUTTIPO_VIA</v>
      </c>
      <c r="I68" s="2" t="s">
        <v>1845</v>
      </c>
      <c r="J68" s="42">
        <f>VLOOKUP(Table1[[#This Row],[Status]],Auxiliar!$B$16:$C$24,2,0)</f>
        <v>2</v>
      </c>
      <c r="K68" s="2" t="s">
        <v>1182</v>
      </c>
      <c r="L68" s="28" t="s">
        <v>1169</v>
      </c>
      <c r="M68" s="20" t="s">
        <v>1178</v>
      </c>
      <c r="N68" s="47">
        <v>45688</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6" t="str">
        <f>+VLOOKUP(CONCATENATE(Table1[[#This Row],[Tabela]],Table1[[#This Row],[Campo]]),'2. Status Detalhe Campos FY24'!A:J,9,FALSE)</f>
        <v>Fase I</v>
      </c>
      <c r="Y68" s="167"/>
    </row>
    <row r="69" spans="2:25" ht="17.850000000000001" hidden="1" customHeight="1">
      <c r="B69" s="2" t="s">
        <v>26</v>
      </c>
      <c r="C69" s="2" t="s">
        <v>34</v>
      </c>
      <c r="D69" s="2" t="s">
        <v>1181</v>
      </c>
      <c r="E69" s="2" t="s">
        <v>38</v>
      </c>
      <c r="F69" s="2" t="s">
        <v>37</v>
      </c>
      <c r="G69" s="134" t="s">
        <v>1982</v>
      </c>
      <c r="H69" s="56" t="str">
        <f>Table1[[#This Row],[Tabela]]&amp;Table1[[#This Row],[Campo]]</f>
        <v>ENERGY_CERTIFICATE_EST_INPUTNOMBRE_TIPO_VIA</v>
      </c>
      <c r="I69" s="2" t="s">
        <v>1845</v>
      </c>
      <c r="J69" s="42">
        <f>VLOOKUP(Table1[[#This Row],[Status]],Auxiliar!$B$16:$C$24,2,0)</f>
        <v>2</v>
      </c>
      <c r="K69" s="2" t="s">
        <v>1182</v>
      </c>
      <c r="L69" s="28" t="s">
        <v>1169</v>
      </c>
      <c r="M69" s="20" t="s">
        <v>1178</v>
      </c>
      <c r="N69" s="47">
        <v>45688</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6" t="str">
        <f>+VLOOKUP(CONCATENATE(Table1[[#This Row],[Tabela]],Table1[[#This Row],[Campo]]),'2. Status Detalhe Campos FY24'!A:J,9,FALSE)</f>
        <v>Fase I</v>
      </c>
      <c r="Y69" s="167"/>
    </row>
    <row r="70" spans="2:25" ht="17.850000000000001" hidden="1" customHeight="1">
      <c r="B70" s="2" t="s">
        <v>26</v>
      </c>
      <c r="C70" s="2" t="s">
        <v>34</v>
      </c>
      <c r="D70" s="2" t="s">
        <v>1181</v>
      </c>
      <c r="E70" s="2" t="s">
        <v>38</v>
      </c>
      <c r="F70" s="2" t="s">
        <v>37</v>
      </c>
      <c r="G70" s="134" t="s">
        <v>1983</v>
      </c>
      <c r="H70" s="56" t="str">
        <f>Table1[[#This Row],[Tabela]]&amp;Table1[[#This Row],[Campo]]</f>
        <v>ENERGY_CERTIFICATE_EST_INPUTNOMBRE_VIA</v>
      </c>
      <c r="I70" s="2" t="s">
        <v>1845</v>
      </c>
      <c r="J70" s="42">
        <f>VLOOKUP(Table1[[#This Row],[Status]],Auxiliar!$B$16:$C$24,2,0)</f>
        <v>2</v>
      </c>
      <c r="K70" s="2" t="s">
        <v>1182</v>
      </c>
      <c r="L70" s="28" t="s">
        <v>1169</v>
      </c>
      <c r="M70" s="20" t="s">
        <v>1178</v>
      </c>
      <c r="N70" s="47">
        <v>45688</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6" t="str">
        <f>+VLOOKUP(CONCATENATE(Table1[[#This Row],[Tabela]],Table1[[#This Row],[Campo]]),'2. Status Detalhe Campos FY24'!A:J,9,FALSE)</f>
        <v>Fase I</v>
      </c>
      <c r="Y70" s="167"/>
    </row>
    <row r="71" spans="2:25" ht="17.850000000000001" hidden="1" customHeight="1">
      <c r="B71" s="2" t="s">
        <v>26</v>
      </c>
      <c r="C71" s="2" t="s">
        <v>34</v>
      </c>
      <c r="D71" s="2" t="s">
        <v>1181</v>
      </c>
      <c r="E71" s="2" t="s">
        <v>38</v>
      </c>
      <c r="F71" s="2" t="s">
        <v>37</v>
      </c>
      <c r="G71" s="134" t="s">
        <v>1984</v>
      </c>
      <c r="H71" s="56" t="str">
        <f>Table1[[#This Row],[Tabela]]&amp;Table1[[#This Row],[Campo]]</f>
        <v>ENERGY_CERTIFICATE_EST_INPUTNUMERO_VIA</v>
      </c>
      <c r="I71" s="2" t="s">
        <v>1845</v>
      </c>
      <c r="J71" s="42">
        <f>VLOOKUP(Table1[[#This Row],[Status]],Auxiliar!$B$16:$C$24,2,0)</f>
        <v>2</v>
      </c>
      <c r="K71" s="2" t="s">
        <v>1182</v>
      </c>
      <c r="L71" s="28" t="s">
        <v>1169</v>
      </c>
      <c r="M71" s="20" t="s">
        <v>1178</v>
      </c>
      <c r="N71" s="47">
        <v>45688</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6" t="str">
        <f>+VLOOKUP(CONCATENATE(Table1[[#This Row],[Tabela]],Table1[[#This Row],[Campo]]),'2. Status Detalhe Campos FY24'!A:J,9,FALSE)</f>
        <v>Fase I</v>
      </c>
      <c r="Y71" s="167"/>
    </row>
    <row r="72" spans="2:25" ht="17.850000000000001" hidden="1" customHeight="1">
      <c r="B72" s="2" t="s">
        <v>26</v>
      </c>
      <c r="C72" s="2" t="s">
        <v>34</v>
      </c>
      <c r="D72" s="2" t="s">
        <v>1181</v>
      </c>
      <c r="E72" s="2" t="s">
        <v>38</v>
      </c>
      <c r="F72" s="2" t="s">
        <v>37</v>
      </c>
      <c r="G72" s="134" t="s">
        <v>1985</v>
      </c>
      <c r="H72" s="56" t="str">
        <f>Table1[[#This Row],[Tabela]]&amp;Table1[[#This Row],[Campo]]</f>
        <v>ENERGY_CERTIFICATE_EST_INPUTLOTE</v>
      </c>
      <c r="I72" s="2" t="s">
        <v>1845</v>
      </c>
      <c r="J72" s="42">
        <f>VLOOKUP(Table1[[#This Row],[Status]],Auxiliar!$B$16:$C$24,2,0)</f>
        <v>2</v>
      </c>
      <c r="K72" s="2" t="s">
        <v>1182</v>
      </c>
      <c r="L72" s="28" t="s">
        <v>1169</v>
      </c>
      <c r="M72" s="20" t="s">
        <v>1178</v>
      </c>
      <c r="N72" s="47">
        <v>45688</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6" t="str">
        <f>+VLOOKUP(CONCATENATE(Table1[[#This Row],[Tabela]],Table1[[#This Row],[Campo]]),'2. Status Detalhe Campos FY24'!A:J,9,FALSE)</f>
        <v>Fase I</v>
      </c>
      <c r="Y72" s="167"/>
    </row>
    <row r="73" spans="2:25" ht="17.850000000000001" hidden="1" customHeight="1">
      <c r="B73" s="2" t="s">
        <v>26</v>
      </c>
      <c r="C73" s="2" t="s">
        <v>34</v>
      </c>
      <c r="D73" s="2" t="s">
        <v>1181</v>
      </c>
      <c r="E73" s="2" t="s">
        <v>38</v>
      </c>
      <c r="F73" s="2" t="s">
        <v>37</v>
      </c>
      <c r="G73" s="134" t="s">
        <v>1986</v>
      </c>
      <c r="H73" s="56" t="str">
        <f>Table1[[#This Row],[Tabela]]&amp;Table1[[#This Row],[Campo]]</f>
        <v>ENERGY_CERTIFICATE_EST_INPUTURBANIZACION</v>
      </c>
      <c r="I73" s="2" t="s">
        <v>1845</v>
      </c>
      <c r="J73" s="42">
        <f>VLOOKUP(Table1[[#This Row],[Status]],Auxiliar!$B$16:$C$24,2,0)</f>
        <v>2</v>
      </c>
      <c r="K73" s="2" t="s">
        <v>1182</v>
      </c>
      <c r="L73" s="28" t="s">
        <v>1169</v>
      </c>
      <c r="M73" s="20" t="s">
        <v>1178</v>
      </c>
      <c r="N73" s="47">
        <v>45688</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6" t="str">
        <f>+VLOOKUP(CONCATENATE(Table1[[#This Row],[Tabela]],Table1[[#This Row],[Campo]]),'2. Status Detalhe Campos FY24'!A:J,9,FALSE)</f>
        <v>Fase I</v>
      </c>
      <c r="Y73" s="167"/>
    </row>
    <row r="74" spans="2:25" ht="17.850000000000001" hidden="1" customHeight="1">
      <c r="B74" s="2" t="s">
        <v>26</v>
      </c>
      <c r="C74" s="2" t="s">
        <v>34</v>
      </c>
      <c r="D74" s="2" t="s">
        <v>1181</v>
      </c>
      <c r="E74" s="2" t="s">
        <v>38</v>
      </c>
      <c r="F74" s="2" t="s">
        <v>37</v>
      </c>
      <c r="G74" s="134" t="s">
        <v>1987</v>
      </c>
      <c r="H74" s="56" t="str">
        <f>Table1[[#This Row],[Tabela]]&amp;Table1[[#This Row],[Campo]]</f>
        <v>ENERGY_CERTIFICATE_EST_INPUTCAGLURB</v>
      </c>
      <c r="I74" s="2" t="s">
        <v>1845</v>
      </c>
      <c r="J74" s="42">
        <f>VLOOKUP(Table1[[#This Row],[Status]],Auxiliar!$B$16:$C$24,2,0)</f>
        <v>2</v>
      </c>
      <c r="K74" s="2" t="s">
        <v>1182</v>
      </c>
      <c r="L74" s="28" t="s">
        <v>1169</v>
      </c>
      <c r="M74" s="20" t="s">
        <v>1178</v>
      </c>
      <c r="N74" s="47">
        <v>45688</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6" t="str">
        <f>+VLOOKUP(CONCATENATE(Table1[[#This Row],[Tabela]],Table1[[#This Row],[Campo]]),'2. Status Detalhe Campos FY24'!A:J,9,FALSE)</f>
        <v>Fase I</v>
      </c>
      <c r="Y74" s="167"/>
    </row>
    <row r="75" spans="2:25" ht="17.850000000000001" hidden="1" customHeight="1">
      <c r="B75" s="2" t="s">
        <v>26</v>
      </c>
      <c r="C75" s="2" t="s">
        <v>34</v>
      </c>
      <c r="D75" s="2" t="s">
        <v>1181</v>
      </c>
      <c r="E75" s="2" t="s">
        <v>38</v>
      </c>
      <c r="F75" s="2" t="s">
        <v>37</v>
      </c>
      <c r="G75" s="134" t="s">
        <v>1988</v>
      </c>
      <c r="H75" s="56" t="str">
        <f>Table1[[#This Row],[Tabela]]&amp;Table1[[#This Row],[Campo]]</f>
        <v>ENERGY_CERTIFICATE_EST_INPUTRESTO_DIRECCION</v>
      </c>
      <c r="I75" s="2" t="s">
        <v>1845</v>
      </c>
      <c r="J75" s="42">
        <f>VLOOKUP(Table1[[#This Row],[Status]],Auxiliar!$B$16:$C$24,2,0)</f>
        <v>2</v>
      </c>
      <c r="K75" s="2" t="s">
        <v>1182</v>
      </c>
      <c r="L75" s="28" t="s">
        <v>1169</v>
      </c>
      <c r="M75" s="20" t="s">
        <v>1178</v>
      </c>
      <c r="N75" s="47">
        <v>45688</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6" t="str">
        <f>+VLOOKUP(CONCATENATE(Table1[[#This Row],[Tabela]],Table1[[#This Row],[Campo]]),'2. Status Detalhe Campos FY24'!A:J,9,FALSE)</f>
        <v>Fase I</v>
      </c>
      <c r="Y75" s="167"/>
    </row>
    <row r="76" spans="2:25" ht="17.850000000000001" hidden="1" customHeight="1">
      <c r="B76" s="2" t="s">
        <v>26</v>
      </c>
      <c r="C76" s="2" t="s">
        <v>34</v>
      </c>
      <c r="D76" s="2" t="s">
        <v>1181</v>
      </c>
      <c r="E76" s="2" t="s">
        <v>38</v>
      </c>
      <c r="F76" s="2" t="s">
        <v>37</v>
      </c>
      <c r="G76" s="134" t="s">
        <v>1989</v>
      </c>
      <c r="H76" s="56" t="str">
        <f>Table1[[#This Row],[Tabela]]&amp;Table1[[#This Row],[Campo]]</f>
        <v>ENERGY_CERTIFICATE_EST_INPUTLATITUDE</v>
      </c>
      <c r="I76" s="2" t="s">
        <v>1845</v>
      </c>
      <c r="J76" s="42">
        <f>VLOOKUP(Table1[[#This Row],[Status]],Auxiliar!$B$16:$C$24,2,0)</f>
        <v>2</v>
      </c>
      <c r="K76" s="2" t="s">
        <v>1182</v>
      </c>
      <c r="L76" s="28" t="s">
        <v>1169</v>
      </c>
      <c r="M76" s="20" t="s">
        <v>1178</v>
      </c>
      <c r="N76" s="47">
        <v>45688</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6" t="str">
        <f>+VLOOKUP(CONCATENATE(Table1[[#This Row],[Tabela]],Table1[[#This Row],[Campo]]),'2. Status Detalhe Campos FY24'!A:J,9,FALSE)</f>
        <v>Fase I</v>
      </c>
      <c r="Y76" s="167"/>
    </row>
    <row r="77" spans="2:25" ht="17.850000000000001" hidden="1" customHeight="1">
      <c r="B77" s="2" t="s">
        <v>26</v>
      </c>
      <c r="C77" s="2" t="s">
        <v>34</v>
      </c>
      <c r="D77" s="2" t="s">
        <v>1181</v>
      </c>
      <c r="E77" s="2" t="s">
        <v>38</v>
      </c>
      <c r="F77" s="2" t="s">
        <v>37</v>
      </c>
      <c r="G77" s="134" t="s">
        <v>1990</v>
      </c>
      <c r="H77" s="56" t="str">
        <f>Table1[[#This Row],[Tabela]]&amp;Table1[[#This Row],[Campo]]</f>
        <v>ENERGY_CERTIFICATE_EST_INPUTLONGITUDE</v>
      </c>
      <c r="I77" s="2" t="s">
        <v>1845</v>
      </c>
      <c r="J77" s="42">
        <f>VLOOKUP(Table1[[#This Row],[Status]],Auxiliar!$B$16:$C$24,2,0)</f>
        <v>2</v>
      </c>
      <c r="K77" s="2" t="s">
        <v>1182</v>
      </c>
      <c r="L77" s="28" t="s">
        <v>1169</v>
      </c>
      <c r="M77" s="20" t="s">
        <v>1178</v>
      </c>
      <c r="N77" s="47">
        <v>45688</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6" t="str">
        <f>+VLOOKUP(CONCATENATE(Table1[[#This Row],[Tabela]],Table1[[#This Row],[Campo]]),'2. Status Detalhe Campos FY24'!A:J,9,FALSE)</f>
        <v>Fase I</v>
      </c>
      <c r="Y77" s="167"/>
    </row>
    <row r="78" spans="2:25" ht="17.850000000000001" hidden="1" customHeight="1">
      <c r="B78" s="2" t="s">
        <v>26</v>
      </c>
      <c r="C78" s="2" t="s">
        <v>34</v>
      </c>
      <c r="D78" s="2" t="s">
        <v>1181</v>
      </c>
      <c r="E78" s="2" t="s">
        <v>38</v>
      </c>
      <c r="F78" s="2" t="s">
        <v>37</v>
      </c>
      <c r="G78" s="134" t="s">
        <v>1991</v>
      </c>
      <c r="H78" s="56" t="str">
        <f>Table1[[#This Row],[Tabela]]&amp;Table1[[#This Row],[Campo]]</f>
        <v>ENERGY_CERTIFICATE_EST_INPUTCODIGO_POSTAL</v>
      </c>
      <c r="I78" s="2" t="s">
        <v>1845</v>
      </c>
      <c r="J78" s="42">
        <f>VLOOKUP(Table1[[#This Row],[Status]],Auxiliar!$B$16:$C$24,2,0)</f>
        <v>2</v>
      </c>
      <c r="K78" s="2" t="s">
        <v>1182</v>
      </c>
      <c r="L78" s="28" t="s">
        <v>1169</v>
      </c>
      <c r="M78" s="20" t="s">
        <v>1178</v>
      </c>
      <c r="N78" s="47">
        <v>45688</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6" t="str">
        <f>+VLOOKUP(CONCATENATE(Table1[[#This Row],[Tabela]],Table1[[#This Row],[Campo]]),'2. Status Detalhe Campos FY24'!A:J,9,FALSE)</f>
        <v>Fase I</v>
      </c>
      <c r="Y78" s="167"/>
    </row>
    <row r="79" spans="2:25" ht="17.850000000000001" hidden="1" customHeight="1">
      <c r="B79" s="2" t="s">
        <v>26</v>
      </c>
      <c r="C79" s="2" t="s">
        <v>34</v>
      </c>
      <c r="D79" s="2" t="s">
        <v>1181</v>
      </c>
      <c r="E79" s="2" t="s">
        <v>38</v>
      </c>
      <c r="F79" s="2" t="s">
        <v>37</v>
      </c>
      <c r="G79" s="134" t="s">
        <v>1992</v>
      </c>
      <c r="H79" s="56" t="str">
        <f>Table1[[#This Row],[Tabela]]&amp;Table1[[#This Row],[Campo]]</f>
        <v>ENERGY_CERTIFICATE_EST_INPUTSUBCODIGO_POSTAL</v>
      </c>
      <c r="I79" s="2" t="s">
        <v>1845</v>
      </c>
      <c r="J79" s="42">
        <f>VLOOKUP(Table1[[#This Row],[Status]],Auxiliar!$B$16:$C$24,2,0)</f>
        <v>2</v>
      </c>
      <c r="K79" s="2" t="s">
        <v>1182</v>
      </c>
      <c r="L79" s="28" t="s">
        <v>1169</v>
      </c>
      <c r="M79" s="20" t="s">
        <v>1178</v>
      </c>
      <c r="N79" s="47">
        <v>45688</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6" t="str">
        <f>+VLOOKUP(CONCATENATE(Table1[[#This Row],[Tabela]],Table1[[#This Row],[Campo]]),'2. Status Detalhe Campos FY24'!A:J,9,FALSE)</f>
        <v>Fase I</v>
      </c>
      <c r="Y79" s="167"/>
    </row>
    <row r="80" spans="2:25" ht="17.850000000000001" hidden="1" customHeight="1">
      <c r="B80" s="2" t="s">
        <v>26</v>
      </c>
      <c r="C80" s="2" t="s">
        <v>34</v>
      </c>
      <c r="D80" s="2" t="s">
        <v>1181</v>
      </c>
      <c r="E80" s="2" t="s">
        <v>38</v>
      </c>
      <c r="F80" s="2" t="s">
        <v>37</v>
      </c>
      <c r="G80" s="134" t="s">
        <v>1993</v>
      </c>
      <c r="H80" s="56" t="str">
        <f>Table1[[#This Row],[Tabela]]&amp;Table1[[#This Row],[Campo]]</f>
        <v>ENERGY_CERTIFICATE_EST_INPUTASSUPERFICIE_UTIL</v>
      </c>
      <c r="I80" s="2" t="s">
        <v>1845</v>
      </c>
      <c r="J80" s="42">
        <f>VLOOKUP(Table1[[#This Row],[Status]],Auxiliar!$B$16:$C$24,2,0)</f>
        <v>2</v>
      </c>
      <c r="K80" s="2" t="s">
        <v>1182</v>
      </c>
      <c r="L80" s="28" t="s">
        <v>1169</v>
      </c>
      <c r="M80" s="20" t="s">
        <v>1178</v>
      </c>
      <c r="N80" s="47">
        <v>45688</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6" t="str">
        <f>+VLOOKUP(CONCATENATE(Table1[[#This Row],[Tabela]],Table1[[#This Row],[Campo]]),'2. Status Detalhe Campos FY24'!A:J,9,FALSE)</f>
        <v>Fase I</v>
      </c>
      <c r="Y80" s="167"/>
    </row>
    <row r="81" spans="2:25" ht="17.850000000000001" hidden="1" customHeight="1">
      <c r="B81" s="2" t="s">
        <v>26</v>
      </c>
      <c r="C81" s="2" t="s">
        <v>34</v>
      </c>
      <c r="D81" s="2" t="s">
        <v>1181</v>
      </c>
      <c r="E81" s="2" t="s">
        <v>38</v>
      </c>
      <c r="F81" s="2" t="s">
        <v>37</v>
      </c>
      <c r="G81" s="134" t="s">
        <v>1994</v>
      </c>
      <c r="H81" s="56" t="str">
        <f>Table1[[#This Row],[Tabela]]&amp;Table1[[#This Row],[Campo]]</f>
        <v>ENERGY_CERTIFICATE_EST_INPUTANIO_CONSTRUCCION</v>
      </c>
      <c r="I81" s="2" t="s">
        <v>1845</v>
      </c>
      <c r="J81" s="42">
        <f>VLOOKUP(Table1[[#This Row],[Status]],Auxiliar!$B$16:$C$24,2,0)</f>
        <v>2</v>
      </c>
      <c r="K81" s="2" t="s">
        <v>1182</v>
      </c>
      <c r="L81" s="28" t="s">
        <v>1169</v>
      </c>
      <c r="M81" s="20" t="s">
        <v>1178</v>
      </c>
      <c r="N81" s="47">
        <v>45688</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6" t="str">
        <f>+VLOOKUP(CONCATENATE(Table1[[#This Row],[Tabela]],Table1[[#This Row],[Campo]]),'2. Status Detalhe Campos FY24'!A:J,9,FALSE)</f>
        <v>Fase I</v>
      </c>
      <c r="Y81" s="167"/>
    </row>
    <row r="82" spans="2:25" ht="17.850000000000001" hidden="1" customHeight="1">
      <c r="B82" s="2" t="s">
        <v>26</v>
      </c>
      <c r="C82" s="2" t="s">
        <v>34</v>
      </c>
      <c r="D82" s="2" t="s">
        <v>1181</v>
      </c>
      <c r="E82" s="2" t="s">
        <v>38</v>
      </c>
      <c r="F82" s="2" t="s">
        <v>37</v>
      </c>
      <c r="G82" s="134" t="s">
        <v>1995</v>
      </c>
      <c r="H82" s="56" t="str">
        <f>Table1[[#This Row],[Tabela]]&amp;Table1[[#This Row],[Campo]]</f>
        <v>ENERGY_CERTIFICATE_EST_INPUTTIPO_INMUEBLE_HABITACAO</v>
      </c>
      <c r="I82" s="2" t="s">
        <v>1845</v>
      </c>
      <c r="J82" s="42">
        <f>VLOOKUP(Table1[[#This Row],[Status]],Auxiliar!$B$16:$C$24,2,0)</f>
        <v>2</v>
      </c>
      <c r="K82" s="2" t="s">
        <v>1182</v>
      </c>
      <c r="L82" s="28" t="s">
        <v>1169</v>
      </c>
      <c r="M82" s="20" t="s">
        <v>1178</v>
      </c>
      <c r="N82" s="47">
        <v>45688</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6" t="str">
        <f>+VLOOKUP(CONCATENATE(Table1[[#This Row],[Tabela]],Table1[[#This Row],[Campo]]),'2. Status Detalhe Campos FY24'!A:J,9,FALSE)</f>
        <v>Fase I</v>
      </c>
      <c r="Y82" s="167"/>
    </row>
    <row r="83" spans="2:25" ht="17.850000000000001" hidden="1" customHeight="1">
      <c r="B83" s="2" t="s">
        <v>26</v>
      </c>
      <c r="C83" s="2" t="s">
        <v>34</v>
      </c>
      <c r="D83" s="2" t="s">
        <v>1181</v>
      </c>
      <c r="E83" s="2" t="s">
        <v>38</v>
      </c>
      <c r="F83" s="2" t="s">
        <v>37</v>
      </c>
      <c r="G83" s="134" t="s">
        <v>1996</v>
      </c>
      <c r="H83" s="56" t="str">
        <f>Table1[[#This Row],[Tabela]]&amp;Table1[[#This Row],[Campo]]</f>
        <v>ENERGY_CERTIFICATE_EST_INPUTPISO_APARTAMENTO</v>
      </c>
      <c r="I83" s="2" t="s">
        <v>1845</v>
      </c>
      <c r="J83" s="42">
        <f>VLOOKUP(Table1[[#This Row],[Status]],Auxiliar!$B$16:$C$24,2,0)</f>
        <v>2</v>
      </c>
      <c r="K83" s="2" t="s">
        <v>1182</v>
      </c>
      <c r="L83" s="28" t="s">
        <v>1169</v>
      </c>
      <c r="M83" s="20" t="s">
        <v>1178</v>
      </c>
      <c r="N83" s="47">
        <v>45688</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6" t="str">
        <f>+VLOOKUP(CONCATENATE(Table1[[#This Row],[Tabela]],Table1[[#This Row],[Campo]]),'2. Status Detalhe Campos FY24'!A:J,9,FALSE)</f>
        <v>Fase I</v>
      </c>
      <c r="Y83" s="167"/>
    </row>
    <row r="84" spans="2:25" ht="17.850000000000001" hidden="1" customHeight="1">
      <c r="B84" s="2" t="s">
        <v>26</v>
      </c>
      <c r="C84" s="2" t="s">
        <v>34</v>
      </c>
      <c r="D84" s="2" t="s">
        <v>1181</v>
      </c>
      <c r="E84" s="2" t="s">
        <v>38</v>
      </c>
      <c r="F84" s="2" t="s">
        <v>37</v>
      </c>
      <c r="G84" s="134" t="s">
        <v>1997</v>
      </c>
      <c r="H84" s="56" t="str">
        <f>Table1[[#This Row],[Tabela]]&amp;Table1[[#This Row],[Campo]]</f>
        <v>ENERGY_CERTIFICATE_EST_INPUTCASA_UNIFAMILIAR</v>
      </c>
      <c r="I84" s="2" t="s">
        <v>1845</v>
      </c>
      <c r="J84" s="42">
        <f>VLOOKUP(Table1[[#This Row],[Status]],Auxiliar!$B$16:$C$24,2,0)</f>
        <v>2</v>
      </c>
      <c r="K84" s="2" t="s">
        <v>1182</v>
      </c>
      <c r="L84" s="28" t="s">
        <v>1169</v>
      </c>
      <c r="M84" s="20" t="s">
        <v>1178</v>
      </c>
      <c r="N84" s="47">
        <v>45688</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6" t="str">
        <f>+VLOOKUP(CONCATENATE(Table1[[#This Row],[Tabela]],Table1[[#This Row],[Campo]]),'2. Status Detalhe Campos FY24'!A:J,9,FALSE)</f>
        <v>Fase I</v>
      </c>
      <c r="Y84" s="167"/>
    </row>
    <row r="85" spans="2:25" ht="17.850000000000001" hidden="1" customHeight="1">
      <c r="B85" s="2" t="s">
        <v>26</v>
      </c>
      <c r="C85" s="2" t="s">
        <v>34</v>
      </c>
      <c r="D85" s="2" t="s">
        <v>1181</v>
      </c>
      <c r="E85" s="2" t="s">
        <v>38</v>
      </c>
      <c r="F85" s="2" t="s">
        <v>37</v>
      </c>
      <c r="G85" s="134" t="s">
        <v>1998</v>
      </c>
      <c r="H85" s="56" t="str">
        <f>Table1[[#This Row],[Tabela]]&amp;Table1[[#This Row],[Campo]]</f>
        <v>ENERGY_CERTIFICATE_EST_INPUTTIPO_INMUEBLE_COMERCIO_SERVICOS</v>
      </c>
      <c r="I85" s="2" t="s">
        <v>1845</v>
      </c>
      <c r="J85" s="42">
        <f>VLOOKUP(Table1[[#This Row],[Status]],Auxiliar!$B$16:$C$24,2,0)</f>
        <v>2</v>
      </c>
      <c r="K85" s="2" t="s">
        <v>1182</v>
      </c>
      <c r="L85" s="28" t="s">
        <v>1169</v>
      </c>
      <c r="M85" s="20" t="s">
        <v>1178</v>
      </c>
      <c r="N85" s="47">
        <v>45688</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6" t="str">
        <f>+VLOOKUP(CONCATENATE(Table1[[#This Row],[Tabela]],Table1[[#This Row],[Campo]]),'2. Status Detalhe Campos FY24'!A:J,9,FALSE)</f>
        <v>Fase I</v>
      </c>
      <c r="Y85" s="167"/>
    </row>
    <row r="86" spans="2:25" ht="17.850000000000001" hidden="1" customHeight="1">
      <c r="B86" s="2" t="s">
        <v>26</v>
      </c>
      <c r="C86" s="2" t="s">
        <v>34</v>
      </c>
      <c r="D86" s="2" t="s">
        <v>1181</v>
      </c>
      <c r="E86" s="2" t="s">
        <v>38</v>
      </c>
      <c r="F86" s="2" t="s">
        <v>37</v>
      </c>
      <c r="G86" s="134" t="s">
        <v>1999</v>
      </c>
      <c r="H86" s="56" t="str">
        <f>Table1[[#This Row],[Tabela]]&amp;Table1[[#This Row],[Campo]]</f>
        <v>ENERGY_CERTIFICATE_EST_INPUTNOME_CONSERVATORIA</v>
      </c>
      <c r="I86" s="2" t="s">
        <v>1845</v>
      </c>
      <c r="J86" s="42">
        <f>VLOOKUP(Table1[[#This Row],[Status]],Auxiliar!$B$16:$C$24,2,0)</f>
        <v>2</v>
      </c>
      <c r="K86" s="2" t="s">
        <v>1182</v>
      </c>
      <c r="L86" s="28" t="s">
        <v>1169</v>
      </c>
      <c r="M86" s="20" t="s">
        <v>1178</v>
      </c>
      <c r="N86" s="47">
        <v>45688</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6" t="str">
        <f>+VLOOKUP(CONCATENATE(Table1[[#This Row],[Tabela]],Table1[[#This Row],[Campo]]),'2. Status Detalhe Campos FY24'!A:J,9,FALSE)</f>
        <v>Fase I</v>
      </c>
      <c r="Y86" s="167"/>
    </row>
    <row r="87" spans="2:25" ht="17.850000000000001" hidden="1" customHeight="1">
      <c r="B87" s="2" t="s">
        <v>26</v>
      </c>
      <c r="C87" s="2" t="s">
        <v>34</v>
      </c>
      <c r="D87" s="2" t="s">
        <v>1181</v>
      </c>
      <c r="E87" s="2" t="s">
        <v>38</v>
      </c>
      <c r="F87" s="2" t="s">
        <v>37</v>
      </c>
      <c r="G87" s="134" t="s">
        <v>2000</v>
      </c>
      <c r="H87" s="56" t="str">
        <f>Table1[[#This Row],[Tabela]]&amp;Table1[[#This Row],[Campo]]</f>
        <v>ENERGY_CERTIFICATE_EST_INPUTCOD_CONSERVATORIA</v>
      </c>
      <c r="I87" s="2" t="s">
        <v>1845</v>
      </c>
      <c r="J87" s="42">
        <f>VLOOKUP(Table1[[#This Row],[Status]],Auxiliar!$B$16:$C$24,2,0)</f>
        <v>2</v>
      </c>
      <c r="K87" s="2" t="s">
        <v>1182</v>
      </c>
      <c r="L87" s="28" t="s">
        <v>1169</v>
      </c>
      <c r="M87" s="20" t="s">
        <v>1178</v>
      </c>
      <c r="N87" s="47">
        <v>45688</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6" t="str">
        <f>+VLOOKUP(CONCATENATE(Table1[[#This Row],[Tabela]],Table1[[#This Row],[Campo]]),'2. Status Detalhe Campos FY24'!A:J,9,FALSE)</f>
        <v>Fase I</v>
      </c>
      <c r="Y87" s="167"/>
    </row>
    <row r="88" spans="2:25" ht="17.850000000000001" hidden="1" customHeight="1">
      <c r="B88" s="2" t="s">
        <v>26</v>
      </c>
      <c r="C88" s="2" t="s">
        <v>34</v>
      </c>
      <c r="D88" s="2" t="s">
        <v>1181</v>
      </c>
      <c r="E88" s="2" t="s">
        <v>38</v>
      </c>
      <c r="F88" s="2" t="s">
        <v>37</v>
      </c>
      <c r="G88" s="134" t="s">
        <v>2001</v>
      </c>
      <c r="H88" s="56" t="str">
        <f>Table1[[#This Row],[Tabela]]&amp;Table1[[#This Row],[Campo]]</f>
        <v>ENERGY_CERTIFICATE_EST_INPUTREGISTRO_CONSERVATORIA</v>
      </c>
      <c r="I88" s="2" t="s">
        <v>1845</v>
      </c>
      <c r="J88" s="42">
        <f>VLOOKUP(Table1[[#This Row],[Status]],Auxiliar!$B$16:$C$24,2,0)</f>
        <v>2</v>
      </c>
      <c r="K88" s="2" t="s">
        <v>1182</v>
      </c>
      <c r="L88" s="28" t="s">
        <v>1169</v>
      </c>
      <c r="M88" s="20" t="s">
        <v>1178</v>
      </c>
      <c r="N88" s="47">
        <v>45688</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6" t="str">
        <f>+VLOOKUP(CONCATENATE(Table1[[#This Row],[Tabela]],Table1[[#This Row],[Campo]]),'2. Status Detalhe Campos FY24'!A:J,9,FALSE)</f>
        <v>Fase I</v>
      </c>
      <c r="Y88" s="167"/>
    </row>
    <row r="89" spans="2:25" ht="17.850000000000001" hidden="1" customHeight="1">
      <c r="B89" s="2" t="s">
        <v>26</v>
      </c>
      <c r="C89" s="2" t="s">
        <v>34</v>
      </c>
      <c r="D89" s="2" t="s">
        <v>1181</v>
      </c>
      <c r="E89" s="2" t="s">
        <v>38</v>
      </c>
      <c r="F89" s="2" t="s">
        <v>37</v>
      </c>
      <c r="G89" s="134" t="s">
        <v>2002</v>
      </c>
      <c r="H89" s="56" t="str">
        <f>Table1[[#This Row],[Tabela]]&amp;Table1[[#This Row],[Campo]]</f>
        <v>ENERGY_CERTIFICATE_EST_INPUTART_MATRICIAIS</v>
      </c>
      <c r="I89" s="2" t="s">
        <v>1845</v>
      </c>
      <c r="J89" s="42">
        <f>VLOOKUP(Table1[[#This Row],[Status]],Auxiliar!$B$16:$C$24,2,0)</f>
        <v>2</v>
      </c>
      <c r="K89" s="2" t="s">
        <v>1182</v>
      </c>
      <c r="L89" s="28" t="s">
        <v>1169</v>
      </c>
      <c r="M89" s="20" t="s">
        <v>1178</v>
      </c>
      <c r="N89" s="47">
        <v>45688</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6" t="str">
        <f>+VLOOKUP(CONCATENATE(Table1[[#This Row],[Tabela]],Table1[[#This Row],[Campo]]),'2. Status Detalhe Campos FY24'!A:J,9,FALSE)</f>
        <v>Fase I</v>
      </c>
      <c r="Y89" s="167"/>
    </row>
    <row r="90" spans="2:25" ht="17.850000000000001" hidden="1" customHeight="1">
      <c r="B90" s="2" t="s">
        <v>26</v>
      </c>
      <c r="C90" s="2" t="s">
        <v>34</v>
      </c>
      <c r="D90" s="2" t="s">
        <v>1181</v>
      </c>
      <c r="E90" s="2" t="s">
        <v>38</v>
      </c>
      <c r="F90" s="2" t="s">
        <v>37</v>
      </c>
      <c r="G90" s="134" t="s">
        <v>2003</v>
      </c>
      <c r="H90" s="56" t="str">
        <f>Table1[[#This Row],[Tabela]]&amp;Table1[[#This Row],[Campo]]</f>
        <v>ENERGY_CERTIFICATE_EST_INPUTFRACCAO_AUTONOMA</v>
      </c>
      <c r="I90" s="2" t="s">
        <v>1845</v>
      </c>
      <c r="J90" s="42">
        <f>VLOOKUP(Table1[[#This Row],[Status]],Auxiliar!$B$16:$C$24,2,0)</f>
        <v>2</v>
      </c>
      <c r="K90" s="2" t="s">
        <v>1182</v>
      </c>
      <c r="L90" s="28" t="s">
        <v>1169</v>
      </c>
      <c r="M90" s="20" t="s">
        <v>1178</v>
      </c>
      <c r="N90" s="47">
        <v>45688</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6" t="str">
        <f>+VLOOKUP(CONCATENATE(Table1[[#This Row],[Tabela]],Table1[[#This Row],[Campo]]),'2. Status Detalhe Campos FY24'!A:J,9,FALSE)</f>
        <v>Fase I</v>
      </c>
      <c r="Y90" s="167"/>
    </row>
    <row r="91" spans="2:25" ht="17.850000000000001" hidden="1" customHeight="1">
      <c r="B91" s="2" t="s">
        <v>26</v>
      </c>
      <c r="C91" s="2" t="s">
        <v>34</v>
      </c>
      <c r="D91" s="2" t="s">
        <v>1181</v>
      </c>
      <c r="E91" s="2" t="s">
        <v>38</v>
      </c>
      <c r="F91" s="2" t="s">
        <v>37</v>
      </c>
      <c r="G91" s="134" t="s">
        <v>2004</v>
      </c>
      <c r="H91" s="56" t="str">
        <f>Table1[[#This Row],[Tabela]]&amp;Table1[[#This Row],[Campo]]</f>
        <v>ENERGY_CERTIFICATE_EST_INPUTFINALIDADE_BEM</v>
      </c>
      <c r="I91" s="2" t="s">
        <v>1845</v>
      </c>
      <c r="J91" s="42">
        <f>VLOOKUP(Table1[[#This Row],[Status]],Auxiliar!$B$16:$C$24,2,0)</f>
        <v>2</v>
      </c>
      <c r="K91" s="2" t="s">
        <v>1182</v>
      </c>
      <c r="L91" s="28" t="s">
        <v>1169</v>
      </c>
      <c r="M91" s="20" t="s">
        <v>1178</v>
      </c>
      <c r="N91" s="47">
        <v>45688</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6" t="str">
        <f>+VLOOKUP(CONCATENATE(Table1[[#This Row],[Tabela]],Table1[[#This Row],[Campo]]),'2. Status Detalhe Campos FY24'!A:J,9,FALSE)</f>
        <v>Fase I</v>
      </c>
      <c r="Y91" s="167"/>
    </row>
    <row r="92" spans="2:25" ht="17.850000000000001" hidden="1" customHeight="1">
      <c r="B92" s="2" t="s">
        <v>26</v>
      </c>
      <c r="C92" s="2" t="s">
        <v>34</v>
      </c>
      <c r="D92" s="2" t="s">
        <v>1181</v>
      </c>
      <c r="E92" s="2" t="s">
        <v>38</v>
      </c>
      <c r="F92" s="2" t="s">
        <v>37</v>
      </c>
      <c r="G92" s="134" t="s">
        <v>2005</v>
      </c>
      <c r="H92" s="56" t="str">
        <f>Table1[[#This Row],[Tabela]]&amp;Table1[[#This Row],[Campo]]</f>
        <v>ENERGY_CERTIFICATE_EST_INPUTCLASS_GPT31</v>
      </c>
      <c r="I92" s="2" t="s">
        <v>1845</v>
      </c>
      <c r="J92" s="42">
        <f>VLOOKUP(Table1[[#This Row],[Status]],Auxiliar!$B$16:$C$24,2,0)</f>
        <v>2</v>
      </c>
      <c r="K92" s="2" t="s">
        <v>1182</v>
      </c>
      <c r="L92" s="28" t="s">
        <v>1169</v>
      </c>
      <c r="M92" s="20" t="s">
        <v>1178</v>
      </c>
      <c r="N92" s="47">
        <v>45688</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6" t="str">
        <f>+VLOOKUP(CONCATENATE(Table1[[#This Row],[Tabela]],Table1[[#This Row],[Campo]]),'2. Status Detalhe Campos FY24'!A:J,9,FALSE)</f>
        <v>Fase I</v>
      </c>
      <c r="Y92" s="167"/>
    </row>
    <row r="93" spans="2:25" ht="17.850000000000001" hidden="1" customHeight="1">
      <c r="B93" s="2" t="s">
        <v>26</v>
      </c>
      <c r="C93" s="2" t="s">
        <v>34</v>
      </c>
      <c r="D93" s="2" t="s">
        <v>1181</v>
      </c>
      <c r="E93" s="2" t="s">
        <v>38</v>
      </c>
      <c r="F93" s="2" t="s">
        <v>37</v>
      </c>
      <c r="G93" s="134" t="s">
        <v>2006</v>
      </c>
      <c r="H93" s="56" t="str">
        <f>Table1[[#This Row],[Tabela]]&amp;Table1[[#This Row],[Campo]]</f>
        <v>ENERGY_CERTIFICATE_EST_INPUTCLASS_STCLIM</v>
      </c>
      <c r="I93" s="2" t="s">
        <v>1845</v>
      </c>
      <c r="J93" s="42">
        <f>VLOOKUP(Table1[[#This Row],[Status]],Auxiliar!$B$16:$C$24,2,0)</f>
        <v>2</v>
      </c>
      <c r="K93" s="2" t="s">
        <v>1182</v>
      </c>
      <c r="L93" s="28" t="s">
        <v>1169</v>
      </c>
      <c r="M93" s="20" t="s">
        <v>1178</v>
      </c>
      <c r="N93" s="47">
        <v>45688</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6" t="str">
        <f>+VLOOKUP(CONCATENATE(Table1[[#This Row],[Tabela]],Table1[[#This Row],[Campo]]),'2. Status Detalhe Campos FY24'!A:J,9,FALSE)</f>
        <v>Fase I</v>
      </c>
      <c r="Y93" s="167"/>
    </row>
    <row r="94" spans="2:25" ht="17.850000000000001" hidden="1" customHeight="1">
      <c r="B94" s="2" t="s">
        <v>26</v>
      </c>
      <c r="C94" s="2" t="s">
        <v>34</v>
      </c>
      <c r="D94" s="2" t="s">
        <v>1181</v>
      </c>
      <c r="E94" s="2" t="s">
        <v>38</v>
      </c>
      <c r="F94" s="2" t="s">
        <v>37</v>
      </c>
      <c r="G94" s="134" t="s">
        <v>2007</v>
      </c>
      <c r="H94" s="56" t="str">
        <f>Table1[[#This Row],[Tabela]]&amp;Table1[[#This Row],[Campo]]</f>
        <v>ENERGY_CERTIFICATE_EST_INPUTCONF_STCLIM</v>
      </c>
      <c r="I94" s="2" t="s">
        <v>1845</v>
      </c>
      <c r="J94" s="42">
        <f>VLOOKUP(Table1[[#This Row],[Status]],Auxiliar!$B$16:$C$24,2,0)</f>
        <v>2</v>
      </c>
      <c r="K94" s="2" t="s">
        <v>1182</v>
      </c>
      <c r="L94" s="28" t="s">
        <v>1169</v>
      </c>
      <c r="M94" s="20" t="s">
        <v>1178</v>
      </c>
      <c r="N94" s="47">
        <v>45688</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6" t="str">
        <f>+VLOOKUP(CONCATENATE(Table1[[#This Row],[Tabela]],Table1[[#This Row],[Campo]]),'2. Status Detalhe Campos FY24'!A:J,9,FALSE)</f>
        <v>Fase I</v>
      </c>
      <c r="Y94" s="167"/>
    </row>
    <row r="95" spans="2:25" ht="17.850000000000001" hidden="1" customHeight="1">
      <c r="B95" s="2" t="s">
        <v>26</v>
      </c>
      <c r="C95" s="2" t="s">
        <v>34</v>
      </c>
      <c r="D95" s="2" t="s">
        <v>1181</v>
      </c>
      <c r="E95" s="2" t="s">
        <v>38</v>
      </c>
      <c r="F95" s="2" t="s">
        <v>37</v>
      </c>
      <c r="G95" s="134" t="s">
        <v>2008</v>
      </c>
      <c r="H95" s="56" t="str">
        <f>Table1[[#This Row],[Tabela]]&amp;Table1[[#This Row],[Campo]]</f>
        <v>ENERGY_CERTIFICATE_EST_INPUTCLASSE_ENERGETICA</v>
      </c>
      <c r="I95" s="2" t="s">
        <v>1845</v>
      </c>
      <c r="J95" s="42">
        <f>VLOOKUP(Table1[[#This Row],[Status]],Auxiliar!$B$16:$C$24,2,0)</f>
        <v>2</v>
      </c>
      <c r="K95" s="2" t="s">
        <v>1182</v>
      </c>
      <c r="L95" s="28" t="s">
        <v>1169</v>
      </c>
      <c r="M95" s="20" t="s">
        <v>1178</v>
      </c>
      <c r="N95" s="47">
        <v>45688</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6" t="str">
        <f>+VLOOKUP(CONCATENATE(Table1[[#This Row],[Tabela]],Table1[[#This Row],[Campo]]),'2. Status Detalhe Campos FY24'!A:J,9,FALSE)</f>
        <v>Fase I</v>
      </c>
      <c r="Y95" s="167"/>
    </row>
    <row r="96" spans="2:25" ht="17.850000000000001" hidden="1" customHeight="1">
      <c r="B96" s="2" t="s">
        <v>26</v>
      </c>
      <c r="C96" s="2" t="s">
        <v>34</v>
      </c>
      <c r="D96" s="2" t="s">
        <v>1181</v>
      </c>
      <c r="E96" s="2" t="s">
        <v>38</v>
      </c>
      <c r="F96" s="2" t="s">
        <v>37</v>
      </c>
      <c r="G96" s="134" t="s">
        <v>2009</v>
      </c>
      <c r="H96" s="56" t="str">
        <f>Table1[[#This Row],[Tabela]]&amp;Table1[[#This Row],[Campo]]</f>
        <v>ENERGY_CERTIFICATE_EST_INPUTFIABILIDAD</v>
      </c>
      <c r="I96" s="2" t="s">
        <v>1845</v>
      </c>
      <c r="J96" s="42">
        <f>VLOOKUP(Table1[[#This Row],[Status]],Auxiliar!$B$16:$C$24,2,0)</f>
        <v>2</v>
      </c>
      <c r="K96" s="2" t="s">
        <v>1182</v>
      </c>
      <c r="L96" s="28" t="s">
        <v>1169</v>
      </c>
      <c r="M96" s="20" t="s">
        <v>1178</v>
      </c>
      <c r="N96" s="47">
        <v>45688</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6" t="str">
        <f>+VLOOKUP(CONCATENATE(Table1[[#This Row],[Tabela]],Table1[[#This Row],[Campo]]),'2. Status Detalhe Campos FY24'!A:J,9,FALSE)</f>
        <v>Fase I</v>
      </c>
      <c r="Y96" s="167"/>
    </row>
    <row r="97" spans="2:25" ht="17.850000000000001" hidden="1" customHeight="1">
      <c r="B97" s="2" t="s">
        <v>26</v>
      </c>
      <c r="C97" s="2" t="s">
        <v>34</v>
      </c>
      <c r="D97" s="2" t="s">
        <v>1181</v>
      </c>
      <c r="E97" s="2" t="s">
        <v>38</v>
      </c>
      <c r="F97" s="2" t="s">
        <v>37</v>
      </c>
      <c r="G97" s="134" t="s">
        <v>2010</v>
      </c>
      <c r="H97" s="56" t="str">
        <f>Table1[[#This Row],[Tabela]]&amp;Table1[[#This Row],[Campo]]</f>
        <v>ENERGY_CERTIFICATE_EST_INPUTEMISSIONES</v>
      </c>
      <c r="I97" s="2" t="s">
        <v>1845</v>
      </c>
      <c r="J97" s="42">
        <f>VLOOKUP(Table1[[#This Row],[Status]],Auxiliar!$B$16:$C$24,2,0)</f>
        <v>2</v>
      </c>
      <c r="K97" s="2" t="s">
        <v>1182</v>
      </c>
      <c r="L97" s="28" t="s">
        <v>1169</v>
      </c>
      <c r="M97" s="20" t="s">
        <v>1178</v>
      </c>
      <c r="N97" s="47">
        <v>45688</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6" t="str">
        <f>+VLOOKUP(CONCATENATE(Table1[[#This Row],[Tabela]],Table1[[#This Row],[Campo]]),'2. Status Detalhe Campos FY24'!A:J,9,FALSE)</f>
        <v>Fase I</v>
      </c>
      <c r="Y97" s="167"/>
    </row>
    <row r="98" spans="2:25" ht="17.850000000000001" hidden="1" customHeight="1">
      <c r="B98" s="2" t="s">
        <v>26</v>
      </c>
      <c r="C98" s="2" t="s">
        <v>34</v>
      </c>
      <c r="D98" s="2" t="s">
        <v>1181</v>
      </c>
      <c r="E98" s="2" t="s">
        <v>38</v>
      </c>
      <c r="F98" s="2" t="s">
        <v>37</v>
      </c>
      <c r="G98" s="134" t="s">
        <v>2011</v>
      </c>
      <c r="H98" s="56" t="str">
        <f>Table1[[#This Row],[Tabela]]&amp;Table1[[#This Row],[Campo]]</f>
        <v>ENERGY_CERTIFICATE_EST_INPUTCONSUMOS</v>
      </c>
      <c r="I98" s="2" t="s">
        <v>1845</v>
      </c>
      <c r="J98" s="42">
        <f>VLOOKUP(Table1[[#This Row],[Status]],Auxiliar!$B$16:$C$24,2,0)</f>
        <v>2</v>
      </c>
      <c r="K98" s="2" t="s">
        <v>1182</v>
      </c>
      <c r="L98" s="28" t="s">
        <v>1169</v>
      </c>
      <c r="M98" s="20" t="s">
        <v>1178</v>
      </c>
      <c r="N98" s="47">
        <v>45688</v>
      </c>
      <c r="O98" s="20" t="e">
        <f>INDEX(Auxiliar!$D$5:$F$11,MATCH(Table1[[#This Row],[Tipologia_Testes]],Auxiliar!$B$5:$B$11,0),MATCH(Table1[[#This Row],[Complexidade]],Auxiliar!$D$4:$F$4,0))</f>
        <v>#N/A</v>
      </c>
      <c r="P98" s="2"/>
      <c r="Q98" s="2"/>
      <c r="R98" s="151"/>
      <c r="S98" s="151"/>
      <c r="T98" s="151"/>
      <c r="U98" s="151"/>
      <c r="V98" s="151"/>
      <c r="W98" s="2" t="e">
        <f>VLOOKUP(Table1[[#This Row],[Status]],Auxiliar!$B$16:$D$24,3,0)*Table1[[#This Row],[Estimação (horas)]]</f>
        <v>#N/A</v>
      </c>
      <c r="X98" s="166" t="str">
        <f>+VLOOKUP(CONCATENATE(Table1[[#This Row],[Tabela]],Table1[[#This Row],[Campo]]),'2. Status Detalhe Campos FY24'!A:J,9,FALSE)</f>
        <v>Fase I</v>
      </c>
      <c r="Y98" s="167"/>
    </row>
    <row r="99" spans="2:25" ht="17.850000000000001" hidden="1" customHeight="1">
      <c r="B99" s="2" t="s">
        <v>26</v>
      </c>
      <c r="C99" s="2" t="s">
        <v>34</v>
      </c>
      <c r="D99" s="2" t="s">
        <v>1181</v>
      </c>
      <c r="E99" s="2" t="s">
        <v>38</v>
      </c>
      <c r="F99" s="2" t="s">
        <v>37</v>
      </c>
      <c r="G99" s="134" t="s">
        <v>2012</v>
      </c>
      <c r="H99" s="56" t="str">
        <f>Table1[[#This Row],[Tabela]]&amp;Table1[[#This Row],[Campo]]</f>
        <v>ENERGY_CERTIFICATE_EST_INPUTDATA_ENVIO</v>
      </c>
      <c r="I99" s="2" t="s">
        <v>1845</v>
      </c>
      <c r="J99" s="42">
        <f>VLOOKUP(Table1[[#This Row],[Status]],Auxiliar!$B$16:$C$24,2,0)</f>
        <v>2</v>
      </c>
      <c r="K99" s="2" t="s">
        <v>1182</v>
      </c>
      <c r="L99" s="28" t="s">
        <v>1169</v>
      </c>
      <c r="M99" s="20" t="s">
        <v>1178</v>
      </c>
      <c r="N99" s="47">
        <v>45688</v>
      </c>
      <c r="O99" s="20" t="e">
        <f>INDEX(Auxiliar!$D$5:$F$11,MATCH(Table1[[#This Row],[Tipologia_Testes]],Auxiliar!$B$5:$B$11,0),MATCH(Table1[[#This Row],[Complexidade]],Auxiliar!$D$4:$F$4,0))</f>
        <v>#N/A</v>
      </c>
      <c r="P99" s="2"/>
      <c r="Q99" s="2"/>
      <c r="R99" s="151"/>
      <c r="S99" s="151"/>
      <c r="T99" s="151"/>
      <c r="U99" s="151"/>
      <c r="V99" s="151"/>
      <c r="W99" s="2" t="e">
        <f>VLOOKUP(Table1[[#This Row],[Status]],Auxiliar!$B$16:$D$24,3,0)*Table1[[#This Row],[Estimação (horas)]]</f>
        <v>#N/A</v>
      </c>
      <c r="X99" s="166" t="str">
        <f>+VLOOKUP(CONCATENATE(Table1[[#This Row],[Tabela]],Table1[[#This Row],[Campo]]),'2. Status Detalhe Campos FY24'!A:J,9,FALSE)</f>
        <v>Fase I</v>
      </c>
      <c r="Y99" s="167"/>
    </row>
    <row r="100" spans="2:25" ht="87" hidden="1" customHeight="1">
      <c r="B100" s="2" t="s">
        <v>26</v>
      </c>
      <c r="C100" s="2" t="s">
        <v>54</v>
      </c>
      <c r="D100" s="2" t="s">
        <v>95</v>
      </c>
      <c r="E100" s="2" t="s">
        <v>38</v>
      </c>
      <c r="F100" s="2" t="s">
        <v>94</v>
      </c>
      <c r="G100" s="2" t="s">
        <v>38</v>
      </c>
      <c r="H100" s="56" t="str">
        <f>Table1[[#This Row],[Tabela]]&amp;Table1[[#This Row],[Campo]]</f>
        <v>PROPERTYn.a.</v>
      </c>
      <c r="I100" s="2" t="s">
        <v>612</v>
      </c>
      <c r="J100" s="42">
        <f>VLOOKUP(Table1[[#This Row],[Status]],Auxiliar!$B$16:$C$24,2,0)</f>
        <v>1</v>
      </c>
      <c r="K100" s="2" t="s">
        <v>1168</v>
      </c>
      <c r="L100" s="28" t="s">
        <v>1169</v>
      </c>
      <c r="M100" s="20" t="s">
        <v>1170</v>
      </c>
      <c r="N100" s="47">
        <v>45505</v>
      </c>
      <c r="O100" s="20">
        <f>INDEX(Auxiliar!$D$5:$F$13,MATCH(Table1[[#This Row],[Tipologia_Testes]],Auxiliar!$B$5:$B$13,0),MATCH(Table1[[#This Row],[Complexidade]],Auxiliar!$D$4:$F$4,0))</f>
        <v>8</v>
      </c>
      <c r="P100" s="22" t="s">
        <v>1187</v>
      </c>
      <c r="Q100" s="2" t="s">
        <v>1188</v>
      </c>
      <c r="R100" s="151">
        <v>45261</v>
      </c>
      <c r="S100" s="151"/>
      <c r="T100" s="151"/>
      <c r="U100" s="151"/>
      <c r="V100" s="151"/>
      <c r="W100" s="2">
        <f>VLOOKUP(Table1[[#This Row],[Status]],Auxiliar!$B$16:$D$24,3,0)*Table1[[#This Row],[Estimação (horas)]]</f>
        <v>8</v>
      </c>
      <c r="X100" s="166">
        <f>+VLOOKUP(CONCATENATE(Table1[[#This Row],[Tabela]],Table1[[#This Row],[Campo]]),'2. Status Detalhe Campos FY24'!A:J,9,FALSE)</f>
        <v>0</v>
      </c>
      <c r="Y100" s="165"/>
    </row>
    <row r="101" spans="2:25" ht="52.35" hidden="1" customHeight="1">
      <c r="B101" s="2" t="s">
        <v>26</v>
      </c>
      <c r="C101" s="2" t="s">
        <v>54</v>
      </c>
      <c r="D101" s="2" t="s">
        <v>95</v>
      </c>
      <c r="E101" s="2" t="s">
        <v>38</v>
      </c>
      <c r="F101" s="2" t="s">
        <v>94</v>
      </c>
      <c r="G101" s="2" t="s">
        <v>96</v>
      </c>
      <c r="H101" s="56" t="str">
        <f>Table1[[#This Row],[Tabela]]&amp;Table1[[#This Row],[Campo]]</f>
        <v>PROPERTYCONSTRUCTION_YEAR</v>
      </c>
      <c r="I101" s="2" t="s">
        <v>612</v>
      </c>
      <c r="J101" s="42">
        <f>VLOOKUP(Table1[[#This Row],[Status]],Auxiliar!$B$16:$C$24,2,0)</f>
        <v>1</v>
      </c>
      <c r="K101" s="2" t="s">
        <v>1171</v>
      </c>
      <c r="L101" s="28" t="s">
        <v>1189</v>
      </c>
      <c r="M101" s="20" t="s">
        <v>1179</v>
      </c>
      <c r="N101" s="47">
        <v>45505</v>
      </c>
      <c r="O101" s="20">
        <f>INDEX(Auxiliar!$D$5:$F$13,MATCH(Table1[[#This Row],[Tipologia_Testes]],Auxiliar!$B$5:$B$13,0),MATCH(Table1[[#This Row],[Complexidade]],Auxiliar!$D$4:$F$4,0))</f>
        <v>4</v>
      </c>
      <c r="P101" s="22" t="s">
        <v>1190</v>
      </c>
      <c r="Q101" s="2" t="s">
        <v>1188</v>
      </c>
      <c r="R101" s="151">
        <v>45425</v>
      </c>
      <c r="S101" s="151"/>
      <c r="T101" s="151"/>
      <c r="U101" s="151"/>
      <c r="V101" s="151"/>
      <c r="W101" s="2">
        <f>VLOOKUP(Table1[[#This Row],[Status]],Auxiliar!$B$16:$D$24,3,0)*Table1[[#This Row],[Estimação (horas)]]</f>
        <v>4</v>
      </c>
      <c r="X101" s="166">
        <f>+VLOOKUP(CONCATENATE(Table1[[#This Row],[Tabela]],Table1[[#This Row],[Campo]]),'2. Status Detalhe Campos FY24'!A:J,9,FALSE)</f>
        <v>0</v>
      </c>
      <c r="Y101" s="165"/>
    </row>
    <row r="102" spans="2:25" ht="17.850000000000001" hidden="1" customHeight="1">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1171</v>
      </c>
      <c r="L102" s="28" t="s">
        <v>1169</v>
      </c>
      <c r="M102" s="20" t="s">
        <v>1179</v>
      </c>
      <c r="N102" s="47">
        <v>45505</v>
      </c>
      <c r="O102" s="20">
        <f>INDEX(Auxiliar!$D$5:$F$13,MATCH(Table1[[#This Row],[Tipologia_Testes]],Auxiliar!$B$5:$B$13,0),MATCH(Table1[[#This Row],[Complexidade]],Auxiliar!$D$4:$F$4,0))</f>
        <v>4</v>
      </c>
      <c r="P102" s="2"/>
      <c r="Q102" s="2" t="s">
        <v>1188</v>
      </c>
      <c r="R102" s="151">
        <v>45261</v>
      </c>
      <c r="S102" s="151"/>
      <c r="T102" s="151"/>
      <c r="U102" s="151"/>
      <c r="V102" s="151"/>
      <c r="W102" s="2">
        <f>VLOOKUP(Table1[[#This Row],[Status]],Auxiliar!$B$16:$D$24,3,0)*Table1[[#This Row],[Estimação (horas)]]</f>
        <v>4</v>
      </c>
      <c r="X102" s="166">
        <f>+VLOOKUP(CONCATENATE(Table1[[#This Row],[Tabela]],Table1[[#This Row],[Campo]]),'2. Status Detalhe Campos FY24'!A:J,9,FALSE)</f>
        <v>0</v>
      </c>
      <c r="Y102" s="165"/>
    </row>
    <row r="103" spans="2:25" ht="17.850000000000001" hidden="1" customHeight="1">
      <c r="B103" s="2" t="s">
        <v>26</v>
      </c>
      <c r="C103" s="2" t="s">
        <v>54</v>
      </c>
      <c r="D103" s="2" t="s">
        <v>95</v>
      </c>
      <c r="E103" s="2" t="s">
        <v>38</v>
      </c>
      <c r="F103" s="2" t="s">
        <v>94</v>
      </c>
      <c r="G103" s="2" t="s">
        <v>97</v>
      </c>
      <c r="H103" s="56" t="str">
        <f>Table1[[#This Row],[Tabela]]&amp;Table1[[#This Row],[Campo]]</f>
        <v>PROPERTYNET_FLOOR_AREA</v>
      </c>
      <c r="I103" s="3" t="s">
        <v>612</v>
      </c>
      <c r="J103" s="42">
        <f>VLOOKUP(Table1[[#This Row],[Status]],Auxiliar!$B$16:$C$24,2,0)</f>
        <v>1</v>
      </c>
      <c r="K103" s="2" t="s">
        <v>1172</v>
      </c>
      <c r="L103" s="28" t="s">
        <v>1169</v>
      </c>
      <c r="M103" s="20" t="s">
        <v>1179</v>
      </c>
      <c r="N103" s="47">
        <v>45505</v>
      </c>
      <c r="O103" s="20">
        <f>INDEX(Auxiliar!$D$5:$F$13,MATCH(Table1[[#This Row],[Tipologia_Testes]],Auxiliar!$B$5:$B$13,0),MATCH(Table1[[#This Row],[Complexidade]],Auxiliar!$D$4:$F$4,0))</f>
        <v>4</v>
      </c>
      <c r="P103" s="2"/>
      <c r="Q103" s="2" t="s">
        <v>1188</v>
      </c>
      <c r="R103" s="151">
        <v>45261</v>
      </c>
      <c r="S103" s="151"/>
      <c r="T103" s="151"/>
      <c r="U103" s="151"/>
      <c r="V103" s="151"/>
      <c r="W103" s="2">
        <f>VLOOKUP(Table1[[#This Row],[Status]],Auxiliar!$B$16:$D$24,3,0)*Table1[[#This Row],[Estimação (horas)]]</f>
        <v>4</v>
      </c>
      <c r="X103" s="166">
        <f>+VLOOKUP(CONCATENATE(Table1[[#This Row],[Tabela]],Table1[[#This Row],[Campo]]),'2. Status Detalhe Campos FY24'!A:J,9,FALSE)</f>
        <v>0</v>
      </c>
      <c r="Y103" s="165"/>
    </row>
    <row r="104" spans="2:25" ht="17.850000000000001" hidden="1" customHeight="1">
      <c r="B104" s="2" t="s">
        <v>26</v>
      </c>
      <c r="C104" s="2" t="s">
        <v>54</v>
      </c>
      <c r="D104" s="2" t="s">
        <v>95</v>
      </c>
      <c r="E104" s="2" t="s">
        <v>38</v>
      </c>
      <c r="F104" s="2" t="s">
        <v>94</v>
      </c>
      <c r="G104" s="2" t="s">
        <v>97</v>
      </c>
      <c r="H104" s="56" t="str">
        <f>Table1[[#This Row],[Tabela]]&amp;Table1[[#This Row],[Campo]]</f>
        <v>PROPERTYNET_FLOOR_AREA</v>
      </c>
      <c r="I104" s="3" t="s">
        <v>612</v>
      </c>
      <c r="J104" s="42">
        <f>VLOOKUP(Table1[[#This Row],[Status]],Auxiliar!$B$16:$C$24,2,0)</f>
        <v>1</v>
      </c>
      <c r="K104" s="2" t="s">
        <v>1174</v>
      </c>
      <c r="L104" s="28" t="s">
        <v>1169</v>
      </c>
      <c r="M104" s="20" t="s">
        <v>1179</v>
      </c>
      <c r="N104" s="47">
        <v>45505</v>
      </c>
      <c r="O104" s="20">
        <f>INDEX(Auxiliar!$D$5:$F$13,MATCH(Table1[[#This Row],[Tipologia_Testes]],Auxiliar!$B$5:$B$13,0),MATCH(Table1[[#This Row],[Complexidade]],Auxiliar!$D$4:$F$4,0))</f>
        <v>0.1</v>
      </c>
      <c r="P104" s="2"/>
      <c r="Q104" s="2" t="s">
        <v>1188</v>
      </c>
      <c r="R104" s="151">
        <v>45261</v>
      </c>
      <c r="S104" s="151"/>
      <c r="T104" s="151"/>
      <c r="U104" s="151"/>
      <c r="V104" s="151"/>
      <c r="W104" s="2">
        <f>VLOOKUP(Table1[[#This Row],[Status]],Auxiliar!$B$16:$D$24,3,0)*Table1[[#This Row],[Estimação (horas)]]</f>
        <v>0.1</v>
      </c>
      <c r="X104" s="166">
        <f>+VLOOKUP(CONCATENATE(Table1[[#This Row],[Tabela]],Table1[[#This Row],[Campo]]),'2. Status Detalhe Campos FY24'!A:J,9,FALSE)</f>
        <v>0</v>
      </c>
      <c r="Y104" s="165"/>
    </row>
    <row r="105" spans="2:25" ht="17.850000000000001" hidden="1" customHeight="1">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1171</v>
      </c>
      <c r="L105" s="28" t="s">
        <v>1177</v>
      </c>
      <c r="M105" s="20" t="s">
        <v>1178</v>
      </c>
      <c r="N105" s="47">
        <v>45485</v>
      </c>
      <c r="O105" s="20">
        <f>INDEX(Auxiliar!$D$5:$F$13,MATCH(Table1[[#This Row],[Tipologia_Testes]],Auxiliar!$B$5:$B$13,0),MATCH(Table1[[#This Row],[Complexidade]],Auxiliar!$D$4:$F$4,0))</f>
        <v>2</v>
      </c>
      <c r="P105" s="2" t="s">
        <v>1191</v>
      </c>
      <c r="Q105" s="2" t="s">
        <v>1188</v>
      </c>
      <c r="R105" s="151">
        <v>45261</v>
      </c>
      <c r="S105" s="151"/>
      <c r="T105" s="151"/>
      <c r="U105" s="151"/>
      <c r="V105" s="151"/>
      <c r="W105" s="2">
        <f>VLOOKUP(Table1[[#This Row],[Status]],Auxiliar!$B$16:$D$24,3,0)*Table1[[#This Row],[Estimação (horas)]]</f>
        <v>2</v>
      </c>
      <c r="X105" s="166">
        <f>+VLOOKUP(CONCATENATE(Table1[[#This Row],[Tabela]],Table1[[#This Row],[Campo]]),'2. Status Detalhe Campos FY24'!A:J,9,FALSE)</f>
        <v>0</v>
      </c>
      <c r="Y105" s="165"/>
    </row>
    <row r="106" spans="2:25" ht="17.850000000000001" hidden="1" customHeight="1">
      <c r="B106" s="2" t="s">
        <v>26</v>
      </c>
      <c r="C106" s="2" t="s">
        <v>54</v>
      </c>
      <c r="D106" s="2" t="s">
        <v>95</v>
      </c>
      <c r="E106" s="2" t="s">
        <v>38</v>
      </c>
      <c r="F106" s="2" t="s">
        <v>94</v>
      </c>
      <c r="G106" s="2" t="s">
        <v>41</v>
      </c>
      <c r="H106" s="56" t="str">
        <f>Table1[[#This Row],[Tabela]]&amp;Table1[[#This Row],[Campo]]</f>
        <v>PROPERTYPROPERTY_BANK_ID</v>
      </c>
      <c r="I106" s="3" t="s">
        <v>612</v>
      </c>
      <c r="J106" s="54">
        <f>VLOOKUP(Table1[[#This Row],[Status]],Auxiliar!$B$16:$C$24,2,0)</f>
        <v>1</v>
      </c>
      <c r="K106" s="2" t="s">
        <v>1172</v>
      </c>
      <c r="L106" s="28" t="s">
        <v>1177</v>
      </c>
      <c r="M106" s="20" t="s">
        <v>1178</v>
      </c>
      <c r="N106" s="47">
        <v>45485</v>
      </c>
      <c r="O106" s="20">
        <f>INDEX(Auxiliar!$D$5:$F$13,MATCH(Table1[[#This Row],[Tipologia_Testes]],Auxiliar!$B$5:$B$13,0),MATCH(Table1[[#This Row],[Complexidade]],Auxiliar!$D$4:$F$4,0))</f>
        <v>2</v>
      </c>
      <c r="P106" s="2" t="s">
        <v>1191</v>
      </c>
      <c r="Q106" s="2" t="s">
        <v>1188</v>
      </c>
      <c r="R106" s="151">
        <v>45261</v>
      </c>
      <c r="S106" s="151"/>
      <c r="T106" s="151"/>
      <c r="U106" s="151"/>
      <c r="V106" s="151"/>
      <c r="W106" s="2">
        <f>VLOOKUP(Table1[[#This Row],[Status]],Auxiliar!$B$16:$D$24,3,0)*Table1[[#This Row],[Estimação (horas)]]</f>
        <v>2</v>
      </c>
      <c r="X106" s="166">
        <f>+VLOOKUP(CONCATENATE(Table1[[#This Row],[Tabela]],Table1[[#This Row],[Campo]]),'2. Status Detalhe Campos FY24'!A:J,9,FALSE)</f>
        <v>0</v>
      </c>
      <c r="Y106" s="165"/>
    </row>
    <row r="107" spans="2:25" ht="17.850000000000001" hidden="1" customHeight="1">
      <c r="B107" s="2" t="s">
        <v>26</v>
      </c>
      <c r="C107" s="2" t="s">
        <v>54</v>
      </c>
      <c r="D107" s="2" t="s">
        <v>95</v>
      </c>
      <c r="E107" s="2" t="s">
        <v>38</v>
      </c>
      <c r="F107" s="2" t="s">
        <v>94</v>
      </c>
      <c r="G107" s="2" t="s">
        <v>41</v>
      </c>
      <c r="H107" s="56" t="str">
        <f>Table1[[#This Row],[Tabela]]&amp;Table1[[#This Row],[Campo]]</f>
        <v>PROPERTYPROPERTY_BANK_ID</v>
      </c>
      <c r="I107" s="3" t="s">
        <v>612</v>
      </c>
      <c r="J107" s="54">
        <f>VLOOKUP(Table1[[#This Row],[Status]],Auxiliar!$B$16:$C$24,2,0)</f>
        <v>1</v>
      </c>
      <c r="K107" s="2" t="s">
        <v>1174</v>
      </c>
      <c r="L107" s="28" t="s">
        <v>1177</v>
      </c>
      <c r="M107" s="20" t="s">
        <v>1178</v>
      </c>
      <c r="N107" s="47">
        <v>45485</v>
      </c>
      <c r="O107" s="20">
        <f>INDEX(Auxiliar!$D$5:$F$13,MATCH(Table1[[#This Row],[Tipologia_Testes]],Auxiliar!$B$5:$B$13,0),MATCH(Table1[[#This Row],[Complexidade]],Auxiliar!$D$4:$F$4,0))</f>
        <v>0.1</v>
      </c>
      <c r="P107" s="2" t="s">
        <v>1191</v>
      </c>
      <c r="Q107" s="2" t="s">
        <v>1188</v>
      </c>
      <c r="R107" s="151">
        <v>45261</v>
      </c>
      <c r="S107" s="151"/>
      <c r="T107" s="151"/>
      <c r="U107" s="151"/>
      <c r="V107" s="151"/>
      <c r="W107" s="2">
        <f>VLOOKUP(Table1[[#This Row],[Status]],Auxiliar!$B$16:$D$24,3,0)*Table1[[#This Row],[Estimação (horas)]]</f>
        <v>0.1</v>
      </c>
      <c r="X107" s="166">
        <f>+VLOOKUP(CONCATENATE(Table1[[#This Row],[Tabela]],Table1[[#This Row],[Campo]]),'2. Status Detalhe Campos FY24'!A:J,9,FALSE)</f>
        <v>0</v>
      </c>
      <c r="Y107" s="165"/>
    </row>
    <row r="108" spans="2:25" ht="17.850000000000001" hidden="1" customHeight="1">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1171</v>
      </c>
      <c r="L108" s="28" t="s">
        <v>1177</v>
      </c>
      <c r="M108" s="20" t="s">
        <v>1178</v>
      </c>
      <c r="N108" s="47">
        <v>45485</v>
      </c>
      <c r="O108" s="20">
        <f>INDEX(Auxiliar!$D$5:$F$13,MATCH(Table1[[#This Row],[Tipologia_Testes]],Auxiliar!$B$5:$B$13,0),MATCH(Table1[[#This Row],[Complexidade]],Auxiliar!$D$4:$F$4,0))</f>
        <v>2</v>
      </c>
      <c r="P108" s="2" t="s">
        <v>1191</v>
      </c>
      <c r="Q108" s="2" t="s">
        <v>1188</v>
      </c>
      <c r="R108" s="151">
        <v>45261</v>
      </c>
      <c r="S108" s="151"/>
      <c r="T108" s="151"/>
      <c r="U108" s="151"/>
      <c r="V108" s="151"/>
      <c r="W108" s="2">
        <f>VLOOKUP(Table1[[#This Row],[Status]],Auxiliar!$B$16:$D$24,3,0)*Table1[[#This Row],[Estimação (horas)]]</f>
        <v>2</v>
      </c>
      <c r="X108" s="166">
        <f>+VLOOKUP(CONCATENATE(Table1[[#This Row],[Tabela]],Table1[[#This Row],[Campo]]),'2. Status Detalhe Campos FY24'!A:J,9,FALSE)</f>
        <v>0</v>
      </c>
      <c r="Y108" s="165"/>
    </row>
    <row r="109" spans="2:25" ht="17.850000000000001" hidden="1" customHeight="1">
      <c r="B109" s="2" t="s">
        <v>26</v>
      </c>
      <c r="C109" s="2" t="s">
        <v>54</v>
      </c>
      <c r="D109" s="2" t="s">
        <v>95</v>
      </c>
      <c r="E109" s="2" t="s">
        <v>38</v>
      </c>
      <c r="F109" s="2" t="s">
        <v>94</v>
      </c>
      <c r="G109" s="2" t="s">
        <v>43</v>
      </c>
      <c r="H109" s="56" t="str">
        <f>Table1[[#This Row],[Tabela]]&amp;Table1[[#This Row],[Campo]]</f>
        <v>PROPERTYPROPERTY_BRANCH_CODE</v>
      </c>
      <c r="I109" s="3" t="s">
        <v>612</v>
      </c>
      <c r="J109" s="54">
        <f>VLOOKUP(Table1[[#This Row],[Status]],Auxiliar!$B$16:$C$24,2,0)</f>
        <v>1</v>
      </c>
      <c r="K109" s="2" t="s">
        <v>1172</v>
      </c>
      <c r="L109" s="28" t="s">
        <v>1177</v>
      </c>
      <c r="M109" s="20" t="s">
        <v>1178</v>
      </c>
      <c r="N109" s="47">
        <v>45485</v>
      </c>
      <c r="O109" s="20">
        <f>INDEX(Auxiliar!$D$5:$F$13,MATCH(Table1[[#This Row],[Tipologia_Testes]],Auxiliar!$B$5:$B$13,0),MATCH(Table1[[#This Row],[Complexidade]],Auxiliar!$D$4:$F$4,0))</f>
        <v>2</v>
      </c>
      <c r="P109" s="2" t="s">
        <v>1191</v>
      </c>
      <c r="Q109" s="2" t="s">
        <v>1188</v>
      </c>
      <c r="R109" s="151">
        <v>45261</v>
      </c>
      <c r="S109" s="151"/>
      <c r="T109" s="151"/>
      <c r="U109" s="151"/>
      <c r="V109" s="151"/>
      <c r="W109" s="2">
        <f>VLOOKUP(Table1[[#This Row],[Status]],Auxiliar!$B$16:$D$24,3,0)*Table1[[#This Row],[Estimação (horas)]]</f>
        <v>2</v>
      </c>
      <c r="X109" s="166">
        <f>+VLOOKUP(CONCATENATE(Table1[[#This Row],[Tabela]],Table1[[#This Row],[Campo]]),'2. Status Detalhe Campos FY24'!A:J,9,FALSE)</f>
        <v>0</v>
      </c>
      <c r="Y109" s="167"/>
    </row>
    <row r="110" spans="2:25" ht="17.850000000000001" hidden="1" customHeight="1">
      <c r="B110" s="2" t="s">
        <v>26</v>
      </c>
      <c r="C110" s="2" t="s">
        <v>54</v>
      </c>
      <c r="D110" s="2" t="s">
        <v>95</v>
      </c>
      <c r="E110" s="2" t="s">
        <v>38</v>
      </c>
      <c r="F110" s="2" t="s">
        <v>94</v>
      </c>
      <c r="G110" s="2" t="s">
        <v>43</v>
      </c>
      <c r="H110" s="56" t="str">
        <f>Table1[[#This Row],[Tabela]]&amp;Table1[[#This Row],[Campo]]</f>
        <v>PROPERTYPROPERTY_BRANCH_CODE</v>
      </c>
      <c r="I110" s="3" t="s">
        <v>612</v>
      </c>
      <c r="J110" s="54">
        <f>VLOOKUP(Table1[[#This Row],[Status]],Auxiliar!$B$16:$C$24,2,0)</f>
        <v>1</v>
      </c>
      <c r="K110" s="2" t="s">
        <v>1174</v>
      </c>
      <c r="L110" s="28" t="s">
        <v>1177</v>
      </c>
      <c r="M110" s="20" t="s">
        <v>1178</v>
      </c>
      <c r="N110" s="47">
        <v>45485</v>
      </c>
      <c r="O110" s="20">
        <f>INDEX(Auxiliar!$D$5:$F$13,MATCH(Table1[[#This Row],[Tipologia_Testes]],Auxiliar!$B$5:$B$13,0),MATCH(Table1[[#This Row],[Complexidade]],Auxiliar!$D$4:$F$4,0))</f>
        <v>0.1</v>
      </c>
      <c r="P110" s="2" t="s">
        <v>1191</v>
      </c>
      <c r="Q110" s="2" t="s">
        <v>1188</v>
      </c>
      <c r="R110" s="151">
        <v>45261</v>
      </c>
      <c r="S110" s="151"/>
      <c r="T110" s="151"/>
      <c r="U110" s="151"/>
      <c r="V110" s="151"/>
      <c r="W110" s="2">
        <f>VLOOKUP(Table1[[#This Row],[Status]],Auxiliar!$B$16:$D$24,3,0)*Table1[[#This Row],[Estimação (horas)]]</f>
        <v>0.1</v>
      </c>
      <c r="X110" s="166">
        <f>+VLOOKUP(CONCATENATE(Table1[[#This Row],[Tabela]],Table1[[#This Row],[Campo]]),'2. Status Detalhe Campos FY24'!A:J,9,FALSE)</f>
        <v>0</v>
      </c>
      <c r="Y110" s="165"/>
    </row>
    <row r="111" spans="2:25" ht="17.850000000000001" hidden="1" customHeight="1">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1171</v>
      </c>
      <c r="L111" s="28" t="s">
        <v>1177</v>
      </c>
      <c r="M111" s="20" t="s">
        <v>1178</v>
      </c>
      <c r="N111" s="47">
        <v>45485</v>
      </c>
      <c r="O111" s="20">
        <f>INDEX(Auxiliar!$D$5:$F$13,MATCH(Table1[[#This Row],[Tipologia_Testes]],Auxiliar!$B$5:$B$13,0),MATCH(Table1[[#This Row],[Complexidade]],Auxiliar!$D$4:$F$4,0))</f>
        <v>2</v>
      </c>
      <c r="P111" s="2" t="s">
        <v>1191</v>
      </c>
      <c r="Q111" s="2" t="s">
        <v>1188</v>
      </c>
      <c r="R111" s="151">
        <v>45261</v>
      </c>
      <c r="S111" s="151"/>
      <c r="T111" s="151"/>
      <c r="U111" s="151"/>
      <c r="V111" s="151"/>
      <c r="W111" s="2">
        <f>VLOOKUP(Table1[[#This Row],[Status]],Auxiliar!$B$16:$D$24,3,0)*Table1[[#This Row],[Estimação (horas)]]</f>
        <v>2</v>
      </c>
      <c r="X111" s="166">
        <f>+VLOOKUP(CONCATENATE(Table1[[#This Row],[Tabela]],Table1[[#This Row],[Campo]]),'2. Status Detalhe Campos FY24'!A:J,9,FALSE)</f>
        <v>0</v>
      </c>
      <c r="Y111" s="165"/>
    </row>
    <row r="112" spans="2:25" ht="17.850000000000001" hidden="1" customHeight="1">
      <c r="B112" s="2" t="s">
        <v>26</v>
      </c>
      <c r="C112" s="2" t="s">
        <v>54</v>
      </c>
      <c r="D112" s="2" t="s">
        <v>95</v>
      </c>
      <c r="E112" s="2" t="s">
        <v>38</v>
      </c>
      <c r="F112" s="2" t="s">
        <v>94</v>
      </c>
      <c r="G112" s="2" t="s">
        <v>44</v>
      </c>
      <c r="H112" s="56" t="str">
        <f>Table1[[#This Row],[Tabela]]&amp;Table1[[#This Row],[Campo]]</f>
        <v>PROPERTYPROPERTY_CONTRACT_ID</v>
      </c>
      <c r="I112" s="3" t="s">
        <v>612</v>
      </c>
      <c r="J112" s="54">
        <f>VLOOKUP(Table1[[#This Row],[Status]],Auxiliar!$B$16:$C$24,2,0)</f>
        <v>1</v>
      </c>
      <c r="K112" s="2" t="s">
        <v>1172</v>
      </c>
      <c r="L112" s="28" t="s">
        <v>1177</v>
      </c>
      <c r="M112" s="20" t="s">
        <v>1178</v>
      </c>
      <c r="N112" s="47">
        <v>45485</v>
      </c>
      <c r="O112" s="20">
        <f>INDEX(Auxiliar!$D$5:$F$13,MATCH(Table1[[#This Row],[Tipologia_Testes]],Auxiliar!$B$5:$B$13,0),MATCH(Table1[[#This Row],[Complexidade]],Auxiliar!$D$4:$F$4,0))</f>
        <v>2</v>
      </c>
      <c r="P112" s="2" t="s">
        <v>1191</v>
      </c>
      <c r="Q112" s="2" t="s">
        <v>1188</v>
      </c>
      <c r="R112" s="151">
        <v>45261</v>
      </c>
      <c r="S112" s="151"/>
      <c r="T112" s="151"/>
      <c r="U112" s="151"/>
      <c r="V112" s="151"/>
      <c r="W112" s="2">
        <f>VLOOKUP(Table1[[#This Row],[Status]],Auxiliar!$B$16:$D$24,3,0)*Table1[[#This Row],[Estimação (horas)]]</f>
        <v>2</v>
      </c>
      <c r="X112" s="166">
        <f>+VLOOKUP(CONCATENATE(Table1[[#This Row],[Tabela]],Table1[[#This Row],[Campo]]),'2. Status Detalhe Campos FY24'!A:J,9,FALSE)</f>
        <v>0</v>
      </c>
      <c r="Y112" s="165"/>
    </row>
    <row r="113" spans="2:25" ht="17.850000000000001" hidden="1" customHeight="1">
      <c r="B113" s="2" t="s">
        <v>26</v>
      </c>
      <c r="C113" s="2" t="s">
        <v>54</v>
      </c>
      <c r="D113" s="2" t="s">
        <v>95</v>
      </c>
      <c r="E113" s="2" t="s">
        <v>38</v>
      </c>
      <c r="F113" s="2" t="s">
        <v>94</v>
      </c>
      <c r="G113" s="2" t="s">
        <v>44</v>
      </c>
      <c r="H113" s="56" t="str">
        <f>Table1[[#This Row],[Tabela]]&amp;Table1[[#This Row],[Campo]]</f>
        <v>PROPERTYPROPERTY_CONTRACT_ID</v>
      </c>
      <c r="I113" s="3" t="s">
        <v>612</v>
      </c>
      <c r="J113" s="54">
        <f>VLOOKUP(Table1[[#This Row],[Status]],Auxiliar!$B$16:$C$24,2,0)</f>
        <v>1</v>
      </c>
      <c r="K113" s="2" t="s">
        <v>1174</v>
      </c>
      <c r="L113" s="28" t="s">
        <v>1177</v>
      </c>
      <c r="M113" s="20" t="s">
        <v>1178</v>
      </c>
      <c r="N113" s="47">
        <v>45485</v>
      </c>
      <c r="O113" s="20">
        <f>INDEX(Auxiliar!$D$5:$F$13,MATCH(Table1[[#This Row],[Tipologia_Testes]],Auxiliar!$B$5:$B$13,0),MATCH(Table1[[#This Row],[Complexidade]],Auxiliar!$D$4:$F$4,0))</f>
        <v>0.1</v>
      </c>
      <c r="P113" s="2" t="s">
        <v>1191</v>
      </c>
      <c r="Q113" s="2" t="s">
        <v>1188</v>
      </c>
      <c r="R113" s="151">
        <v>45261</v>
      </c>
      <c r="S113" s="151"/>
      <c r="T113" s="151"/>
      <c r="U113" s="151"/>
      <c r="V113" s="151"/>
      <c r="W113" s="2">
        <f>VLOOKUP(Table1[[#This Row],[Status]],Auxiliar!$B$16:$D$24,3,0)*Table1[[#This Row],[Estimação (horas)]]</f>
        <v>0.1</v>
      </c>
      <c r="X113" s="166">
        <f>+VLOOKUP(CONCATENATE(Table1[[#This Row],[Tabela]],Table1[[#This Row],[Campo]]),'2. Status Detalhe Campos FY24'!A:J,9,FALSE)</f>
        <v>0</v>
      </c>
      <c r="Y113" s="165"/>
    </row>
    <row r="114" spans="2:25" ht="17.850000000000001" hidden="1" customHeight="1">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1171</v>
      </c>
      <c r="L114" s="28" t="s">
        <v>1177</v>
      </c>
      <c r="M114" s="20" t="s">
        <v>1178</v>
      </c>
      <c r="N114" s="47">
        <v>45485</v>
      </c>
      <c r="O114" s="20">
        <f>INDEX(Auxiliar!$D$5:$F$13,MATCH(Table1[[#This Row],[Tipologia_Testes]],Auxiliar!$B$5:$B$13,0),MATCH(Table1[[#This Row],[Complexidade]],Auxiliar!$D$4:$F$4,0))</f>
        <v>2</v>
      </c>
      <c r="P114" s="2" t="s">
        <v>1191</v>
      </c>
      <c r="Q114" s="2" t="s">
        <v>1188</v>
      </c>
      <c r="R114" s="151">
        <v>45261</v>
      </c>
      <c r="S114" s="151"/>
      <c r="T114" s="151"/>
      <c r="U114" s="151"/>
      <c r="V114" s="151"/>
      <c r="W114" s="2">
        <f>VLOOKUP(Table1[[#This Row],[Status]],Auxiliar!$B$16:$D$24,3,0)*Table1[[#This Row],[Estimação (horas)]]</f>
        <v>2</v>
      </c>
      <c r="X114" s="166">
        <f>+VLOOKUP(CONCATENATE(Table1[[#This Row],[Tabela]],Table1[[#This Row],[Campo]]),'2. Status Detalhe Campos FY24'!A:J,9,FALSE)</f>
        <v>0</v>
      </c>
      <c r="Y114" s="165"/>
    </row>
    <row r="115" spans="2:25" ht="17.850000000000001" hidden="1" customHeight="1">
      <c r="B115" s="2" t="s">
        <v>26</v>
      </c>
      <c r="C115" s="2" t="s">
        <v>54</v>
      </c>
      <c r="D115" s="2" t="s">
        <v>95</v>
      </c>
      <c r="E115" s="2" t="s">
        <v>38</v>
      </c>
      <c r="F115" s="2" t="s">
        <v>94</v>
      </c>
      <c r="G115" s="2" t="s">
        <v>45</v>
      </c>
      <c r="H115" s="56" t="str">
        <f>Table1[[#This Row],[Tabela]]&amp;Table1[[#This Row],[Campo]]</f>
        <v>PROPERTYPROPERTY_REFERENCE_CODE</v>
      </c>
      <c r="I115" s="3" t="s">
        <v>612</v>
      </c>
      <c r="J115" s="54">
        <f>VLOOKUP(Table1[[#This Row],[Status]],Auxiliar!$B$16:$C$24,2,0)</f>
        <v>1</v>
      </c>
      <c r="K115" s="2" t="s">
        <v>1172</v>
      </c>
      <c r="L115" s="28" t="s">
        <v>1177</v>
      </c>
      <c r="M115" s="20" t="s">
        <v>1178</v>
      </c>
      <c r="N115" s="47">
        <v>45485</v>
      </c>
      <c r="O115" s="20">
        <f>INDEX(Auxiliar!$D$5:$F$13,MATCH(Table1[[#This Row],[Tipologia_Testes]],Auxiliar!$B$5:$B$13,0),MATCH(Table1[[#This Row],[Complexidade]],Auxiliar!$D$4:$F$4,0))</f>
        <v>2</v>
      </c>
      <c r="P115" s="2" t="s">
        <v>1191</v>
      </c>
      <c r="Q115" s="2" t="s">
        <v>1188</v>
      </c>
      <c r="R115" s="151">
        <v>45261</v>
      </c>
      <c r="S115" s="151"/>
      <c r="T115" s="151"/>
      <c r="U115" s="151"/>
      <c r="V115" s="151"/>
      <c r="W115" s="2">
        <f>VLOOKUP(Table1[[#This Row],[Status]],Auxiliar!$B$16:$D$24,3,0)*Table1[[#This Row],[Estimação (horas)]]</f>
        <v>2</v>
      </c>
      <c r="X115" s="166">
        <f>+VLOOKUP(CONCATENATE(Table1[[#This Row],[Tabela]],Table1[[#This Row],[Campo]]),'2. Status Detalhe Campos FY24'!A:J,9,FALSE)</f>
        <v>0</v>
      </c>
      <c r="Y115" s="165"/>
    </row>
    <row r="116" spans="2:25" ht="17.850000000000001" hidden="1" customHeight="1">
      <c r="B116" s="2" t="s">
        <v>26</v>
      </c>
      <c r="C116" s="2" t="s">
        <v>54</v>
      </c>
      <c r="D116" s="2" t="s">
        <v>95</v>
      </c>
      <c r="E116" s="2" t="s">
        <v>38</v>
      </c>
      <c r="F116" s="2" t="s">
        <v>94</v>
      </c>
      <c r="G116" s="2" t="s">
        <v>45</v>
      </c>
      <c r="H116" s="56" t="str">
        <f>Table1[[#This Row],[Tabela]]&amp;Table1[[#This Row],[Campo]]</f>
        <v>PROPERTYPROPERTY_REFERENCE_CODE</v>
      </c>
      <c r="I116" s="3" t="s">
        <v>612</v>
      </c>
      <c r="J116" s="54">
        <f>VLOOKUP(Table1[[#This Row],[Status]],Auxiliar!$B$16:$C$24,2,0)</f>
        <v>1</v>
      </c>
      <c r="K116" s="2" t="s">
        <v>1174</v>
      </c>
      <c r="L116" s="28" t="s">
        <v>1177</v>
      </c>
      <c r="M116" s="20" t="s">
        <v>1178</v>
      </c>
      <c r="N116" s="47">
        <v>45485</v>
      </c>
      <c r="O116" s="20">
        <f>INDEX(Auxiliar!$D$5:$F$13,MATCH(Table1[[#This Row],[Tipologia_Testes]],Auxiliar!$B$5:$B$13,0),MATCH(Table1[[#This Row],[Complexidade]],Auxiliar!$D$4:$F$4,0))</f>
        <v>0.1</v>
      </c>
      <c r="P116" s="2" t="s">
        <v>1191</v>
      </c>
      <c r="Q116" s="2" t="s">
        <v>1188</v>
      </c>
      <c r="R116" s="151">
        <v>45261</v>
      </c>
      <c r="S116" s="151"/>
      <c r="T116" s="151"/>
      <c r="U116" s="151"/>
      <c r="V116" s="151"/>
      <c r="W116" s="2">
        <f>VLOOKUP(Table1[[#This Row],[Status]],Auxiliar!$B$16:$D$24,3,0)*Table1[[#This Row],[Estimação (horas)]]</f>
        <v>0.1</v>
      </c>
      <c r="X116" s="166">
        <f>+VLOOKUP(CONCATENATE(Table1[[#This Row],[Tabela]],Table1[[#This Row],[Campo]]),'2. Status Detalhe Campos FY24'!A:J,9,FALSE)</f>
        <v>0</v>
      </c>
      <c r="Y116" s="165"/>
    </row>
    <row r="117" spans="2:25" ht="17.850000000000001" hidden="1" customHeight="1">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1171</v>
      </c>
      <c r="L117" s="28" t="s">
        <v>1177</v>
      </c>
      <c r="M117" s="20" t="s">
        <v>1178</v>
      </c>
      <c r="N117" s="47">
        <v>45505</v>
      </c>
      <c r="O117" s="20">
        <f>INDEX(Auxiliar!$D$5:$F$13,MATCH(Table1[[#This Row],[Tipologia_Testes]],Auxiliar!$B$5:$B$13,0),MATCH(Table1[[#This Row],[Complexidade]],Auxiliar!$D$4:$F$4,0))</f>
        <v>2</v>
      </c>
      <c r="P117" s="2"/>
      <c r="Q117" s="2" t="s">
        <v>1188</v>
      </c>
      <c r="R117" s="151">
        <v>45261</v>
      </c>
      <c r="S117" s="151"/>
      <c r="T117" s="151"/>
      <c r="U117" s="151"/>
      <c r="V117" s="151"/>
      <c r="W117" s="2">
        <f>VLOOKUP(Table1[[#This Row],[Status]],Auxiliar!$B$16:$D$24,3,0)*Table1[[#This Row],[Estimação (horas)]]</f>
        <v>2</v>
      </c>
      <c r="X117" s="166">
        <f>+VLOOKUP(CONCATENATE(Table1[[#This Row],[Tabela]],Table1[[#This Row],[Campo]]),'2. Status Detalhe Campos FY24'!A:J,9,FALSE)</f>
        <v>0</v>
      </c>
      <c r="Y117" s="165"/>
    </row>
    <row r="118" spans="2:25" ht="17.850000000000001" hidden="1" customHeight="1">
      <c r="B118" s="2" t="s">
        <v>26</v>
      </c>
      <c r="C118" s="2" t="s">
        <v>54</v>
      </c>
      <c r="D118" s="2" t="s">
        <v>95</v>
      </c>
      <c r="E118" s="2" t="s">
        <v>38</v>
      </c>
      <c r="F118" s="2" t="s">
        <v>94</v>
      </c>
      <c r="G118" s="2" t="s">
        <v>98</v>
      </c>
      <c r="H118" s="56" t="str">
        <f>Table1[[#This Row],[Tabela]]&amp;Table1[[#This Row],[Campo]]</f>
        <v>PROPERTYCADASTRAL_REGISTER_CODE</v>
      </c>
      <c r="I118" s="3" t="s">
        <v>612</v>
      </c>
      <c r="J118" s="54">
        <f>VLOOKUP(Table1[[#This Row],[Status]],Auxiliar!$B$16:$C$24,2,0)</f>
        <v>1</v>
      </c>
      <c r="K118" s="2" t="s">
        <v>1172</v>
      </c>
      <c r="L118" s="28" t="s">
        <v>1177</v>
      </c>
      <c r="M118" s="20" t="s">
        <v>1178</v>
      </c>
      <c r="N118" s="47">
        <v>45505</v>
      </c>
      <c r="O118" s="20">
        <f>INDEX(Auxiliar!$D$5:$F$13,MATCH(Table1[[#This Row],[Tipologia_Testes]],Auxiliar!$B$5:$B$13,0),MATCH(Table1[[#This Row],[Complexidade]],Auxiliar!$D$4:$F$4,0))</f>
        <v>2</v>
      </c>
      <c r="P118" s="2"/>
      <c r="Q118" s="2" t="s">
        <v>1188</v>
      </c>
      <c r="R118" s="151">
        <v>45261</v>
      </c>
      <c r="S118" s="151"/>
      <c r="T118" s="151"/>
      <c r="U118" s="151"/>
      <c r="V118" s="151"/>
      <c r="W118" s="2">
        <f>VLOOKUP(Table1[[#This Row],[Status]],Auxiliar!$B$16:$D$24,3,0)*Table1[[#This Row],[Estimação (horas)]]</f>
        <v>2</v>
      </c>
      <c r="X118" s="166">
        <f>+VLOOKUP(CONCATENATE(Table1[[#This Row],[Tabela]],Table1[[#This Row],[Campo]]),'2. Status Detalhe Campos FY24'!A:J,9,FALSE)</f>
        <v>0</v>
      </c>
      <c r="Y118" s="165"/>
    </row>
    <row r="119" spans="2:25" ht="17.850000000000001" hidden="1" customHeight="1">
      <c r="B119" s="2" t="s">
        <v>26</v>
      </c>
      <c r="C119" s="2" t="s">
        <v>54</v>
      </c>
      <c r="D119" s="2" t="s">
        <v>95</v>
      </c>
      <c r="E119" s="2" t="s">
        <v>38</v>
      </c>
      <c r="F119" s="2" t="s">
        <v>94</v>
      </c>
      <c r="G119" s="2" t="s">
        <v>98</v>
      </c>
      <c r="H119" s="56" t="str">
        <f>Table1[[#This Row],[Tabela]]&amp;Table1[[#This Row],[Campo]]</f>
        <v>PROPERTYCADASTRAL_REGISTER_CODE</v>
      </c>
      <c r="I119" s="3" t="s">
        <v>612</v>
      </c>
      <c r="J119" s="54">
        <f>VLOOKUP(Table1[[#This Row],[Status]],Auxiliar!$B$16:$C$24,2,0)</f>
        <v>1</v>
      </c>
      <c r="K119" s="2" t="s">
        <v>1174</v>
      </c>
      <c r="L119" s="28" t="s">
        <v>1177</v>
      </c>
      <c r="M119" s="20" t="s">
        <v>1178</v>
      </c>
      <c r="N119" s="47">
        <v>45505</v>
      </c>
      <c r="O119" s="20">
        <f>INDEX(Auxiliar!$D$5:$F$13,MATCH(Table1[[#This Row],[Tipologia_Testes]],Auxiliar!$B$5:$B$13,0),MATCH(Table1[[#This Row],[Complexidade]],Auxiliar!$D$4:$F$4,0))</f>
        <v>0.1</v>
      </c>
      <c r="P119" s="2"/>
      <c r="Q119" s="2" t="s">
        <v>1188</v>
      </c>
      <c r="R119" s="151">
        <v>45261</v>
      </c>
      <c r="S119" s="151"/>
      <c r="T119" s="151"/>
      <c r="U119" s="151"/>
      <c r="V119" s="151"/>
      <c r="W119" s="2">
        <f>VLOOKUP(Table1[[#This Row],[Status]],Auxiliar!$B$16:$D$24,3,0)*Table1[[#This Row],[Estimação (horas)]]</f>
        <v>0.1</v>
      </c>
      <c r="X119" s="166">
        <f>+VLOOKUP(CONCATENATE(Table1[[#This Row],[Tabela]],Table1[[#This Row],[Campo]]),'2. Status Detalhe Campos FY24'!A:J,9,FALSE)</f>
        <v>0</v>
      </c>
      <c r="Y119" s="165"/>
    </row>
    <row r="120" spans="2:25" ht="17.850000000000001" hidden="1" customHeight="1">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1171</v>
      </c>
      <c r="L120" s="28" t="s">
        <v>1177</v>
      </c>
      <c r="M120" s="20" t="s">
        <v>1178</v>
      </c>
      <c r="N120" s="47">
        <v>45485</v>
      </c>
      <c r="O120" s="20">
        <f>INDEX(Auxiliar!$D$5:$F$13,MATCH(Table1[[#This Row],[Tipologia_Testes]],Auxiliar!$B$5:$B$13,0),MATCH(Table1[[#This Row],[Complexidade]],Auxiliar!$D$4:$F$4,0))</f>
        <v>2</v>
      </c>
      <c r="P120" s="2"/>
      <c r="Q120" s="2" t="s">
        <v>1188</v>
      </c>
      <c r="R120" s="151">
        <v>45261</v>
      </c>
      <c r="S120" s="151"/>
      <c r="T120" s="151"/>
      <c r="U120" s="151"/>
      <c r="V120" s="151"/>
      <c r="W120" s="2">
        <f>VLOOKUP(Table1[[#This Row],[Status]],Auxiliar!$B$16:$D$24,3,0)*Table1[[#This Row],[Estimação (horas)]]</f>
        <v>2</v>
      </c>
      <c r="X120" s="166">
        <f>+VLOOKUP(CONCATENATE(Table1[[#This Row],[Tabela]],Table1[[#This Row],[Campo]]),'2. Status Detalhe Campos FY24'!A:J,9,FALSE)</f>
        <v>0</v>
      </c>
    </row>
    <row r="121" spans="2:25" ht="17.850000000000001" hidden="1" customHeight="1">
      <c r="B121" s="2" t="s">
        <v>26</v>
      </c>
      <c r="C121" s="2" t="s">
        <v>54</v>
      </c>
      <c r="D121" s="2" t="s">
        <v>95</v>
      </c>
      <c r="E121" s="2" t="s">
        <v>38</v>
      </c>
      <c r="F121" s="2" t="s">
        <v>94</v>
      </c>
      <c r="G121" s="2" t="s">
        <v>99</v>
      </c>
      <c r="H121" s="56" t="str">
        <f>Table1[[#This Row],[Tabela]]&amp;Table1[[#This Row],[Campo]]</f>
        <v>PROPERTYAPPRAISAL_CODE</v>
      </c>
      <c r="I121" s="3" t="s">
        <v>612</v>
      </c>
      <c r="J121" s="54">
        <f>VLOOKUP(Table1[[#This Row],[Status]],Auxiliar!$B$16:$C$24,2,0)</f>
        <v>1</v>
      </c>
      <c r="K121" s="2" t="s">
        <v>1172</v>
      </c>
      <c r="L121" s="28" t="s">
        <v>1177</v>
      </c>
      <c r="M121" s="20" t="s">
        <v>1178</v>
      </c>
      <c r="N121" s="47">
        <v>45485</v>
      </c>
      <c r="O121" s="20">
        <f>INDEX(Auxiliar!$D$5:$F$13,MATCH(Table1[[#This Row],[Tipologia_Testes]],Auxiliar!$B$5:$B$13,0),MATCH(Table1[[#This Row],[Complexidade]],Auxiliar!$D$4:$F$4,0))</f>
        <v>2</v>
      </c>
      <c r="P121" s="2"/>
      <c r="Q121" s="2" t="s">
        <v>1188</v>
      </c>
      <c r="R121" s="151">
        <v>45261</v>
      </c>
      <c r="S121" s="151"/>
      <c r="T121" s="151"/>
      <c r="U121" s="151"/>
      <c r="V121" s="151"/>
      <c r="W121" s="2">
        <f>VLOOKUP(Table1[[#This Row],[Status]],Auxiliar!$B$16:$D$24,3,0)*Table1[[#This Row],[Estimação (horas)]]</f>
        <v>2</v>
      </c>
      <c r="X121" s="166">
        <f>+VLOOKUP(CONCATENATE(Table1[[#This Row],[Tabela]],Table1[[#This Row],[Campo]]),'2. Status Detalhe Campos FY24'!A:J,9,FALSE)</f>
        <v>0</v>
      </c>
    </row>
    <row r="122" spans="2:25" ht="17.850000000000001" hidden="1" customHeight="1">
      <c r="B122" s="2" t="s">
        <v>26</v>
      </c>
      <c r="C122" s="2" t="s">
        <v>54</v>
      </c>
      <c r="D122" s="2" t="s">
        <v>95</v>
      </c>
      <c r="E122" s="2" t="s">
        <v>38</v>
      </c>
      <c r="F122" s="2" t="s">
        <v>94</v>
      </c>
      <c r="G122" s="2" t="s">
        <v>99</v>
      </c>
      <c r="H122" s="56" t="str">
        <f>Table1[[#This Row],[Tabela]]&amp;Table1[[#This Row],[Campo]]</f>
        <v>PROPERTYAPPRAISAL_CODE</v>
      </c>
      <c r="I122" s="3" t="s">
        <v>612</v>
      </c>
      <c r="J122" s="54">
        <f>VLOOKUP(Table1[[#This Row],[Status]],Auxiliar!$B$16:$C$24,2,0)</f>
        <v>1</v>
      </c>
      <c r="K122" s="2" t="s">
        <v>1174</v>
      </c>
      <c r="L122" s="28" t="s">
        <v>1177</v>
      </c>
      <c r="M122" s="20" t="s">
        <v>1178</v>
      </c>
      <c r="N122" s="47">
        <v>45485</v>
      </c>
      <c r="O122" s="20">
        <f>INDEX(Auxiliar!$D$5:$F$13,MATCH(Table1[[#This Row],[Tipologia_Testes]],Auxiliar!$B$5:$B$13,0),MATCH(Table1[[#This Row],[Complexidade]],Auxiliar!$D$4:$F$4,0))</f>
        <v>0.1</v>
      </c>
      <c r="P122" s="2"/>
      <c r="Q122" s="2" t="s">
        <v>1188</v>
      </c>
      <c r="R122" s="151">
        <v>45261</v>
      </c>
      <c r="S122" s="151"/>
      <c r="T122" s="151"/>
      <c r="U122" s="151"/>
      <c r="V122" s="151"/>
      <c r="W122" s="2">
        <f>VLOOKUP(Table1[[#This Row],[Status]],Auxiliar!$B$16:$D$24,3,0)*Table1[[#This Row],[Estimação (horas)]]</f>
        <v>0.1</v>
      </c>
      <c r="X122" s="166">
        <f>+VLOOKUP(CONCATENATE(Table1[[#This Row],[Tabela]],Table1[[#This Row],[Campo]]),'2. Status Detalhe Campos FY24'!A:J,9,FALSE)</f>
        <v>0</v>
      </c>
    </row>
    <row r="123" spans="2:25" ht="35.1" hidden="1" customHeight="1">
      <c r="B123" s="2" t="s">
        <v>26</v>
      </c>
      <c r="C123" s="2" t="s">
        <v>54</v>
      </c>
      <c r="D123" s="2" t="s">
        <v>95</v>
      </c>
      <c r="E123" s="2" t="s">
        <v>38</v>
      </c>
      <c r="F123" s="2" t="s">
        <v>94</v>
      </c>
      <c r="G123" s="2" t="s">
        <v>100</v>
      </c>
      <c r="H123" s="56" t="str">
        <f>Table1[[#This Row],[Tabela]]&amp;Table1[[#This Row],[Campo]]</f>
        <v>PROPERTYcod_bem</v>
      </c>
      <c r="I123" s="2" t="s">
        <v>611</v>
      </c>
      <c r="J123" s="42">
        <f>VLOOKUP(Table1[[#This Row],[Status]],Auxiliar!$B$16:$C$24,2,0)</f>
        <v>0</v>
      </c>
      <c r="K123" s="2" t="s">
        <v>1171</v>
      </c>
      <c r="L123" s="28" t="s">
        <v>1189</v>
      </c>
      <c r="M123" s="20" t="s">
        <v>1179</v>
      </c>
      <c r="N123" s="47">
        <v>45485</v>
      </c>
      <c r="O123" s="20">
        <f>INDEX(Auxiliar!$D$5:$F$13,MATCH(Table1[[#This Row],[Tipologia_Testes]],Auxiliar!$B$5:$B$13,0),MATCH(Table1[[#This Row],[Complexidade]],Auxiliar!$D$4:$F$4,0))</f>
        <v>4</v>
      </c>
      <c r="P123" s="22" t="s">
        <v>1192</v>
      </c>
      <c r="Q123" s="2" t="s">
        <v>1188</v>
      </c>
      <c r="R123" s="151">
        <v>45425</v>
      </c>
      <c r="S123" s="151"/>
      <c r="T123" s="151"/>
      <c r="U123" s="151"/>
      <c r="V123" s="151"/>
      <c r="W123" s="2">
        <f>VLOOKUP(Table1[[#This Row],[Status]],Auxiliar!$B$16:$D$24,3,0)*Table1[[#This Row],[Estimação (horas)]]</f>
        <v>0</v>
      </c>
      <c r="X123" s="166">
        <f>+VLOOKUP(CONCATENATE(Table1[[#This Row],[Tabela]],Table1[[#This Row],[Campo]]),'2. Status Detalhe Campos FY24'!A:J,9,FALSE)</f>
        <v>0</v>
      </c>
    </row>
    <row r="124" spans="2:25" ht="17.850000000000001" hidden="1" customHeight="1">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1171</v>
      </c>
      <c r="L124" s="28" t="s">
        <v>1177</v>
      </c>
      <c r="M124" s="20" t="s">
        <v>1178</v>
      </c>
      <c r="N124" s="47">
        <v>45505</v>
      </c>
      <c r="O124" s="20">
        <f>INDEX(Auxiliar!$D$5:$F$13,MATCH(Table1[[#This Row],[Tipologia_Testes]],Auxiliar!$B$5:$B$13,0),MATCH(Table1[[#This Row],[Complexidade]],Auxiliar!$D$4:$F$4,0))</f>
        <v>2</v>
      </c>
      <c r="P124" s="2"/>
      <c r="Q124" s="2" t="s">
        <v>1188</v>
      </c>
      <c r="R124" s="151">
        <v>45261</v>
      </c>
      <c r="S124" s="151"/>
      <c r="T124" s="151"/>
      <c r="U124" s="151"/>
      <c r="V124" s="151"/>
      <c r="W124" s="2">
        <f>VLOOKUP(Table1[[#This Row],[Status]],Auxiliar!$B$16:$D$24,3,0)*Table1[[#This Row],[Estimação (horas)]]</f>
        <v>2</v>
      </c>
      <c r="X124" s="166">
        <f>+VLOOKUP(CONCATENATE(Table1[[#This Row],[Tabela]],Table1[[#This Row],[Campo]]),'2. Status Detalhe Campos FY24'!A:J,9,FALSE)</f>
        <v>0</v>
      </c>
    </row>
    <row r="125" spans="2:25" ht="17.850000000000001" hidden="1" customHeight="1">
      <c r="B125" s="2" t="s">
        <v>26</v>
      </c>
      <c r="C125" s="2" t="s">
        <v>54</v>
      </c>
      <c r="D125" s="2" t="s">
        <v>95</v>
      </c>
      <c r="E125" s="2" t="s">
        <v>38</v>
      </c>
      <c r="F125" s="2" t="s">
        <v>94</v>
      </c>
      <c r="G125" s="2" t="s">
        <v>101</v>
      </c>
      <c r="H125" s="56" t="str">
        <f>Table1[[#This Row],[Tabela]]&amp;Table1[[#This Row],[Campo]]</f>
        <v>PROPERTYDISTRICT_MUNICIP_PARISH_CODE</v>
      </c>
      <c r="I125" s="3" t="s">
        <v>612</v>
      </c>
      <c r="J125" s="54">
        <f>VLOOKUP(Table1[[#This Row],[Status]],Auxiliar!$B$16:$C$24,2,0)</f>
        <v>1</v>
      </c>
      <c r="K125" s="2" t="s">
        <v>1172</v>
      </c>
      <c r="L125" s="28" t="s">
        <v>1177</v>
      </c>
      <c r="M125" s="20" t="s">
        <v>1178</v>
      </c>
      <c r="N125" s="47">
        <v>45505</v>
      </c>
      <c r="O125" s="20">
        <f>INDEX(Auxiliar!$D$5:$F$13,MATCH(Table1[[#This Row],[Tipologia_Testes]],Auxiliar!$B$5:$B$13,0),MATCH(Table1[[#This Row],[Complexidade]],Auxiliar!$D$4:$F$4,0))</f>
        <v>2</v>
      </c>
      <c r="P125" s="2"/>
      <c r="Q125" s="2" t="s">
        <v>1188</v>
      </c>
      <c r="R125" s="151">
        <v>45261</v>
      </c>
      <c r="S125" s="151"/>
      <c r="T125" s="151"/>
      <c r="U125" s="151"/>
      <c r="V125" s="151"/>
      <c r="W125" s="2">
        <f>VLOOKUP(Table1[[#This Row],[Status]],Auxiliar!$B$16:$D$24,3,0)*Table1[[#This Row],[Estimação (horas)]]</f>
        <v>2</v>
      </c>
      <c r="X125" s="166">
        <f>+VLOOKUP(CONCATENATE(Table1[[#This Row],[Tabela]],Table1[[#This Row],[Campo]]),'2. Status Detalhe Campos FY24'!A:J,9,FALSE)</f>
        <v>0</v>
      </c>
    </row>
    <row r="126" spans="2:25" ht="17.850000000000001" hidden="1" customHeight="1">
      <c r="B126" s="2" t="s">
        <v>26</v>
      </c>
      <c r="C126" s="2" t="s">
        <v>54</v>
      </c>
      <c r="D126" s="2" t="s">
        <v>95</v>
      </c>
      <c r="E126" s="2" t="s">
        <v>38</v>
      </c>
      <c r="F126" s="2" t="s">
        <v>94</v>
      </c>
      <c r="G126" s="2" t="s">
        <v>101</v>
      </c>
      <c r="H126" s="56" t="str">
        <f>Table1[[#This Row],[Tabela]]&amp;Table1[[#This Row],[Campo]]</f>
        <v>PROPERTYDISTRICT_MUNICIP_PARISH_CODE</v>
      </c>
      <c r="I126" s="3" t="s">
        <v>612</v>
      </c>
      <c r="J126" s="54">
        <f>VLOOKUP(Table1[[#This Row],[Status]],Auxiliar!$B$16:$C$24,2,0)</f>
        <v>1</v>
      </c>
      <c r="K126" s="2" t="s">
        <v>1174</v>
      </c>
      <c r="L126" s="28" t="s">
        <v>1177</v>
      </c>
      <c r="M126" s="20" t="s">
        <v>1178</v>
      </c>
      <c r="N126" s="47">
        <v>45505</v>
      </c>
      <c r="O126" s="20">
        <f>INDEX(Auxiliar!$D$5:$F$13,MATCH(Table1[[#This Row],[Tipologia_Testes]],Auxiliar!$B$5:$B$13,0),MATCH(Table1[[#This Row],[Complexidade]],Auxiliar!$D$4:$F$4,0))</f>
        <v>0.1</v>
      </c>
      <c r="P126" s="2"/>
      <c r="Q126" s="2" t="s">
        <v>1188</v>
      </c>
      <c r="R126" s="151">
        <v>45261</v>
      </c>
      <c r="S126" s="151"/>
      <c r="T126" s="151"/>
      <c r="U126" s="151"/>
      <c r="V126" s="151"/>
      <c r="W126" s="2">
        <f>VLOOKUP(Table1[[#This Row],[Status]],Auxiliar!$B$16:$D$24,3,0)*Table1[[#This Row],[Estimação (horas)]]</f>
        <v>0.1</v>
      </c>
      <c r="X126" s="166">
        <f>+VLOOKUP(CONCATENATE(Table1[[#This Row],[Tabela]],Table1[[#This Row],[Campo]]),'2. Status Detalhe Campos FY24'!A:J,9,FALSE)</f>
        <v>0</v>
      </c>
    </row>
    <row r="127" spans="2:25" ht="17.850000000000001" hidden="1" customHeight="1">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1171</v>
      </c>
      <c r="L127" s="28" t="s">
        <v>1177</v>
      </c>
      <c r="M127" s="20" t="s">
        <v>1178</v>
      </c>
      <c r="N127" s="47">
        <v>45505</v>
      </c>
      <c r="O127" s="20">
        <f>INDEX(Auxiliar!$D$5:$F$13,MATCH(Table1[[#This Row],[Tipologia_Testes]],Auxiliar!$B$5:$B$13,0),MATCH(Table1[[#This Row],[Complexidade]],Auxiliar!$D$4:$F$4,0))</f>
        <v>2</v>
      </c>
      <c r="P127" s="2"/>
      <c r="Q127" s="2" t="s">
        <v>1188</v>
      </c>
      <c r="R127" s="151">
        <v>45261</v>
      </c>
      <c r="S127" s="151"/>
      <c r="T127" s="151"/>
      <c r="U127" s="151"/>
      <c r="V127" s="151"/>
      <c r="W127" s="2">
        <f>VLOOKUP(Table1[[#This Row],[Status]],Auxiliar!$B$16:$D$24,3,0)*Table1[[#This Row],[Estimação (horas)]]</f>
        <v>2</v>
      </c>
      <c r="X127" s="166">
        <f>+VLOOKUP(CONCATENATE(Table1[[#This Row],[Tabela]],Table1[[#This Row],[Campo]]),'2. Status Detalhe Campos FY24'!A:J,9,FALSE)</f>
        <v>0</v>
      </c>
    </row>
    <row r="128" spans="2:25" ht="17.850000000000001" hidden="1" customHeight="1">
      <c r="B128" s="2" t="s">
        <v>26</v>
      </c>
      <c r="C128" s="2" t="s">
        <v>54</v>
      </c>
      <c r="D128" s="2" t="s">
        <v>95</v>
      </c>
      <c r="E128" s="2" t="s">
        <v>38</v>
      </c>
      <c r="F128" s="2" t="s">
        <v>94</v>
      </c>
      <c r="G128" s="2" t="s">
        <v>102</v>
      </c>
      <c r="H128" s="56" t="str">
        <f>Table1[[#This Row],[Tabela]]&amp;Table1[[#This Row],[Campo]]</f>
        <v>PROPERTYPROPERTY_PURPOSE_CODE</v>
      </c>
      <c r="I128" s="3" t="s">
        <v>612</v>
      </c>
      <c r="J128" s="54">
        <f>VLOOKUP(Table1[[#This Row],[Status]],Auxiliar!$B$16:$C$24,2,0)</f>
        <v>1</v>
      </c>
      <c r="K128" s="2" t="s">
        <v>1172</v>
      </c>
      <c r="L128" s="28" t="s">
        <v>1177</v>
      </c>
      <c r="M128" s="20" t="s">
        <v>1178</v>
      </c>
      <c r="N128" s="47">
        <v>45505</v>
      </c>
      <c r="O128" s="20">
        <f>INDEX(Auxiliar!$D$5:$F$13,MATCH(Table1[[#This Row],[Tipologia_Testes]],Auxiliar!$B$5:$B$13,0),MATCH(Table1[[#This Row],[Complexidade]],Auxiliar!$D$4:$F$4,0))</f>
        <v>2</v>
      </c>
      <c r="P128" s="2"/>
      <c r="Q128" s="2" t="s">
        <v>1188</v>
      </c>
      <c r="R128" s="151">
        <v>45261</v>
      </c>
      <c r="S128" s="151"/>
      <c r="T128" s="151"/>
      <c r="U128" s="151"/>
      <c r="V128" s="151"/>
      <c r="W128" s="2">
        <f>VLOOKUP(Table1[[#This Row],[Status]],Auxiliar!$B$16:$D$24,3,0)*Table1[[#This Row],[Estimação (horas)]]</f>
        <v>2</v>
      </c>
      <c r="X128" s="166">
        <f>+VLOOKUP(CONCATENATE(Table1[[#This Row],[Tabela]],Table1[[#This Row],[Campo]]),'2. Status Detalhe Campos FY24'!A:J,9,FALSE)</f>
        <v>0</v>
      </c>
    </row>
    <row r="129" spans="2:24" ht="17.850000000000001" hidden="1" customHeight="1">
      <c r="B129" s="2" t="s">
        <v>26</v>
      </c>
      <c r="C129" s="2" t="s">
        <v>54</v>
      </c>
      <c r="D129" s="2" t="s">
        <v>95</v>
      </c>
      <c r="E129" s="2" t="s">
        <v>38</v>
      </c>
      <c r="F129" s="2" t="s">
        <v>94</v>
      </c>
      <c r="G129" s="2" t="s">
        <v>102</v>
      </c>
      <c r="H129" s="56" t="str">
        <f>Table1[[#This Row],[Tabela]]&amp;Table1[[#This Row],[Campo]]</f>
        <v>PROPERTYPROPERTY_PURPOSE_CODE</v>
      </c>
      <c r="I129" s="3" t="s">
        <v>612</v>
      </c>
      <c r="J129" s="54">
        <f>VLOOKUP(Table1[[#This Row],[Status]],Auxiliar!$B$16:$C$24,2,0)</f>
        <v>1</v>
      </c>
      <c r="K129" s="2" t="s">
        <v>1174</v>
      </c>
      <c r="L129" s="28" t="s">
        <v>1177</v>
      </c>
      <c r="M129" s="20" t="s">
        <v>1178</v>
      </c>
      <c r="N129" s="47">
        <v>45505</v>
      </c>
      <c r="O129" s="20">
        <f>INDEX(Auxiliar!$D$5:$F$13,MATCH(Table1[[#This Row],[Tipologia_Testes]],Auxiliar!$B$5:$B$13,0),MATCH(Table1[[#This Row],[Complexidade]],Auxiliar!$D$4:$F$4,0))</f>
        <v>0.1</v>
      </c>
      <c r="P129" s="2"/>
      <c r="Q129" s="2" t="s">
        <v>1188</v>
      </c>
      <c r="R129" s="151">
        <v>45261</v>
      </c>
      <c r="S129" s="151"/>
      <c r="T129" s="151"/>
      <c r="U129" s="151"/>
      <c r="V129" s="151"/>
      <c r="W129" s="2">
        <f>VLOOKUP(Table1[[#This Row],[Status]],Auxiliar!$B$16:$D$24,3,0)*Table1[[#This Row],[Estimação (horas)]]</f>
        <v>0.1</v>
      </c>
      <c r="X129" s="166">
        <f>+VLOOKUP(CONCATENATE(Table1[[#This Row],[Tabela]],Table1[[#This Row],[Campo]]),'2. Status Detalhe Campos FY24'!A:J,9,FALSE)</f>
        <v>0</v>
      </c>
    </row>
    <row r="130" spans="2:24" ht="17.850000000000001" hidden="1" customHeight="1">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1171</v>
      </c>
      <c r="L130" s="28" t="s">
        <v>1177</v>
      </c>
      <c r="M130" s="20" t="s">
        <v>1178</v>
      </c>
      <c r="N130" s="47">
        <v>45490</v>
      </c>
      <c r="O130" s="20">
        <f>INDEX(Auxiliar!$D$5:$F$13,MATCH(Table1[[#This Row],[Tipologia_Testes]],Auxiliar!$B$5:$B$13,0),MATCH(Table1[[#This Row],[Complexidade]],Auxiliar!$D$4:$F$4,0))</f>
        <v>2</v>
      </c>
      <c r="P130" s="2"/>
      <c r="Q130" s="2" t="s">
        <v>1188</v>
      </c>
      <c r="R130" s="151">
        <v>45261</v>
      </c>
      <c r="S130" s="151"/>
      <c r="T130" s="151"/>
      <c r="U130" s="151"/>
      <c r="V130" s="151"/>
      <c r="W130" s="2">
        <f>VLOOKUP(Table1[[#This Row],[Status]],Auxiliar!$B$16:$D$24,3,0)*Table1[[#This Row],[Estimação (horas)]]</f>
        <v>2</v>
      </c>
      <c r="X130" s="166">
        <f>+VLOOKUP(CONCATENATE(Table1[[#This Row],[Tabela]],Table1[[#This Row],[Campo]]),'2. Status Detalhe Campos FY24'!A:J,9,FALSE)</f>
        <v>0</v>
      </c>
    </row>
    <row r="131" spans="2:24" ht="17.850000000000001" hidden="1" customHeight="1">
      <c r="B131" s="2" t="s">
        <v>26</v>
      </c>
      <c r="C131" s="2" t="s">
        <v>54</v>
      </c>
      <c r="D131" s="2" t="s">
        <v>95</v>
      </c>
      <c r="E131" s="2" t="s">
        <v>38</v>
      </c>
      <c r="F131" s="2" t="s">
        <v>94</v>
      </c>
      <c r="G131" s="2" t="s">
        <v>103</v>
      </c>
      <c r="H131" s="56" t="str">
        <f>Table1[[#This Row],[Tabela]]&amp;Table1[[#This Row],[Campo]]</f>
        <v>PROPERTYPROPERTY_LIFETIME_CODE</v>
      </c>
      <c r="I131" s="2" t="s">
        <v>612</v>
      </c>
      <c r="J131" s="42">
        <f>VLOOKUP(Table1[[#This Row],[Status]],Auxiliar!$B$16:$C$24,2,0)</f>
        <v>1</v>
      </c>
      <c r="K131" s="2" t="s">
        <v>1172</v>
      </c>
      <c r="L131" s="28" t="s">
        <v>1177</v>
      </c>
      <c r="M131" s="20" t="s">
        <v>1178</v>
      </c>
      <c r="N131" s="47">
        <v>45490</v>
      </c>
      <c r="O131" s="20">
        <f>INDEX(Auxiliar!$D$5:$F$13,MATCH(Table1[[#This Row],[Tipologia_Testes]],Auxiliar!$B$5:$B$13,0),MATCH(Table1[[#This Row],[Complexidade]],Auxiliar!$D$4:$F$4,0))</f>
        <v>2</v>
      </c>
      <c r="P131" s="2"/>
      <c r="Q131" s="2" t="s">
        <v>1188</v>
      </c>
      <c r="R131" s="151">
        <v>45261</v>
      </c>
      <c r="S131" s="151"/>
      <c r="T131" s="151"/>
      <c r="U131" s="151"/>
      <c r="V131" s="151"/>
      <c r="W131" s="2">
        <f>VLOOKUP(Table1[[#This Row],[Status]],Auxiliar!$B$16:$D$24,3,0)*Table1[[#This Row],[Estimação (horas)]]</f>
        <v>2</v>
      </c>
      <c r="X131" s="166">
        <f>+VLOOKUP(CONCATENATE(Table1[[#This Row],[Tabela]],Table1[[#This Row],[Campo]]),'2. Status Detalhe Campos FY24'!A:J,9,FALSE)</f>
        <v>0</v>
      </c>
    </row>
    <row r="132" spans="2:24" ht="17.850000000000001" hidden="1" customHeight="1">
      <c r="B132" s="2" t="s">
        <v>26</v>
      </c>
      <c r="C132" s="2" t="s">
        <v>54</v>
      </c>
      <c r="D132" s="2" t="s">
        <v>95</v>
      </c>
      <c r="E132" s="2" t="s">
        <v>38</v>
      </c>
      <c r="F132" s="2" t="s">
        <v>94</v>
      </c>
      <c r="G132" s="2" t="s">
        <v>103</v>
      </c>
      <c r="H132" s="56" t="str">
        <f>Table1[[#This Row],[Tabela]]&amp;Table1[[#This Row],[Campo]]</f>
        <v>PROPERTYPROPERTY_LIFETIME_CODE</v>
      </c>
      <c r="I132" s="2" t="s">
        <v>612</v>
      </c>
      <c r="J132" s="42">
        <f>VLOOKUP(Table1[[#This Row],[Status]],Auxiliar!$B$16:$C$24,2,0)</f>
        <v>1</v>
      </c>
      <c r="K132" s="2" t="s">
        <v>1174</v>
      </c>
      <c r="L132" s="28" t="s">
        <v>1177</v>
      </c>
      <c r="M132" s="20" t="s">
        <v>1178</v>
      </c>
      <c r="N132" s="47">
        <v>45490</v>
      </c>
      <c r="O132" s="20">
        <f>INDEX(Auxiliar!$D$5:$F$13,MATCH(Table1[[#This Row],[Tipologia_Testes]],Auxiliar!$B$5:$B$13,0),MATCH(Table1[[#This Row],[Complexidade]],Auxiliar!$D$4:$F$4,0))</f>
        <v>0.1</v>
      </c>
      <c r="P132" s="2"/>
      <c r="Q132" s="2" t="s">
        <v>1188</v>
      </c>
      <c r="R132" s="151">
        <v>45261</v>
      </c>
      <c r="S132" s="151"/>
      <c r="T132" s="151"/>
      <c r="U132" s="151"/>
      <c r="V132" s="151"/>
      <c r="W132" s="2">
        <f>VLOOKUP(Table1[[#This Row],[Status]],Auxiliar!$B$16:$D$24,3,0)*Table1[[#This Row],[Estimação (horas)]]</f>
        <v>0.1</v>
      </c>
      <c r="X132" s="166">
        <f>+VLOOKUP(CONCATENATE(Table1[[#This Row],[Tabela]],Table1[[#This Row],[Campo]]),'2. Status Detalhe Campos FY24'!A:J,9,FALSE)</f>
        <v>0</v>
      </c>
    </row>
    <row r="133" spans="2:24" ht="17.850000000000001" hidden="1" customHeight="1">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1171</v>
      </c>
      <c r="L133" s="28" t="s">
        <v>1177</v>
      </c>
      <c r="M133" s="20" t="s">
        <v>1178</v>
      </c>
      <c r="N133" s="47">
        <v>45485</v>
      </c>
      <c r="O133" s="20">
        <f>INDEX(Auxiliar!$D$5:$F$13,MATCH(Table1[[#This Row],[Tipologia_Testes]],Auxiliar!$B$5:$B$13,0),MATCH(Table1[[#This Row],[Complexidade]],Auxiliar!$D$4:$F$4,0))</f>
        <v>2</v>
      </c>
      <c r="P133" s="2"/>
      <c r="Q133" s="2" t="s">
        <v>1188</v>
      </c>
      <c r="R133" s="151">
        <v>45261</v>
      </c>
      <c r="S133" s="151"/>
      <c r="T133" s="151"/>
      <c r="U133" s="151"/>
      <c r="V133" s="151"/>
      <c r="W133" s="2">
        <f>VLOOKUP(Table1[[#This Row],[Status]],Auxiliar!$B$16:$D$24,3,0)*Table1[[#This Row],[Estimação (horas)]]</f>
        <v>2</v>
      </c>
      <c r="X133" s="166">
        <f>+VLOOKUP(CONCATENATE(Table1[[#This Row],[Tabela]],Table1[[#This Row],[Campo]]),'2. Status Detalhe Campos FY24'!A:J,9,FALSE)</f>
        <v>0</v>
      </c>
    </row>
    <row r="134" spans="2:24" ht="17.850000000000001" hidden="1" customHeight="1">
      <c r="B134" s="2" t="s">
        <v>26</v>
      </c>
      <c r="C134" s="2" t="s">
        <v>54</v>
      </c>
      <c r="D134" s="2" t="s">
        <v>95</v>
      </c>
      <c r="E134" s="2" t="s">
        <v>38</v>
      </c>
      <c r="F134" s="2" t="s">
        <v>94</v>
      </c>
      <c r="G134" s="2" t="s">
        <v>104</v>
      </c>
      <c r="H134" s="56" t="str">
        <f>Table1[[#This Row],[Tabela]]&amp;Table1[[#This Row],[Campo]]</f>
        <v>PROPERTYADDRESS_CODE</v>
      </c>
      <c r="I134" s="2" t="s">
        <v>612</v>
      </c>
      <c r="J134" s="42">
        <f>VLOOKUP(Table1[[#This Row],[Status]],Auxiliar!$B$16:$C$24,2,0)</f>
        <v>1</v>
      </c>
      <c r="K134" s="2" t="s">
        <v>1172</v>
      </c>
      <c r="L134" s="28" t="s">
        <v>1177</v>
      </c>
      <c r="M134" s="20" t="s">
        <v>1178</v>
      </c>
      <c r="N134" s="47">
        <v>45485</v>
      </c>
      <c r="O134" s="20">
        <f>INDEX(Auxiliar!$D$5:$F$13,MATCH(Table1[[#This Row],[Tipologia_Testes]],Auxiliar!$B$5:$B$13,0),MATCH(Table1[[#This Row],[Complexidade]],Auxiliar!$D$4:$F$4,0))</f>
        <v>2</v>
      </c>
      <c r="P134" s="2"/>
      <c r="Q134" s="2" t="s">
        <v>1188</v>
      </c>
      <c r="R134" s="151">
        <v>45261</v>
      </c>
      <c r="S134" s="151"/>
      <c r="T134" s="151"/>
      <c r="U134" s="151"/>
      <c r="V134" s="151"/>
      <c r="W134" s="2">
        <f>VLOOKUP(Table1[[#This Row],[Status]],Auxiliar!$B$16:$D$24,3,0)*Table1[[#This Row],[Estimação (horas)]]</f>
        <v>2</v>
      </c>
      <c r="X134" s="166">
        <f>+VLOOKUP(CONCATENATE(Table1[[#This Row],[Tabela]],Table1[[#This Row],[Campo]]),'2. Status Detalhe Campos FY24'!A:J,9,FALSE)</f>
        <v>0</v>
      </c>
    </row>
    <row r="135" spans="2:24" ht="17.850000000000001" hidden="1" customHeight="1">
      <c r="B135" s="2" t="s">
        <v>26</v>
      </c>
      <c r="C135" s="2" t="s">
        <v>54</v>
      </c>
      <c r="D135" s="2" t="s">
        <v>95</v>
      </c>
      <c r="E135" s="2" t="s">
        <v>38</v>
      </c>
      <c r="F135" s="2" t="s">
        <v>94</v>
      </c>
      <c r="G135" s="2" t="s">
        <v>104</v>
      </c>
      <c r="H135" s="56" t="str">
        <f>Table1[[#This Row],[Tabela]]&amp;Table1[[#This Row],[Campo]]</f>
        <v>PROPERTYADDRESS_CODE</v>
      </c>
      <c r="I135" s="2" t="s">
        <v>612</v>
      </c>
      <c r="J135" s="42">
        <f>VLOOKUP(Table1[[#This Row],[Status]],Auxiliar!$B$16:$C$24,2,0)</f>
        <v>1</v>
      </c>
      <c r="K135" s="2" t="s">
        <v>1174</v>
      </c>
      <c r="L135" s="28" t="s">
        <v>1177</v>
      </c>
      <c r="M135" s="20" t="s">
        <v>1178</v>
      </c>
      <c r="N135" s="47">
        <v>45485</v>
      </c>
      <c r="O135" s="20">
        <f>INDEX(Auxiliar!$D$5:$F$13,MATCH(Table1[[#This Row],[Tipologia_Testes]],Auxiliar!$B$5:$B$13,0),MATCH(Table1[[#This Row],[Complexidade]],Auxiliar!$D$4:$F$4,0))</f>
        <v>0.1</v>
      </c>
      <c r="P135" s="2"/>
      <c r="Q135" s="2" t="s">
        <v>1188</v>
      </c>
      <c r="R135" s="151">
        <v>45261</v>
      </c>
      <c r="S135" s="151"/>
      <c r="T135" s="151"/>
      <c r="U135" s="151"/>
      <c r="V135" s="151"/>
      <c r="W135" s="2">
        <f>VLOOKUP(Table1[[#This Row],[Status]],Auxiliar!$B$16:$D$24,3,0)*Table1[[#This Row],[Estimação (horas)]]</f>
        <v>0.1</v>
      </c>
      <c r="X135" s="166">
        <f>+VLOOKUP(CONCATENATE(Table1[[#This Row],[Tabela]],Table1[[#This Row],[Campo]]),'2. Status Detalhe Campos FY24'!A:J,9,FALSE)</f>
        <v>0</v>
      </c>
    </row>
    <row r="136" spans="2:24" ht="17.850000000000001" hidden="1" customHeight="1">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1171</v>
      </c>
      <c r="L136" s="28" t="s">
        <v>1177</v>
      </c>
      <c r="M136" s="20" t="s">
        <v>1178</v>
      </c>
      <c r="N136" s="47">
        <v>45485</v>
      </c>
      <c r="O136" s="20">
        <f>INDEX(Auxiliar!$D$5:$F$13,MATCH(Table1[[#This Row],[Tipologia_Testes]],Auxiliar!$B$5:$B$13,0),MATCH(Table1[[#This Row],[Complexidade]],Auxiliar!$D$4:$F$4,0))</f>
        <v>2</v>
      </c>
      <c r="P136" s="2"/>
      <c r="Q136" s="2" t="s">
        <v>1188</v>
      </c>
      <c r="R136" s="151">
        <v>45261</v>
      </c>
      <c r="S136" s="151"/>
      <c r="T136" s="151"/>
      <c r="U136" s="151"/>
      <c r="V136" s="151"/>
      <c r="W136" s="2">
        <f>VLOOKUP(Table1[[#This Row],[Status]],Auxiliar!$B$16:$D$24,3,0)*Table1[[#This Row],[Estimação (horas)]]</f>
        <v>2</v>
      </c>
      <c r="X136" s="166">
        <f>+VLOOKUP(CONCATENATE(Table1[[#This Row],[Tabela]],Table1[[#This Row],[Campo]]),'2. Status Detalhe Campos FY24'!A:J,9,FALSE)</f>
        <v>0</v>
      </c>
    </row>
    <row r="137" spans="2:24" ht="17.850000000000001" hidden="1" customHeight="1">
      <c r="B137" s="2" t="s">
        <v>26</v>
      </c>
      <c r="C137" s="2" t="s">
        <v>54</v>
      </c>
      <c r="D137" s="2" t="s">
        <v>95</v>
      </c>
      <c r="E137" s="2" t="s">
        <v>38</v>
      </c>
      <c r="F137" s="2" t="s">
        <v>94</v>
      </c>
      <c r="G137" s="2" t="s">
        <v>105</v>
      </c>
      <c r="H137" s="56" t="str">
        <f>Table1[[#This Row],[Tabela]]&amp;Table1[[#This Row],[Campo]]</f>
        <v>PROPERTYCOUNTRY_CODE</v>
      </c>
      <c r="I137" s="2" t="s">
        <v>612</v>
      </c>
      <c r="J137" s="42">
        <f>VLOOKUP(Table1[[#This Row],[Status]],Auxiliar!$B$16:$C$24,2,0)</f>
        <v>1</v>
      </c>
      <c r="K137" s="2" t="s">
        <v>1172</v>
      </c>
      <c r="L137" s="28" t="s">
        <v>1177</v>
      </c>
      <c r="M137" s="20" t="s">
        <v>1178</v>
      </c>
      <c r="N137" s="47">
        <v>45485</v>
      </c>
      <c r="O137" s="20">
        <f>INDEX(Auxiliar!$D$5:$F$13,MATCH(Table1[[#This Row],[Tipologia_Testes]],Auxiliar!$B$5:$B$13,0),MATCH(Table1[[#This Row],[Complexidade]],Auxiliar!$D$4:$F$4,0))</f>
        <v>2</v>
      </c>
      <c r="P137" s="2"/>
      <c r="Q137" s="2" t="s">
        <v>1188</v>
      </c>
      <c r="R137" s="151">
        <v>45261</v>
      </c>
      <c r="S137" s="151"/>
      <c r="T137" s="151"/>
      <c r="U137" s="151"/>
      <c r="V137" s="151"/>
      <c r="W137" s="2">
        <f>VLOOKUP(Table1[[#This Row],[Status]],Auxiliar!$B$16:$D$24,3,0)*Table1[[#This Row],[Estimação (horas)]]</f>
        <v>2</v>
      </c>
      <c r="X137" s="166">
        <f>+VLOOKUP(CONCATENATE(Table1[[#This Row],[Tabela]],Table1[[#This Row],[Campo]]),'2. Status Detalhe Campos FY24'!A:J,9,FALSE)</f>
        <v>0</v>
      </c>
    </row>
    <row r="138" spans="2:24" ht="17.850000000000001" hidden="1" customHeight="1">
      <c r="B138" s="2" t="s">
        <v>26</v>
      </c>
      <c r="C138" s="2" t="s">
        <v>54</v>
      </c>
      <c r="D138" s="2" t="s">
        <v>95</v>
      </c>
      <c r="E138" s="2" t="s">
        <v>38</v>
      </c>
      <c r="F138" s="2" t="s">
        <v>94</v>
      </c>
      <c r="G138" s="2" t="s">
        <v>105</v>
      </c>
      <c r="H138" s="56" t="str">
        <f>Table1[[#This Row],[Tabela]]&amp;Table1[[#This Row],[Campo]]</f>
        <v>PROPERTYCOUNTRY_CODE</v>
      </c>
      <c r="I138" s="2" t="s">
        <v>612</v>
      </c>
      <c r="J138" s="42">
        <f>VLOOKUP(Table1[[#This Row],[Status]],Auxiliar!$B$16:$C$24,2,0)</f>
        <v>1</v>
      </c>
      <c r="K138" s="2" t="s">
        <v>1174</v>
      </c>
      <c r="L138" s="28" t="s">
        <v>1177</v>
      </c>
      <c r="M138" s="20" t="s">
        <v>1178</v>
      </c>
      <c r="N138" s="47">
        <v>45485</v>
      </c>
      <c r="O138" s="20">
        <f>INDEX(Auxiliar!$D$5:$F$13,MATCH(Table1[[#This Row],[Tipologia_Testes]],Auxiliar!$B$5:$B$13,0),MATCH(Table1[[#This Row],[Complexidade]],Auxiliar!$D$4:$F$4,0))</f>
        <v>0.1</v>
      </c>
      <c r="P138" s="2"/>
      <c r="Q138" s="2" t="s">
        <v>1188</v>
      </c>
      <c r="R138" s="151">
        <v>45261</v>
      </c>
      <c r="S138" s="151"/>
      <c r="T138" s="151"/>
      <c r="U138" s="151"/>
      <c r="V138" s="151"/>
      <c r="W138" s="2">
        <f>VLOOKUP(Table1[[#This Row],[Status]],Auxiliar!$B$16:$D$24,3,0)*Table1[[#This Row],[Estimação (horas)]]</f>
        <v>0.1</v>
      </c>
      <c r="X138" s="166">
        <f>+VLOOKUP(CONCATENATE(Table1[[#This Row],[Tabela]],Table1[[#This Row],[Campo]]),'2. Status Detalhe Campos FY24'!A:J,9,FALSE)</f>
        <v>0</v>
      </c>
    </row>
    <row r="139" spans="2:24" ht="17.850000000000001" hidden="1" customHeight="1">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1171</v>
      </c>
      <c r="L139" s="28" t="s">
        <v>1177</v>
      </c>
      <c r="M139" s="20" t="s">
        <v>1178</v>
      </c>
      <c r="N139" s="47">
        <v>45505</v>
      </c>
      <c r="O139" s="20">
        <f>INDEX(Auxiliar!$D$5:$F$13,MATCH(Table1[[#This Row],[Tipologia_Testes]],Auxiliar!$B$5:$B$13,0),MATCH(Table1[[#This Row],[Complexidade]],Auxiliar!$D$4:$F$4,0))</f>
        <v>2</v>
      </c>
      <c r="P139" s="2"/>
      <c r="Q139" s="2" t="s">
        <v>1188</v>
      </c>
      <c r="R139" s="151">
        <v>45261</v>
      </c>
      <c r="S139" s="151"/>
      <c r="T139" s="151"/>
      <c r="U139" s="151"/>
      <c r="V139" s="151"/>
      <c r="W139" s="2">
        <f>VLOOKUP(Table1[[#This Row],[Status]],Auxiliar!$B$16:$D$24,3,0)*Table1[[#This Row],[Estimação (horas)]]</f>
        <v>2</v>
      </c>
      <c r="X139" s="166">
        <f>+VLOOKUP(CONCATENATE(Table1[[#This Row],[Tabela]],Table1[[#This Row],[Campo]]),'2. Status Detalhe Campos FY24'!A:J,9,FALSE)</f>
        <v>0</v>
      </c>
    </row>
    <row r="140" spans="2:24" ht="17.850000000000001" hidden="1" customHeight="1">
      <c r="B140" s="2" t="s">
        <v>26</v>
      </c>
      <c r="C140" s="2" t="s">
        <v>54</v>
      </c>
      <c r="D140" s="2" t="s">
        <v>95</v>
      </c>
      <c r="E140" s="2" t="s">
        <v>38</v>
      </c>
      <c r="F140" s="2" t="s">
        <v>94</v>
      </c>
      <c r="G140" s="2" t="s">
        <v>106</v>
      </c>
      <c r="H140" s="56" t="str">
        <f>Table1[[#This Row],[Tabela]]&amp;Table1[[#This Row],[Campo]]</f>
        <v>PROPERTYPOSTAL_CODE</v>
      </c>
      <c r="I140" s="3" t="s">
        <v>612</v>
      </c>
      <c r="J140" s="54">
        <f>VLOOKUP(Table1[[#This Row],[Status]],Auxiliar!$B$16:$C$24,2,0)</f>
        <v>1</v>
      </c>
      <c r="K140" s="2" t="s">
        <v>1172</v>
      </c>
      <c r="L140" s="28" t="s">
        <v>1177</v>
      </c>
      <c r="M140" s="20" t="s">
        <v>1178</v>
      </c>
      <c r="N140" s="47">
        <v>45505</v>
      </c>
      <c r="O140" s="20">
        <f>INDEX(Auxiliar!$D$5:$F$13,MATCH(Table1[[#This Row],[Tipologia_Testes]],Auxiliar!$B$5:$B$13,0),MATCH(Table1[[#This Row],[Complexidade]],Auxiliar!$D$4:$F$4,0))</f>
        <v>2</v>
      </c>
      <c r="P140" s="2"/>
      <c r="Q140" s="2" t="s">
        <v>1188</v>
      </c>
      <c r="R140" s="151">
        <v>45261</v>
      </c>
      <c r="S140" s="151"/>
      <c r="T140" s="151"/>
      <c r="U140" s="151"/>
      <c r="V140" s="151"/>
      <c r="W140" s="2">
        <f>VLOOKUP(Table1[[#This Row],[Status]],Auxiliar!$B$16:$D$24,3,0)*Table1[[#This Row],[Estimação (horas)]]</f>
        <v>2</v>
      </c>
      <c r="X140" s="166">
        <f>+VLOOKUP(CONCATENATE(Table1[[#This Row],[Tabela]],Table1[[#This Row],[Campo]]),'2. Status Detalhe Campos FY24'!A:J,9,FALSE)</f>
        <v>0</v>
      </c>
    </row>
    <row r="141" spans="2:24" ht="17.850000000000001" hidden="1" customHeight="1">
      <c r="B141" s="2" t="s">
        <v>26</v>
      </c>
      <c r="C141" s="2" t="s">
        <v>54</v>
      </c>
      <c r="D141" s="2" t="s">
        <v>95</v>
      </c>
      <c r="E141" s="2" t="s">
        <v>38</v>
      </c>
      <c r="F141" s="2" t="s">
        <v>94</v>
      </c>
      <c r="G141" s="2" t="s">
        <v>106</v>
      </c>
      <c r="H141" s="56" t="str">
        <f>Table1[[#This Row],[Tabela]]&amp;Table1[[#This Row],[Campo]]</f>
        <v>PROPERTYPOSTAL_CODE</v>
      </c>
      <c r="I141" s="3" t="s">
        <v>612</v>
      </c>
      <c r="J141" s="54">
        <f>VLOOKUP(Table1[[#This Row],[Status]],Auxiliar!$B$16:$C$24,2,0)</f>
        <v>1</v>
      </c>
      <c r="K141" s="2" t="s">
        <v>1174</v>
      </c>
      <c r="L141" s="28" t="s">
        <v>1177</v>
      </c>
      <c r="M141" s="20" t="s">
        <v>1178</v>
      </c>
      <c r="N141" s="47">
        <v>45505</v>
      </c>
      <c r="O141" s="20">
        <f>INDEX(Auxiliar!$D$5:$F$13,MATCH(Table1[[#This Row],[Tipologia_Testes]],Auxiliar!$B$5:$B$13,0),MATCH(Table1[[#This Row],[Complexidade]],Auxiliar!$D$4:$F$4,0))</f>
        <v>0.1</v>
      </c>
      <c r="P141" s="2"/>
      <c r="Q141" s="2" t="s">
        <v>1188</v>
      </c>
      <c r="R141" s="151">
        <v>45261</v>
      </c>
      <c r="S141" s="151"/>
      <c r="T141" s="151"/>
      <c r="U141" s="151"/>
      <c r="V141" s="151"/>
      <c r="W141" s="2">
        <f>VLOOKUP(Table1[[#This Row],[Status]],Auxiliar!$B$16:$D$24,3,0)*Table1[[#This Row],[Estimação (horas)]]</f>
        <v>0.1</v>
      </c>
      <c r="X141" s="166">
        <f>+VLOOKUP(CONCATENATE(Table1[[#This Row],[Tabela]],Table1[[#This Row],[Campo]]),'2. Status Detalhe Campos FY24'!A:J,9,FALSE)</f>
        <v>0</v>
      </c>
    </row>
    <row r="142" spans="2:24" ht="17.850000000000001" hidden="1" customHeight="1">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1171</v>
      </c>
      <c r="L142" s="28" t="s">
        <v>1177</v>
      </c>
      <c r="M142" s="20" t="s">
        <v>1178</v>
      </c>
      <c r="N142" s="47">
        <v>45505</v>
      </c>
      <c r="O142" s="20">
        <f>INDEX(Auxiliar!$D$5:$F$13,MATCH(Table1[[#This Row],[Tipologia_Testes]],Auxiliar!$B$5:$B$13,0),MATCH(Table1[[#This Row],[Complexidade]],Auxiliar!$D$4:$F$4,0))</f>
        <v>2</v>
      </c>
      <c r="P142" s="2"/>
      <c r="Q142" s="2" t="s">
        <v>1188</v>
      </c>
      <c r="R142" s="151">
        <v>45261</v>
      </c>
      <c r="S142" s="151"/>
      <c r="T142" s="151"/>
      <c r="U142" s="151"/>
      <c r="V142" s="151"/>
      <c r="W142" s="2">
        <f>VLOOKUP(Table1[[#This Row],[Status]],Auxiliar!$B$16:$D$24,3,0)*Table1[[#This Row],[Estimação (horas)]]</f>
        <v>2</v>
      </c>
      <c r="X142" s="166">
        <f>+VLOOKUP(CONCATENATE(Table1[[#This Row],[Tabela]],Table1[[#This Row],[Campo]]),'2. Status Detalhe Campos FY24'!A:J,9,FALSE)</f>
        <v>0</v>
      </c>
    </row>
    <row r="143" spans="2:24" ht="17.850000000000001" hidden="1" customHeight="1">
      <c r="B143" s="2" t="s">
        <v>26</v>
      </c>
      <c r="C143" s="2" t="s">
        <v>54</v>
      </c>
      <c r="D143" s="2" t="s">
        <v>95</v>
      </c>
      <c r="E143" s="2" t="s">
        <v>38</v>
      </c>
      <c r="F143" s="2" t="s">
        <v>94</v>
      </c>
      <c r="G143" s="2" t="s">
        <v>107</v>
      </c>
      <c r="H143" s="56" t="str">
        <f>Table1[[#This Row],[Tabela]]&amp;Table1[[#This Row],[Campo]]</f>
        <v>PROPERTYPROPERTY_TYPE_CODE</v>
      </c>
      <c r="I143" s="3" t="s">
        <v>612</v>
      </c>
      <c r="J143" s="54">
        <f>VLOOKUP(Table1[[#This Row],[Status]],Auxiliar!$B$16:$C$24,2,0)</f>
        <v>1</v>
      </c>
      <c r="K143" s="2" t="s">
        <v>1172</v>
      </c>
      <c r="L143" s="28" t="s">
        <v>1177</v>
      </c>
      <c r="M143" s="20" t="s">
        <v>1178</v>
      </c>
      <c r="N143" s="47">
        <v>45505</v>
      </c>
      <c r="O143" s="20">
        <f>INDEX(Auxiliar!$D$5:$F$13,MATCH(Table1[[#This Row],[Tipologia_Testes]],Auxiliar!$B$5:$B$13,0),MATCH(Table1[[#This Row],[Complexidade]],Auxiliar!$D$4:$F$4,0))</f>
        <v>2</v>
      </c>
      <c r="P143" s="2"/>
      <c r="Q143" s="2" t="s">
        <v>1188</v>
      </c>
      <c r="R143" s="151">
        <v>45261</v>
      </c>
      <c r="S143" s="151"/>
      <c r="T143" s="151"/>
      <c r="U143" s="151"/>
      <c r="V143" s="151"/>
      <c r="W143" s="2">
        <f>VLOOKUP(Table1[[#This Row],[Status]],Auxiliar!$B$16:$D$24,3,0)*Table1[[#This Row],[Estimação (horas)]]</f>
        <v>2</v>
      </c>
      <c r="X143" s="166">
        <f>+VLOOKUP(CONCATENATE(Table1[[#This Row],[Tabela]],Table1[[#This Row],[Campo]]),'2. Status Detalhe Campos FY24'!A:J,9,FALSE)</f>
        <v>0</v>
      </c>
    </row>
    <row r="144" spans="2:24" ht="17.850000000000001" hidden="1" customHeight="1">
      <c r="B144" s="2" t="s">
        <v>26</v>
      </c>
      <c r="C144" s="2" t="s">
        <v>54</v>
      </c>
      <c r="D144" s="2" t="s">
        <v>95</v>
      </c>
      <c r="E144" s="2" t="s">
        <v>38</v>
      </c>
      <c r="F144" s="2" t="s">
        <v>94</v>
      </c>
      <c r="G144" s="2" t="s">
        <v>107</v>
      </c>
      <c r="H144" s="56" t="str">
        <f>Table1[[#This Row],[Tabela]]&amp;Table1[[#This Row],[Campo]]</f>
        <v>PROPERTYPROPERTY_TYPE_CODE</v>
      </c>
      <c r="I144" s="3" t="s">
        <v>612</v>
      </c>
      <c r="J144" s="54">
        <f>VLOOKUP(Table1[[#This Row],[Status]],Auxiliar!$B$16:$C$24,2,0)</f>
        <v>1</v>
      </c>
      <c r="K144" s="2" t="s">
        <v>1174</v>
      </c>
      <c r="L144" s="28" t="s">
        <v>1177</v>
      </c>
      <c r="M144" s="20" t="s">
        <v>1178</v>
      </c>
      <c r="N144" s="47">
        <v>45505</v>
      </c>
      <c r="O144" s="20">
        <f>INDEX(Auxiliar!$D$5:$F$13,MATCH(Table1[[#This Row],[Tipologia_Testes]],Auxiliar!$B$5:$B$13,0),MATCH(Table1[[#This Row],[Complexidade]],Auxiliar!$D$4:$F$4,0))</f>
        <v>0.1</v>
      </c>
      <c r="P144" s="2"/>
      <c r="Q144" s="2" t="s">
        <v>1188</v>
      </c>
      <c r="R144" s="151">
        <v>45261</v>
      </c>
      <c r="S144" s="151"/>
      <c r="T144" s="151"/>
      <c r="U144" s="151"/>
      <c r="V144" s="151"/>
      <c r="W144" s="2">
        <f>VLOOKUP(Table1[[#This Row],[Status]],Auxiliar!$B$16:$D$24,3,0)*Table1[[#This Row],[Estimação (horas)]]</f>
        <v>0.1</v>
      </c>
      <c r="X144" s="166">
        <f>+VLOOKUP(CONCATENATE(Table1[[#This Row],[Tabela]],Table1[[#This Row],[Campo]]),'2. Status Detalhe Campos FY24'!A:J,9,FALSE)</f>
        <v>0</v>
      </c>
    </row>
    <row r="145" spans="2:24" ht="17.850000000000001" hidden="1" customHeight="1">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1171</v>
      </c>
      <c r="L145" s="28" t="s">
        <v>1177</v>
      </c>
      <c r="M145" s="20" t="s">
        <v>1178</v>
      </c>
      <c r="N145" s="47">
        <v>45485</v>
      </c>
      <c r="O145" s="20">
        <f>INDEX(Auxiliar!$D$5:$F$13,MATCH(Table1[[#This Row],[Tipologia_Testes]],Auxiliar!$B$5:$B$13,0),MATCH(Table1[[#This Row],[Complexidade]],Auxiliar!$D$4:$F$4,0))</f>
        <v>2</v>
      </c>
      <c r="P145" s="2"/>
      <c r="Q145" s="2" t="s">
        <v>1188</v>
      </c>
      <c r="R145" s="151">
        <v>45261</v>
      </c>
      <c r="S145" s="151"/>
      <c r="T145" s="151"/>
      <c r="U145" s="151"/>
      <c r="V145" s="151"/>
      <c r="W145" s="2">
        <f>VLOOKUP(Table1[[#This Row],[Status]],Auxiliar!$B$16:$D$24,3,0)*Table1[[#This Row],[Estimação (horas)]]</f>
        <v>2</v>
      </c>
      <c r="X145" s="166">
        <f>+VLOOKUP(CONCATENATE(Table1[[#This Row],[Tabela]],Table1[[#This Row],[Campo]]),'2. Status Detalhe Campos FY24'!A:J,9,FALSE)</f>
        <v>0</v>
      </c>
    </row>
    <row r="146" spans="2:24" ht="17.850000000000001" hidden="1" customHeight="1">
      <c r="B146" s="2" t="s">
        <v>26</v>
      </c>
      <c r="C146" s="2" t="s">
        <v>54</v>
      </c>
      <c r="D146" s="2" t="s">
        <v>95</v>
      </c>
      <c r="E146" s="2" t="s">
        <v>38</v>
      </c>
      <c r="F146" s="2" t="s">
        <v>94</v>
      </c>
      <c r="G146" s="2" t="s">
        <v>108</v>
      </c>
      <c r="H146" s="56" t="str">
        <f>Table1[[#This Row],[Tabela]]&amp;Table1[[#This Row],[Campo]]</f>
        <v>PROPERTYLAST_APPRAISAL_DATE</v>
      </c>
      <c r="I146" s="3" t="s">
        <v>612</v>
      </c>
      <c r="J146" s="54">
        <f>VLOOKUP(Table1[[#This Row],[Status]],Auxiliar!$B$16:$C$24,2,0)</f>
        <v>1</v>
      </c>
      <c r="K146" s="2" t="s">
        <v>1172</v>
      </c>
      <c r="L146" s="28" t="s">
        <v>1177</v>
      </c>
      <c r="M146" s="20" t="s">
        <v>1178</v>
      </c>
      <c r="N146" s="47">
        <v>45485</v>
      </c>
      <c r="O146" s="20">
        <f>INDEX(Auxiliar!$D$5:$F$13,MATCH(Table1[[#This Row],[Tipologia_Testes]],Auxiliar!$B$5:$B$13,0),MATCH(Table1[[#This Row],[Complexidade]],Auxiliar!$D$4:$F$4,0))</f>
        <v>2</v>
      </c>
      <c r="P146" s="2"/>
      <c r="Q146" s="2" t="s">
        <v>1188</v>
      </c>
      <c r="R146" s="151">
        <v>45261</v>
      </c>
      <c r="S146" s="151"/>
      <c r="T146" s="151"/>
      <c r="U146" s="151"/>
      <c r="V146" s="151"/>
      <c r="W146" s="2">
        <f>VLOOKUP(Table1[[#This Row],[Status]],Auxiliar!$B$16:$D$24,3,0)*Table1[[#This Row],[Estimação (horas)]]</f>
        <v>2</v>
      </c>
      <c r="X146" s="166">
        <f>+VLOOKUP(CONCATENATE(Table1[[#This Row],[Tabela]],Table1[[#This Row],[Campo]]),'2. Status Detalhe Campos FY24'!A:J,9,FALSE)</f>
        <v>0</v>
      </c>
    </row>
    <row r="147" spans="2:24" ht="17.850000000000001" hidden="1" customHeight="1">
      <c r="B147" s="2" t="s">
        <v>26</v>
      </c>
      <c r="C147" s="2" t="s">
        <v>54</v>
      </c>
      <c r="D147" s="2" t="s">
        <v>95</v>
      </c>
      <c r="E147" s="2" t="s">
        <v>38</v>
      </c>
      <c r="F147" s="2" t="s">
        <v>94</v>
      </c>
      <c r="G147" s="2" t="s">
        <v>108</v>
      </c>
      <c r="H147" s="56" t="str">
        <f>Table1[[#This Row],[Tabela]]&amp;Table1[[#This Row],[Campo]]</f>
        <v>PROPERTYLAST_APPRAISAL_DATE</v>
      </c>
      <c r="I147" s="3" t="s">
        <v>612</v>
      </c>
      <c r="J147" s="54">
        <f>VLOOKUP(Table1[[#This Row],[Status]],Auxiliar!$B$16:$C$24,2,0)</f>
        <v>1</v>
      </c>
      <c r="K147" s="2" t="s">
        <v>1174</v>
      </c>
      <c r="L147" s="28" t="s">
        <v>1177</v>
      </c>
      <c r="M147" s="20" t="s">
        <v>1178</v>
      </c>
      <c r="N147" s="47">
        <v>45485</v>
      </c>
      <c r="O147" s="20">
        <f>INDEX(Auxiliar!$D$5:$F$13,MATCH(Table1[[#This Row],[Tipologia_Testes]],Auxiliar!$B$5:$B$13,0),MATCH(Table1[[#This Row],[Complexidade]],Auxiliar!$D$4:$F$4,0))</f>
        <v>0.1</v>
      </c>
      <c r="P147" s="2"/>
      <c r="Q147" s="2" t="s">
        <v>1188</v>
      </c>
      <c r="R147" s="151">
        <v>45261</v>
      </c>
      <c r="S147" s="151"/>
      <c r="T147" s="151"/>
      <c r="U147" s="151"/>
      <c r="V147" s="151"/>
      <c r="W147" s="2">
        <f>VLOOKUP(Table1[[#This Row],[Status]],Auxiliar!$B$16:$D$24,3,0)*Table1[[#This Row],[Estimação (horas)]]</f>
        <v>0.1</v>
      </c>
      <c r="X147" s="166">
        <f>+VLOOKUP(CONCATENATE(Table1[[#This Row],[Tabela]],Table1[[#This Row],[Campo]]),'2. Status Detalhe Campos FY24'!A:J,9,FALSE)</f>
        <v>0</v>
      </c>
    </row>
    <row r="148" spans="2:24" ht="17.850000000000001" hidden="1" customHeight="1">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1171</v>
      </c>
      <c r="L148" s="28" t="s">
        <v>1177</v>
      </c>
      <c r="M148" s="20" t="s">
        <v>1178</v>
      </c>
      <c r="N148" s="47">
        <v>45490</v>
      </c>
      <c r="O148" s="20">
        <f>INDEX(Auxiliar!$D$5:$F$13,MATCH(Table1[[#This Row],[Tipologia_Testes]],Auxiliar!$B$5:$B$13,0),MATCH(Table1[[#This Row],[Complexidade]],Auxiliar!$D$4:$F$4,0))</f>
        <v>2</v>
      </c>
      <c r="P148" s="2"/>
      <c r="Q148" s="2" t="s">
        <v>1188</v>
      </c>
      <c r="R148" s="151">
        <v>45261</v>
      </c>
      <c r="S148" s="151"/>
      <c r="T148" s="151"/>
      <c r="U148" s="151"/>
      <c r="V148" s="151"/>
      <c r="W148" s="2">
        <f>VLOOKUP(Table1[[#This Row],[Status]],Auxiliar!$B$16:$D$24,3,0)*Table1[[#This Row],[Estimação (horas)]]</f>
        <v>2</v>
      </c>
      <c r="X148" s="166">
        <f>+VLOOKUP(CONCATENATE(Table1[[#This Row],[Tabela]],Table1[[#This Row],[Campo]]),'2. Status Detalhe Campos FY24'!A:J,9,FALSE)</f>
        <v>0</v>
      </c>
    </row>
    <row r="149" spans="2:24" ht="17.850000000000001" hidden="1" customHeight="1">
      <c r="B149" s="2" t="s">
        <v>26</v>
      </c>
      <c r="C149" s="2" t="s">
        <v>54</v>
      </c>
      <c r="D149" s="2" t="s">
        <v>95</v>
      </c>
      <c r="E149" s="2" t="s">
        <v>38</v>
      </c>
      <c r="F149" s="2" t="s">
        <v>94</v>
      </c>
      <c r="G149" s="2" t="s">
        <v>109</v>
      </c>
      <c r="H149" s="56" t="str">
        <f>Table1[[#This Row],[Tabela]]&amp;Table1[[#This Row],[Campo]]</f>
        <v>PROPERTYUSAGE_PERMIT_START_DATE</v>
      </c>
      <c r="I149" s="3" t="s">
        <v>612</v>
      </c>
      <c r="J149" s="42">
        <f>VLOOKUP(Table1[[#This Row],[Status]],Auxiliar!$B$16:$C$24,2,0)</f>
        <v>1</v>
      </c>
      <c r="K149" s="2" t="s">
        <v>1172</v>
      </c>
      <c r="L149" s="28" t="s">
        <v>1177</v>
      </c>
      <c r="M149" s="20" t="s">
        <v>1178</v>
      </c>
      <c r="N149" s="47">
        <v>45490</v>
      </c>
      <c r="O149" s="20">
        <f>INDEX(Auxiliar!$D$5:$F$13,MATCH(Table1[[#This Row],[Tipologia_Testes]],Auxiliar!$B$5:$B$13,0),MATCH(Table1[[#This Row],[Complexidade]],Auxiliar!$D$4:$F$4,0))</f>
        <v>2</v>
      </c>
      <c r="P149" s="2"/>
      <c r="Q149" s="2" t="s">
        <v>1188</v>
      </c>
      <c r="R149" s="151">
        <v>45261</v>
      </c>
      <c r="S149" s="151"/>
      <c r="T149" s="151"/>
      <c r="U149" s="151"/>
      <c r="V149" s="151"/>
      <c r="W149" s="2">
        <f>VLOOKUP(Table1[[#This Row],[Status]],Auxiliar!$B$16:$D$24,3,0)*Table1[[#This Row],[Estimação (horas)]]</f>
        <v>2</v>
      </c>
      <c r="X149" s="166">
        <f>+VLOOKUP(CONCATENATE(Table1[[#This Row],[Tabela]],Table1[[#This Row],[Campo]]),'2. Status Detalhe Campos FY24'!A:J,9,FALSE)</f>
        <v>0</v>
      </c>
    </row>
    <row r="150" spans="2:24" ht="17.850000000000001" hidden="1" customHeight="1">
      <c r="B150" s="2" t="s">
        <v>26</v>
      </c>
      <c r="C150" s="2" t="s">
        <v>54</v>
      </c>
      <c r="D150" s="2" t="s">
        <v>95</v>
      </c>
      <c r="E150" s="2" t="s">
        <v>38</v>
      </c>
      <c r="F150" s="2" t="s">
        <v>94</v>
      </c>
      <c r="G150" s="2" t="s">
        <v>109</v>
      </c>
      <c r="H150" s="56" t="str">
        <f>Table1[[#This Row],[Tabela]]&amp;Table1[[#This Row],[Campo]]</f>
        <v>PROPERTYUSAGE_PERMIT_START_DATE</v>
      </c>
      <c r="I150" s="3" t="s">
        <v>612</v>
      </c>
      <c r="J150" s="42">
        <f>VLOOKUP(Table1[[#This Row],[Status]],Auxiliar!$B$16:$C$24,2,0)</f>
        <v>1</v>
      </c>
      <c r="K150" s="2" t="s">
        <v>1174</v>
      </c>
      <c r="L150" s="28" t="s">
        <v>1177</v>
      </c>
      <c r="M150" s="20" t="s">
        <v>1178</v>
      </c>
      <c r="N150" s="47">
        <v>45490</v>
      </c>
      <c r="O150" s="20">
        <f>INDEX(Auxiliar!$D$5:$F$13,MATCH(Table1[[#This Row],[Tipologia_Testes]],Auxiliar!$B$5:$B$13,0),MATCH(Table1[[#This Row],[Complexidade]],Auxiliar!$D$4:$F$4,0))</f>
        <v>0.1</v>
      </c>
      <c r="P150" s="2"/>
      <c r="Q150" s="2" t="s">
        <v>1188</v>
      </c>
      <c r="R150" s="151">
        <v>45261</v>
      </c>
      <c r="S150" s="151"/>
      <c r="T150" s="151"/>
      <c r="U150" s="151"/>
      <c r="V150" s="151"/>
      <c r="W150" s="2">
        <f>VLOOKUP(Table1[[#This Row],[Status]],Auxiliar!$B$16:$D$24,3,0)*Table1[[#This Row],[Estimação (horas)]]</f>
        <v>0.1</v>
      </c>
      <c r="X150" s="166">
        <f>+VLOOKUP(CONCATENATE(Table1[[#This Row],[Tabela]],Table1[[#This Row],[Campo]]),'2. Status Detalhe Campos FY24'!A:J,9,FALSE)</f>
        <v>0</v>
      </c>
    </row>
    <row r="151" spans="2:24" ht="17.850000000000001" hidden="1" customHeight="1">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1171</v>
      </c>
      <c r="L151" s="28" t="s">
        <v>1177</v>
      </c>
      <c r="M151" s="20" t="s">
        <v>1178</v>
      </c>
      <c r="N151" s="47">
        <v>45485</v>
      </c>
      <c r="O151" s="20">
        <f>INDEX(Auxiliar!$D$5:$F$13,MATCH(Table1[[#This Row],[Tipologia_Testes]],Auxiliar!$B$5:$B$13,0),MATCH(Table1[[#This Row],[Complexidade]],Auxiliar!$D$4:$F$4,0))</f>
        <v>2</v>
      </c>
      <c r="P151" s="2"/>
      <c r="Q151" s="2" t="s">
        <v>1188</v>
      </c>
      <c r="R151" s="151">
        <v>45261</v>
      </c>
      <c r="S151" s="151"/>
      <c r="T151" s="151"/>
      <c r="U151" s="151"/>
      <c r="V151" s="151"/>
      <c r="W151" s="2">
        <f>VLOOKUP(Table1[[#This Row],[Status]],Auxiliar!$B$16:$D$24,3,0)*Table1[[#This Row],[Estimação (horas)]]</f>
        <v>2</v>
      </c>
      <c r="X151" s="166">
        <f>+VLOOKUP(CONCATENATE(Table1[[#This Row],[Tabela]],Table1[[#This Row],[Campo]]),'2. Status Detalhe Campos FY24'!A:J,9,FALSE)</f>
        <v>0</v>
      </c>
    </row>
    <row r="152" spans="2:24" ht="17.850000000000001" hidden="1" customHeight="1">
      <c r="B152" s="2" t="s">
        <v>26</v>
      </c>
      <c r="C152" s="2" t="s">
        <v>54</v>
      </c>
      <c r="D152" s="2" t="s">
        <v>95</v>
      </c>
      <c r="E152" s="2" t="s">
        <v>38</v>
      </c>
      <c r="F152" s="2" t="s">
        <v>94</v>
      </c>
      <c r="G152" s="2" t="s">
        <v>110</v>
      </c>
      <c r="H152" s="56" t="str">
        <f>Table1[[#This Row],[Tabela]]&amp;Table1[[#This Row],[Campo]]</f>
        <v>PROPERTYCONSERVATORY_REG_FILE_ID</v>
      </c>
      <c r="I152" s="3" t="s">
        <v>612</v>
      </c>
      <c r="J152" s="54">
        <f>VLOOKUP(Table1[[#This Row],[Status]],Auxiliar!$B$16:$C$24,2,0)</f>
        <v>1</v>
      </c>
      <c r="K152" s="2" t="s">
        <v>1172</v>
      </c>
      <c r="L152" s="28" t="s">
        <v>1177</v>
      </c>
      <c r="M152" s="20" t="s">
        <v>1178</v>
      </c>
      <c r="N152" s="47">
        <v>45485</v>
      </c>
      <c r="O152" s="20">
        <f>INDEX(Auxiliar!$D$5:$F$13,MATCH(Table1[[#This Row],[Tipologia_Testes]],Auxiliar!$B$5:$B$13,0),MATCH(Table1[[#This Row],[Complexidade]],Auxiliar!$D$4:$F$4,0))</f>
        <v>2</v>
      </c>
      <c r="P152" s="2"/>
      <c r="Q152" s="2" t="s">
        <v>1188</v>
      </c>
      <c r="R152" s="151">
        <v>45261</v>
      </c>
      <c r="S152" s="151"/>
      <c r="T152" s="151"/>
      <c r="U152" s="151"/>
      <c r="V152" s="151"/>
      <c r="W152" s="2">
        <f>VLOOKUP(Table1[[#This Row],[Status]],Auxiliar!$B$16:$D$24,3,0)*Table1[[#This Row],[Estimação (horas)]]</f>
        <v>2</v>
      </c>
      <c r="X152" s="166">
        <f>+VLOOKUP(CONCATENATE(Table1[[#This Row],[Tabela]],Table1[[#This Row],[Campo]]),'2. Status Detalhe Campos FY24'!A:J,9,FALSE)</f>
        <v>0</v>
      </c>
    </row>
    <row r="153" spans="2:24" ht="17.850000000000001" hidden="1" customHeight="1">
      <c r="B153" s="2" t="s">
        <v>26</v>
      </c>
      <c r="C153" s="2" t="s">
        <v>54</v>
      </c>
      <c r="D153" s="2" t="s">
        <v>95</v>
      </c>
      <c r="E153" s="2" t="s">
        <v>38</v>
      </c>
      <c r="F153" s="2" t="s">
        <v>94</v>
      </c>
      <c r="G153" s="2" t="s">
        <v>110</v>
      </c>
      <c r="H153" s="56" t="str">
        <f>Table1[[#This Row],[Tabela]]&amp;Table1[[#This Row],[Campo]]</f>
        <v>PROPERTYCONSERVATORY_REG_FILE_ID</v>
      </c>
      <c r="I153" s="3" t="s">
        <v>612</v>
      </c>
      <c r="J153" s="54">
        <f>VLOOKUP(Table1[[#This Row],[Status]],Auxiliar!$B$16:$C$24,2,0)</f>
        <v>1</v>
      </c>
      <c r="K153" s="2" t="s">
        <v>1174</v>
      </c>
      <c r="L153" s="28" t="s">
        <v>1177</v>
      </c>
      <c r="M153" s="20" t="s">
        <v>1178</v>
      </c>
      <c r="N153" s="47">
        <v>45485</v>
      </c>
      <c r="O153" s="20">
        <f>INDEX(Auxiliar!$D$5:$F$13,MATCH(Table1[[#This Row],[Tipologia_Testes]],Auxiliar!$B$5:$B$13,0),MATCH(Table1[[#This Row],[Complexidade]],Auxiliar!$D$4:$F$4,0))</f>
        <v>0.1</v>
      </c>
      <c r="P153" s="2"/>
      <c r="Q153" s="2" t="s">
        <v>1188</v>
      </c>
      <c r="R153" s="151">
        <v>45261</v>
      </c>
      <c r="S153" s="151"/>
      <c r="T153" s="151"/>
      <c r="U153" s="151"/>
      <c r="V153" s="151"/>
      <c r="W153" s="2">
        <f>VLOOKUP(Table1[[#This Row],[Status]],Auxiliar!$B$16:$D$24,3,0)*Table1[[#This Row],[Estimação (horas)]]</f>
        <v>0.1</v>
      </c>
      <c r="X153" s="166">
        <f>+VLOOKUP(CONCATENATE(Table1[[#This Row],[Tabela]],Table1[[#This Row],[Campo]]),'2. Status Detalhe Campos FY24'!A:J,9,FALSE)</f>
        <v>0</v>
      </c>
    </row>
    <row r="154" spans="2:24" ht="17.850000000000001" hidden="1" customHeight="1">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1171</v>
      </c>
      <c r="L154" s="28" t="s">
        <v>1177</v>
      </c>
      <c r="M154" s="20" t="s">
        <v>1178</v>
      </c>
      <c r="N154" s="47">
        <v>45490</v>
      </c>
      <c r="O154" s="20">
        <f>INDEX(Auxiliar!$D$5:$F$13,MATCH(Table1[[#This Row],[Tipologia_Testes]],Auxiliar!$B$5:$B$13,0),MATCH(Table1[[#This Row],[Complexidade]],Auxiliar!$D$4:$F$4,0))</f>
        <v>2</v>
      </c>
      <c r="P154" s="2"/>
      <c r="Q154" s="2" t="s">
        <v>1188</v>
      </c>
      <c r="R154" s="151">
        <v>45261</v>
      </c>
      <c r="S154" s="151"/>
      <c r="T154" s="151"/>
      <c r="U154" s="151"/>
      <c r="V154" s="151"/>
      <c r="W154" s="2">
        <f>VLOOKUP(Table1[[#This Row],[Status]],Auxiliar!$B$16:$D$24,3,0)*Table1[[#This Row],[Estimação (horas)]]</f>
        <v>2</v>
      </c>
      <c r="X154" s="166">
        <f>+VLOOKUP(CONCATENATE(Table1[[#This Row],[Tabela]],Table1[[#This Row],[Campo]]),'2. Status Detalhe Campos FY24'!A:J,9,FALSE)</f>
        <v>0</v>
      </c>
    </row>
    <row r="155" spans="2:24" ht="17.850000000000001" hidden="1" customHeight="1">
      <c r="B155" s="2" t="s">
        <v>26</v>
      </c>
      <c r="C155" s="2" t="s">
        <v>54</v>
      </c>
      <c r="D155" s="2" t="s">
        <v>95</v>
      </c>
      <c r="E155" s="2" t="s">
        <v>38</v>
      </c>
      <c r="F155" s="2" t="s">
        <v>94</v>
      </c>
      <c r="G155" s="2" t="s">
        <v>111</v>
      </c>
      <c r="H155" s="56" t="str">
        <f>Table1[[#This Row],[Tabela]]&amp;Table1[[#This Row],[Campo]]</f>
        <v>PROPERTYFLOOR_NUMBER</v>
      </c>
      <c r="I155" s="3" t="s">
        <v>612</v>
      </c>
      <c r="J155" s="42">
        <f>VLOOKUP(Table1[[#This Row],[Status]],Auxiliar!$B$16:$C$24,2,0)</f>
        <v>1</v>
      </c>
      <c r="K155" s="2" t="s">
        <v>1172</v>
      </c>
      <c r="L155" s="28" t="s">
        <v>1177</v>
      </c>
      <c r="M155" s="20" t="s">
        <v>1178</v>
      </c>
      <c r="N155" s="47">
        <v>45490</v>
      </c>
      <c r="O155" s="20">
        <f>INDEX(Auxiliar!$D$5:$F$13,MATCH(Table1[[#This Row],[Tipologia_Testes]],Auxiliar!$B$5:$B$13,0),MATCH(Table1[[#This Row],[Complexidade]],Auxiliar!$D$4:$F$4,0))</f>
        <v>2</v>
      </c>
      <c r="P155" s="2"/>
      <c r="Q155" s="2" t="s">
        <v>1188</v>
      </c>
      <c r="R155" s="151">
        <v>45261</v>
      </c>
      <c r="S155" s="151"/>
      <c r="T155" s="151"/>
      <c r="U155" s="151"/>
      <c r="V155" s="151"/>
      <c r="W155" s="2">
        <f>VLOOKUP(Table1[[#This Row],[Status]],Auxiliar!$B$16:$D$24,3,0)*Table1[[#This Row],[Estimação (horas)]]</f>
        <v>2</v>
      </c>
      <c r="X155" s="166">
        <f>+VLOOKUP(CONCATENATE(Table1[[#This Row],[Tabela]],Table1[[#This Row],[Campo]]),'2. Status Detalhe Campos FY24'!A:J,9,FALSE)</f>
        <v>0</v>
      </c>
    </row>
    <row r="156" spans="2:24" ht="17.850000000000001" hidden="1" customHeight="1">
      <c r="B156" s="2" t="s">
        <v>26</v>
      </c>
      <c r="C156" s="2" t="s">
        <v>54</v>
      </c>
      <c r="D156" s="2" t="s">
        <v>95</v>
      </c>
      <c r="E156" s="2" t="s">
        <v>38</v>
      </c>
      <c r="F156" s="2" t="s">
        <v>94</v>
      </c>
      <c r="G156" s="2" t="s">
        <v>111</v>
      </c>
      <c r="H156" s="56" t="str">
        <f>Table1[[#This Row],[Tabela]]&amp;Table1[[#This Row],[Campo]]</f>
        <v>PROPERTYFLOOR_NUMBER</v>
      </c>
      <c r="I156" s="3" t="s">
        <v>612</v>
      </c>
      <c r="J156" s="42">
        <f>VLOOKUP(Table1[[#This Row],[Status]],Auxiliar!$B$16:$C$24,2,0)</f>
        <v>1</v>
      </c>
      <c r="K156" s="2" t="s">
        <v>1174</v>
      </c>
      <c r="L156" s="28" t="s">
        <v>1177</v>
      </c>
      <c r="M156" s="20" t="s">
        <v>1178</v>
      </c>
      <c r="N156" s="47">
        <v>45490</v>
      </c>
      <c r="O156" s="20">
        <f>INDEX(Auxiliar!$D$5:$F$13,MATCH(Table1[[#This Row],[Tipologia_Testes]],Auxiliar!$B$5:$B$13,0),MATCH(Table1[[#This Row],[Complexidade]],Auxiliar!$D$4:$F$4,0))</f>
        <v>0.1</v>
      </c>
      <c r="P156" s="2"/>
      <c r="Q156" s="2" t="s">
        <v>1188</v>
      </c>
      <c r="R156" s="151">
        <v>45261</v>
      </c>
      <c r="S156" s="151"/>
      <c r="T156" s="151"/>
      <c r="U156" s="151"/>
      <c r="V156" s="151"/>
      <c r="W156" s="2">
        <f>VLOOKUP(Table1[[#This Row],[Status]],Auxiliar!$B$16:$D$24,3,0)*Table1[[#This Row],[Estimação (horas)]]</f>
        <v>0.1</v>
      </c>
      <c r="X156" s="166">
        <f>+VLOOKUP(CONCATENATE(Table1[[#This Row],[Tabela]],Table1[[#This Row],[Campo]]),'2. Status Detalhe Campos FY24'!A:J,9,FALSE)</f>
        <v>0</v>
      </c>
    </row>
    <row r="157" spans="2:24" ht="17.850000000000001" hidden="1" customHeight="1">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1171</v>
      </c>
      <c r="L157" s="28" t="s">
        <v>1177</v>
      </c>
      <c r="M157" s="20" t="s">
        <v>1178</v>
      </c>
      <c r="N157" s="47">
        <v>45490</v>
      </c>
      <c r="O157" s="20">
        <f>INDEX(Auxiliar!$D$5:$F$13,MATCH(Table1[[#This Row],[Tipologia_Testes]],Auxiliar!$B$5:$B$13,0),MATCH(Table1[[#This Row],[Complexidade]],Auxiliar!$D$4:$F$4,0))</f>
        <v>2</v>
      </c>
      <c r="P157" s="2"/>
      <c r="Q157" s="2" t="s">
        <v>1188</v>
      </c>
      <c r="R157" s="151">
        <v>45261</v>
      </c>
      <c r="S157" s="151"/>
      <c r="T157" s="151"/>
      <c r="U157" s="151"/>
      <c r="V157" s="151"/>
      <c r="W157" s="2">
        <f>VLOOKUP(Table1[[#This Row],[Status]],Auxiliar!$B$16:$D$24,3,0)*Table1[[#This Row],[Estimação (horas)]]</f>
        <v>2</v>
      </c>
      <c r="X157" s="166">
        <f>+VLOOKUP(CONCATENATE(Table1[[#This Row],[Tabela]],Table1[[#This Row],[Campo]]),'2. Status Detalhe Campos FY24'!A:J,9,FALSE)</f>
        <v>0</v>
      </c>
    </row>
    <row r="158" spans="2:24" ht="17.850000000000001" hidden="1" customHeight="1">
      <c r="B158" s="2" t="s">
        <v>26</v>
      </c>
      <c r="C158" s="2" t="s">
        <v>54</v>
      </c>
      <c r="D158" s="2" t="s">
        <v>95</v>
      </c>
      <c r="E158" s="2" t="s">
        <v>38</v>
      </c>
      <c r="F158" s="2" t="s">
        <v>94</v>
      </c>
      <c r="G158" s="2" t="s">
        <v>112</v>
      </c>
      <c r="H158" s="56" t="str">
        <f>Table1[[#This Row],[Tabela]]&amp;Table1[[#This Row],[Campo]]</f>
        <v>PROPERTYLOCALITY</v>
      </c>
      <c r="I158" s="3" t="s">
        <v>612</v>
      </c>
      <c r="J158" s="42">
        <f>VLOOKUP(Table1[[#This Row],[Status]],Auxiliar!$B$16:$C$24,2,0)</f>
        <v>1</v>
      </c>
      <c r="K158" s="2" t="s">
        <v>1172</v>
      </c>
      <c r="L158" s="28" t="s">
        <v>1177</v>
      </c>
      <c r="M158" s="20" t="s">
        <v>1178</v>
      </c>
      <c r="N158" s="47">
        <v>45490</v>
      </c>
      <c r="O158" s="20">
        <f>INDEX(Auxiliar!$D$5:$F$13,MATCH(Table1[[#This Row],[Tipologia_Testes]],Auxiliar!$B$5:$B$13,0),MATCH(Table1[[#This Row],[Complexidade]],Auxiliar!$D$4:$F$4,0))</f>
        <v>2</v>
      </c>
      <c r="P158" s="2"/>
      <c r="Q158" s="2" t="s">
        <v>1188</v>
      </c>
      <c r="R158" s="151">
        <v>45261</v>
      </c>
      <c r="S158" s="151"/>
      <c r="T158" s="151"/>
      <c r="U158" s="151"/>
      <c r="V158" s="151"/>
      <c r="W158" s="2">
        <f>VLOOKUP(Table1[[#This Row],[Status]],Auxiliar!$B$16:$D$24,3,0)*Table1[[#This Row],[Estimação (horas)]]</f>
        <v>2</v>
      </c>
      <c r="X158" s="166">
        <f>+VLOOKUP(CONCATENATE(Table1[[#This Row],[Tabela]],Table1[[#This Row],[Campo]]),'2. Status Detalhe Campos FY24'!A:J,9,FALSE)</f>
        <v>0</v>
      </c>
    </row>
    <row r="159" spans="2:24" ht="17.850000000000001" hidden="1" customHeight="1">
      <c r="B159" s="2" t="s">
        <v>26</v>
      </c>
      <c r="C159" s="2" t="s">
        <v>54</v>
      </c>
      <c r="D159" s="2" t="s">
        <v>95</v>
      </c>
      <c r="E159" s="2" t="s">
        <v>38</v>
      </c>
      <c r="F159" s="2" t="s">
        <v>94</v>
      </c>
      <c r="G159" s="2" t="s">
        <v>112</v>
      </c>
      <c r="H159" s="56" t="str">
        <f>Table1[[#This Row],[Tabela]]&amp;Table1[[#This Row],[Campo]]</f>
        <v>PROPERTYLOCALITY</v>
      </c>
      <c r="I159" s="3" t="s">
        <v>612</v>
      </c>
      <c r="J159" s="42">
        <f>VLOOKUP(Table1[[#This Row],[Status]],Auxiliar!$B$16:$C$24,2,0)</f>
        <v>1</v>
      </c>
      <c r="K159" s="2" t="s">
        <v>1174</v>
      </c>
      <c r="L159" s="28" t="s">
        <v>1177</v>
      </c>
      <c r="M159" s="20" t="s">
        <v>1178</v>
      </c>
      <c r="N159" s="47">
        <v>45490</v>
      </c>
      <c r="O159" s="20">
        <f>INDEX(Auxiliar!$D$5:$F$13,MATCH(Table1[[#This Row],[Tipologia_Testes]],Auxiliar!$B$5:$B$13,0),MATCH(Table1[[#This Row],[Complexidade]],Auxiliar!$D$4:$F$4,0))</f>
        <v>0.1</v>
      </c>
      <c r="P159" s="2"/>
      <c r="Q159" s="2" t="s">
        <v>1188</v>
      </c>
      <c r="R159" s="151">
        <v>45261</v>
      </c>
      <c r="S159" s="151"/>
      <c r="T159" s="151"/>
      <c r="U159" s="151"/>
      <c r="V159" s="151"/>
      <c r="W159" s="2">
        <f>VLOOKUP(Table1[[#This Row],[Status]],Auxiliar!$B$16:$D$24,3,0)*Table1[[#This Row],[Estimação (horas)]]</f>
        <v>0.1</v>
      </c>
      <c r="X159" s="166">
        <f>+VLOOKUP(CONCATENATE(Table1[[#This Row],[Tabela]],Table1[[#This Row],[Campo]]),'2. Status Detalhe Campos FY24'!A:J,9,FALSE)</f>
        <v>0</v>
      </c>
    </row>
    <row r="160" spans="2:24" ht="17.850000000000001" hidden="1" customHeight="1">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1171</v>
      </c>
      <c r="L160" s="28" t="s">
        <v>1177</v>
      </c>
      <c r="M160" s="20" t="s">
        <v>1178</v>
      </c>
      <c r="N160" s="47">
        <v>45490</v>
      </c>
      <c r="O160" s="20">
        <f>INDEX(Auxiliar!$D$5:$F$13,MATCH(Table1[[#This Row],[Tipologia_Testes]],Auxiliar!$B$5:$B$13,0),MATCH(Table1[[#This Row],[Complexidade]],Auxiliar!$D$4:$F$4,0))</f>
        <v>2</v>
      </c>
      <c r="P160" s="2"/>
      <c r="Q160" s="2" t="s">
        <v>1188</v>
      </c>
      <c r="R160" s="151">
        <v>45261</v>
      </c>
      <c r="S160" s="151"/>
      <c r="T160" s="151"/>
      <c r="U160" s="151"/>
      <c r="V160" s="151"/>
      <c r="W160" s="2">
        <f>VLOOKUP(Table1[[#This Row],[Status]],Auxiliar!$B$16:$D$24,3,0)*Table1[[#This Row],[Estimação (horas)]]</f>
        <v>2</v>
      </c>
      <c r="X160" s="166">
        <f>+VLOOKUP(CONCATENATE(Table1[[#This Row],[Tabela]],Table1[[#This Row],[Campo]]),'2. Status Detalhe Campos FY24'!A:J,9,FALSE)</f>
        <v>0</v>
      </c>
    </row>
    <row r="161" spans="2:24" ht="17.850000000000001" hidden="1" customHeight="1">
      <c r="B161" s="2" t="s">
        <v>26</v>
      </c>
      <c r="C161" s="2" t="s">
        <v>54</v>
      </c>
      <c r="D161" s="2" t="s">
        <v>95</v>
      </c>
      <c r="E161" s="2" t="s">
        <v>38</v>
      </c>
      <c r="F161" s="2" t="s">
        <v>94</v>
      </c>
      <c r="G161" s="2" t="s">
        <v>113</v>
      </c>
      <c r="H161" s="56" t="str">
        <f>Table1[[#This Row],[Tabela]]&amp;Table1[[#This Row],[Campo]]</f>
        <v>PROPERTYPROPERTY_LOT</v>
      </c>
      <c r="I161" s="3" t="s">
        <v>612</v>
      </c>
      <c r="J161" s="42">
        <f>VLOOKUP(Table1[[#This Row],[Status]],Auxiliar!$B$16:$C$24,2,0)</f>
        <v>1</v>
      </c>
      <c r="K161" s="2" t="s">
        <v>1172</v>
      </c>
      <c r="L161" s="28" t="s">
        <v>1177</v>
      </c>
      <c r="M161" s="20" t="s">
        <v>1178</v>
      </c>
      <c r="N161" s="47">
        <v>45490</v>
      </c>
      <c r="O161" s="20">
        <f>INDEX(Auxiliar!$D$5:$F$13,MATCH(Table1[[#This Row],[Tipologia_Testes]],Auxiliar!$B$5:$B$13,0),MATCH(Table1[[#This Row],[Complexidade]],Auxiliar!$D$4:$F$4,0))</f>
        <v>2</v>
      </c>
      <c r="P161" s="2"/>
      <c r="Q161" s="2" t="s">
        <v>1188</v>
      </c>
      <c r="R161" s="151">
        <v>45261</v>
      </c>
      <c r="S161" s="151"/>
      <c r="T161" s="151"/>
      <c r="U161" s="151"/>
      <c r="V161" s="151"/>
      <c r="W161" s="2">
        <f>VLOOKUP(Table1[[#This Row],[Status]],Auxiliar!$B$16:$D$24,3,0)*Table1[[#This Row],[Estimação (horas)]]</f>
        <v>2</v>
      </c>
      <c r="X161" s="166">
        <f>+VLOOKUP(CONCATENATE(Table1[[#This Row],[Tabela]],Table1[[#This Row],[Campo]]),'2. Status Detalhe Campos FY24'!A:J,9,FALSE)</f>
        <v>0</v>
      </c>
    </row>
    <row r="162" spans="2:24" ht="17.850000000000001" hidden="1" customHeight="1">
      <c r="B162" s="2" t="s">
        <v>26</v>
      </c>
      <c r="C162" s="2" t="s">
        <v>54</v>
      </c>
      <c r="D162" s="2" t="s">
        <v>95</v>
      </c>
      <c r="E162" s="2" t="s">
        <v>38</v>
      </c>
      <c r="F162" s="2" t="s">
        <v>94</v>
      </c>
      <c r="G162" s="2" t="s">
        <v>113</v>
      </c>
      <c r="H162" s="56" t="str">
        <f>Table1[[#This Row],[Tabela]]&amp;Table1[[#This Row],[Campo]]</f>
        <v>PROPERTYPROPERTY_LOT</v>
      </c>
      <c r="I162" s="3" t="s">
        <v>612</v>
      </c>
      <c r="J162" s="42">
        <f>VLOOKUP(Table1[[#This Row],[Status]],Auxiliar!$B$16:$C$24,2,0)</f>
        <v>1</v>
      </c>
      <c r="K162" s="2" t="s">
        <v>1174</v>
      </c>
      <c r="L162" s="28" t="s">
        <v>1177</v>
      </c>
      <c r="M162" s="20" t="s">
        <v>1178</v>
      </c>
      <c r="N162" s="47">
        <v>45490</v>
      </c>
      <c r="O162" s="20">
        <f>INDEX(Auxiliar!$D$5:$F$13,MATCH(Table1[[#This Row],[Tipologia_Testes]],Auxiliar!$B$5:$B$13,0),MATCH(Table1[[#This Row],[Complexidade]],Auxiliar!$D$4:$F$4,0))</f>
        <v>0.1</v>
      </c>
      <c r="P162" s="2"/>
      <c r="Q162" s="2" t="s">
        <v>1188</v>
      </c>
      <c r="R162" s="151">
        <v>45261</v>
      </c>
      <c r="S162" s="151"/>
      <c r="T162" s="151"/>
      <c r="U162" s="151"/>
      <c r="V162" s="151"/>
      <c r="W162" s="2">
        <f>VLOOKUP(Table1[[#This Row],[Status]],Auxiliar!$B$16:$D$24,3,0)*Table1[[#This Row],[Estimação (horas)]]</f>
        <v>0.1</v>
      </c>
      <c r="X162" s="166">
        <f>+VLOOKUP(CONCATENATE(Table1[[#This Row],[Tabela]],Table1[[#This Row],[Campo]]),'2. Status Detalhe Campos FY24'!A:J,9,FALSE)</f>
        <v>0</v>
      </c>
    </row>
    <row r="163" spans="2:24" ht="17.850000000000001" hidden="1" customHeight="1">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1171</v>
      </c>
      <c r="L163" s="28" t="s">
        <v>1177</v>
      </c>
      <c r="M163" s="20" t="s">
        <v>1178</v>
      </c>
      <c r="N163" s="47">
        <v>45485</v>
      </c>
      <c r="O163" s="20">
        <f>INDEX(Auxiliar!$D$5:$F$13,MATCH(Table1[[#This Row],[Tipologia_Testes]],Auxiliar!$B$5:$B$13,0),MATCH(Table1[[#This Row],[Complexidade]],Auxiliar!$D$4:$F$4,0))</f>
        <v>2</v>
      </c>
      <c r="P163" s="2"/>
      <c r="Q163" s="2" t="s">
        <v>1188</v>
      </c>
      <c r="R163" s="151">
        <v>45261</v>
      </c>
      <c r="S163" s="151"/>
      <c r="T163" s="151"/>
      <c r="U163" s="151"/>
      <c r="V163" s="151"/>
      <c r="W163" s="2">
        <f>VLOOKUP(Table1[[#This Row],[Status]],Auxiliar!$B$16:$D$24,3,0)*Table1[[#This Row],[Estimação (horas)]]</f>
        <v>2</v>
      </c>
      <c r="X163" s="166">
        <f>+VLOOKUP(CONCATENATE(Table1[[#This Row],[Tabela]],Table1[[#This Row],[Campo]]),'2. Status Detalhe Campos FY24'!A:J,9,FALSE)</f>
        <v>0</v>
      </c>
    </row>
    <row r="164" spans="2:24" ht="17.850000000000001" hidden="1" customHeight="1">
      <c r="B164" s="2" t="s">
        <v>26</v>
      </c>
      <c r="C164" s="2" t="s">
        <v>54</v>
      </c>
      <c r="D164" s="2" t="s">
        <v>95</v>
      </c>
      <c r="E164" s="2" t="s">
        <v>38</v>
      </c>
      <c r="F164" s="2" t="s">
        <v>94</v>
      </c>
      <c r="G164" s="2" t="s">
        <v>114</v>
      </c>
      <c r="H164" s="56" t="str">
        <f>Table1[[#This Row],[Tabela]]&amp;Table1[[#This Row],[Campo]]</f>
        <v>PROPERTYLAST_APPRAISAL_AMOUNT</v>
      </c>
      <c r="I164" s="3" t="s">
        <v>612</v>
      </c>
      <c r="J164" s="54">
        <f>VLOOKUP(Table1[[#This Row],[Status]],Auxiliar!$B$16:$C$24,2,0)</f>
        <v>1</v>
      </c>
      <c r="K164" s="2" t="s">
        <v>1172</v>
      </c>
      <c r="L164" s="28" t="s">
        <v>1177</v>
      </c>
      <c r="M164" s="20" t="s">
        <v>1178</v>
      </c>
      <c r="N164" s="47">
        <v>45485</v>
      </c>
      <c r="O164" s="20">
        <f>INDEX(Auxiliar!$D$5:$F$13,MATCH(Table1[[#This Row],[Tipologia_Testes]],Auxiliar!$B$5:$B$13,0),MATCH(Table1[[#This Row],[Complexidade]],Auxiliar!$D$4:$F$4,0))</f>
        <v>2</v>
      </c>
      <c r="P164" s="2"/>
      <c r="Q164" s="2" t="s">
        <v>1188</v>
      </c>
      <c r="R164" s="151">
        <v>45261</v>
      </c>
      <c r="S164" s="151"/>
      <c r="T164" s="151"/>
      <c r="U164" s="151"/>
      <c r="V164" s="151"/>
      <c r="W164" s="2">
        <f>VLOOKUP(Table1[[#This Row],[Status]],Auxiliar!$B$16:$D$24,3,0)*Table1[[#This Row],[Estimação (horas)]]</f>
        <v>2</v>
      </c>
      <c r="X164" s="166">
        <f>+VLOOKUP(CONCATENATE(Table1[[#This Row],[Tabela]],Table1[[#This Row],[Campo]]),'2. Status Detalhe Campos FY24'!A:J,9,FALSE)</f>
        <v>0</v>
      </c>
    </row>
    <row r="165" spans="2:24" ht="17.850000000000001" hidden="1" customHeight="1">
      <c r="B165" s="2" t="s">
        <v>26</v>
      </c>
      <c r="C165" s="2" t="s">
        <v>54</v>
      </c>
      <c r="D165" s="2" t="s">
        <v>95</v>
      </c>
      <c r="E165" s="2" t="s">
        <v>38</v>
      </c>
      <c r="F165" s="2" t="s">
        <v>94</v>
      </c>
      <c r="G165" s="2" t="s">
        <v>114</v>
      </c>
      <c r="H165" s="56" t="str">
        <f>Table1[[#This Row],[Tabela]]&amp;Table1[[#This Row],[Campo]]</f>
        <v>PROPERTYLAST_APPRAISAL_AMOUNT</v>
      </c>
      <c r="I165" s="3" t="s">
        <v>612</v>
      </c>
      <c r="J165" s="54">
        <f>VLOOKUP(Table1[[#This Row],[Status]],Auxiliar!$B$16:$C$24,2,0)</f>
        <v>1</v>
      </c>
      <c r="K165" s="2" t="s">
        <v>1174</v>
      </c>
      <c r="L165" s="28" t="s">
        <v>1177</v>
      </c>
      <c r="M165" s="20" t="s">
        <v>1178</v>
      </c>
      <c r="N165" s="47">
        <v>45485</v>
      </c>
      <c r="O165" s="20">
        <f>INDEX(Auxiliar!$D$5:$F$13,MATCH(Table1[[#This Row],[Tipologia_Testes]],Auxiliar!$B$5:$B$13,0),MATCH(Table1[[#This Row],[Complexidade]],Auxiliar!$D$4:$F$4,0))</f>
        <v>0.1</v>
      </c>
      <c r="P165" s="2"/>
      <c r="Q165" s="2" t="s">
        <v>1188</v>
      </c>
      <c r="R165" s="151">
        <v>45261</v>
      </c>
      <c r="S165" s="151"/>
      <c r="T165" s="151"/>
      <c r="U165" s="151"/>
      <c r="V165" s="151"/>
      <c r="W165" s="2">
        <f>VLOOKUP(Table1[[#This Row],[Status]],Auxiliar!$B$16:$D$24,3,0)*Table1[[#This Row],[Estimação (horas)]]</f>
        <v>0.1</v>
      </c>
      <c r="X165" s="166">
        <f>+VLOOKUP(CONCATENATE(Table1[[#This Row],[Tabela]],Table1[[#This Row],[Campo]]),'2. Status Detalhe Campos FY24'!A:J,9,FALSE)</f>
        <v>0</v>
      </c>
    </row>
    <row r="166" spans="2:24" ht="17.850000000000001" hidden="1" customHeight="1">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1171</v>
      </c>
      <c r="L166" s="28" t="s">
        <v>1177</v>
      </c>
      <c r="M166" s="20" t="s">
        <v>1178</v>
      </c>
      <c r="N166" s="47">
        <v>45485</v>
      </c>
      <c r="O166" s="20">
        <f>INDEX(Auxiliar!$D$5:$F$13,MATCH(Table1[[#This Row],[Tipologia_Testes]],Auxiliar!$B$5:$B$13,0),MATCH(Table1[[#This Row],[Complexidade]],Auxiliar!$D$4:$F$4,0))</f>
        <v>2</v>
      </c>
      <c r="P166" s="2"/>
      <c r="Q166" s="2" t="s">
        <v>1188</v>
      </c>
      <c r="R166" s="151">
        <v>45261</v>
      </c>
      <c r="S166" s="151"/>
      <c r="T166" s="151"/>
      <c r="U166" s="151"/>
      <c r="V166" s="151"/>
      <c r="W166" s="2">
        <f>VLOOKUP(Table1[[#This Row],[Status]],Auxiliar!$B$16:$D$24,3,0)*Table1[[#This Row],[Estimação (horas)]]</f>
        <v>2</v>
      </c>
      <c r="X166" s="166">
        <f>+VLOOKUP(CONCATENATE(Table1[[#This Row],[Tabela]],Table1[[#This Row],[Campo]]),'2. Status Detalhe Campos FY24'!A:J,9,FALSE)</f>
        <v>0</v>
      </c>
    </row>
    <row r="167" spans="2:24" ht="17.850000000000001" hidden="1" customHeight="1">
      <c r="B167" s="2" t="s">
        <v>26</v>
      </c>
      <c r="C167" s="2" t="s">
        <v>54</v>
      </c>
      <c r="D167" s="2" t="s">
        <v>95</v>
      </c>
      <c r="E167" s="2" t="s">
        <v>38</v>
      </c>
      <c r="F167" s="2" t="s">
        <v>94</v>
      </c>
      <c r="G167" s="2" t="s">
        <v>115</v>
      </c>
      <c r="H167" s="56" t="str">
        <f>Table1[[#This Row],[Tabela]]&amp;Table1[[#This Row],[Campo]]</f>
        <v>PROPERTYNET_APPRAISAL_AMOUNT</v>
      </c>
      <c r="I167" s="3" t="s">
        <v>612</v>
      </c>
      <c r="J167" s="54">
        <f>VLOOKUP(Table1[[#This Row],[Status]],Auxiliar!$B$16:$C$24,2,0)</f>
        <v>1</v>
      </c>
      <c r="K167" s="2" t="s">
        <v>1172</v>
      </c>
      <c r="L167" s="28" t="s">
        <v>1177</v>
      </c>
      <c r="M167" s="20" t="s">
        <v>1178</v>
      </c>
      <c r="N167" s="47">
        <v>45485</v>
      </c>
      <c r="O167" s="20">
        <f>INDEX(Auxiliar!$D$5:$F$13,MATCH(Table1[[#This Row],[Tipologia_Testes]],Auxiliar!$B$5:$B$13,0),MATCH(Table1[[#This Row],[Complexidade]],Auxiliar!$D$4:$F$4,0))</f>
        <v>2</v>
      </c>
      <c r="P167" s="2"/>
      <c r="Q167" s="2" t="s">
        <v>1188</v>
      </c>
      <c r="R167" s="151">
        <v>45261</v>
      </c>
      <c r="S167" s="151"/>
      <c r="T167" s="151"/>
      <c r="U167" s="151"/>
      <c r="V167" s="151"/>
      <c r="W167" s="2">
        <f>VLOOKUP(Table1[[#This Row],[Status]],Auxiliar!$B$16:$D$24,3,0)*Table1[[#This Row],[Estimação (horas)]]</f>
        <v>2</v>
      </c>
      <c r="X167" s="166">
        <f>+VLOOKUP(CONCATENATE(Table1[[#This Row],[Tabela]],Table1[[#This Row],[Campo]]),'2. Status Detalhe Campos FY24'!A:J,9,FALSE)</f>
        <v>0</v>
      </c>
    </row>
    <row r="168" spans="2:24" ht="17.850000000000001" hidden="1" customHeight="1">
      <c r="B168" s="2" t="s">
        <v>26</v>
      </c>
      <c r="C168" s="2" t="s">
        <v>54</v>
      </c>
      <c r="D168" s="2" t="s">
        <v>95</v>
      </c>
      <c r="E168" s="2" t="s">
        <v>38</v>
      </c>
      <c r="F168" s="2" t="s">
        <v>94</v>
      </c>
      <c r="G168" s="2" t="s">
        <v>115</v>
      </c>
      <c r="H168" s="56" t="str">
        <f>Table1[[#This Row],[Tabela]]&amp;Table1[[#This Row],[Campo]]</f>
        <v>PROPERTYNET_APPRAISAL_AMOUNT</v>
      </c>
      <c r="I168" s="3" t="s">
        <v>612</v>
      </c>
      <c r="J168" s="54">
        <f>VLOOKUP(Table1[[#This Row],[Status]],Auxiliar!$B$16:$C$24,2,0)</f>
        <v>1</v>
      </c>
      <c r="K168" s="2" t="s">
        <v>1174</v>
      </c>
      <c r="L168" s="28" t="s">
        <v>1177</v>
      </c>
      <c r="M168" s="20" t="s">
        <v>1178</v>
      </c>
      <c r="N168" s="47">
        <v>45485</v>
      </c>
      <c r="O168" s="20">
        <f>INDEX(Auxiliar!$D$5:$F$13,MATCH(Table1[[#This Row],[Tipologia_Testes]],Auxiliar!$B$5:$B$13,0),MATCH(Table1[[#This Row],[Complexidade]],Auxiliar!$D$4:$F$4,0))</f>
        <v>0.1</v>
      </c>
      <c r="P168" s="2"/>
      <c r="Q168" s="2" t="s">
        <v>1188</v>
      </c>
      <c r="R168" s="151">
        <v>45261</v>
      </c>
      <c r="S168" s="151"/>
      <c r="T168" s="151"/>
      <c r="U168" s="151"/>
      <c r="V168" s="151"/>
      <c r="W168" s="2">
        <f>VLOOKUP(Table1[[#This Row],[Status]],Auxiliar!$B$16:$D$24,3,0)*Table1[[#This Row],[Estimação (horas)]]</f>
        <v>0.1</v>
      </c>
      <c r="X168" s="166">
        <f>+VLOOKUP(CONCATENATE(Table1[[#This Row],[Tabela]],Table1[[#This Row],[Campo]]),'2. Status Detalhe Campos FY24'!A:J,9,FALSE)</f>
        <v>0</v>
      </c>
    </row>
    <row r="169" spans="2:24" ht="17.850000000000001" hidden="1" customHeight="1">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1171</v>
      </c>
      <c r="L169" s="28" t="s">
        <v>1177</v>
      </c>
      <c r="M169" s="20" t="s">
        <v>1178</v>
      </c>
      <c r="N169" s="47">
        <v>45485</v>
      </c>
      <c r="O169" s="20">
        <f>INDEX(Auxiliar!$D$5:$F$13,MATCH(Table1[[#This Row],[Tipologia_Testes]],Auxiliar!$B$5:$B$13,0),MATCH(Table1[[#This Row],[Complexidade]],Auxiliar!$D$4:$F$4,0))</f>
        <v>2</v>
      </c>
      <c r="P169" s="2"/>
      <c r="Q169" s="2" t="s">
        <v>1188</v>
      </c>
      <c r="R169" s="151">
        <v>45261</v>
      </c>
      <c r="S169" s="151"/>
      <c r="T169" s="151"/>
      <c r="U169" s="151"/>
      <c r="V169" s="151"/>
      <c r="W169" s="2">
        <f>VLOOKUP(Table1[[#This Row],[Status]],Auxiliar!$B$16:$D$24,3,0)*Table1[[#This Row],[Estimação (horas)]]</f>
        <v>2</v>
      </c>
      <c r="X169" s="166">
        <f>+VLOOKUP(CONCATENATE(Table1[[#This Row],[Tabela]],Table1[[#This Row],[Campo]]),'2. Status Detalhe Campos FY24'!A:J,9,FALSE)</f>
        <v>0</v>
      </c>
    </row>
    <row r="170" spans="2:24" ht="17.850000000000001" hidden="1" customHeight="1">
      <c r="B170" s="2" t="s">
        <v>26</v>
      </c>
      <c r="C170" s="2" t="s">
        <v>54</v>
      </c>
      <c r="D170" s="2" t="s">
        <v>95</v>
      </c>
      <c r="E170" s="2" t="s">
        <v>38</v>
      </c>
      <c r="F170" s="2" t="s">
        <v>94</v>
      </c>
      <c r="G170" s="2" t="s">
        <v>116</v>
      </c>
      <c r="H170" s="56" t="str">
        <f>Table1[[#This Row],[Tabela]]&amp;Table1[[#This Row],[Campo]]</f>
        <v>PROPERTYCOLLATERAL_FAST_SALE_AMOUNT</v>
      </c>
      <c r="I170" s="3" t="s">
        <v>612</v>
      </c>
      <c r="J170" s="54">
        <f>VLOOKUP(Table1[[#This Row],[Status]],Auxiliar!$B$16:$C$24,2,0)</f>
        <v>1</v>
      </c>
      <c r="K170" s="2" t="s">
        <v>1172</v>
      </c>
      <c r="L170" s="28" t="s">
        <v>1177</v>
      </c>
      <c r="M170" s="20" t="s">
        <v>1178</v>
      </c>
      <c r="N170" s="47">
        <v>45485</v>
      </c>
      <c r="O170" s="20">
        <f>INDEX(Auxiliar!$D$5:$F$13,MATCH(Table1[[#This Row],[Tipologia_Testes]],Auxiliar!$B$5:$B$13,0),MATCH(Table1[[#This Row],[Complexidade]],Auxiliar!$D$4:$F$4,0))</f>
        <v>2</v>
      </c>
      <c r="P170" s="2"/>
      <c r="Q170" s="2" t="s">
        <v>1188</v>
      </c>
      <c r="R170" s="151">
        <v>45261</v>
      </c>
      <c r="S170" s="151"/>
      <c r="T170" s="151"/>
      <c r="U170" s="151"/>
      <c r="V170" s="151"/>
      <c r="W170" s="2">
        <f>VLOOKUP(Table1[[#This Row],[Status]],Auxiliar!$B$16:$D$24,3,0)*Table1[[#This Row],[Estimação (horas)]]</f>
        <v>2</v>
      </c>
      <c r="X170" s="166">
        <f>+VLOOKUP(CONCATENATE(Table1[[#This Row],[Tabela]],Table1[[#This Row],[Campo]]),'2. Status Detalhe Campos FY24'!A:J,9,FALSE)</f>
        <v>0</v>
      </c>
    </row>
    <row r="171" spans="2:24" ht="17.850000000000001" hidden="1" customHeight="1">
      <c r="B171" s="2" t="s">
        <v>26</v>
      </c>
      <c r="C171" s="2" t="s">
        <v>54</v>
      </c>
      <c r="D171" s="2" t="s">
        <v>95</v>
      </c>
      <c r="E171" s="2" t="s">
        <v>38</v>
      </c>
      <c r="F171" s="2" t="s">
        <v>94</v>
      </c>
      <c r="G171" s="2" t="s">
        <v>116</v>
      </c>
      <c r="H171" s="56" t="str">
        <f>Table1[[#This Row],[Tabela]]&amp;Table1[[#This Row],[Campo]]</f>
        <v>PROPERTYCOLLATERAL_FAST_SALE_AMOUNT</v>
      </c>
      <c r="I171" s="3" t="s">
        <v>612</v>
      </c>
      <c r="J171" s="54">
        <f>VLOOKUP(Table1[[#This Row],[Status]],Auxiliar!$B$16:$C$24,2,0)</f>
        <v>1</v>
      </c>
      <c r="K171" s="2" t="s">
        <v>1174</v>
      </c>
      <c r="L171" s="28" t="s">
        <v>1177</v>
      </c>
      <c r="M171" s="20" t="s">
        <v>1178</v>
      </c>
      <c r="N171" s="47">
        <v>45485</v>
      </c>
      <c r="O171" s="20">
        <f>INDEX(Auxiliar!$D$5:$F$13,MATCH(Table1[[#This Row],[Tipologia_Testes]],Auxiliar!$B$5:$B$13,0),MATCH(Table1[[#This Row],[Complexidade]],Auxiliar!$D$4:$F$4,0))</f>
        <v>0.1</v>
      </c>
      <c r="P171" s="2"/>
      <c r="Q171" s="2" t="s">
        <v>1188</v>
      </c>
      <c r="R171" s="151">
        <v>45261</v>
      </c>
      <c r="S171" s="151"/>
      <c r="T171" s="151"/>
      <c r="U171" s="151"/>
      <c r="V171" s="151"/>
      <c r="W171" s="2">
        <f>VLOOKUP(Table1[[#This Row],[Status]],Auxiliar!$B$16:$D$24,3,0)*Table1[[#This Row],[Estimação (horas)]]</f>
        <v>0.1</v>
      </c>
      <c r="X171" s="166">
        <f>+VLOOKUP(CONCATENATE(Table1[[#This Row],[Tabela]],Table1[[#This Row],[Campo]]),'2. Status Detalhe Campos FY24'!A:J,9,FALSE)</f>
        <v>0</v>
      </c>
    </row>
    <row r="172" spans="2:24" ht="17.850000000000001" hidden="1" customHeight="1">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1171</v>
      </c>
      <c r="L172" s="28" t="s">
        <v>1177</v>
      </c>
      <c r="M172" s="20" t="s">
        <v>1178</v>
      </c>
      <c r="N172" s="47">
        <v>45485</v>
      </c>
      <c r="O172" s="20">
        <f>INDEX(Auxiliar!$D$5:$F$13,MATCH(Table1[[#This Row],[Tipologia_Testes]],Auxiliar!$B$5:$B$13,0),MATCH(Table1[[#This Row],[Complexidade]],Auxiliar!$D$4:$F$4,0))</f>
        <v>2</v>
      </c>
      <c r="P172" s="2"/>
      <c r="Q172" s="2" t="s">
        <v>1188</v>
      </c>
      <c r="R172" s="151">
        <v>45261</v>
      </c>
      <c r="S172" s="151"/>
      <c r="T172" s="151"/>
      <c r="U172" s="151"/>
      <c r="V172" s="151"/>
      <c r="W172" s="2">
        <f>VLOOKUP(Table1[[#This Row],[Status]],Auxiliar!$B$16:$D$24,3,0)*Table1[[#This Row],[Estimação (horas)]]</f>
        <v>2</v>
      </c>
      <c r="X172" s="166">
        <f>+VLOOKUP(CONCATENATE(Table1[[#This Row],[Tabela]],Table1[[#This Row],[Campo]]),'2. Status Detalhe Campos FY24'!A:J,9,FALSE)</f>
        <v>0</v>
      </c>
    </row>
    <row r="173" spans="2:24" ht="17.850000000000001" hidden="1" customHeight="1">
      <c r="B173" s="2" t="s">
        <v>26</v>
      </c>
      <c r="C173" s="2" t="s">
        <v>54</v>
      </c>
      <c r="D173" s="2" t="s">
        <v>95</v>
      </c>
      <c r="E173" s="2" t="s">
        <v>38</v>
      </c>
      <c r="F173" s="2" t="s">
        <v>94</v>
      </c>
      <c r="G173" s="2" t="s">
        <v>117</v>
      </c>
      <c r="H173" s="56" t="str">
        <f>Table1[[#This Row],[Tabela]]&amp;Table1[[#This Row],[Campo]]</f>
        <v>PROPERTYADDRESS</v>
      </c>
      <c r="I173" s="3" t="s">
        <v>612</v>
      </c>
      <c r="J173" s="54">
        <f>VLOOKUP(Table1[[#This Row],[Status]],Auxiliar!$B$16:$C$24,2,0)</f>
        <v>1</v>
      </c>
      <c r="K173" s="2" t="s">
        <v>1172</v>
      </c>
      <c r="L173" s="28" t="s">
        <v>1177</v>
      </c>
      <c r="M173" s="20" t="s">
        <v>1178</v>
      </c>
      <c r="N173" s="47">
        <v>45485</v>
      </c>
      <c r="O173" s="20">
        <f>INDEX(Auxiliar!$D$5:$F$13,MATCH(Table1[[#This Row],[Tipologia_Testes]],Auxiliar!$B$5:$B$13,0),MATCH(Table1[[#This Row],[Complexidade]],Auxiliar!$D$4:$F$4,0))</f>
        <v>2</v>
      </c>
      <c r="P173" s="2"/>
      <c r="Q173" s="2" t="s">
        <v>1188</v>
      </c>
      <c r="R173" s="151">
        <v>45261</v>
      </c>
      <c r="S173" s="151"/>
      <c r="T173" s="151"/>
      <c r="U173" s="151"/>
      <c r="V173" s="151"/>
      <c r="W173" s="2">
        <f>VLOOKUP(Table1[[#This Row],[Status]],Auxiliar!$B$16:$D$24,3,0)*Table1[[#This Row],[Estimação (horas)]]</f>
        <v>2</v>
      </c>
      <c r="X173" s="166">
        <f>+VLOOKUP(CONCATENATE(Table1[[#This Row],[Tabela]],Table1[[#This Row],[Campo]]),'2. Status Detalhe Campos FY24'!A:J,9,FALSE)</f>
        <v>0</v>
      </c>
    </row>
    <row r="174" spans="2:24" ht="17.850000000000001" hidden="1" customHeight="1">
      <c r="B174" s="2" t="s">
        <v>26</v>
      </c>
      <c r="C174" s="2" t="s">
        <v>54</v>
      </c>
      <c r="D174" s="2" t="s">
        <v>95</v>
      </c>
      <c r="E174" s="2" t="s">
        <v>38</v>
      </c>
      <c r="F174" s="2" t="s">
        <v>94</v>
      </c>
      <c r="G174" s="2" t="s">
        <v>117</v>
      </c>
      <c r="H174" s="56" t="str">
        <f>Table1[[#This Row],[Tabela]]&amp;Table1[[#This Row],[Campo]]</f>
        <v>PROPERTYADDRESS</v>
      </c>
      <c r="I174" s="3" t="s">
        <v>612</v>
      </c>
      <c r="J174" s="54">
        <f>VLOOKUP(Table1[[#This Row],[Status]],Auxiliar!$B$16:$C$24,2,0)</f>
        <v>1</v>
      </c>
      <c r="K174" s="2" t="s">
        <v>1174</v>
      </c>
      <c r="L174" s="28" t="s">
        <v>1177</v>
      </c>
      <c r="M174" s="20" t="s">
        <v>1178</v>
      </c>
      <c r="N174" s="47">
        <v>45485</v>
      </c>
      <c r="O174" s="20">
        <f>INDEX(Auxiliar!$D$5:$F$13,MATCH(Table1[[#This Row],[Tipologia_Testes]],Auxiliar!$B$5:$B$13,0),MATCH(Table1[[#This Row],[Complexidade]],Auxiliar!$D$4:$F$4,0))</f>
        <v>0.1</v>
      </c>
      <c r="P174" s="2"/>
      <c r="Q174" s="2" t="s">
        <v>1188</v>
      </c>
      <c r="R174" s="151">
        <v>45261</v>
      </c>
      <c r="S174" s="151"/>
      <c r="T174" s="151"/>
      <c r="U174" s="151"/>
      <c r="V174" s="151"/>
      <c r="W174" s="2">
        <f>VLOOKUP(Table1[[#This Row],[Status]],Auxiliar!$B$16:$D$24,3,0)*Table1[[#This Row],[Estimação (horas)]]</f>
        <v>0.1</v>
      </c>
      <c r="X174" s="166">
        <f>+VLOOKUP(CONCATENATE(Table1[[#This Row],[Tabela]],Table1[[#This Row],[Campo]]),'2. Status Detalhe Campos FY24'!A:J,9,FALSE)</f>
        <v>0</v>
      </c>
    </row>
    <row r="175" spans="2:24" ht="17.850000000000001" hidden="1" customHeight="1">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1171</v>
      </c>
      <c r="L175" s="28" t="s">
        <v>1177</v>
      </c>
      <c r="M175" s="20" t="s">
        <v>1178</v>
      </c>
      <c r="N175" s="47">
        <v>45490</v>
      </c>
      <c r="O175" s="20">
        <f>INDEX(Auxiliar!$D$5:$F$13,MATCH(Table1[[#This Row],[Tipologia_Testes]],Auxiliar!$B$5:$B$13,0),MATCH(Table1[[#This Row],[Complexidade]],Auxiliar!$D$4:$F$4,0))</f>
        <v>2</v>
      </c>
      <c r="P175" s="2"/>
      <c r="Q175" s="2" t="s">
        <v>1188</v>
      </c>
      <c r="R175" s="151">
        <v>45261</v>
      </c>
      <c r="S175" s="151"/>
      <c r="T175" s="151"/>
      <c r="U175" s="151"/>
      <c r="V175" s="151"/>
      <c r="W175" s="2">
        <f>VLOOKUP(Table1[[#This Row],[Status]],Auxiliar!$B$16:$D$24,3,0)*Table1[[#This Row],[Estimação (horas)]]</f>
        <v>2</v>
      </c>
      <c r="X175" s="166">
        <f>+VLOOKUP(CONCATENATE(Table1[[#This Row],[Tabela]],Table1[[#This Row],[Campo]]),'2. Status Detalhe Campos FY24'!A:J,9,FALSE)</f>
        <v>0</v>
      </c>
    </row>
    <row r="176" spans="2:24" ht="17.850000000000001" hidden="1" customHeight="1">
      <c r="B176" s="2" t="s">
        <v>26</v>
      </c>
      <c r="C176" s="2" t="s">
        <v>54</v>
      </c>
      <c r="D176" s="2" t="s">
        <v>95</v>
      </c>
      <c r="E176" s="2" t="s">
        <v>38</v>
      </c>
      <c r="F176" s="2" t="s">
        <v>94</v>
      </c>
      <c r="G176" s="2" t="s">
        <v>118</v>
      </c>
      <c r="H176" s="56" t="str">
        <f>Table1[[#This Row],[Tabela]]&amp;Table1[[#This Row],[Campo]]</f>
        <v>PROPERTYPROPERTY_NUMBER</v>
      </c>
      <c r="I176" s="3" t="s">
        <v>612</v>
      </c>
      <c r="J176" s="42">
        <f>VLOOKUP(Table1[[#This Row],[Status]],Auxiliar!$B$16:$C$24,2,0)</f>
        <v>1</v>
      </c>
      <c r="K176" s="2" t="s">
        <v>1172</v>
      </c>
      <c r="L176" s="28" t="s">
        <v>1177</v>
      </c>
      <c r="M176" s="20" t="s">
        <v>1178</v>
      </c>
      <c r="N176" s="47">
        <v>45490</v>
      </c>
      <c r="O176" s="20">
        <f>INDEX(Auxiliar!$D$5:$F$13,MATCH(Table1[[#This Row],[Tipologia_Testes]],Auxiliar!$B$5:$B$13,0),MATCH(Table1[[#This Row],[Complexidade]],Auxiliar!$D$4:$F$4,0))</f>
        <v>2</v>
      </c>
      <c r="P176" s="2"/>
      <c r="Q176" s="2" t="s">
        <v>1188</v>
      </c>
      <c r="R176" s="151">
        <v>45261</v>
      </c>
      <c r="S176" s="151"/>
      <c r="T176" s="151"/>
      <c r="U176" s="151"/>
      <c r="V176" s="151"/>
      <c r="W176" s="2">
        <f>VLOOKUP(Table1[[#This Row],[Status]],Auxiliar!$B$16:$D$24,3,0)*Table1[[#This Row],[Estimação (horas)]]</f>
        <v>2</v>
      </c>
      <c r="X176" s="166">
        <f>+VLOOKUP(CONCATENATE(Table1[[#This Row],[Tabela]],Table1[[#This Row],[Campo]]),'2. Status Detalhe Campos FY24'!A:J,9,FALSE)</f>
        <v>0</v>
      </c>
    </row>
    <row r="177" spans="2:24" ht="17.850000000000001" hidden="1" customHeight="1">
      <c r="B177" s="2" t="s">
        <v>26</v>
      </c>
      <c r="C177" s="2" t="s">
        <v>54</v>
      </c>
      <c r="D177" s="2" t="s">
        <v>95</v>
      </c>
      <c r="E177" s="2" t="s">
        <v>38</v>
      </c>
      <c r="F177" s="2" t="s">
        <v>94</v>
      </c>
      <c r="G177" s="2" t="s">
        <v>118</v>
      </c>
      <c r="H177" s="56" t="str">
        <f>Table1[[#This Row],[Tabela]]&amp;Table1[[#This Row],[Campo]]</f>
        <v>PROPERTYPROPERTY_NUMBER</v>
      </c>
      <c r="I177" s="3" t="s">
        <v>612</v>
      </c>
      <c r="J177" s="42">
        <f>VLOOKUP(Table1[[#This Row],[Status]],Auxiliar!$B$16:$C$24,2,0)</f>
        <v>1</v>
      </c>
      <c r="K177" s="2" t="s">
        <v>1174</v>
      </c>
      <c r="L177" s="28" t="s">
        <v>1177</v>
      </c>
      <c r="M177" s="20" t="s">
        <v>1178</v>
      </c>
      <c r="N177" s="47">
        <v>45490</v>
      </c>
      <c r="O177" s="20">
        <f>INDEX(Auxiliar!$D$5:$F$13,MATCH(Table1[[#This Row],[Tipologia_Testes]],Auxiliar!$B$5:$B$13,0),MATCH(Table1[[#This Row],[Complexidade]],Auxiliar!$D$4:$F$4,0))</f>
        <v>0.1</v>
      </c>
      <c r="P177" s="2"/>
      <c r="Q177" s="2" t="s">
        <v>1188</v>
      </c>
      <c r="R177" s="151">
        <v>45261</v>
      </c>
      <c r="S177" s="151"/>
      <c r="T177" s="151"/>
      <c r="U177" s="151"/>
      <c r="V177" s="151"/>
      <c r="W177" s="2">
        <f>VLOOKUP(Table1[[#This Row],[Status]],Auxiliar!$B$16:$D$24,3,0)*Table1[[#This Row],[Estimação (horas)]]</f>
        <v>0.1</v>
      </c>
      <c r="X177" s="166">
        <f>+VLOOKUP(CONCATENATE(Table1[[#This Row],[Tabela]],Table1[[#This Row],[Campo]]),'2. Status Detalhe Campos FY24'!A:J,9,FALSE)</f>
        <v>0</v>
      </c>
    </row>
    <row r="178" spans="2:24" ht="17.850000000000001" hidden="1" customHeight="1">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1171</v>
      </c>
      <c r="L178" s="28" t="s">
        <v>1177</v>
      </c>
      <c r="M178" s="20" t="s">
        <v>1178</v>
      </c>
      <c r="N178" s="47">
        <v>45512</v>
      </c>
      <c r="O178" s="20">
        <f>INDEX(Auxiliar!$D$5:$F$13,MATCH(Table1[[#This Row],[Tipologia_Testes]],Auxiliar!$B$5:$B$13,0),MATCH(Table1[[#This Row],[Complexidade]],Auxiliar!$D$4:$F$4,0))</f>
        <v>2</v>
      </c>
      <c r="P178" s="2"/>
      <c r="Q178" s="2" t="s">
        <v>1188</v>
      </c>
      <c r="R178" s="151">
        <v>45261</v>
      </c>
      <c r="S178" s="151"/>
      <c r="T178" s="151"/>
      <c r="U178" s="151"/>
      <c r="V178" s="151"/>
      <c r="W178" s="2">
        <f>VLOOKUP(Table1[[#This Row],[Status]],Auxiliar!$B$16:$D$24,3,0)*Table1[[#This Row],[Estimação (horas)]]</f>
        <v>0</v>
      </c>
      <c r="X178" s="166">
        <f>+VLOOKUP(CONCATENATE(Table1[[#This Row],[Tabela]],Table1[[#This Row],[Campo]]),'2. Status Detalhe Campos FY24'!A:J,9,FALSE)</f>
        <v>0</v>
      </c>
    </row>
    <row r="179" spans="2:24" ht="17.850000000000001" hidden="1" customHeight="1">
      <c r="B179" s="2" t="s">
        <v>26</v>
      </c>
      <c r="C179" s="2" t="s">
        <v>54</v>
      </c>
      <c r="D179" s="2" t="s">
        <v>95</v>
      </c>
      <c r="E179" s="2" t="s">
        <v>38</v>
      </c>
      <c r="F179" s="2" t="s">
        <v>94</v>
      </c>
      <c r="G179" s="2" t="s">
        <v>72</v>
      </c>
      <c r="H179" s="56" t="str">
        <f>Table1[[#This Row],[Tabela]]&amp;Table1[[#This Row],[Campo]]</f>
        <v>PROPERTYorigem</v>
      </c>
      <c r="I179" s="2" t="s">
        <v>611</v>
      </c>
      <c r="J179" s="54">
        <f>VLOOKUP(Table1[[#This Row],[Status]],Auxiliar!$B$16:$C$24,2,0)</f>
        <v>0</v>
      </c>
      <c r="K179" s="2" t="s">
        <v>1172</v>
      </c>
      <c r="L179" s="28" t="s">
        <v>1177</v>
      </c>
      <c r="M179" s="20" t="s">
        <v>1178</v>
      </c>
      <c r="N179" s="47">
        <v>45512</v>
      </c>
      <c r="O179" s="20">
        <f>INDEX(Auxiliar!$D$5:$F$13,MATCH(Table1[[#This Row],[Tipologia_Testes]],Auxiliar!$B$5:$B$13,0),MATCH(Table1[[#This Row],[Complexidade]],Auxiliar!$D$4:$F$4,0))</f>
        <v>2</v>
      </c>
      <c r="P179" s="2"/>
      <c r="Q179" s="2" t="s">
        <v>1188</v>
      </c>
      <c r="R179" s="151">
        <v>45261</v>
      </c>
      <c r="S179" s="151"/>
      <c r="T179" s="151"/>
      <c r="U179" s="151"/>
      <c r="V179" s="151"/>
      <c r="W179" s="2">
        <f>VLOOKUP(Table1[[#This Row],[Status]],Auxiliar!$B$16:$D$24,3,0)*Table1[[#This Row],[Estimação (horas)]]</f>
        <v>0</v>
      </c>
      <c r="X179" s="166">
        <f>+VLOOKUP(CONCATENATE(Table1[[#This Row],[Tabela]],Table1[[#This Row],[Campo]]),'2. Status Detalhe Campos FY24'!A:J,9,FALSE)</f>
        <v>0</v>
      </c>
    </row>
    <row r="180" spans="2:24" ht="17.850000000000001" hidden="1" customHeight="1">
      <c r="B180" s="2" t="s">
        <v>26</v>
      </c>
      <c r="C180" s="2" t="s">
        <v>54</v>
      </c>
      <c r="D180" s="2" t="s">
        <v>95</v>
      </c>
      <c r="E180" s="2" t="s">
        <v>38</v>
      </c>
      <c r="F180" s="2" t="s">
        <v>94</v>
      </c>
      <c r="G180" s="2" t="s">
        <v>72</v>
      </c>
      <c r="H180" s="56" t="str">
        <f>Table1[[#This Row],[Tabela]]&amp;Table1[[#This Row],[Campo]]</f>
        <v>PROPERTYorigem</v>
      </c>
      <c r="I180" s="2" t="s">
        <v>611</v>
      </c>
      <c r="J180" s="54">
        <f>VLOOKUP(Table1[[#This Row],[Status]],Auxiliar!$B$16:$C$24,2,0)</f>
        <v>0</v>
      </c>
      <c r="K180" s="2" t="s">
        <v>1174</v>
      </c>
      <c r="L180" s="28" t="s">
        <v>1177</v>
      </c>
      <c r="M180" s="20" t="s">
        <v>1178</v>
      </c>
      <c r="N180" s="47">
        <v>45512</v>
      </c>
      <c r="O180" s="20">
        <f>INDEX(Auxiliar!$D$5:$F$13,MATCH(Table1[[#This Row],[Tipologia_Testes]],Auxiliar!$B$5:$B$13,0),MATCH(Table1[[#This Row],[Complexidade]],Auxiliar!$D$4:$F$4,0))</f>
        <v>0.1</v>
      </c>
      <c r="P180" s="2"/>
      <c r="Q180" s="2" t="s">
        <v>1188</v>
      </c>
      <c r="R180" s="151">
        <v>45261</v>
      </c>
      <c r="S180" s="151"/>
      <c r="T180" s="151"/>
      <c r="U180" s="151"/>
      <c r="V180" s="151"/>
      <c r="W180" s="2">
        <f>VLOOKUP(Table1[[#This Row],[Status]],Auxiliar!$B$16:$D$24,3,0)*Table1[[#This Row],[Estimação (horas)]]</f>
        <v>0</v>
      </c>
      <c r="X180" s="166">
        <f>+VLOOKUP(CONCATENATE(Table1[[#This Row],[Tabela]],Table1[[#This Row],[Campo]]),'2. Status Detalhe Campos FY24'!A:J,9,FALSE)</f>
        <v>0</v>
      </c>
    </row>
    <row r="181" spans="2:24" ht="17.850000000000001" hidden="1" customHeight="1">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1171</v>
      </c>
      <c r="L181" s="28" t="s">
        <v>1169</v>
      </c>
      <c r="M181" s="20" t="s">
        <v>1179</v>
      </c>
      <c r="N181" s="47">
        <v>45505</v>
      </c>
      <c r="O181" s="20">
        <f>INDEX(Auxiliar!$D$5:$F$13,MATCH(Table1[[#This Row],[Tipologia_Testes]],Auxiliar!$B$5:$B$13,0),MATCH(Table1[[#This Row],[Complexidade]],Auxiliar!$D$4:$F$4,0))</f>
        <v>4</v>
      </c>
      <c r="P181" s="2" t="s">
        <v>1180</v>
      </c>
      <c r="Q181" s="2" t="s">
        <v>1188</v>
      </c>
      <c r="R181" s="151">
        <v>45261</v>
      </c>
      <c r="S181" s="151"/>
      <c r="T181" s="151">
        <v>45491</v>
      </c>
      <c r="U181" s="151">
        <v>45495</v>
      </c>
      <c r="V181" s="151">
        <v>45495</v>
      </c>
      <c r="W181" s="2">
        <f>VLOOKUP(Table1[[#This Row],[Status]],Auxiliar!$B$16:$D$24,3,0)*Table1[[#This Row],[Estimação (horas)]]</f>
        <v>4</v>
      </c>
      <c r="X181" s="166">
        <f>+VLOOKUP(CONCATENATE(Table1[[#This Row],[Tabela]],Table1[[#This Row],[Campo]]),'2. Status Detalhe Campos FY24'!A:J,9,FALSE)</f>
        <v>0</v>
      </c>
    </row>
    <row r="182" spans="2:24" ht="17.850000000000001" hidden="1" customHeight="1">
      <c r="B182" s="2" t="s">
        <v>26</v>
      </c>
      <c r="C182" s="2" t="s">
        <v>54</v>
      </c>
      <c r="D182" s="2" t="s">
        <v>95</v>
      </c>
      <c r="E182" s="2" t="s">
        <v>38</v>
      </c>
      <c r="F182" s="2" t="s">
        <v>94</v>
      </c>
      <c r="G182" s="2" t="s">
        <v>120</v>
      </c>
      <c r="H182" s="56" t="str">
        <f>Table1[[#This Row],[Tabela]]&amp;Table1[[#This Row],[Campo]]</f>
        <v>PROPERTYCURRENT_CONSTRUCTION_PCT</v>
      </c>
      <c r="I182" s="115" t="s">
        <v>612</v>
      </c>
      <c r="J182" s="42">
        <f>VLOOKUP(Table1[[#This Row],[Status]],Auxiliar!$B$16:$C$24,2,0)</f>
        <v>1</v>
      </c>
      <c r="K182" s="2" t="s">
        <v>1172</v>
      </c>
      <c r="L182" s="28" t="s">
        <v>1169</v>
      </c>
      <c r="M182" s="20" t="s">
        <v>1179</v>
      </c>
      <c r="N182" s="47">
        <v>45505</v>
      </c>
      <c r="O182" s="20">
        <f>INDEX(Auxiliar!$D$5:$F$13,MATCH(Table1[[#This Row],[Tipologia_Testes]],Auxiliar!$B$5:$B$13,0),MATCH(Table1[[#This Row],[Complexidade]],Auxiliar!$D$4:$F$4,0))</f>
        <v>4</v>
      </c>
      <c r="P182" s="2" t="s">
        <v>1180</v>
      </c>
      <c r="Q182" s="2" t="s">
        <v>1188</v>
      </c>
      <c r="R182" s="151">
        <v>45261</v>
      </c>
      <c r="S182" s="151"/>
      <c r="T182" s="151">
        <v>45491</v>
      </c>
      <c r="U182" s="151">
        <v>45495</v>
      </c>
      <c r="V182" s="151">
        <v>45495</v>
      </c>
      <c r="W182" s="2">
        <f>VLOOKUP(Table1[[#This Row],[Status]],Auxiliar!$B$16:$D$24,3,0)*Table1[[#This Row],[Estimação (horas)]]</f>
        <v>4</v>
      </c>
      <c r="X182" s="166">
        <f>+VLOOKUP(CONCATENATE(Table1[[#This Row],[Tabela]],Table1[[#This Row],[Campo]]),'2. Status Detalhe Campos FY24'!A:J,9,FALSE)</f>
        <v>0</v>
      </c>
    </row>
    <row r="183" spans="2:24" ht="17.850000000000001" hidden="1" customHeight="1">
      <c r="B183" s="2" t="s">
        <v>26</v>
      </c>
      <c r="C183" s="2" t="s">
        <v>54</v>
      </c>
      <c r="D183" s="2" t="s">
        <v>95</v>
      </c>
      <c r="E183" s="2" t="s">
        <v>38</v>
      </c>
      <c r="F183" s="2" t="s">
        <v>94</v>
      </c>
      <c r="G183" s="2" t="s">
        <v>120</v>
      </c>
      <c r="H183" s="56" t="str">
        <f>Table1[[#This Row],[Tabela]]&amp;Table1[[#This Row],[Campo]]</f>
        <v>PROPERTYCURRENT_CONSTRUCTION_PCT</v>
      </c>
      <c r="I183" s="115" t="s">
        <v>612</v>
      </c>
      <c r="J183" s="42">
        <f>VLOOKUP(Table1[[#This Row],[Status]],Auxiliar!$B$16:$C$24,2,0)</f>
        <v>1</v>
      </c>
      <c r="K183" s="2" t="s">
        <v>1174</v>
      </c>
      <c r="L183" s="28" t="s">
        <v>1169</v>
      </c>
      <c r="M183" s="20" t="s">
        <v>1179</v>
      </c>
      <c r="N183" s="47">
        <v>45505</v>
      </c>
      <c r="O183" s="20">
        <f>INDEX(Auxiliar!$D$5:$F$13,MATCH(Table1[[#This Row],[Tipologia_Testes]],Auxiliar!$B$5:$B$13,0),MATCH(Table1[[#This Row],[Complexidade]],Auxiliar!$D$4:$F$4,0))</f>
        <v>0.1</v>
      </c>
      <c r="P183" s="2" t="s">
        <v>1180</v>
      </c>
      <c r="Q183" s="2" t="s">
        <v>1188</v>
      </c>
      <c r="R183" s="151">
        <v>45261</v>
      </c>
      <c r="S183" s="151"/>
      <c r="T183" s="151">
        <v>45491</v>
      </c>
      <c r="U183" s="151">
        <v>45495</v>
      </c>
      <c r="V183" s="151">
        <v>45495</v>
      </c>
      <c r="W183" s="2">
        <f>VLOOKUP(Table1[[#This Row],[Status]],Auxiliar!$B$16:$D$24,3,0)*Table1[[#This Row],[Estimação (horas)]]</f>
        <v>0.1</v>
      </c>
      <c r="X183" s="166">
        <f>+VLOOKUP(CONCATENATE(Table1[[#This Row],[Tabela]],Table1[[#This Row],[Campo]]),'2. Status Detalhe Campos FY24'!A:J,9,FALSE)</f>
        <v>0</v>
      </c>
    </row>
    <row r="184" spans="2:24" ht="17.850000000000001" hidden="1" customHeight="1">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1171</v>
      </c>
      <c r="L184" s="28" t="s">
        <v>1169</v>
      </c>
      <c r="M184" s="20" t="s">
        <v>1179</v>
      </c>
      <c r="N184" s="47">
        <v>45505</v>
      </c>
      <c r="O184" s="20">
        <f>INDEX(Auxiliar!$D$5:$F$13,MATCH(Table1[[#This Row],[Tipologia_Testes]],Auxiliar!$B$5:$B$13,0),MATCH(Table1[[#This Row],[Complexidade]],Auxiliar!$D$4:$F$4,0))</f>
        <v>4</v>
      </c>
      <c r="P184" s="2" t="s">
        <v>1180</v>
      </c>
      <c r="Q184" s="2" t="s">
        <v>1188</v>
      </c>
      <c r="R184" s="151">
        <v>45261</v>
      </c>
      <c r="S184" s="151"/>
      <c r="T184" s="151">
        <v>45491</v>
      </c>
      <c r="U184" s="151">
        <v>45495</v>
      </c>
      <c r="V184" s="151">
        <v>45495</v>
      </c>
      <c r="W184" s="2">
        <f>VLOOKUP(Table1[[#This Row],[Status]],Auxiliar!$B$16:$D$24,3,0)*Table1[[#This Row],[Estimação (horas)]]</f>
        <v>4</v>
      </c>
      <c r="X184" s="166">
        <f>+VLOOKUP(CONCATENATE(Table1[[#This Row],[Tabela]],Table1[[#This Row],[Campo]]),'2. Status Detalhe Campos FY24'!A:J,9,FALSE)</f>
        <v>0</v>
      </c>
    </row>
    <row r="185" spans="2:24" ht="17.850000000000001" hidden="1" customHeight="1">
      <c r="B185" s="2" t="s">
        <v>26</v>
      </c>
      <c r="C185" s="2" t="s">
        <v>54</v>
      </c>
      <c r="D185" s="2" t="s">
        <v>95</v>
      </c>
      <c r="E185" s="2" t="s">
        <v>38</v>
      </c>
      <c r="F185" s="2" t="s">
        <v>94</v>
      </c>
      <c r="G185" s="2" t="s">
        <v>121</v>
      </c>
      <c r="H185" s="56" t="str">
        <f>Table1[[#This Row],[Tabela]]&amp;Table1[[#This Row],[Campo]]</f>
        <v>PROPERTYCONSTRUCTION_COMPLETED_PCT</v>
      </c>
      <c r="I185" s="3" t="s">
        <v>612</v>
      </c>
      <c r="J185" s="42">
        <f>VLOOKUP(Table1[[#This Row],[Status]],Auxiliar!$B$16:$C$24,2,0)</f>
        <v>1</v>
      </c>
      <c r="K185" s="2" t="s">
        <v>1172</v>
      </c>
      <c r="L185" s="28" t="s">
        <v>1169</v>
      </c>
      <c r="M185" s="20" t="s">
        <v>1179</v>
      </c>
      <c r="N185" s="47">
        <v>45505</v>
      </c>
      <c r="O185" s="20">
        <f>INDEX(Auxiliar!$D$5:$F$13,MATCH(Table1[[#This Row],[Tipologia_Testes]],Auxiliar!$B$5:$B$13,0),MATCH(Table1[[#This Row],[Complexidade]],Auxiliar!$D$4:$F$4,0))</f>
        <v>4</v>
      </c>
      <c r="P185" s="2" t="s">
        <v>1180</v>
      </c>
      <c r="Q185" s="2" t="s">
        <v>1188</v>
      </c>
      <c r="R185" s="151">
        <v>45261</v>
      </c>
      <c r="S185" s="151"/>
      <c r="T185" s="151">
        <v>45491</v>
      </c>
      <c r="U185" s="151">
        <v>45495</v>
      </c>
      <c r="V185" s="151">
        <v>45495</v>
      </c>
      <c r="W185" s="2">
        <f>VLOOKUP(Table1[[#This Row],[Status]],Auxiliar!$B$16:$D$24,3,0)*Table1[[#This Row],[Estimação (horas)]]</f>
        <v>4</v>
      </c>
      <c r="X185" s="166">
        <f>+VLOOKUP(CONCATENATE(Table1[[#This Row],[Tabela]],Table1[[#This Row],[Campo]]),'2. Status Detalhe Campos FY24'!A:J,9,FALSE)</f>
        <v>0</v>
      </c>
    </row>
    <row r="186" spans="2:24" ht="17.850000000000001" hidden="1" customHeight="1">
      <c r="B186" s="2" t="s">
        <v>26</v>
      </c>
      <c r="C186" s="2" t="s">
        <v>54</v>
      </c>
      <c r="D186" s="2" t="s">
        <v>95</v>
      </c>
      <c r="E186" s="2" t="s">
        <v>38</v>
      </c>
      <c r="F186" s="2" t="s">
        <v>94</v>
      </c>
      <c r="G186" s="2" t="s">
        <v>121</v>
      </c>
      <c r="H186" s="56" t="str">
        <f>Table1[[#This Row],[Tabela]]&amp;Table1[[#This Row],[Campo]]</f>
        <v>PROPERTYCONSTRUCTION_COMPLETED_PCT</v>
      </c>
      <c r="I186" s="3" t="s">
        <v>612</v>
      </c>
      <c r="J186" s="42">
        <f>VLOOKUP(Table1[[#This Row],[Status]],Auxiliar!$B$16:$C$24,2,0)</f>
        <v>1</v>
      </c>
      <c r="K186" s="2" t="s">
        <v>1174</v>
      </c>
      <c r="L186" s="28" t="s">
        <v>1169</v>
      </c>
      <c r="M186" s="20" t="s">
        <v>1179</v>
      </c>
      <c r="N186" s="47">
        <v>45505</v>
      </c>
      <c r="O186" s="20">
        <f>INDEX(Auxiliar!$D$5:$F$13,MATCH(Table1[[#This Row],[Tipologia_Testes]],Auxiliar!$B$5:$B$13,0),MATCH(Table1[[#This Row],[Complexidade]],Auxiliar!$D$4:$F$4,0))</f>
        <v>0.1</v>
      </c>
      <c r="P186" s="2" t="s">
        <v>1180</v>
      </c>
      <c r="Q186" s="2" t="s">
        <v>1188</v>
      </c>
      <c r="R186" s="151">
        <v>45261</v>
      </c>
      <c r="S186" s="151"/>
      <c r="T186" s="151">
        <v>45491</v>
      </c>
      <c r="U186" s="151">
        <v>45495</v>
      </c>
      <c r="V186" s="151">
        <v>45495</v>
      </c>
      <c r="W186" s="2">
        <f>VLOOKUP(Table1[[#This Row],[Status]],Auxiliar!$B$16:$D$24,3,0)*Table1[[#This Row],[Estimação (horas)]]</f>
        <v>0.1</v>
      </c>
      <c r="X186" s="166">
        <f>+VLOOKUP(CONCATENATE(Table1[[#This Row],[Tabela]],Table1[[#This Row],[Campo]]),'2. Status Detalhe Campos FY24'!A:J,9,FALSE)</f>
        <v>0</v>
      </c>
    </row>
    <row r="187" spans="2:24" ht="17.850000000000001" hidden="1" customHeight="1">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1171</v>
      </c>
      <c r="L187" s="28" t="s">
        <v>1177</v>
      </c>
      <c r="M187" s="20" t="s">
        <v>1178</v>
      </c>
      <c r="N187" s="47">
        <v>45485</v>
      </c>
      <c r="O187" s="20">
        <f>INDEX(Auxiliar!$D$5:$F$13,MATCH(Table1[[#This Row],[Tipologia_Testes]],Auxiliar!$B$5:$B$13,0),MATCH(Table1[[#This Row],[Complexidade]],Auxiliar!$D$4:$F$4,0))</f>
        <v>2</v>
      </c>
      <c r="P187" s="2"/>
      <c r="Q187" s="2" t="s">
        <v>1188</v>
      </c>
      <c r="R187" s="151">
        <v>45261</v>
      </c>
      <c r="S187" s="151"/>
      <c r="T187" s="151"/>
      <c r="U187" s="151"/>
      <c r="V187" s="151"/>
      <c r="W187" s="2">
        <f>VLOOKUP(Table1[[#This Row],[Status]],Auxiliar!$B$16:$D$24,3,0)*Table1[[#This Row],[Estimação (horas)]]</f>
        <v>2</v>
      </c>
      <c r="X187" s="166">
        <f>+VLOOKUP(CONCATENATE(Table1[[#This Row],[Tabela]],Table1[[#This Row],[Campo]]),'2. Status Detalhe Campos FY24'!A:J,9,FALSE)</f>
        <v>0</v>
      </c>
    </row>
    <row r="188" spans="2:24" ht="17.850000000000001" hidden="1" customHeight="1">
      <c r="B188" s="2" t="s">
        <v>26</v>
      </c>
      <c r="C188" s="2" t="s">
        <v>54</v>
      </c>
      <c r="D188" s="2" t="s">
        <v>95</v>
      </c>
      <c r="E188" s="2" t="s">
        <v>38</v>
      </c>
      <c r="F188" s="2" t="s">
        <v>94</v>
      </c>
      <c r="G188" s="2" t="s">
        <v>73</v>
      </c>
      <c r="H188" s="56" t="str">
        <f>Table1[[#This Row],[Tabela]]&amp;Table1[[#This Row],[Campo]]</f>
        <v>PROPERTYDATA_DATE_PART</v>
      </c>
      <c r="I188" s="3" t="s">
        <v>612</v>
      </c>
      <c r="J188" s="54">
        <f>VLOOKUP(Table1[[#This Row],[Status]],Auxiliar!$B$16:$C$24,2,0)</f>
        <v>1</v>
      </c>
      <c r="K188" s="2" t="s">
        <v>1172</v>
      </c>
      <c r="L188" s="28" t="s">
        <v>1177</v>
      </c>
      <c r="M188" s="20" t="s">
        <v>1178</v>
      </c>
      <c r="N188" s="47">
        <v>45485</v>
      </c>
      <c r="O188" s="20">
        <f>INDEX(Auxiliar!$D$5:$F$13,MATCH(Table1[[#This Row],[Tipologia_Testes]],Auxiliar!$B$5:$B$13,0),MATCH(Table1[[#This Row],[Complexidade]],Auxiliar!$D$4:$F$4,0))</f>
        <v>2</v>
      </c>
      <c r="P188" s="2"/>
      <c r="Q188" s="2" t="s">
        <v>1188</v>
      </c>
      <c r="R188" s="151">
        <v>45261</v>
      </c>
      <c r="S188" s="151"/>
      <c r="T188" s="151"/>
      <c r="U188" s="151"/>
      <c r="V188" s="151"/>
      <c r="W188" s="2">
        <f>VLOOKUP(Table1[[#This Row],[Status]],Auxiliar!$B$16:$D$24,3,0)*Table1[[#This Row],[Estimação (horas)]]</f>
        <v>2</v>
      </c>
      <c r="X188" s="166">
        <f>+VLOOKUP(CONCATENATE(Table1[[#This Row],[Tabela]],Table1[[#This Row],[Campo]]),'2. Status Detalhe Campos FY24'!A:J,9,FALSE)</f>
        <v>0</v>
      </c>
    </row>
    <row r="189" spans="2:24" ht="17.850000000000001" hidden="1" customHeight="1">
      <c r="B189" s="2" t="s">
        <v>26</v>
      </c>
      <c r="C189" s="2" t="s">
        <v>54</v>
      </c>
      <c r="D189" s="2" t="s">
        <v>95</v>
      </c>
      <c r="E189" s="2" t="s">
        <v>38</v>
      </c>
      <c r="F189" s="2" t="s">
        <v>94</v>
      </c>
      <c r="G189" s="2" t="s">
        <v>73</v>
      </c>
      <c r="H189" s="56" t="str">
        <f>Table1[[#This Row],[Tabela]]&amp;Table1[[#This Row],[Campo]]</f>
        <v>PROPERTYDATA_DATE_PART</v>
      </c>
      <c r="I189" s="3" t="s">
        <v>612</v>
      </c>
      <c r="J189" s="54">
        <f>VLOOKUP(Table1[[#This Row],[Status]],Auxiliar!$B$16:$C$24,2,0)</f>
        <v>1</v>
      </c>
      <c r="K189" s="2" t="s">
        <v>1174</v>
      </c>
      <c r="L189" s="28" t="s">
        <v>1177</v>
      </c>
      <c r="M189" s="20" t="s">
        <v>1178</v>
      </c>
      <c r="N189" s="47">
        <v>45485</v>
      </c>
      <c r="O189" s="20">
        <f>INDEX(Auxiliar!$D$5:$F$13,MATCH(Table1[[#This Row],[Tipologia_Testes]],Auxiliar!$B$5:$B$13,0),MATCH(Table1[[#This Row],[Complexidade]],Auxiliar!$D$4:$F$4,0))</f>
        <v>0.1</v>
      </c>
      <c r="P189" s="2"/>
      <c r="Q189" s="2" t="s">
        <v>1188</v>
      </c>
      <c r="R189" s="151">
        <v>45261</v>
      </c>
      <c r="S189" s="151"/>
      <c r="T189" s="151"/>
      <c r="U189" s="151"/>
      <c r="V189" s="151"/>
      <c r="W189" s="2">
        <f>VLOOKUP(Table1[[#This Row],[Status]],Auxiliar!$B$16:$D$24,3,0)*Table1[[#This Row],[Estimação (horas)]]</f>
        <v>0.1</v>
      </c>
      <c r="X189" s="166">
        <f>+VLOOKUP(CONCATENATE(Table1[[#This Row],[Tabela]],Table1[[#This Row],[Campo]]),'2. Status Detalhe Campos FY24'!A:J,9,FALSE)</f>
        <v>0</v>
      </c>
    </row>
    <row r="190" spans="2:24" ht="17.850000000000001" hidden="1" customHeight="1">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1171</v>
      </c>
      <c r="L190" s="28" t="s">
        <v>1177</v>
      </c>
      <c r="M190" s="20" t="s">
        <v>1178</v>
      </c>
      <c r="N190" s="47">
        <v>45490</v>
      </c>
      <c r="O190" s="20">
        <f>INDEX(Auxiliar!$D$5:$F$13,MATCH(Table1[[#This Row],[Tipologia_Testes]],Auxiliar!$B$5:$B$13,0),MATCH(Table1[[#This Row],[Complexidade]],Auxiliar!$D$4:$F$4,0))</f>
        <v>2</v>
      </c>
      <c r="P190" s="2"/>
      <c r="Q190" s="2" t="s">
        <v>1188</v>
      </c>
      <c r="R190" s="151">
        <v>45261</v>
      </c>
      <c r="S190" s="151"/>
      <c r="T190" s="151"/>
      <c r="U190" s="151"/>
      <c r="V190" s="151"/>
      <c r="W190" s="2">
        <f>VLOOKUP(Table1[[#This Row],[Status]],Auxiliar!$B$16:$D$24,3,0)*Table1[[#This Row],[Estimação (horas)]]</f>
        <v>2</v>
      </c>
      <c r="X190" s="166">
        <f>+VLOOKUP(CONCATENATE(Table1[[#This Row],[Tabela]],Table1[[#This Row],[Campo]]),'2. Status Detalhe Campos FY24'!A:J,9,FALSE)</f>
        <v>0</v>
      </c>
    </row>
    <row r="191" spans="2:24" ht="17.850000000000001" hidden="1" customHeight="1">
      <c r="B191" s="2" t="s">
        <v>26</v>
      </c>
      <c r="C191" s="2" t="s">
        <v>54</v>
      </c>
      <c r="D191" s="2" t="s">
        <v>95</v>
      </c>
      <c r="E191" s="2" t="s">
        <v>38</v>
      </c>
      <c r="F191" s="2" t="s">
        <v>94</v>
      </c>
      <c r="G191" s="2" t="s">
        <v>122</v>
      </c>
      <c r="H191" s="56" t="str">
        <f>Table1[[#This Row],[Tabela]]&amp;Table1[[#This Row],[Campo]]</f>
        <v>PROPERTYURBANIZATION</v>
      </c>
      <c r="I191" s="3" t="s">
        <v>612</v>
      </c>
      <c r="J191" s="42">
        <f>VLOOKUP(Table1[[#This Row],[Status]],Auxiliar!$B$16:$C$24,2,0)</f>
        <v>1</v>
      </c>
      <c r="K191" s="2" t="s">
        <v>1172</v>
      </c>
      <c r="L191" s="28" t="s">
        <v>1177</v>
      </c>
      <c r="M191" s="20" t="s">
        <v>1178</v>
      </c>
      <c r="N191" s="47">
        <v>45490</v>
      </c>
      <c r="O191" s="20">
        <f>INDEX(Auxiliar!$D$5:$F$13,MATCH(Table1[[#This Row],[Tipologia_Testes]],Auxiliar!$B$5:$B$13,0),MATCH(Table1[[#This Row],[Complexidade]],Auxiliar!$D$4:$F$4,0))</f>
        <v>2</v>
      </c>
      <c r="P191" s="2"/>
      <c r="Q191" s="2" t="s">
        <v>1188</v>
      </c>
      <c r="R191" s="151">
        <v>45261</v>
      </c>
      <c r="S191" s="151"/>
      <c r="T191" s="151"/>
      <c r="U191" s="151"/>
      <c r="V191" s="151"/>
      <c r="W191" s="2">
        <f>VLOOKUP(Table1[[#This Row],[Status]],Auxiliar!$B$16:$D$24,3,0)*Table1[[#This Row],[Estimação (horas)]]</f>
        <v>2</v>
      </c>
      <c r="X191" s="166">
        <f>+VLOOKUP(CONCATENATE(Table1[[#This Row],[Tabela]],Table1[[#This Row],[Campo]]),'2. Status Detalhe Campos FY24'!A:J,9,FALSE)</f>
        <v>0</v>
      </c>
    </row>
    <row r="192" spans="2:24" ht="17.850000000000001" hidden="1" customHeight="1">
      <c r="B192" s="2" t="s">
        <v>26</v>
      </c>
      <c r="C192" s="2" t="s">
        <v>54</v>
      </c>
      <c r="D192" s="2" t="s">
        <v>95</v>
      </c>
      <c r="E192" s="2" t="s">
        <v>38</v>
      </c>
      <c r="F192" s="2" t="s">
        <v>94</v>
      </c>
      <c r="G192" s="2" t="s">
        <v>122</v>
      </c>
      <c r="H192" s="56" t="str">
        <f>Table1[[#This Row],[Tabela]]&amp;Table1[[#This Row],[Campo]]</f>
        <v>PROPERTYURBANIZATION</v>
      </c>
      <c r="I192" s="3" t="s">
        <v>612</v>
      </c>
      <c r="J192" s="42">
        <f>VLOOKUP(Table1[[#This Row],[Status]],Auxiliar!$B$16:$C$24,2,0)</f>
        <v>1</v>
      </c>
      <c r="K192" s="2" t="s">
        <v>1174</v>
      </c>
      <c r="L192" s="28" t="s">
        <v>1177</v>
      </c>
      <c r="M192" s="20" t="s">
        <v>1178</v>
      </c>
      <c r="N192" s="47">
        <v>45490</v>
      </c>
      <c r="O192" s="20">
        <f>INDEX(Auxiliar!$D$5:$F$13,MATCH(Table1[[#This Row],[Tipologia_Testes]],Auxiliar!$B$5:$B$13,0),MATCH(Table1[[#This Row],[Complexidade]],Auxiliar!$D$4:$F$4,0))</f>
        <v>0.1</v>
      </c>
      <c r="P192" s="2"/>
      <c r="Q192" s="2" t="s">
        <v>1188</v>
      </c>
      <c r="R192" s="151">
        <v>45261</v>
      </c>
      <c r="S192" s="151"/>
      <c r="T192" s="151"/>
      <c r="U192" s="151"/>
      <c r="V192" s="151"/>
      <c r="W192" s="2">
        <f>VLOOKUP(Table1[[#This Row],[Status]],Auxiliar!$B$16:$D$24,3,0)*Table1[[#This Row],[Estimação (horas)]]</f>
        <v>0.1</v>
      </c>
      <c r="X192" s="166">
        <f>+VLOOKUP(CONCATENATE(Table1[[#This Row],[Tabela]],Table1[[#This Row],[Campo]]),'2. Status Detalhe Campos FY24'!A:J,9,FALSE)</f>
        <v>0</v>
      </c>
    </row>
    <row r="193" spans="2:24" ht="17.850000000000001" hidden="1" customHeight="1">
      <c r="B193" s="2" t="s">
        <v>26</v>
      </c>
      <c r="C193" s="2" t="s">
        <v>54</v>
      </c>
      <c r="D193" s="2" t="s">
        <v>95</v>
      </c>
      <c r="E193" s="2" t="s">
        <v>38</v>
      </c>
      <c r="F193" s="2" t="s">
        <v>94</v>
      </c>
      <c r="G193" s="2" t="s">
        <v>2167</v>
      </c>
      <c r="H193" s="56" t="str">
        <f>Table1[[#This Row],[Tabela]]&amp;Table1[[#This Row],[Campo]]</f>
        <v>PROPERTYPROPERTY_CODE</v>
      </c>
      <c r="I193" s="2" t="s">
        <v>612</v>
      </c>
      <c r="J193" s="42">
        <f>VLOOKUP(Table1[[#This Row],[Status]],Auxiliar!$B$16:$C$24,2,0)</f>
        <v>1</v>
      </c>
      <c r="K193" s="2" t="s">
        <v>1171</v>
      </c>
      <c r="L193" s="28" t="s">
        <v>1177</v>
      </c>
      <c r="M193" s="20" t="s">
        <v>1178</v>
      </c>
      <c r="N193" s="47">
        <v>45667</v>
      </c>
      <c r="O193" s="20">
        <f>INDEX(Auxiliar!$D$5:$F$13,MATCH(Table1[[#This Row],[Tipologia_Testes]],Auxiliar!$B$5:$B$13,0),MATCH(Table1[[#This Row],[Complexidade]],Auxiliar!$D$4:$F$4,0))</f>
        <v>2</v>
      </c>
      <c r="P193" s="2"/>
      <c r="Q193" s="2"/>
      <c r="R193" s="211">
        <v>45603</v>
      </c>
      <c r="S193" s="151"/>
      <c r="T193" s="151"/>
      <c r="U193" s="151"/>
      <c r="V193" s="151">
        <v>45645</v>
      </c>
      <c r="W193" s="2">
        <f>VLOOKUP(Table1[[#This Row],[Status]],Auxiliar!$B$16:$D$24,3,0)*Table1[[#This Row],[Estimação (horas)]]</f>
        <v>2</v>
      </c>
      <c r="X193" s="166">
        <f>+VLOOKUP(CONCATENATE(Table1[[#This Row],[Tabela]],Table1[[#This Row],[Campo]]),'2. Status Detalhe Campos FY24'!A:J,9,FALSE)</f>
        <v>0</v>
      </c>
    </row>
    <row r="194" spans="2:24" ht="17.850000000000001" hidden="1" customHeight="1">
      <c r="B194" s="2" t="s">
        <v>26</v>
      </c>
      <c r="C194" s="2" t="s">
        <v>54</v>
      </c>
      <c r="D194" s="2" t="s">
        <v>95</v>
      </c>
      <c r="E194" s="2" t="s">
        <v>38</v>
      </c>
      <c r="F194" s="2" t="s">
        <v>94</v>
      </c>
      <c r="G194" s="2" t="s">
        <v>2167</v>
      </c>
      <c r="H194" s="56" t="str">
        <f>Table1[[#This Row],[Tabela]]&amp;Table1[[#This Row],[Campo]]</f>
        <v>PROPERTYPROPERTY_CODE</v>
      </c>
      <c r="I194" s="2" t="s">
        <v>612</v>
      </c>
      <c r="J194" s="42">
        <f>VLOOKUP(Table1[[#This Row],[Status]],Auxiliar!$B$16:$C$24,2,0)</f>
        <v>1</v>
      </c>
      <c r="K194" s="2" t="s">
        <v>1172</v>
      </c>
      <c r="L194" s="28" t="s">
        <v>1177</v>
      </c>
      <c r="M194" s="20" t="s">
        <v>1178</v>
      </c>
      <c r="N194" s="47">
        <v>45667</v>
      </c>
      <c r="O194" s="20">
        <f>INDEX(Auxiliar!$D$5:$F$13,MATCH(Table1[[#This Row],[Tipologia_Testes]],Auxiliar!$B$5:$B$13,0),MATCH(Table1[[#This Row],[Complexidade]],Auxiliar!$D$4:$F$4,0))</f>
        <v>2</v>
      </c>
      <c r="P194" s="2"/>
      <c r="Q194" s="2"/>
      <c r="R194" s="211">
        <v>45603</v>
      </c>
      <c r="S194" s="151"/>
      <c r="T194" s="151"/>
      <c r="U194" s="151"/>
      <c r="V194" s="151">
        <v>45645</v>
      </c>
      <c r="W194" s="2">
        <f>VLOOKUP(Table1[[#This Row],[Status]],Auxiliar!$B$16:$D$24,3,0)*Table1[[#This Row],[Estimação (horas)]]</f>
        <v>2</v>
      </c>
      <c r="X194" s="166">
        <f>+VLOOKUP(CONCATENATE(Table1[[#This Row],[Tabela]],Table1[[#This Row],[Campo]]),'2. Status Detalhe Campos FY24'!A:J,9,FALSE)</f>
        <v>0</v>
      </c>
    </row>
    <row r="195" spans="2:24" ht="17.850000000000001" hidden="1" customHeight="1">
      <c r="B195" s="2" t="s">
        <v>26</v>
      </c>
      <c r="C195" s="2" t="s">
        <v>54</v>
      </c>
      <c r="D195" s="2" t="s">
        <v>95</v>
      </c>
      <c r="E195" s="2" t="s">
        <v>38</v>
      </c>
      <c r="F195" s="2" t="s">
        <v>94</v>
      </c>
      <c r="G195" s="2" t="s">
        <v>2167</v>
      </c>
      <c r="H195" s="56" t="str">
        <f>Table1[[#This Row],[Tabela]]&amp;Table1[[#This Row],[Campo]]</f>
        <v>PROPERTYPROPERTY_CODE</v>
      </c>
      <c r="I195" s="2" t="s">
        <v>612</v>
      </c>
      <c r="J195" s="42">
        <f>VLOOKUP(Table1[[#This Row],[Status]],Auxiliar!$B$16:$C$24,2,0)</f>
        <v>1</v>
      </c>
      <c r="K195" s="2" t="s">
        <v>1174</v>
      </c>
      <c r="L195" s="28" t="s">
        <v>1177</v>
      </c>
      <c r="M195" s="20" t="s">
        <v>1178</v>
      </c>
      <c r="N195" s="47">
        <v>45667</v>
      </c>
      <c r="O195" s="20">
        <f>INDEX(Auxiliar!$D$5:$F$13,MATCH(Table1[[#This Row],[Tipologia_Testes]],Auxiliar!$B$5:$B$13,0),MATCH(Table1[[#This Row],[Complexidade]],Auxiliar!$D$4:$F$4,0))</f>
        <v>0.1</v>
      </c>
      <c r="P195" s="2"/>
      <c r="Q195" s="2"/>
      <c r="R195" s="211">
        <v>45603</v>
      </c>
      <c r="S195" s="151"/>
      <c r="T195" s="151"/>
      <c r="U195" s="151"/>
      <c r="V195" s="151">
        <v>45645</v>
      </c>
      <c r="W195" s="2">
        <f>VLOOKUP(Table1[[#This Row],[Status]],Auxiliar!$B$16:$D$24,3,0)*Table1[[#This Row],[Estimação (horas)]]</f>
        <v>0.1</v>
      </c>
      <c r="X195" s="166">
        <f>+VLOOKUP(CONCATENATE(Table1[[#This Row],[Tabela]],Table1[[#This Row],[Campo]]),'2. Status Detalhe Campos FY24'!A:J,9,FALSE)</f>
        <v>0</v>
      </c>
    </row>
    <row r="196" spans="2:24" ht="69.599999999999994" hidden="1" customHeight="1">
      <c r="B196" s="2" t="s">
        <v>26</v>
      </c>
      <c r="C196" s="2" t="s">
        <v>54</v>
      </c>
      <c r="D196" s="2" t="s">
        <v>124</v>
      </c>
      <c r="E196" s="2" t="s">
        <v>38</v>
      </c>
      <c r="F196" s="2" t="s">
        <v>123</v>
      </c>
      <c r="G196" s="2" t="s">
        <v>38</v>
      </c>
      <c r="H196" s="56" t="str">
        <f>Table1[[#This Row],[Tabela]]&amp;Table1[[#This Row],[Campo]]</f>
        <v>PROPERTY_ENERGY_CERTIFICATEn.a.</v>
      </c>
      <c r="I196" s="2" t="s">
        <v>612</v>
      </c>
      <c r="J196" s="42">
        <f>VLOOKUP(Table1[[#This Row],[Status]],Auxiliar!$B$16:$C$24,2,0)</f>
        <v>1</v>
      </c>
      <c r="K196" s="2" t="s">
        <v>1168</v>
      </c>
      <c r="L196" s="28" t="s">
        <v>1169</v>
      </c>
      <c r="M196" s="20" t="s">
        <v>1178</v>
      </c>
      <c r="N196" s="47">
        <v>45485</v>
      </c>
      <c r="O196" s="20">
        <f>INDEX(Auxiliar!$D$5:$F$13,MATCH(Table1[[#This Row],[Tipologia_Testes]],Auxiliar!$B$5:$B$13,0),MATCH(Table1[[#This Row],[Complexidade]],Auxiliar!$D$4:$F$4,0))</f>
        <v>8</v>
      </c>
      <c r="P196" s="22" t="s">
        <v>1193</v>
      </c>
      <c r="Q196" s="2"/>
      <c r="R196" s="151">
        <v>45261</v>
      </c>
      <c r="S196" s="151"/>
      <c r="T196" s="151"/>
      <c r="U196" s="151"/>
      <c r="V196" s="151"/>
      <c r="W196" s="2">
        <f>VLOOKUP(Table1[[#This Row],[Status]],Auxiliar!$B$16:$D$24,3,0)*Table1[[#This Row],[Estimação (horas)]]</f>
        <v>8</v>
      </c>
      <c r="X196" s="166">
        <f>+VLOOKUP(CONCATENATE(Table1[[#This Row],[Tabela]],Table1[[#This Row],[Campo]]),'2. Status Detalhe Campos FY24'!A:J,9,FALSE)</f>
        <v>0</v>
      </c>
    </row>
    <row r="197" spans="2:24" ht="17.850000000000001" hidden="1" customHeight="1">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1171</v>
      </c>
      <c r="L197" s="28" t="s">
        <v>1169</v>
      </c>
      <c r="M197" s="20" t="s">
        <v>1178</v>
      </c>
      <c r="N197" s="47">
        <v>45485</v>
      </c>
      <c r="O197" s="20">
        <f>INDEX(Auxiliar!$D$5:$F$13,MATCH(Table1[[#This Row],[Tipologia_Testes]],Auxiliar!$B$5:$B$13,0),MATCH(Table1[[#This Row],[Complexidade]],Auxiliar!$D$4:$F$4,0))</f>
        <v>2</v>
      </c>
      <c r="P197" s="2" t="s">
        <v>1194</v>
      </c>
      <c r="Q197" s="2"/>
      <c r="R197" s="151">
        <v>45261</v>
      </c>
      <c r="S197" s="151"/>
      <c r="T197" s="151"/>
      <c r="U197" s="151"/>
      <c r="V197" s="151"/>
      <c r="W197" s="2">
        <f>VLOOKUP(Table1[[#This Row],[Status]],Auxiliar!$B$16:$D$24,3,0)*Table1[[#This Row],[Estimação (horas)]]</f>
        <v>2</v>
      </c>
      <c r="X197" s="166">
        <f>+VLOOKUP(CONCATENATE(Table1[[#This Row],[Tabela]],Table1[[#This Row],[Campo]]),'2. Status Detalhe Campos FY24'!A:J,9,FALSE)</f>
        <v>0</v>
      </c>
    </row>
    <row r="198" spans="2:24" ht="17.850000000000001" hidden="1" customHeight="1">
      <c r="B198" s="2" t="s">
        <v>26</v>
      </c>
      <c r="C198" s="2" t="s">
        <v>54</v>
      </c>
      <c r="D198" s="2" t="s">
        <v>124</v>
      </c>
      <c r="E198" s="2" t="s">
        <v>38</v>
      </c>
      <c r="F198" s="2" t="s">
        <v>123</v>
      </c>
      <c r="G198" s="2" t="s">
        <v>41</v>
      </c>
      <c r="H198" s="56" t="str">
        <f>Table1[[#This Row],[Tabela]]&amp;Table1[[#This Row],[Campo]]</f>
        <v>PROPERTY_ENERGY_CERTIFICATEPROPERTY_BANK_ID</v>
      </c>
      <c r="I198" s="2" t="s">
        <v>612</v>
      </c>
      <c r="J198" s="42">
        <f>VLOOKUP(Table1[[#This Row],[Status]],Auxiliar!$B$16:$C$24,2,0)</f>
        <v>1</v>
      </c>
      <c r="K198" s="2" t="s">
        <v>1172</v>
      </c>
      <c r="L198" s="28" t="s">
        <v>1169</v>
      </c>
      <c r="M198" s="20" t="s">
        <v>1178</v>
      </c>
      <c r="N198" s="47">
        <v>45485</v>
      </c>
      <c r="O198" s="20">
        <f>INDEX(Auxiliar!$D$5:$F$13,MATCH(Table1[[#This Row],[Tipologia_Testes]],Auxiliar!$B$5:$B$13,0),MATCH(Table1[[#This Row],[Complexidade]],Auxiliar!$D$4:$F$4,0))</f>
        <v>2</v>
      </c>
      <c r="P198" s="2" t="s">
        <v>1194</v>
      </c>
      <c r="Q198" s="2"/>
      <c r="R198" s="151">
        <v>45261</v>
      </c>
      <c r="S198" s="151"/>
      <c r="T198" s="151"/>
      <c r="U198" s="151"/>
      <c r="V198" s="151"/>
      <c r="W198" s="2">
        <f>VLOOKUP(Table1[[#This Row],[Status]],Auxiliar!$B$16:$D$24,3,0)*Table1[[#This Row],[Estimação (horas)]]</f>
        <v>2</v>
      </c>
      <c r="X198" s="166">
        <f>+VLOOKUP(CONCATENATE(Table1[[#This Row],[Tabela]],Table1[[#This Row],[Campo]]),'2. Status Detalhe Campos FY24'!A:J,9,FALSE)</f>
        <v>0</v>
      </c>
    </row>
    <row r="199" spans="2:24" ht="17.850000000000001" hidden="1" customHeight="1">
      <c r="B199" s="2" t="s">
        <v>26</v>
      </c>
      <c r="C199" s="2" t="s">
        <v>54</v>
      </c>
      <c r="D199" s="2" t="s">
        <v>124</v>
      </c>
      <c r="E199" s="2" t="s">
        <v>38</v>
      </c>
      <c r="F199" s="2" t="s">
        <v>123</v>
      </c>
      <c r="G199" s="2" t="s">
        <v>41</v>
      </c>
      <c r="H199" s="56" t="str">
        <f>Table1[[#This Row],[Tabela]]&amp;Table1[[#This Row],[Campo]]</f>
        <v>PROPERTY_ENERGY_CERTIFICATEPROPERTY_BANK_ID</v>
      </c>
      <c r="I199" s="2" t="s">
        <v>612</v>
      </c>
      <c r="J199" s="42">
        <f>VLOOKUP(Table1[[#This Row],[Status]],Auxiliar!$B$16:$C$24,2,0)</f>
        <v>1</v>
      </c>
      <c r="K199" s="2" t="s">
        <v>1174</v>
      </c>
      <c r="L199" s="28" t="s">
        <v>1169</v>
      </c>
      <c r="M199" s="20" t="s">
        <v>1178</v>
      </c>
      <c r="N199" s="47">
        <v>45485</v>
      </c>
      <c r="O199" s="20">
        <f>INDEX(Auxiliar!$D$5:$F$13,MATCH(Table1[[#This Row],[Tipologia_Testes]],Auxiliar!$B$5:$B$13,0),MATCH(Table1[[#This Row],[Complexidade]],Auxiliar!$D$4:$F$4,0))</f>
        <v>0.1</v>
      </c>
      <c r="P199" s="2" t="s">
        <v>1194</v>
      </c>
      <c r="Q199" s="2"/>
      <c r="R199" s="151">
        <v>45261</v>
      </c>
      <c r="S199" s="151"/>
      <c r="T199" s="151"/>
      <c r="U199" s="151"/>
      <c r="V199" s="151"/>
      <c r="W199" s="2">
        <f>VLOOKUP(Table1[[#This Row],[Status]],Auxiliar!$B$16:$D$24,3,0)*Table1[[#This Row],[Estimação (horas)]]</f>
        <v>0.1</v>
      </c>
      <c r="X199" s="166">
        <f>+VLOOKUP(CONCATENATE(Table1[[#This Row],[Tabela]],Table1[[#This Row],[Campo]]),'2. Status Detalhe Campos FY24'!A:J,9,FALSE)</f>
        <v>0</v>
      </c>
    </row>
    <row r="200" spans="2:24" ht="17.850000000000001" hidden="1" customHeight="1">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1171</v>
      </c>
      <c r="L200" s="28" t="s">
        <v>1169</v>
      </c>
      <c r="M200" s="20" t="s">
        <v>1178</v>
      </c>
      <c r="N200" s="47">
        <v>45485</v>
      </c>
      <c r="O200" s="20">
        <f>INDEX(Auxiliar!$D$5:$F$13,MATCH(Table1[[#This Row],[Tipologia_Testes]],Auxiliar!$B$5:$B$13,0),MATCH(Table1[[#This Row],[Complexidade]],Auxiliar!$D$4:$F$4,0))</f>
        <v>2</v>
      </c>
      <c r="P200" s="2" t="s">
        <v>1194</v>
      </c>
      <c r="Q200" s="2"/>
      <c r="R200" s="151">
        <v>45261</v>
      </c>
      <c r="S200" s="151"/>
      <c r="T200" s="151"/>
      <c r="U200" s="151"/>
      <c r="V200" s="151"/>
      <c r="W200" s="2">
        <f>VLOOKUP(Table1[[#This Row],[Status]],Auxiliar!$B$16:$D$24,3,0)*Table1[[#This Row],[Estimação (horas)]]</f>
        <v>2</v>
      </c>
      <c r="X200" s="166">
        <f>+VLOOKUP(CONCATENATE(Table1[[#This Row],[Tabela]],Table1[[#This Row],[Campo]]),'2. Status Detalhe Campos FY24'!A:J,9,FALSE)</f>
        <v>0</v>
      </c>
    </row>
    <row r="201" spans="2:24" ht="17.850000000000001" hidden="1" customHeight="1">
      <c r="B201" s="2" t="s">
        <v>26</v>
      </c>
      <c r="C201" s="2" t="s">
        <v>54</v>
      </c>
      <c r="D201" s="2" t="s">
        <v>124</v>
      </c>
      <c r="E201" s="2" t="s">
        <v>38</v>
      </c>
      <c r="F201" s="2" t="s">
        <v>123</v>
      </c>
      <c r="G201" s="2" t="s">
        <v>43</v>
      </c>
      <c r="H201" s="56" t="str">
        <f>Table1[[#This Row],[Tabela]]&amp;Table1[[#This Row],[Campo]]</f>
        <v>PROPERTY_ENERGY_CERTIFICATEPROPERTY_BRANCH_CODE</v>
      </c>
      <c r="I201" s="2" t="s">
        <v>612</v>
      </c>
      <c r="J201" s="42">
        <f>VLOOKUP(Table1[[#This Row],[Status]],Auxiliar!$B$16:$C$24,2,0)</f>
        <v>1</v>
      </c>
      <c r="K201" s="2" t="s">
        <v>1172</v>
      </c>
      <c r="L201" s="28" t="s">
        <v>1169</v>
      </c>
      <c r="M201" s="20" t="s">
        <v>1178</v>
      </c>
      <c r="N201" s="47">
        <v>45485</v>
      </c>
      <c r="O201" s="20">
        <f>INDEX(Auxiliar!$D$5:$F$13,MATCH(Table1[[#This Row],[Tipologia_Testes]],Auxiliar!$B$5:$B$13,0),MATCH(Table1[[#This Row],[Complexidade]],Auxiliar!$D$4:$F$4,0))</f>
        <v>2</v>
      </c>
      <c r="P201" s="2" t="s">
        <v>1194</v>
      </c>
      <c r="Q201" s="2"/>
      <c r="R201" s="151">
        <v>45261</v>
      </c>
      <c r="S201" s="151"/>
      <c r="T201" s="151"/>
      <c r="U201" s="151"/>
      <c r="V201" s="151"/>
      <c r="W201" s="2">
        <f>VLOOKUP(Table1[[#This Row],[Status]],Auxiliar!$B$16:$D$24,3,0)*Table1[[#This Row],[Estimação (horas)]]</f>
        <v>2</v>
      </c>
      <c r="X201" s="166">
        <f>+VLOOKUP(CONCATENATE(Table1[[#This Row],[Tabela]],Table1[[#This Row],[Campo]]),'2. Status Detalhe Campos FY24'!A:J,9,FALSE)</f>
        <v>0</v>
      </c>
    </row>
    <row r="202" spans="2:24" ht="17.850000000000001" hidden="1" customHeight="1">
      <c r="B202" s="2" t="s">
        <v>26</v>
      </c>
      <c r="C202" s="2" t="s">
        <v>54</v>
      </c>
      <c r="D202" s="2" t="s">
        <v>124</v>
      </c>
      <c r="E202" s="2" t="s">
        <v>38</v>
      </c>
      <c r="F202" s="2" t="s">
        <v>123</v>
      </c>
      <c r="G202" s="2" t="s">
        <v>43</v>
      </c>
      <c r="H202" s="56" t="str">
        <f>Table1[[#This Row],[Tabela]]&amp;Table1[[#This Row],[Campo]]</f>
        <v>PROPERTY_ENERGY_CERTIFICATEPROPERTY_BRANCH_CODE</v>
      </c>
      <c r="I202" s="2" t="s">
        <v>612</v>
      </c>
      <c r="J202" s="42">
        <f>VLOOKUP(Table1[[#This Row],[Status]],Auxiliar!$B$16:$C$24,2,0)</f>
        <v>1</v>
      </c>
      <c r="K202" s="2" t="s">
        <v>1174</v>
      </c>
      <c r="L202" s="28" t="s">
        <v>1169</v>
      </c>
      <c r="M202" s="20" t="s">
        <v>1178</v>
      </c>
      <c r="N202" s="47">
        <v>45485</v>
      </c>
      <c r="O202" s="20">
        <f>INDEX(Auxiliar!$D$5:$F$13,MATCH(Table1[[#This Row],[Tipologia_Testes]],Auxiliar!$B$5:$B$13,0),MATCH(Table1[[#This Row],[Complexidade]],Auxiliar!$D$4:$F$4,0))</f>
        <v>0.1</v>
      </c>
      <c r="P202" s="2" t="s">
        <v>1194</v>
      </c>
      <c r="Q202" s="2"/>
      <c r="R202" s="151">
        <v>45261</v>
      </c>
      <c r="S202" s="151"/>
      <c r="T202" s="151"/>
      <c r="U202" s="151"/>
      <c r="V202" s="151"/>
      <c r="W202" s="2">
        <f>VLOOKUP(Table1[[#This Row],[Status]],Auxiliar!$B$16:$D$24,3,0)*Table1[[#This Row],[Estimação (horas)]]</f>
        <v>0.1</v>
      </c>
      <c r="X202" s="166">
        <f>+VLOOKUP(CONCATENATE(Table1[[#This Row],[Tabela]],Table1[[#This Row],[Campo]]),'2. Status Detalhe Campos FY24'!A:J,9,FALSE)</f>
        <v>0</v>
      </c>
    </row>
    <row r="203" spans="2:24" ht="17.850000000000001" hidden="1" customHeight="1">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1171</v>
      </c>
      <c r="L203" s="28" t="s">
        <v>1169</v>
      </c>
      <c r="M203" s="20" t="s">
        <v>1178</v>
      </c>
      <c r="N203" s="47">
        <v>45485</v>
      </c>
      <c r="O203" s="20">
        <f>INDEX(Auxiliar!$D$5:$F$13,MATCH(Table1[[#This Row],[Tipologia_Testes]],Auxiliar!$B$5:$B$13,0),MATCH(Table1[[#This Row],[Complexidade]],Auxiliar!$D$4:$F$4,0))</f>
        <v>2</v>
      </c>
      <c r="P203" s="2" t="s">
        <v>1194</v>
      </c>
      <c r="Q203" s="2"/>
      <c r="R203" s="151">
        <v>45261</v>
      </c>
      <c r="S203" s="151"/>
      <c r="T203" s="151"/>
      <c r="U203" s="151"/>
      <c r="V203" s="151"/>
      <c r="W203" s="2">
        <f>VLOOKUP(Table1[[#This Row],[Status]],Auxiliar!$B$16:$D$24,3,0)*Table1[[#This Row],[Estimação (horas)]]</f>
        <v>2</v>
      </c>
      <c r="X203" s="166">
        <f>+VLOOKUP(CONCATENATE(Table1[[#This Row],[Tabela]],Table1[[#This Row],[Campo]]),'2. Status Detalhe Campos FY24'!A:J,9,FALSE)</f>
        <v>0</v>
      </c>
    </row>
    <row r="204" spans="2:24" ht="17.850000000000001" hidden="1" customHeight="1">
      <c r="B204" s="2" t="s">
        <v>26</v>
      </c>
      <c r="C204" s="2" t="s">
        <v>54</v>
      </c>
      <c r="D204" s="2" t="s">
        <v>124</v>
      </c>
      <c r="E204" s="2" t="s">
        <v>38</v>
      </c>
      <c r="F204" s="2" t="s">
        <v>123</v>
      </c>
      <c r="G204" s="2" t="s">
        <v>44</v>
      </c>
      <c r="H204" s="56" t="str">
        <f>Table1[[#This Row],[Tabela]]&amp;Table1[[#This Row],[Campo]]</f>
        <v>PROPERTY_ENERGY_CERTIFICATEPROPERTY_CONTRACT_ID</v>
      </c>
      <c r="I204" s="2" t="s">
        <v>612</v>
      </c>
      <c r="J204" s="42">
        <f>VLOOKUP(Table1[[#This Row],[Status]],Auxiliar!$B$16:$C$24,2,0)</f>
        <v>1</v>
      </c>
      <c r="K204" s="2" t="s">
        <v>1172</v>
      </c>
      <c r="L204" s="28" t="s">
        <v>1169</v>
      </c>
      <c r="M204" s="20" t="s">
        <v>1178</v>
      </c>
      <c r="N204" s="47">
        <v>45485</v>
      </c>
      <c r="O204" s="20">
        <f>INDEX(Auxiliar!$D$5:$F$13,MATCH(Table1[[#This Row],[Tipologia_Testes]],Auxiliar!$B$5:$B$13,0),MATCH(Table1[[#This Row],[Complexidade]],Auxiliar!$D$4:$F$4,0))</f>
        <v>2</v>
      </c>
      <c r="P204" s="2" t="s">
        <v>1194</v>
      </c>
      <c r="Q204" s="2"/>
      <c r="R204" s="151">
        <v>45261</v>
      </c>
      <c r="S204" s="151"/>
      <c r="T204" s="151"/>
      <c r="U204" s="151"/>
      <c r="V204" s="151"/>
      <c r="W204" s="2">
        <f>VLOOKUP(Table1[[#This Row],[Status]],Auxiliar!$B$16:$D$24,3,0)*Table1[[#This Row],[Estimação (horas)]]</f>
        <v>2</v>
      </c>
      <c r="X204" s="166">
        <f>+VLOOKUP(CONCATENATE(Table1[[#This Row],[Tabela]],Table1[[#This Row],[Campo]]),'2. Status Detalhe Campos FY24'!A:J,9,FALSE)</f>
        <v>0</v>
      </c>
    </row>
    <row r="205" spans="2:24" ht="17.850000000000001" hidden="1" customHeight="1">
      <c r="B205" s="2" t="s">
        <v>26</v>
      </c>
      <c r="C205" s="2" t="s">
        <v>54</v>
      </c>
      <c r="D205" s="2" t="s">
        <v>124</v>
      </c>
      <c r="E205" s="2" t="s">
        <v>38</v>
      </c>
      <c r="F205" s="2" t="s">
        <v>123</v>
      </c>
      <c r="G205" s="2" t="s">
        <v>44</v>
      </c>
      <c r="H205" s="56" t="str">
        <f>Table1[[#This Row],[Tabela]]&amp;Table1[[#This Row],[Campo]]</f>
        <v>PROPERTY_ENERGY_CERTIFICATEPROPERTY_CONTRACT_ID</v>
      </c>
      <c r="I205" s="2" t="s">
        <v>612</v>
      </c>
      <c r="J205" s="42">
        <f>VLOOKUP(Table1[[#This Row],[Status]],Auxiliar!$B$16:$C$24,2,0)</f>
        <v>1</v>
      </c>
      <c r="K205" s="2" t="s">
        <v>1174</v>
      </c>
      <c r="L205" s="28" t="s">
        <v>1169</v>
      </c>
      <c r="M205" s="20" t="s">
        <v>1178</v>
      </c>
      <c r="N205" s="47">
        <v>45485</v>
      </c>
      <c r="O205" s="20">
        <f>INDEX(Auxiliar!$D$5:$F$13,MATCH(Table1[[#This Row],[Tipologia_Testes]],Auxiliar!$B$5:$B$13,0),MATCH(Table1[[#This Row],[Complexidade]],Auxiliar!$D$4:$F$4,0))</f>
        <v>0.1</v>
      </c>
      <c r="P205" s="2" t="s">
        <v>1194</v>
      </c>
      <c r="Q205" s="2"/>
      <c r="R205" s="151">
        <v>45261</v>
      </c>
      <c r="S205" s="151"/>
      <c r="T205" s="151"/>
      <c r="U205" s="151"/>
      <c r="V205" s="151"/>
      <c r="W205" s="2">
        <f>VLOOKUP(Table1[[#This Row],[Status]],Auxiliar!$B$16:$D$24,3,0)*Table1[[#This Row],[Estimação (horas)]]</f>
        <v>0.1</v>
      </c>
      <c r="X205" s="166">
        <f>+VLOOKUP(CONCATENATE(Table1[[#This Row],[Tabela]],Table1[[#This Row],[Campo]]),'2. Status Detalhe Campos FY24'!A:J,9,FALSE)</f>
        <v>0</v>
      </c>
    </row>
    <row r="206" spans="2:24" ht="17.850000000000001" hidden="1" customHeight="1">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1171</v>
      </c>
      <c r="L206" s="28" t="s">
        <v>1169</v>
      </c>
      <c r="M206" s="20" t="s">
        <v>1178</v>
      </c>
      <c r="N206" s="47">
        <v>45485</v>
      </c>
      <c r="O206" s="20">
        <f>INDEX(Auxiliar!$D$5:$F$13,MATCH(Table1[[#This Row],[Tipologia_Testes]],Auxiliar!$B$5:$B$13,0),MATCH(Table1[[#This Row],[Complexidade]],Auxiliar!$D$4:$F$4,0))</f>
        <v>2</v>
      </c>
      <c r="P206" s="2" t="s">
        <v>1194</v>
      </c>
      <c r="Q206" s="2"/>
      <c r="R206" s="151">
        <v>45261</v>
      </c>
      <c r="S206" s="151"/>
      <c r="T206" s="151"/>
      <c r="U206" s="151"/>
      <c r="V206" s="151"/>
      <c r="W206" s="2">
        <f>VLOOKUP(Table1[[#This Row],[Status]],Auxiliar!$B$16:$D$24,3,0)*Table1[[#This Row],[Estimação (horas)]]</f>
        <v>2</v>
      </c>
      <c r="X206" s="166">
        <f>+VLOOKUP(CONCATENATE(Table1[[#This Row],[Tabela]],Table1[[#This Row],[Campo]]),'2. Status Detalhe Campos FY24'!A:J,9,FALSE)</f>
        <v>0</v>
      </c>
    </row>
    <row r="207" spans="2:24" ht="17.850000000000001" hidden="1" customHeight="1">
      <c r="B207" s="2" t="s">
        <v>26</v>
      </c>
      <c r="C207" s="2" t="s">
        <v>54</v>
      </c>
      <c r="D207" s="2" t="s">
        <v>124</v>
      </c>
      <c r="E207" s="2" t="s">
        <v>38</v>
      </c>
      <c r="F207" s="2" t="s">
        <v>123</v>
      </c>
      <c r="G207" s="2" t="s">
        <v>45</v>
      </c>
      <c r="H207" s="56" t="str">
        <f>Table1[[#This Row],[Tabela]]&amp;Table1[[#This Row],[Campo]]</f>
        <v>PROPERTY_ENERGY_CERTIFICATEPROPERTY_REFERENCE_CODE</v>
      </c>
      <c r="I207" s="2" t="s">
        <v>612</v>
      </c>
      <c r="J207" s="42">
        <f>VLOOKUP(Table1[[#This Row],[Status]],Auxiliar!$B$16:$C$24,2,0)</f>
        <v>1</v>
      </c>
      <c r="K207" s="2" t="s">
        <v>1172</v>
      </c>
      <c r="L207" s="28" t="s">
        <v>1169</v>
      </c>
      <c r="M207" s="20" t="s">
        <v>1178</v>
      </c>
      <c r="N207" s="47">
        <v>45485</v>
      </c>
      <c r="O207" s="20">
        <f>INDEX(Auxiliar!$D$5:$F$13,MATCH(Table1[[#This Row],[Tipologia_Testes]],Auxiliar!$B$5:$B$13,0),MATCH(Table1[[#This Row],[Complexidade]],Auxiliar!$D$4:$F$4,0))</f>
        <v>2</v>
      </c>
      <c r="P207" s="2" t="s">
        <v>1194</v>
      </c>
      <c r="Q207" s="2"/>
      <c r="R207" s="151">
        <v>45261</v>
      </c>
      <c r="S207" s="151"/>
      <c r="T207" s="151"/>
      <c r="U207" s="151"/>
      <c r="V207" s="151"/>
      <c r="W207" s="2">
        <f>VLOOKUP(Table1[[#This Row],[Status]],Auxiliar!$B$16:$D$24,3,0)*Table1[[#This Row],[Estimação (horas)]]</f>
        <v>2</v>
      </c>
      <c r="X207" s="166">
        <f>+VLOOKUP(CONCATENATE(Table1[[#This Row],[Tabela]],Table1[[#This Row],[Campo]]),'2. Status Detalhe Campos FY24'!A:J,9,FALSE)</f>
        <v>0</v>
      </c>
    </row>
    <row r="208" spans="2:24" ht="17.850000000000001" hidden="1" customHeight="1">
      <c r="B208" s="2" t="s">
        <v>26</v>
      </c>
      <c r="C208" s="2" t="s">
        <v>54</v>
      </c>
      <c r="D208" s="2" t="s">
        <v>124</v>
      </c>
      <c r="E208" s="2" t="s">
        <v>38</v>
      </c>
      <c r="F208" s="2" t="s">
        <v>123</v>
      </c>
      <c r="G208" s="2" t="s">
        <v>45</v>
      </c>
      <c r="H208" s="56" t="str">
        <f>Table1[[#This Row],[Tabela]]&amp;Table1[[#This Row],[Campo]]</f>
        <v>PROPERTY_ENERGY_CERTIFICATEPROPERTY_REFERENCE_CODE</v>
      </c>
      <c r="I208" s="2" t="s">
        <v>612</v>
      </c>
      <c r="J208" s="42">
        <f>VLOOKUP(Table1[[#This Row],[Status]],Auxiliar!$B$16:$C$24,2,0)</f>
        <v>1</v>
      </c>
      <c r="K208" s="2" t="s">
        <v>1174</v>
      </c>
      <c r="L208" s="28" t="s">
        <v>1169</v>
      </c>
      <c r="M208" s="20" t="s">
        <v>1178</v>
      </c>
      <c r="N208" s="47">
        <v>45485</v>
      </c>
      <c r="O208" s="20">
        <f>INDEX(Auxiliar!$D$5:$F$13,MATCH(Table1[[#This Row],[Tipologia_Testes]],Auxiliar!$B$5:$B$13,0),MATCH(Table1[[#This Row],[Complexidade]],Auxiliar!$D$4:$F$4,0))</f>
        <v>0.1</v>
      </c>
      <c r="P208" s="2" t="s">
        <v>1194</v>
      </c>
      <c r="Q208" s="2"/>
      <c r="R208" s="151">
        <v>45261</v>
      </c>
      <c r="S208" s="151"/>
      <c r="T208" s="151"/>
      <c r="U208" s="151"/>
      <c r="V208" s="151"/>
      <c r="W208" s="2">
        <f>VLOOKUP(Table1[[#This Row],[Status]],Auxiliar!$B$16:$D$24,3,0)*Table1[[#This Row],[Estimação (horas)]]</f>
        <v>0.1</v>
      </c>
      <c r="X208" s="166">
        <f>+VLOOKUP(CONCATENATE(Table1[[#This Row],[Tabela]],Table1[[#This Row],[Campo]]),'2. Status Detalhe Campos FY24'!A:J,9,FALSE)</f>
        <v>0</v>
      </c>
    </row>
    <row r="209" spans="2:24" ht="17.850000000000001" hidden="1" customHeight="1">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1171</v>
      </c>
      <c r="L209" s="28" t="s">
        <v>1169</v>
      </c>
      <c r="M209" s="20" t="s">
        <v>1178</v>
      </c>
      <c r="N209" s="47">
        <v>45612</v>
      </c>
      <c r="O209" s="20">
        <f>INDEX(Auxiliar!$D$5:$F$13,MATCH(Table1[[#This Row],[Tipologia_Testes]],Auxiliar!$B$5:$B$13,0),MATCH(Table1[[#This Row],[Complexidade]],Auxiliar!$D$4:$F$4,0))</f>
        <v>2</v>
      </c>
      <c r="P209" s="2"/>
      <c r="Q209" s="2"/>
      <c r="R209" s="151">
        <v>45616</v>
      </c>
      <c r="S209" s="151"/>
      <c r="T209" s="151"/>
      <c r="U209" s="151"/>
      <c r="V209" s="151">
        <v>45639</v>
      </c>
      <c r="W209" s="2">
        <f>VLOOKUP(Table1[[#This Row],[Status]],Auxiliar!$B$16:$D$24,3,0)*Table1[[#This Row],[Estimação (horas)]]</f>
        <v>2</v>
      </c>
      <c r="X209" s="166">
        <f>+VLOOKUP(CONCATENATE(Table1[[#This Row],[Tabela]],Table1[[#This Row],[Campo]]),'2. Status Detalhe Campos FY24'!A:J,9,FALSE)</f>
        <v>0</v>
      </c>
    </row>
    <row r="210" spans="2:24" ht="17.850000000000001" hidden="1" customHeight="1">
      <c r="B210" s="2" t="s">
        <v>26</v>
      </c>
      <c r="C210" s="2" t="s">
        <v>54</v>
      </c>
      <c r="D210" s="2" t="s">
        <v>124</v>
      </c>
      <c r="E210" s="2" t="s">
        <v>38</v>
      </c>
      <c r="F210" s="2" t="s">
        <v>123</v>
      </c>
      <c r="G210" s="2" t="s">
        <v>125</v>
      </c>
      <c r="H210" s="56" t="str">
        <f>Table1[[#This Row],[Tabela]]&amp;Table1[[#This Row],[Campo]]</f>
        <v>PROPERTY_ENERGY_CERTIFICATELAND_REGISTRY_OFFICE_CODE</v>
      </c>
      <c r="I210" s="2" t="s">
        <v>612</v>
      </c>
      <c r="J210" s="42">
        <f>VLOOKUP(Table1[[#This Row],[Status]],Auxiliar!$B$16:$C$24,2,0)</f>
        <v>1</v>
      </c>
      <c r="K210" s="2" t="s">
        <v>1172</v>
      </c>
      <c r="L210" s="28" t="s">
        <v>1169</v>
      </c>
      <c r="M210" s="20" t="s">
        <v>1178</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166">
        <f>+VLOOKUP(CONCATENATE(Table1[[#This Row],[Tabela]],Table1[[#This Row],[Campo]]),'2. Status Detalhe Campos FY24'!A:J,9,FALSE)</f>
        <v>0</v>
      </c>
    </row>
    <row r="211" spans="2:24" ht="17.850000000000001" hidden="1" customHeight="1">
      <c r="B211" s="2" t="s">
        <v>26</v>
      </c>
      <c r="C211" s="2" t="s">
        <v>54</v>
      </c>
      <c r="D211" s="2" t="s">
        <v>124</v>
      </c>
      <c r="E211" s="2" t="s">
        <v>38</v>
      </c>
      <c r="F211" s="2" t="s">
        <v>123</v>
      </c>
      <c r="G211" s="2" t="s">
        <v>125</v>
      </c>
      <c r="H211" s="56" t="str">
        <f>Table1[[#This Row],[Tabela]]&amp;Table1[[#This Row],[Campo]]</f>
        <v>PROPERTY_ENERGY_CERTIFICATELAND_REGISTRY_OFFICE_CODE</v>
      </c>
      <c r="I211" s="2" t="s">
        <v>612</v>
      </c>
      <c r="J211" s="42">
        <f>VLOOKUP(Table1[[#This Row],[Status]],Auxiliar!$B$16:$C$24,2,0)</f>
        <v>1</v>
      </c>
      <c r="K211" s="2" t="s">
        <v>1174</v>
      </c>
      <c r="L211" s="28" t="s">
        <v>1169</v>
      </c>
      <c r="M211" s="20" t="s">
        <v>1178</v>
      </c>
      <c r="N211" s="47">
        <v>45612</v>
      </c>
      <c r="O211" s="20">
        <f>INDEX(Auxiliar!$D$5:$F$13,MATCH(Table1[[#This Row],[Tipologia_Testes]],Auxiliar!$B$5:$B$13,0),MATCH(Table1[[#This Row],[Complexidade]],Auxiliar!$D$4:$F$4,0))</f>
        <v>0.1</v>
      </c>
      <c r="P211" s="2"/>
      <c r="Q211" s="2"/>
      <c r="R211" s="151">
        <v>45616</v>
      </c>
      <c r="S211" s="151"/>
      <c r="T211" s="151"/>
      <c r="U211" s="151"/>
      <c r="V211" s="151">
        <v>45639</v>
      </c>
      <c r="W211" s="2">
        <f>VLOOKUP(Table1[[#This Row],[Status]],Auxiliar!$B$16:$D$24,3,0)*Table1[[#This Row],[Estimação (horas)]]</f>
        <v>0.1</v>
      </c>
      <c r="X211" s="166">
        <f>+VLOOKUP(CONCATENATE(Table1[[#This Row],[Tabela]],Table1[[#This Row],[Campo]]),'2. Status Detalhe Campos FY24'!A:J,9,FALSE)</f>
        <v>0</v>
      </c>
    </row>
    <row r="212" spans="2:24" ht="17.850000000000001" hidden="1" customHeight="1">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1171</v>
      </c>
      <c r="L212" s="28" t="s">
        <v>1169</v>
      </c>
      <c r="M212" s="20" t="s">
        <v>1178</v>
      </c>
      <c r="N212" s="47">
        <v>45612</v>
      </c>
      <c r="O212" s="20">
        <f>INDEX(Auxiliar!$D$5:$F$13,MATCH(Table1[[#This Row],[Tipologia_Testes]],Auxiliar!$B$5:$B$13,0),MATCH(Table1[[#This Row],[Complexidade]],Auxiliar!$D$4:$F$4,0))</f>
        <v>2</v>
      </c>
      <c r="P212" s="2"/>
      <c r="Q212" s="2"/>
      <c r="R212" s="151">
        <v>45616</v>
      </c>
      <c r="S212" s="151"/>
      <c r="T212" s="151"/>
      <c r="U212" s="151"/>
      <c r="V212" s="151">
        <v>45639</v>
      </c>
      <c r="W212" s="2">
        <f>VLOOKUP(Table1[[#This Row],[Status]],Auxiliar!$B$16:$D$24,3,0)*Table1[[#This Row],[Estimação (horas)]]</f>
        <v>2</v>
      </c>
      <c r="X212" s="166">
        <f>+VLOOKUP(CONCATENATE(Table1[[#This Row],[Tabela]],Table1[[#This Row],[Campo]]),'2. Status Detalhe Campos FY24'!A:J,9,FALSE)</f>
        <v>0</v>
      </c>
    </row>
    <row r="213" spans="2:24" ht="17.850000000000001" hidden="1" customHeight="1">
      <c r="B213" s="2" t="s">
        <v>26</v>
      </c>
      <c r="C213" s="2" t="s">
        <v>54</v>
      </c>
      <c r="D213" s="2" t="s">
        <v>124</v>
      </c>
      <c r="E213" s="2" t="s">
        <v>38</v>
      </c>
      <c r="F213" s="2" t="s">
        <v>123</v>
      </c>
      <c r="G213" s="2" t="s">
        <v>126</v>
      </c>
      <c r="H213" s="56" t="str">
        <f>Table1[[#This Row],[Tabela]]&amp;Table1[[#This Row],[Campo]]</f>
        <v>PROPERTY_ENERGY_CERTIFICATEPROPERTY_IDENTIFICATION_CODE</v>
      </c>
      <c r="I213" s="2" t="s">
        <v>612</v>
      </c>
      <c r="J213" s="42">
        <f>VLOOKUP(Table1[[#This Row],[Status]],Auxiliar!$B$16:$C$24,2,0)</f>
        <v>1</v>
      </c>
      <c r="K213" s="2" t="s">
        <v>1172</v>
      </c>
      <c r="L213" s="28" t="s">
        <v>1169</v>
      </c>
      <c r="M213" s="20" t="s">
        <v>1178</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166">
        <f>+VLOOKUP(CONCATENATE(Table1[[#This Row],[Tabela]],Table1[[#This Row],[Campo]]),'2. Status Detalhe Campos FY24'!A:J,9,FALSE)</f>
        <v>0</v>
      </c>
    </row>
    <row r="214" spans="2:24" ht="17.850000000000001" hidden="1" customHeight="1">
      <c r="B214" s="2" t="s">
        <v>26</v>
      </c>
      <c r="C214" s="2" t="s">
        <v>54</v>
      </c>
      <c r="D214" s="2" t="s">
        <v>124</v>
      </c>
      <c r="E214" s="2" t="s">
        <v>38</v>
      </c>
      <c r="F214" s="2" t="s">
        <v>123</v>
      </c>
      <c r="G214" s="2" t="s">
        <v>126</v>
      </c>
      <c r="H214" s="56" t="str">
        <f>Table1[[#This Row],[Tabela]]&amp;Table1[[#This Row],[Campo]]</f>
        <v>PROPERTY_ENERGY_CERTIFICATEPROPERTY_IDENTIFICATION_CODE</v>
      </c>
      <c r="I214" s="2" t="s">
        <v>612</v>
      </c>
      <c r="J214" s="42">
        <f>VLOOKUP(Table1[[#This Row],[Status]],Auxiliar!$B$16:$C$24,2,0)</f>
        <v>1</v>
      </c>
      <c r="K214" s="2" t="s">
        <v>1174</v>
      </c>
      <c r="L214" s="28" t="s">
        <v>1169</v>
      </c>
      <c r="M214" s="20" t="s">
        <v>1178</v>
      </c>
      <c r="N214" s="47">
        <v>45612</v>
      </c>
      <c r="O214" s="20">
        <f>INDEX(Auxiliar!$D$5:$F$13,MATCH(Table1[[#This Row],[Tipologia_Testes]],Auxiliar!$B$5:$B$13,0),MATCH(Table1[[#This Row],[Complexidade]],Auxiliar!$D$4:$F$4,0))</f>
        <v>0.1</v>
      </c>
      <c r="P214" s="2"/>
      <c r="Q214" s="2"/>
      <c r="R214" s="151">
        <v>45616</v>
      </c>
      <c r="S214" s="151"/>
      <c r="T214" s="151"/>
      <c r="U214" s="151"/>
      <c r="V214" s="151">
        <v>45639</v>
      </c>
      <c r="W214" s="2">
        <f>VLOOKUP(Table1[[#This Row],[Status]],Auxiliar!$B$16:$D$24,3,0)*Table1[[#This Row],[Estimação (horas)]]</f>
        <v>0.1</v>
      </c>
      <c r="X214" s="166">
        <f>+VLOOKUP(CONCATENATE(Table1[[#This Row],[Tabela]],Table1[[#This Row],[Campo]]),'2. Status Detalhe Campos FY24'!A:J,9,FALSE)</f>
        <v>0</v>
      </c>
    </row>
    <row r="215" spans="2:24" ht="17.850000000000001" hidden="1" customHeight="1">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1171</v>
      </c>
      <c r="L215" s="28" t="s">
        <v>1169</v>
      </c>
      <c r="M215" s="20" t="s">
        <v>1178</v>
      </c>
      <c r="N215" s="47">
        <v>45612</v>
      </c>
      <c r="O215" s="20">
        <f>INDEX(Auxiliar!$D$5:$F$13,MATCH(Table1[[#This Row],[Tipologia_Testes]],Auxiliar!$B$5:$B$13,0),MATCH(Table1[[#This Row],[Complexidade]],Auxiliar!$D$4:$F$4,0))</f>
        <v>2</v>
      </c>
      <c r="P215" s="2"/>
      <c r="Q215" s="2"/>
      <c r="R215" s="151">
        <v>45616</v>
      </c>
      <c r="S215" s="151"/>
      <c r="T215" s="151"/>
      <c r="U215" s="151"/>
      <c r="V215" s="151">
        <v>45639</v>
      </c>
      <c r="W215" s="2">
        <f>VLOOKUP(Table1[[#This Row],[Status]],Auxiliar!$B$16:$D$24,3,0)*Table1[[#This Row],[Estimação (horas)]]</f>
        <v>2</v>
      </c>
      <c r="X215" s="166">
        <f>+VLOOKUP(CONCATENATE(Table1[[#This Row],[Tabela]],Table1[[#This Row],[Campo]]),'2. Status Detalhe Campos FY24'!A:J,9,FALSE)</f>
        <v>0</v>
      </c>
    </row>
    <row r="216" spans="2:24" ht="17.850000000000001" hidden="1" customHeight="1">
      <c r="B216" s="2" t="s">
        <v>26</v>
      </c>
      <c r="C216" s="2" t="s">
        <v>54</v>
      </c>
      <c r="D216" s="2" t="s">
        <v>124</v>
      </c>
      <c r="E216" s="2" t="s">
        <v>38</v>
      </c>
      <c r="F216" s="2" t="s">
        <v>123</v>
      </c>
      <c r="G216" s="2" t="s">
        <v>127</v>
      </c>
      <c r="H216" s="56" t="str">
        <f>Table1[[#This Row],[Tabela]]&amp;Table1[[#This Row],[Campo]]</f>
        <v>PROPERTY_ENERGY_CERTIFICATEENERGY_CERTIFICATION_SYSTEM_CODE</v>
      </c>
      <c r="I216" s="2" t="s">
        <v>612</v>
      </c>
      <c r="J216" s="42">
        <f>VLOOKUP(Table1[[#This Row],[Status]],Auxiliar!$B$16:$C$24,2,0)</f>
        <v>1</v>
      </c>
      <c r="K216" s="2" t="s">
        <v>1172</v>
      </c>
      <c r="L216" s="28" t="s">
        <v>1169</v>
      </c>
      <c r="M216" s="20" t="s">
        <v>1178</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166">
        <f>+VLOOKUP(CONCATENATE(Table1[[#This Row],[Tabela]],Table1[[#This Row],[Campo]]),'2. Status Detalhe Campos FY24'!A:J,9,FALSE)</f>
        <v>0</v>
      </c>
    </row>
    <row r="217" spans="2:24" ht="17.850000000000001" hidden="1" customHeight="1">
      <c r="B217" s="2" t="s">
        <v>26</v>
      </c>
      <c r="C217" s="2" t="s">
        <v>54</v>
      </c>
      <c r="D217" s="2" t="s">
        <v>124</v>
      </c>
      <c r="E217" s="2" t="s">
        <v>38</v>
      </c>
      <c r="F217" s="2" t="s">
        <v>123</v>
      </c>
      <c r="G217" s="2" t="s">
        <v>127</v>
      </c>
      <c r="H217" s="56" t="str">
        <f>Table1[[#This Row],[Tabela]]&amp;Table1[[#This Row],[Campo]]</f>
        <v>PROPERTY_ENERGY_CERTIFICATEENERGY_CERTIFICATION_SYSTEM_CODE</v>
      </c>
      <c r="I217" s="2" t="s">
        <v>612</v>
      </c>
      <c r="J217" s="42">
        <f>VLOOKUP(Table1[[#This Row],[Status]],Auxiliar!$B$16:$C$24,2,0)</f>
        <v>1</v>
      </c>
      <c r="K217" s="2" t="s">
        <v>1174</v>
      </c>
      <c r="L217" s="28" t="s">
        <v>1169</v>
      </c>
      <c r="M217" s="20" t="s">
        <v>1178</v>
      </c>
      <c r="N217" s="47">
        <v>45612</v>
      </c>
      <c r="O217" s="20">
        <f>INDEX(Auxiliar!$D$5:$F$13,MATCH(Table1[[#This Row],[Tipologia_Testes]],Auxiliar!$B$5:$B$13,0),MATCH(Table1[[#This Row],[Complexidade]],Auxiliar!$D$4:$F$4,0))</f>
        <v>0.1</v>
      </c>
      <c r="P217" s="2"/>
      <c r="Q217" s="2"/>
      <c r="R217" s="151">
        <v>45616</v>
      </c>
      <c r="S217" s="151"/>
      <c r="T217" s="151"/>
      <c r="U217" s="151"/>
      <c r="V217" s="151">
        <v>45639</v>
      </c>
      <c r="W217" s="2">
        <f>VLOOKUP(Table1[[#This Row],[Status]],Auxiliar!$B$16:$D$24,3,0)*Table1[[#This Row],[Estimação (horas)]]</f>
        <v>0.1</v>
      </c>
      <c r="X217" s="166">
        <f>+VLOOKUP(CONCATENATE(Table1[[#This Row],[Tabela]],Table1[[#This Row],[Campo]]),'2. Status Detalhe Campos FY24'!A:J,9,FALSE)</f>
        <v>0</v>
      </c>
    </row>
    <row r="218" spans="2:24" ht="17.850000000000001" hidden="1" customHeight="1">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1171</v>
      </c>
      <c r="L218" s="28" t="s">
        <v>1169</v>
      </c>
      <c r="M218" s="20" t="s">
        <v>1178</v>
      </c>
      <c r="N218" s="47">
        <v>45612</v>
      </c>
      <c r="O218" s="20">
        <f>INDEX(Auxiliar!$D$5:$F$13,MATCH(Table1[[#This Row],[Tipologia_Testes]],Auxiliar!$B$5:$B$13,0),MATCH(Table1[[#This Row],[Complexidade]],Auxiliar!$D$4:$F$4,0))</f>
        <v>2</v>
      </c>
      <c r="P218" s="2"/>
      <c r="Q218" s="2"/>
      <c r="R218" s="151">
        <v>45616</v>
      </c>
      <c r="S218" s="151"/>
      <c r="T218" s="151"/>
      <c r="U218" s="151"/>
      <c r="V218" s="151">
        <v>45639</v>
      </c>
      <c r="W218" s="2">
        <f>VLOOKUP(Table1[[#This Row],[Status]],Auxiliar!$B$16:$D$24,3,0)*Table1[[#This Row],[Estimação (horas)]]</f>
        <v>2</v>
      </c>
      <c r="X218" s="166">
        <f>+VLOOKUP(CONCATENATE(Table1[[#This Row],[Tabela]],Table1[[#This Row],[Campo]]),'2. Status Detalhe Campos FY24'!A:J,9,FALSE)</f>
        <v>0</v>
      </c>
    </row>
    <row r="219" spans="2:24" ht="17.850000000000001" hidden="1" customHeight="1">
      <c r="B219" s="2" t="s">
        <v>26</v>
      </c>
      <c r="C219" s="2" t="s">
        <v>54</v>
      </c>
      <c r="D219" s="2" t="s">
        <v>124</v>
      </c>
      <c r="E219" s="2" t="s">
        <v>38</v>
      </c>
      <c r="F219" s="2" t="s">
        <v>123</v>
      </c>
      <c r="G219" s="2" t="s">
        <v>128</v>
      </c>
      <c r="H219" s="56" t="str">
        <f>Table1[[#This Row],[Tabela]]&amp;Table1[[#This Row],[Campo]]</f>
        <v>PROPERTY_ENERGY_CERTIFICATEEPC_ISSUING_DATE</v>
      </c>
      <c r="I219" s="2" t="s">
        <v>612</v>
      </c>
      <c r="J219" s="42">
        <f>VLOOKUP(Table1[[#This Row],[Status]],Auxiliar!$B$16:$C$24,2,0)</f>
        <v>1</v>
      </c>
      <c r="K219" s="2" t="s">
        <v>1172</v>
      </c>
      <c r="L219" s="28" t="s">
        <v>1169</v>
      </c>
      <c r="M219" s="20" t="s">
        <v>1178</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166">
        <f>+VLOOKUP(CONCATENATE(Table1[[#This Row],[Tabela]],Table1[[#This Row],[Campo]]),'2. Status Detalhe Campos FY24'!A:J,9,FALSE)</f>
        <v>0</v>
      </c>
    </row>
    <row r="220" spans="2:24" ht="17.850000000000001" hidden="1" customHeight="1">
      <c r="B220" s="2" t="s">
        <v>26</v>
      </c>
      <c r="C220" s="2" t="s">
        <v>54</v>
      </c>
      <c r="D220" s="2" t="s">
        <v>124</v>
      </c>
      <c r="E220" s="2" t="s">
        <v>38</v>
      </c>
      <c r="F220" s="2" t="s">
        <v>123</v>
      </c>
      <c r="G220" s="2" t="s">
        <v>128</v>
      </c>
      <c r="H220" s="56" t="str">
        <f>Table1[[#This Row],[Tabela]]&amp;Table1[[#This Row],[Campo]]</f>
        <v>PROPERTY_ENERGY_CERTIFICATEEPC_ISSUING_DATE</v>
      </c>
      <c r="I220" s="2" t="s">
        <v>612</v>
      </c>
      <c r="J220" s="42">
        <f>VLOOKUP(Table1[[#This Row],[Status]],Auxiliar!$B$16:$C$24,2,0)</f>
        <v>1</v>
      </c>
      <c r="K220" s="2" t="s">
        <v>1174</v>
      </c>
      <c r="L220" s="28" t="s">
        <v>1169</v>
      </c>
      <c r="M220" s="20" t="s">
        <v>1178</v>
      </c>
      <c r="N220" s="47">
        <v>45612</v>
      </c>
      <c r="O220" s="20">
        <f>INDEX(Auxiliar!$D$5:$F$13,MATCH(Table1[[#This Row],[Tipologia_Testes]],Auxiliar!$B$5:$B$13,0),MATCH(Table1[[#This Row],[Complexidade]],Auxiliar!$D$4:$F$4,0))</f>
        <v>0.1</v>
      </c>
      <c r="P220" s="2"/>
      <c r="Q220" s="2"/>
      <c r="R220" s="151">
        <v>45616</v>
      </c>
      <c r="S220" s="151"/>
      <c r="T220" s="151"/>
      <c r="U220" s="151"/>
      <c r="V220" s="151">
        <v>45639</v>
      </c>
      <c r="W220" s="2">
        <f>VLOOKUP(Table1[[#This Row],[Status]],Auxiliar!$B$16:$D$24,3,0)*Table1[[#This Row],[Estimação (horas)]]</f>
        <v>0.1</v>
      </c>
      <c r="X220" s="166">
        <f>+VLOOKUP(CONCATENATE(Table1[[#This Row],[Tabela]],Table1[[#This Row],[Campo]]),'2. Status Detalhe Campos FY24'!A:J,9,FALSE)</f>
        <v>0</v>
      </c>
    </row>
    <row r="221" spans="2:24" ht="17.850000000000001" hidden="1" customHeight="1">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1171</v>
      </c>
      <c r="L221" s="28" t="s">
        <v>1169</v>
      </c>
      <c r="M221" s="20" t="s">
        <v>1178</v>
      </c>
      <c r="N221" s="47">
        <v>45612</v>
      </c>
      <c r="O221" s="20">
        <f>INDEX(Auxiliar!$D$5:$F$13,MATCH(Table1[[#This Row],[Tipologia_Testes]],Auxiliar!$B$5:$B$13,0),MATCH(Table1[[#This Row],[Complexidade]],Auxiliar!$D$4:$F$4,0))</f>
        <v>2</v>
      </c>
      <c r="P221" s="2"/>
      <c r="Q221" s="2"/>
      <c r="R221" s="151">
        <v>45616</v>
      </c>
      <c r="S221" s="151"/>
      <c r="T221" s="151"/>
      <c r="U221" s="151"/>
      <c r="V221" s="151">
        <v>45639</v>
      </c>
      <c r="W221" s="2">
        <f>VLOOKUP(Table1[[#This Row],[Status]],Auxiliar!$B$16:$D$24,3,0)*Table1[[#This Row],[Estimação (horas)]]</f>
        <v>2</v>
      </c>
      <c r="X221" s="166">
        <f>+VLOOKUP(CONCATENATE(Table1[[#This Row],[Tabela]],Table1[[#This Row],[Campo]]),'2. Status Detalhe Campos FY24'!A:J,9,FALSE)</f>
        <v>0</v>
      </c>
    </row>
    <row r="222" spans="2:24" ht="17.850000000000001" hidden="1" customHeight="1">
      <c r="B222" s="2" t="s">
        <v>26</v>
      </c>
      <c r="C222" s="2" t="s">
        <v>54</v>
      </c>
      <c r="D222" s="2" t="s">
        <v>124</v>
      </c>
      <c r="E222" s="2" t="s">
        <v>38</v>
      </c>
      <c r="F222" s="2" t="s">
        <v>123</v>
      </c>
      <c r="G222" s="2" t="s">
        <v>129</v>
      </c>
      <c r="H222" s="56" t="str">
        <f>Table1[[#This Row],[Tabela]]&amp;Table1[[#This Row],[Campo]]</f>
        <v>PROPERTY_ENERGY_CERTIFICATEEPC_EXPIRATION_DATE</v>
      </c>
      <c r="I222" s="2" t="s">
        <v>612</v>
      </c>
      <c r="J222" s="42">
        <f>VLOOKUP(Table1[[#This Row],[Status]],Auxiliar!$B$16:$C$24,2,0)</f>
        <v>1</v>
      </c>
      <c r="K222" s="2" t="s">
        <v>1172</v>
      </c>
      <c r="L222" s="28" t="s">
        <v>1169</v>
      </c>
      <c r="M222" s="20" t="s">
        <v>1178</v>
      </c>
      <c r="N222" s="47">
        <v>45612</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2</v>
      </c>
      <c r="X222" s="166">
        <f>+VLOOKUP(CONCATENATE(Table1[[#This Row],[Tabela]],Table1[[#This Row],[Campo]]),'2. Status Detalhe Campos FY24'!A:J,9,FALSE)</f>
        <v>0</v>
      </c>
    </row>
    <row r="223" spans="2:24" ht="17.850000000000001" hidden="1" customHeight="1">
      <c r="B223" s="2" t="s">
        <v>26</v>
      </c>
      <c r="C223" s="2" t="s">
        <v>54</v>
      </c>
      <c r="D223" s="2" t="s">
        <v>124</v>
      </c>
      <c r="E223" s="2" t="s">
        <v>38</v>
      </c>
      <c r="F223" s="2" t="s">
        <v>123</v>
      </c>
      <c r="G223" s="2" t="s">
        <v>129</v>
      </c>
      <c r="H223" s="56" t="str">
        <f>Table1[[#This Row],[Tabela]]&amp;Table1[[#This Row],[Campo]]</f>
        <v>PROPERTY_ENERGY_CERTIFICATEEPC_EXPIRATION_DATE</v>
      </c>
      <c r="I223" s="2" t="s">
        <v>612</v>
      </c>
      <c r="J223" s="42">
        <f>VLOOKUP(Table1[[#This Row],[Status]],Auxiliar!$B$16:$C$24,2,0)</f>
        <v>1</v>
      </c>
      <c r="K223" s="2" t="s">
        <v>1174</v>
      </c>
      <c r="L223" s="28" t="s">
        <v>1169</v>
      </c>
      <c r="M223" s="20" t="s">
        <v>1178</v>
      </c>
      <c r="N223" s="47">
        <v>45612</v>
      </c>
      <c r="O223" s="20">
        <f>INDEX(Auxiliar!$D$5:$F$13,MATCH(Table1[[#This Row],[Tipologia_Testes]],Auxiliar!$B$5:$B$13,0),MATCH(Table1[[#This Row],[Complexidade]],Auxiliar!$D$4:$F$4,0))</f>
        <v>0.1</v>
      </c>
      <c r="P223" s="2"/>
      <c r="Q223" s="2"/>
      <c r="R223" s="151">
        <v>45616</v>
      </c>
      <c r="S223" s="151"/>
      <c r="T223" s="151"/>
      <c r="U223" s="151"/>
      <c r="V223" s="151">
        <v>45639</v>
      </c>
      <c r="W223" s="2">
        <f>VLOOKUP(Table1[[#This Row],[Status]],Auxiliar!$B$16:$D$24,3,0)*Table1[[#This Row],[Estimação (horas)]]</f>
        <v>0.1</v>
      </c>
      <c r="X223" s="166">
        <f>+VLOOKUP(CONCATENATE(Table1[[#This Row],[Tabela]],Table1[[#This Row],[Campo]]),'2. Status Detalhe Campos FY24'!A:J,9,FALSE)</f>
        <v>0</v>
      </c>
    </row>
    <row r="224" spans="2:24" ht="17.850000000000001" hidden="1" customHeight="1">
      <c r="B224" s="2" t="s">
        <v>26</v>
      </c>
      <c r="C224" s="2" t="s">
        <v>54</v>
      </c>
      <c r="D224" s="2" t="s">
        <v>124</v>
      </c>
      <c r="E224" s="2" t="s">
        <v>38</v>
      </c>
      <c r="F224" s="2" t="s">
        <v>123</v>
      </c>
      <c r="G224" s="2" t="s">
        <v>47</v>
      </c>
      <c r="H224" s="56" t="str">
        <f>Table1[[#This Row],[Tabela]]&amp;Table1[[#This Row],[Campo]]</f>
        <v>PROPERTY_ENERGY_CERTIFICATEEPC</v>
      </c>
      <c r="I224" s="2" t="s">
        <v>1845</v>
      </c>
      <c r="J224" s="42">
        <f>VLOOKUP(Table1[[#This Row],[Status]],Auxiliar!$B$16:$C$24,2,0)</f>
        <v>2</v>
      </c>
      <c r="K224" s="2" t="s">
        <v>1171</v>
      </c>
      <c r="L224" s="28" t="s">
        <v>1169</v>
      </c>
      <c r="M224" s="20" t="s">
        <v>1178</v>
      </c>
      <c r="N224" s="47">
        <v>45688</v>
      </c>
      <c r="O224" s="20">
        <f>INDEX(Auxiliar!$D$5:$F$13,MATCH(Table1[[#This Row],[Tipologia_Testes]],Auxiliar!$B$5:$B$13,0),MATCH(Table1[[#This Row],[Complexidade]],Auxiliar!$D$4:$F$4,0))</f>
        <v>2</v>
      </c>
      <c r="P224" s="2"/>
      <c r="Q224" s="2"/>
      <c r="R224" s="151">
        <v>45616</v>
      </c>
      <c r="S224" s="151"/>
      <c r="T224" s="151"/>
      <c r="U224" s="151"/>
      <c r="V224" s="151">
        <v>45639</v>
      </c>
      <c r="W224" s="2">
        <f>VLOOKUP(Table1[[#This Row],[Status]],Auxiliar!$B$16:$D$24,3,0)*Table1[[#This Row],[Estimação (horas)]]</f>
        <v>1</v>
      </c>
      <c r="X224" s="166">
        <f>+VLOOKUP(CONCATENATE(Table1[[#This Row],[Tabela]],Table1[[#This Row],[Campo]]),'2. Status Detalhe Campos FY24'!A:J,9,FALSE)</f>
        <v>0</v>
      </c>
    </row>
    <row r="225" spans="2:24" ht="17.850000000000001" hidden="1" customHeight="1">
      <c r="B225" s="2" t="s">
        <v>26</v>
      </c>
      <c r="C225" s="2" t="s">
        <v>54</v>
      </c>
      <c r="D225" s="2" t="s">
        <v>124</v>
      </c>
      <c r="E225" s="2" t="s">
        <v>38</v>
      </c>
      <c r="F225" s="2" t="s">
        <v>123</v>
      </c>
      <c r="G225" s="2" t="s">
        <v>47</v>
      </c>
      <c r="H225" s="56" t="str">
        <f>Table1[[#This Row],[Tabela]]&amp;Table1[[#This Row],[Campo]]</f>
        <v>PROPERTY_ENERGY_CERTIFICATEEPC</v>
      </c>
      <c r="I225" s="2" t="s">
        <v>1845</v>
      </c>
      <c r="J225" s="42">
        <f>VLOOKUP(Table1[[#This Row],[Status]],Auxiliar!$B$16:$C$24,2,0)</f>
        <v>2</v>
      </c>
      <c r="K225" s="2" t="s">
        <v>1172</v>
      </c>
      <c r="L225" s="28" t="s">
        <v>1169</v>
      </c>
      <c r="M225" s="20" t="s">
        <v>1178</v>
      </c>
      <c r="N225" s="47">
        <v>45688</v>
      </c>
      <c r="O225" s="20">
        <f>INDEX(Auxiliar!$D$5:$F$13,MATCH(Table1[[#This Row],[Tipologia_Testes]],Auxiliar!$B$5:$B$13,0),MATCH(Table1[[#This Row],[Complexidade]],Auxiliar!$D$4:$F$4,0))</f>
        <v>2</v>
      </c>
      <c r="P225" s="2"/>
      <c r="Q225" s="2"/>
      <c r="R225" s="151">
        <v>45616</v>
      </c>
      <c r="S225" s="151"/>
      <c r="T225" s="151"/>
      <c r="U225" s="151"/>
      <c r="V225" s="151">
        <v>45639</v>
      </c>
      <c r="W225" s="2">
        <f>VLOOKUP(Table1[[#This Row],[Status]],Auxiliar!$B$16:$D$24,3,0)*Table1[[#This Row],[Estimação (horas)]]</f>
        <v>1</v>
      </c>
      <c r="X225" s="166">
        <f>+VLOOKUP(CONCATENATE(Table1[[#This Row],[Tabela]],Table1[[#This Row],[Campo]]),'2. Status Detalhe Campos FY24'!A:J,9,FALSE)</f>
        <v>0</v>
      </c>
    </row>
    <row r="226" spans="2:24" ht="17.850000000000001" hidden="1" customHeight="1">
      <c r="B226" s="2" t="s">
        <v>26</v>
      </c>
      <c r="C226" s="2" t="s">
        <v>54</v>
      </c>
      <c r="D226" s="2" t="s">
        <v>124</v>
      </c>
      <c r="E226" s="2" t="s">
        <v>38</v>
      </c>
      <c r="F226" s="2" t="s">
        <v>123</v>
      </c>
      <c r="G226" s="2" t="s">
        <v>47</v>
      </c>
      <c r="H226" s="56" t="str">
        <f>Table1[[#This Row],[Tabela]]&amp;Table1[[#This Row],[Campo]]</f>
        <v>PROPERTY_ENERGY_CERTIFICATEEPC</v>
      </c>
      <c r="I226" s="2" t="s">
        <v>1845</v>
      </c>
      <c r="J226" s="42">
        <f>VLOOKUP(Table1[[#This Row],[Status]],Auxiliar!$B$16:$C$24,2,0)</f>
        <v>2</v>
      </c>
      <c r="K226" s="2" t="s">
        <v>1174</v>
      </c>
      <c r="L226" s="28" t="s">
        <v>1169</v>
      </c>
      <c r="M226" s="20" t="s">
        <v>1178</v>
      </c>
      <c r="N226" s="47">
        <v>45688</v>
      </c>
      <c r="O226" s="20">
        <f>INDEX(Auxiliar!$D$5:$F$13,MATCH(Table1[[#This Row],[Tipologia_Testes]],Auxiliar!$B$5:$B$13,0),MATCH(Table1[[#This Row],[Complexidade]],Auxiliar!$D$4:$F$4,0))</f>
        <v>0.1</v>
      </c>
      <c r="P226" s="2"/>
      <c r="Q226" s="2"/>
      <c r="R226" s="151">
        <v>45616</v>
      </c>
      <c r="S226" s="151"/>
      <c r="T226" s="151"/>
      <c r="U226" s="151"/>
      <c r="V226" s="151">
        <v>45639</v>
      </c>
      <c r="W226" s="2">
        <f>VLOOKUP(Table1[[#This Row],[Status]],Auxiliar!$B$16:$D$24,3,0)*Table1[[#This Row],[Estimação (horas)]]</f>
        <v>0.05</v>
      </c>
      <c r="X226" s="166">
        <f>+VLOOKUP(CONCATENATE(Table1[[#This Row],[Tabela]],Table1[[#This Row],[Campo]]),'2. Status Detalhe Campos FY24'!A:J,9,FALSE)</f>
        <v>0</v>
      </c>
    </row>
    <row r="227" spans="2:24" ht="17.850000000000001" hidden="1" customHeight="1">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1171</v>
      </c>
      <c r="L227" s="28" t="s">
        <v>1169</v>
      </c>
      <c r="M227" s="20" t="s">
        <v>1178</v>
      </c>
      <c r="N227" s="47">
        <v>45485</v>
      </c>
      <c r="O227" s="20">
        <f>INDEX(Auxiliar!$D$5:$F$13,MATCH(Table1[[#This Row],[Tipologia_Testes]],Auxiliar!$B$5:$B$13,0),MATCH(Table1[[#This Row],[Complexidade]],Auxiliar!$D$4:$F$4,0))</f>
        <v>2</v>
      </c>
      <c r="P227" s="2" t="s">
        <v>1195</v>
      </c>
      <c r="Q227" s="2"/>
      <c r="R227" s="151">
        <v>45261</v>
      </c>
      <c r="S227" s="151"/>
      <c r="T227" s="151"/>
      <c r="U227" s="151"/>
      <c r="V227" s="151"/>
      <c r="W227" s="2">
        <f>VLOOKUP(Table1[[#This Row],[Status]],Auxiliar!$B$16:$D$24,3,0)*Table1[[#This Row],[Estimação (horas)]]</f>
        <v>2</v>
      </c>
      <c r="X227" s="166">
        <f>+VLOOKUP(CONCATENATE(Table1[[#This Row],[Tabela]],Table1[[#This Row],[Campo]]),'2. Status Detalhe Campos FY24'!A:J,9,FALSE)</f>
        <v>0</v>
      </c>
    </row>
    <row r="228" spans="2:24" ht="17.850000000000001" hidden="1" customHeight="1">
      <c r="B228" s="2" t="s">
        <v>26</v>
      </c>
      <c r="C228" s="2" t="s">
        <v>54</v>
      </c>
      <c r="D228" s="2" t="s">
        <v>124</v>
      </c>
      <c r="E228" s="2" t="s">
        <v>38</v>
      </c>
      <c r="F228" s="2" t="s">
        <v>123</v>
      </c>
      <c r="G228" s="2" t="s">
        <v>130</v>
      </c>
      <c r="H228" s="56" t="str">
        <f>Table1[[#This Row],[Tabela]]&amp;Table1[[#This Row],[Campo]]</f>
        <v>PROPERTY_ENERGY_CERTIFICATEENERGY_CONSUMPTION_TYPE_S_IND</v>
      </c>
      <c r="I228" s="2" t="s">
        <v>612</v>
      </c>
      <c r="J228" s="42">
        <f>VLOOKUP(Table1[[#This Row],[Status]],Auxiliar!$B$16:$C$24,2,0)</f>
        <v>1</v>
      </c>
      <c r="K228" s="2" t="s">
        <v>1172</v>
      </c>
      <c r="L228" s="28" t="s">
        <v>1169</v>
      </c>
      <c r="M228" s="20" t="s">
        <v>1178</v>
      </c>
      <c r="N228" s="47">
        <v>45485</v>
      </c>
      <c r="O228" s="20">
        <f>INDEX(Auxiliar!$D$5:$F$13,MATCH(Table1[[#This Row],[Tipologia_Testes]],Auxiliar!$B$5:$B$13,0),MATCH(Table1[[#This Row],[Complexidade]],Auxiliar!$D$4:$F$4,0))</f>
        <v>2</v>
      </c>
      <c r="P228" s="2" t="s">
        <v>1195</v>
      </c>
      <c r="Q228" s="2"/>
      <c r="R228" s="151">
        <v>45261</v>
      </c>
      <c r="S228" s="151"/>
      <c r="T228" s="151"/>
      <c r="U228" s="151"/>
      <c r="V228" s="151"/>
      <c r="W228" s="2">
        <f>VLOOKUP(Table1[[#This Row],[Status]],Auxiliar!$B$16:$D$24,3,0)*Table1[[#This Row],[Estimação (horas)]]</f>
        <v>2</v>
      </c>
      <c r="X228" s="166">
        <f>+VLOOKUP(CONCATENATE(Table1[[#This Row],[Tabela]],Table1[[#This Row],[Campo]]),'2. Status Detalhe Campos FY24'!A:J,9,FALSE)</f>
        <v>0</v>
      </c>
    </row>
    <row r="229" spans="2:24" ht="17.850000000000001" hidden="1" customHeight="1">
      <c r="B229" s="2" t="s">
        <v>26</v>
      </c>
      <c r="C229" s="2" t="s">
        <v>54</v>
      </c>
      <c r="D229" s="2" t="s">
        <v>124</v>
      </c>
      <c r="E229" s="2" t="s">
        <v>38</v>
      </c>
      <c r="F229" s="2" t="s">
        <v>123</v>
      </c>
      <c r="G229" s="2" t="s">
        <v>130</v>
      </c>
      <c r="H229" s="56" t="str">
        <f>Table1[[#This Row],[Tabela]]&amp;Table1[[#This Row],[Campo]]</f>
        <v>PROPERTY_ENERGY_CERTIFICATEENERGY_CONSUMPTION_TYPE_S_IND</v>
      </c>
      <c r="I229" s="2" t="s">
        <v>612</v>
      </c>
      <c r="J229" s="42">
        <f>VLOOKUP(Table1[[#This Row],[Status]],Auxiliar!$B$16:$C$24,2,0)</f>
        <v>1</v>
      </c>
      <c r="K229" s="2" t="s">
        <v>1174</v>
      </c>
      <c r="L229" s="28" t="s">
        <v>1169</v>
      </c>
      <c r="M229" s="20" t="s">
        <v>1178</v>
      </c>
      <c r="N229" s="47">
        <v>45485</v>
      </c>
      <c r="O229" s="20">
        <f>INDEX(Auxiliar!$D$5:$F$13,MATCH(Table1[[#This Row],[Tipologia_Testes]],Auxiliar!$B$5:$B$13,0),MATCH(Table1[[#This Row],[Complexidade]],Auxiliar!$D$4:$F$4,0))</f>
        <v>0.1</v>
      </c>
      <c r="P229" s="2" t="s">
        <v>1195</v>
      </c>
      <c r="Q229" s="2"/>
      <c r="R229" s="151">
        <v>45261</v>
      </c>
      <c r="S229" s="151"/>
      <c r="T229" s="151"/>
      <c r="U229" s="151"/>
      <c r="V229" s="151"/>
      <c r="W229" s="2">
        <f>VLOOKUP(Table1[[#This Row],[Status]],Auxiliar!$B$16:$D$24,3,0)*Table1[[#This Row],[Estimação (horas)]]</f>
        <v>0.1</v>
      </c>
      <c r="X229" s="166">
        <f>+VLOOKUP(CONCATENATE(Table1[[#This Row],[Tabela]],Table1[[#This Row],[Campo]]),'2. Status Detalhe Campos FY24'!A:J,9,FALSE)</f>
        <v>0</v>
      </c>
    </row>
    <row r="230" spans="2:24" ht="17.850000000000001" hidden="1" customHeight="1">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1171</v>
      </c>
      <c r="L230" s="28" t="s">
        <v>1169</v>
      </c>
      <c r="M230" s="20" t="s">
        <v>1178</v>
      </c>
      <c r="N230" s="47">
        <v>45485</v>
      </c>
      <c r="O230" s="20">
        <f>INDEX(Auxiliar!$D$5:$F$13,MATCH(Table1[[#This Row],[Tipologia_Testes]],Auxiliar!$B$5:$B$13,0),MATCH(Table1[[#This Row],[Complexidade]],Auxiliar!$D$4:$F$4,0))</f>
        <v>2</v>
      </c>
      <c r="P230" s="2" t="s">
        <v>1195</v>
      </c>
      <c r="Q230" s="2"/>
      <c r="R230" s="151">
        <v>45261</v>
      </c>
      <c r="S230" s="151"/>
      <c r="T230" s="151"/>
      <c r="U230" s="151"/>
      <c r="V230" s="151"/>
      <c r="W230" s="2">
        <f>VLOOKUP(Table1[[#This Row],[Status]],Auxiliar!$B$16:$D$24,3,0)*Table1[[#This Row],[Estimação (horas)]]</f>
        <v>2</v>
      </c>
      <c r="X230" s="166">
        <f>+VLOOKUP(CONCATENATE(Table1[[#This Row],[Tabela]],Table1[[#This Row],[Campo]]),'2. Status Detalhe Campos FY24'!A:J,9,FALSE)</f>
        <v>0</v>
      </c>
    </row>
    <row r="231" spans="2:24" ht="17.850000000000001" hidden="1" customHeight="1">
      <c r="B231" s="2" t="s">
        <v>26</v>
      </c>
      <c r="C231" s="2" t="s">
        <v>54</v>
      </c>
      <c r="D231" s="2" t="s">
        <v>124</v>
      </c>
      <c r="E231" s="2" t="s">
        <v>38</v>
      </c>
      <c r="F231" s="2" t="s">
        <v>123</v>
      </c>
      <c r="G231" s="2" t="s">
        <v>131</v>
      </c>
      <c r="H231" s="56" t="str">
        <f>Table1[[#This Row],[Tabela]]&amp;Table1[[#This Row],[Campo]]</f>
        <v>PROPERTY_ENERGY_CERTIFICATEENERGY_CONSUMPTION_TYPE_T_IND</v>
      </c>
      <c r="I231" s="2" t="s">
        <v>612</v>
      </c>
      <c r="J231" s="42">
        <f>VLOOKUP(Table1[[#This Row],[Status]],Auxiliar!$B$16:$C$24,2,0)</f>
        <v>1</v>
      </c>
      <c r="K231" s="2" t="s">
        <v>1172</v>
      </c>
      <c r="L231" s="28" t="s">
        <v>1169</v>
      </c>
      <c r="M231" s="20" t="s">
        <v>1178</v>
      </c>
      <c r="N231" s="47">
        <v>45485</v>
      </c>
      <c r="O231" s="20">
        <f>INDEX(Auxiliar!$D$5:$F$13,MATCH(Table1[[#This Row],[Tipologia_Testes]],Auxiliar!$B$5:$B$13,0),MATCH(Table1[[#This Row],[Complexidade]],Auxiliar!$D$4:$F$4,0))</f>
        <v>2</v>
      </c>
      <c r="P231" s="2" t="s">
        <v>1195</v>
      </c>
      <c r="Q231" s="2"/>
      <c r="R231" s="151">
        <v>45261</v>
      </c>
      <c r="S231" s="151"/>
      <c r="T231" s="151"/>
      <c r="U231" s="151"/>
      <c r="V231" s="151"/>
      <c r="W231" s="2">
        <f>VLOOKUP(Table1[[#This Row],[Status]],Auxiliar!$B$16:$D$24,3,0)*Table1[[#This Row],[Estimação (horas)]]</f>
        <v>2</v>
      </c>
      <c r="X231" s="166">
        <f>+VLOOKUP(CONCATENATE(Table1[[#This Row],[Tabela]],Table1[[#This Row],[Campo]]),'2. Status Detalhe Campos FY24'!A:J,9,FALSE)</f>
        <v>0</v>
      </c>
    </row>
    <row r="232" spans="2:24" ht="17.850000000000001" hidden="1" customHeight="1">
      <c r="B232" s="2" t="s">
        <v>26</v>
      </c>
      <c r="C232" s="2" t="s">
        <v>54</v>
      </c>
      <c r="D232" s="2" t="s">
        <v>124</v>
      </c>
      <c r="E232" s="2" t="s">
        <v>38</v>
      </c>
      <c r="F232" s="2" t="s">
        <v>123</v>
      </c>
      <c r="G232" s="2" t="s">
        <v>131</v>
      </c>
      <c r="H232" s="56" t="str">
        <f>Table1[[#This Row],[Tabela]]&amp;Table1[[#This Row],[Campo]]</f>
        <v>PROPERTY_ENERGY_CERTIFICATEENERGY_CONSUMPTION_TYPE_T_IND</v>
      </c>
      <c r="I232" s="2" t="s">
        <v>612</v>
      </c>
      <c r="J232" s="42">
        <f>VLOOKUP(Table1[[#This Row],[Status]],Auxiliar!$B$16:$C$24,2,0)</f>
        <v>1</v>
      </c>
      <c r="K232" s="2" t="s">
        <v>1174</v>
      </c>
      <c r="L232" s="28" t="s">
        <v>1169</v>
      </c>
      <c r="M232" s="20" t="s">
        <v>1178</v>
      </c>
      <c r="N232" s="47">
        <v>45485</v>
      </c>
      <c r="O232" s="20">
        <f>INDEX(Auxiliar!$D$5:$F$13,MATCH(Table1[[#This Row],[Tipologia_Testes]],Auxiliar!$B$5:$B$13,0),MATCH(Table1[[#This Row],[Complexidade]],Auxiliar!$D$4:$F$4,0))</f>
        <v>0.1</v>
      </c>
      <c r="P232" s="2" t="s">
        <v>1195</v>
      </c>
      <c r="Q232" s="2"/>
      <c r="R232" s="151">
        <v>45261</v>
      </c>
      <c r="S232" s="151"/>
      <c r="T232" s="151"/>
      <c r="U232" s="151"/>
      <c r="V232" s="151"/>
      <c r="W232" s="2">
        <f>VLOOKUP(Table1[[#This Row],[Status]],Auxiliar!$B$16:$D$24,3,0)*Table1[[#This Row],[Estimação (horas)]]</f>
        <v>0.1</v>
      </c>
      <c r="X232" s="166">
        <f>+VLOOKUP(CONCATENATE(Table1[[#This Row],[Tabela]],Table1[[#This Row],[Campo]]),'2. Status Detalhe Campos FY24'!A:J,9,FALSE)</f>
        <v>0</v>
      </c>
    </row>
    <row r="233" spans="2:24" ht="17.850000000000001" hidden="1" customHeight="1">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1171</v>
      </c>
      <c r="L233" s="28" t="s">
        <v>1169</v>
      </c>
      <c r="M233" s="20" t="s">
        <v>1178</v>
      </c>
      <c r="N233" s="47">
        <v>45612</v>
      </c>
      <c r="O233" s="20">
        <f>INDEX(Auxiliar!$D$5:$F$13,MATCH(Table1[[#This Row],[Tipologia_Testes]],Auxiliar!$B$5:$B$13,0),MATCH(Table1[[#This Row],[Complexidade]],Auxiliar!$D$4:$F$4,0))</f>
        <v>2</v>
      </c>
      <c r="P233" s="2"/>
      <c r="Q233" s="2"/>
      <c r="R233" s="151">
        <v>45616</v>
      </c>
      <c r="S233" s="151"/>
      <c r="T233" s="151"/>
      <c r="U233" s="151"/>
      <c r="V233" s="151">
        <v>45639</v>
      </c>
      <c r="W233" s="2">
        <f>VLOOKUP(Table1[[#This Row],[Status]],Auxiliar!$B$16:$D$24,3,0)*Table1[[#This Row],[Estimação (horas)]]</f>
        <v>2</v>
      </c>
      <c r="X233" s="166">
        <f>+VLOOKUP(CONCATENATE(Table1[[#This Row],[Tabela]],Table1[[#This Row],[Campo]]),'2. Status Detalhe Campos FY24'!A:J,9,FALSE)</f>
        <v>0</v>
      </c>
    </row>
    <row r="234" spans="2:24" ht="17.850000000000001" hidden="1" customHeight="1">
      <c r="B234" s="2" t="s">
        <v>26</v>
      </c>
      <c r="C234" s="2" t="s">
        <v>54</v>
      </c>
      <c r="D234" s="2" t="s">
        <v>124</v>
      </c>
      <c r="E234" s="2" t="s">
        <v>38</v>
      </c>
      <c r="F234" s="2" t="s">
        <v>123</v>
      </c>
      <c r="G234" s="2" t="s">
        <v>132</v>
      </c>
      <c r="H234" s="56" t="str">
        <f>Table1[[#This Row],[Tabela]]&amp;Table1[[#This Row],[Campo]]</f>
        <v>PROPERTY_ENERGY_CERTIFICATEENERGY_EFFICIENCY_IND</v>
      </c>
      <c r="I234" s="2" t="s">
        <v>612</v>
      </c>
      <c r="J234" s="42">
        <f>VLOOKUP(Table1[[#This Row],[Status]],Auxiliar!$B$16:$C$24,2,0)</f>
        <v>1</v>
      </c>
      <c r="K234" s="2" t="s">
        <v>1172</v>
      </c>
      <c r="L234" s="28" t="s">
        <v>1169</v>
      </c>
      <c r="M234" s="20" t="s">
        <v>1178</v>
      </c>
      <c r="N234" s="47">
        <v>45612</v>
      </c>
      <c r="O234" s="20">
        <f>INDEX(Auxiliar!$D$5:$F$13,MATCH(Table1[[#This Row],[Tipologia_Testes]],Auxiliar!$B$5:$B$13,0),MATCH(Table1[[#This Row],[Complexidade]],Auxiliar!$D$4:$F$4,0))</f>
        <v>2</v>
      </c>
      <c r="P234" s="2"/>
      <c r="Q234" s="2"/>
      <c r="R234" s="151">
        <v>45616</v>
      </c>
      <c r="S234" s="151"/>
      <c r="T234" s="151"/>
      <c r="U234" s="151"/>
      <c r="V234" s="151">
        <v>45639</v>
      </c>
      <c r="W234" s="2">
        <f>VLOOKUP(Table1[[#This Row],[Status]],Auxiliar!$B$16:$D$24,3,0)*Table1[[#This Row],[Estimação (horas)]]</f>
        <v>2</v>
      </c>
      <c r="X234" s="166">
        <f>+VLOOKUP(CONCATENATE(Table1[[#This Row],[Tabela]],Table1[[#This Row],[Campo]]),'2. Status Detalhe Campos FY24'!A:J,9,FALSE)</f>
        <v>0</v>
      </c>
    </row>
    <row r="235" spans="2:24" ht="17.850000000000001" hidden="1" customHeight="1">
      <c r="B235" s="2" t="s">
        <v>26</v>
      </c>
      <c r="C235" s="2" t="s">
        <v>54</v>
      </c>
      <c r="D235" s="2" t="s">
        <v>124</v>
      </c>
      <c r="E235" s="2" t="s">
        <v>38</v>
      </c>
      <c r="F235" s="2" t="s">
        <v>123</v>
      </c>
      <c r="G235" s="2" t="s">
        <v>132</v>
      </c>
      <c r="H235" s="56" t="str">
        <f>Table1[[#This Row],[Tabela]]&amp;Table1[[#This Row],[Campo]]</f>
        <v>PROPERTY_ENERGY_CERTIFICATEENERGY_EFFICIENCY_IND</v>
      </c>
      <c r="I235" s="2" t="s">
        <v>612</v>
      </c>
      <c r="J235" s="42">
        <f>VLOOKUP(Table1[[#This Row],[Status]],Auxiliar!$B$16:$C$24,2,0)</f>
        <v>1</v>
      </c>
      <c r="K235" s="2" t="s">
        <v>1174</v>
      </c>
      <c r="L235" s="28" t="s">
        <v>1169</v>
      </c>
      <c r="M235" s="20" t="s">
        <v>1178</v>
      </c>
      <c r="N235" s="47">
        <v>45612</v>
      </c>
      <c r="O235" s="20">
        <f>INDEX(Auxiliar!$D$5:$F$13,MATCH(Table1[[#This Row],[Tipologia_Testes]],Auxiliar!$B$5:$B$13,0),MATCH(Table1[[#This Row],[Complexidade]],Auxiliar!$D$4:$F$4,0))</f>
        <v>0.1</v>
      </c>
      <c r="P235" s="2"/>
      <c r="Q235" s="2"/>
      <c r="R235" s="151">
        <v>45616</v>
      </c>
      <c r="S235" s="151"/>
      <c r="T235" s="151"/>
      <c r="U235" s="151"/>
      <c r="V235" s="151">
        <v>45639</v>
      </c>
      <c r="W235" s="2">
        <f>VLOOKUP(Table1[[#This Row],[Status]],Auxiliar!$B$16:$D$24,3,0)*Table1[[#This Row],[Estimação (horas)]]</f>
        <v>0.1</v>
      </c>
      <c r="X235" s="166">
        <f>+VLOOKUP(CONCATENATE(Table1[[#This Row],[Tabela]],Table1[[#This Row],[Campo]]),'2. Status Detalhe Campos FY24'!A:J,9,FALSE)</f>
        <v>0</v>
      </c>
    </row>
    <row r="236" spans="2:24" ht="17.850000000000001" hidden="1" customHeight="1">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1171</v>
      </c>
      <c r="L236" s="28" t="s">
        <v>1169</v>
      </c>
      <c r="M236" s="20" t="s">
        <v>1178</v>
      </c>
      <c r="N236" s="47">
        <v>45485</v>
      </c>
      <c r="O236" s="20">
        <f>INDEX(Auxiliar!$D$5:$F$13,MATCH(Table1[[#This Row],[Tipologia_Testes]],Auxiliar!$B$5:$B$13,0),MATCH(Table1[[#This Row],[Complexidade]],Auxiliar!$D$4:$F$4,0))</f>
        <v>2</v>
      </c>
      <c r="P236" s="2" t="s">
        <v>1195</v>
      </c>
      <c r="Q236" s="2"/>
      <c r="R236" s="151">
        <v>45261</v>
      </c>
      <c r="S236" s="151"/>
      <c r="T236" s="151"/>
      <c r="U236" s="151"/>
      <c r="V236" s="151"/>
      <c r="W236" s="2">
        <f>VLOOKUP(Table1[[#This Row],[Status]],Auxiliar!$B$16:$D$24,3,0)*Table1[[#This Row],[Estimação (horas)]]</f>
        <v>2</v>
      </c>
      <c r="X236" s="166">
        <f>+VLOOKUP(CONCATENATE(Table1[[#This Row],[Tabela]],Table1[[#This Row],[Campo]]),'2. Status Detalhe Campos FY24'!A:J,9,FALSE)</f>
        <v>0</v>
      </c>
    </row>
    <row r="237" spans="2:24" ht="17.850000000000001" hidden="1" customHeight="1">
      <c r="B237" s="2" t="s">
        <v>26</v>
      </c>
      <c r="C237" s="2" t="s">
        <v>54</v>
      </c>
      <c r="D237" s="2" t="s">
        <v>124</v>
      </c>
      <c r="E237" s="2" t="s">
        <v>38</v>
      </c>
      <c r="F237" s="2" t="s">
        <v>123</v>
      </c>
      <c r="G237" s="2" t="s">
        <v>133</v>
      </c>
      <c r="H237" s="56" t="str">
        <f>Table1[[#This Row],[Tabela]]&amp;Table1[[#This Row],[Campo]]</f>
        <v>PROPERTY_ENERGY_CERTIFICATEREN_ENERGY_EFFICIENCY_IND</v>
      </c>
      <c r="I237" s="2" t="s">
        <v>612</v>
      </c>
      <c r="J237" s="42">
        <f>VLOOKUP(Table1[[#This Row],[Status]],Auxiliar!$B$16:$C$24,2,0)</f>
        <v>1</v>
      </c>
      <c r="K237" s="2" t="s">
        <v>1172</v>
      </c>
      <c r="L237" s="28" t="s">
        <v>1169</v>
      </c>
      <c r="M237" s="20" t="s">
        <v>1178</v>
      </c>
      <c r="N237" s="47">
        <v>45485</v>
      </c>
      <c r="O237" s="20">
        <f>INDEX(Auxiliar!$D$5:$F$13,MATCH(Table1[[#This Row],[Tipologia_Testes]],Auxiliar!$B$5:$B$13,0),MATCH(Table1[[#This Row],[Complexidade]],Auxiliar!$D$4:$F$4,0))</f>
        <v>2</v>
      </c>
      <c r="P237" s="2" t="s">
        <v>1195</v>
      </c>
      <c r="Q237" s="2"/>
      <c r="R237" s="151">
        <v>45261</v>
      </c>
      <c r="S237" s="151"/>
      <c r="T237" s="151"/>
      <c r="U237" s="151"/>
      <c r="V237" s="151"/>
      <c r="W237" s="2">
        <f>VLOOKUP(Table1[[#This Row],[Status]],Auxiliar!$B$16:$D$24,3,0)*Table1[[#This Row],[Estimação (horas)]]</f>
        <v>2</v>
      </c>
      <c r="X237" s="166">
        <f>+VLOOKUP(CONCATENATE(Table1[[#This Row],[Tabela]],Table1[[#This Row],[Campo]]),'2. Status Detalhe Campos FY24'!A:J,9,FALSE)</f>
        <v>0</v>
      </c>
    </row>
    <row r="238" spans="2:24" ht="17.850000000000001" hidden="1" customHeight="1">
      <c r="B238" s="2" t="s">
        <v>26</v>
      </c>
      <c r="C238" s="2" t="s">
        <v>54</v>
      </c>
      <c r="D238" s="2" t="s">
        <v>124</v>
      </c>
      <c r="E238" s="2" t="s">
        <v>38</v>
      </c>
      <c r="F238" s="2" t="s">
        <v>123</v>
      </c>
      <c r="G238" s="2" t="s">
        <v>133</v>
      </c>
      <c r="H238" s="56" t="str">
        <f>Table1[[#This Row],[Tabela]]&amp;Table1[[#This Row],[Campo]]</f>
        <v>PROPERTY_ENERGY_CERTIFICATEREN_ENERGY_EFFICIENCY_IND</v>
      </c>
      <c r="I238" s="2" t="s">
        <v>612</v>
      </c>
      <c r="J238" s="42">
        <f>VLOOKUP(Table1[[#This Row],[Status]],Auxiliar!$B$16:$C$24,2,0)</f>
        <v>1</v>
      </c>
      <c r="K238" s="2" t="s">
        <v>1174</v>
      </c>
      <c r="L238" s="28" t="s">
        <v>1169</v>
      </c>
      <c r="M238" s="20" t="s">
        <v>1178</v>
      </c>
      <c r="N238" s="47">
        <v>45485</v>
      </c>
      <c r="O238" s="20">
        <f>INDEX(Auxiliar!$D$5:$F$13,MATCH(Table1[[#This Row],[Tipologia_Testes]],Auxiliar!$B$5:$B$13,0),MATCH(Table1[[#This Row],[Complexidade]],Auxiliar!$D$4:$F$4,0))</f>
        <v>0.1</v>
      </c>
      <c r="P238" s="2" t="s">
        <v>1195</v>
      </c>
      <c r="Q238" s="2"/>
      <c r="R238" s="151">
        <v>45261</v>
      </c>
      <c r="S238" s="151"/>
      <c r="T238" s="151"/>
      <c r="U238" s="151"/>
      <c r="V238" s="151"/>
      <c r="W238" s="2">
        <f>VLOOKUP(Table1[[#This Row],[Status]],Auxiliar!$B$16:$D$24,3,0)*Table1[[#This Row],[Estimação (horas)]]</f>
        <v>0.1</v>
      </c>
      <c r="X238" s="166">
        <f>+VLOOKUP(CONCATENATE(Table1[[#This Row],[Tabela]],Table1[[#This Row],[Campo]]),'2. Status Detalhe Campos FY24'!A:J,9,FALSE)</f>
        <v>0</v>
      </c>
    </row>
    <row r="239" spans="2:24" ht="17.850000000000001" hidden="1" customHeight="1">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1171</v>
      </c>
      <c r="L239" s="28" t="s">
        <v>1169</v>
      </c>
      <c r="M239" s="20" t="s">
        <v>1178</v>
      </c>
      <c r="N239" s="47">
        <v>45612</v>
      </c>
      <c r="O239" s="20">
        <f>INDEX(Auxiliar!$D$5:$F$13,MATCH(Table1[[#This Row],[Tipologia_Testes]],Auxiliar!$B$5:$B$13,0),MATCH(Table1[[#This Row],[Complexidade]],Auxiliar!$D$4:$F$4,0))</f>
        <v>2</v>
      </c>
      <c r="P239" s="2"/>
      <c r="Q239" s="2"/>
      <c r="R239" s="151">
        <v>45616</v>
      </c>
      <c r="S239" s="151"/>
      <c r="T239" s="151"/>
      <c r="U239" s="151"/>
      <c r="V239" s="151">
        <v>45639</v>
      </c>
      <c r="W239" s="2">
        <f>VLOOKUP(Table1[[#This Row],[Status]],Auxiliar!$B$16:$D$24,3,0)*Table1[[#This Row],[Estimação (horas)]]</f>
        <v>2</v>
      </c>
      <c r="X239" s="166">
        <f>+VLOOKUP(CONCATENATE(Table1[[#This Row],[Tabela]],Table1[[#This Row],[Campo]]),'2. Status Detalhe Campos FY24'!A:J,9,FALSE)</f>
        <v>0</v>
      </c>
    </row>
    <row r="240" spans="2:24" ht="17.850000000000001" hidden="1" customHeight="1">
      <c r="B240" s="2" t="s">
        <v>26</v>
      </c>
      <c r="C240" s="2" t="s">
        <v>54</v>
      </c>
      <c r="D240" s="2" t="s">
        <v>124</v>
      </c>
      <c r="E240" s="2" t="s">
        <v>38</v>
      </c>
      <c r="F240" s="2" t="s">
        <v>123</v>
      </c>
      <c r="G240" s="2" t="s">
        <v>134</v>
      </c>
      <c r="H240" s="56" t="str">
        <f>Table1[[#This Row],[Tabela]]&amp;Table1[[#This Row],[Campo]]</f>
        <v>PROPERTY_ENERGY_CERTIFICATENZEB_IND</v>
      </c>
      <c r="I240" s="2" t="s">
        <v>612</v>
      </c>
      <c r="J240" s="42">
        <f>VLOOKUP(Table1[[#This Row],[Status]],Auxiliar!$B$16:$C$24,2,0)</f>
        <v>1</v>
      </c>
      <c r="K240" s="2" t="s">
        <v>1172</v>
      </c>
      <c r="L240" s="28" t="s">
        <v>1169</v>
      </c>
      <c r="M240" s="20" t="s">
        <v>1178</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166">
        <f>+VLOOKUP(CONCATENATE(Table1[[#This Row],[Tabela]],Table1[[#This Row],[Campo]]),'2. Status Detalhe Campos FY24'!A:J,9,FALSE)</f>
        <v>0</v>
      </c>
    </row>
    <row r="241" spans="2:24" ht="17.850000000000001" hidden="1" customHeight="1">
      <c r="B241" s="2" t="s">
        <v>26</v>
      </c>
      <c r="C241" s="2" t="s">
        <v>54</v>
      </c>
      <c r="D241" s="2" t="s">
        <v>124</v>
      </c>
      <c r="E241" s="2" t="s">
        <v>38</v>
      </c>
      <c r="F241" s="2" t="s">
        <v>123</v>
      </c>
      <c r="G241" s="2" t="s">
        <v>134</v>
      </c>
      <c r="H241" s="56" t="str">
        <f>Table1[[#This Row],[Tabela]]&amp;Table1[[#This Row],[Campo]]</f>
        <v>PROPERTY_ENERGY_CERTIFICATENZEB_IND</v>
      </c>
      <c r="I241" s="2" t="s">
        <v>612</v>
      </c>
      <c r="J241" s="42">
        <f>VLOOKUP(Table1[[#This Row],[Status]],Auxiliar!$B$16:$C$24,2,0)</f>
        <v>1</v>
      </c>
      <c r="K241" s="2" t="s">
        <v>1174</v>
      </c>
      <c r="L241" s="28" t="s">
        <v>1169</v>
      </c>
      <c r="M241" s="20" t="s">
        <v>1178</v>
      </c>
      <c r="N241" s="47">
        <v>45612</v>
      </c>
      <c r="O241" s="20">
        <f>INDEX(Auxiliar!$D$5:$F$13,MATCH(Table1[[#This Row],[Tipologia_Testes]],Auxiliar!$B$5:$B$13,0),MATCH(Table1[[#This Row],[Complexidade]],Auxiliar!$D$4:$F$4,0))</f>
        <v>0.1</v>
      </c>
      <c r="P241" s="2"/>
      <c r="Q241" s="2"/>
      <c r="R241" s="151">
        <v>45616</v>
      </c>
      <c r="S241" s="151"/>
      <c r="T241" s="151"/>
      <c r="U241" s="151"/>
      <c r="V241" s="151">
        <v>45639</v>
      </c>
      <c r="W241" s="2">
        <f>VLOOKUP(Table1[[#This Row],[Status]],Auxiliar!$B$16:$D$24,3,0)*Table1[[#This Row],[Estimação (horas)]]</f>
        <v>0.1</v>
      </c>
      <c r="X241" s="166">
        <f>+VLOOKUP(CONCATENATE(Table1[[#This Row],[Tabela]],Table1[[#This Row],[Campo]]),'2. Status Detalhe Campos FY24'!A:J,9,FALSE)</f>
        <v>0</v>
      </c>
    </row>
    <row r="242" spans="2:24" ht="17.850000000000001" hidden="1" customHeight="1">
      <c r="B242" s="2" t="s">
        <v>26</v>
      </c>
      <c r="C242" s="2" t="s">
        <v>54</v>
      </c>
      <c r="D242" s="2" t="s">
        <v>124</v>
      </c>
      <c r="E242" s="2" t="s">
        <v>38</v>
      </c>
      <c r="F242" s="2" t="s">
        <v>123</v>
      </c>
      <c r="G242" s="2" t="s">
        <v>50</v>
      </c>
      <c r="H242" s="56" t="str">
        <f>Table1[[#This Row],[Tabela]]&amp;Table1[[#This Row],[Campo]]</f>
        <v>PROPERTY_ENERGY_CERTIFICATEQUALITY_SCORE</v>
      </c>
      <c r="I242" s="2" t="s">
        <v>612</v>
      </c>
      <c r="J242" s="42">
        <f>VLOOKUP(Table1[[#This Row],[Status]],Auxiliar!$B$16:$C$24,2,0)</f>
        <v>1</v>
      </c>
      <c r="K242" s="2" t="s">
        <v>1171</v>
      </c>
      <c r="L242" s="28" t="s">
        <v>1169</v>
      </c>
      <c r="M242" s="20" t="s">
        <v>1178</v>
      </c>
      <c r="N242" s="47">
        <v>45612</v>
      </c>
      <c r="O242" s="20">
        <f>INDEX(Auxiliar!$D$5:$F$13,MATCH(Table1[[#This Row],[Tipologia_Testes]],Auxiliar!$B$5:$B$13,0),MATCH(Table1[[#This Row],[Complexidade]],Auxiliar!$D$4:$F$4,0))</f>
        <v>2</v>
      </c>
      <c r="P242" s="2"/>
      <c r="Q242" s="2"/>
      <c r="R242" s="151">
        <v>45616</v>
      </c>
      <c r="S242" s="151"/>
      <c r="T242" s="151"/>
      <c r="U242" s="151"/>
      <c r="V242" s="151">
        <v>45639</v>
      </c>
      <c r="W242" s="2">
        <f>VLOOKUP(Table1[[#This Row],[Status]],Auxiliar!$B$16:$D$24,3,0)*Table1[[#This Row],[Estimação (horas)]]</f>
        <v>2</v>
      </c>
      <c r="X242" s="166">
        <f>+VLOOKUP(CONCATENATE(Table1[[#This Row],[Tabela]],Table1[[#This Row],[Campo]]),'2. Status Detalhe Campos FY24'!A:J,9,FALSE)</f>
        <v>0</v>
      </c>
    </row>
    <row r="243" spans="2:24" ht="17.850000000000001" hidden="1" customHeight="1">
      <c r="B243" s="2" t="s">
        <v>26</v>
      </c>
      <c r="C243" s="2" t="s">
        <v>54</v>
      </c>
      <c r="D243" s="2" t="s">
        <v>124</v>
      </c>
      <c r="E243" s="2" t="s">
        <v>38</v>
      </c>
      <c r="F243" s="2" t="s">
        <v>123</v>
      </c>
      <c r="G243" s="2" t="s">
        <v>50</v>
      </c>
      <c r="H243" s="56" t="str">
        <f>Table1[[#This Row],[Tabela]]&amp;Table1[[#This Row],[Campo]]</f>
        <v>PROPERTY_ENERGY_CERTIFICATEQUALITY_SCORE</v>
      </c>
      <c r="I243" s="2" t="s">
        <v>612</v>
      </c>
      <c r="J243" s="42">
        <f>VLOOKUP(Table1[[#This Row],[Status]],Auxiliar!$B$16:$C$24,2,0)</f>
        <v>1</v>
      </c>
      <c r="K243" s="2" t="s">
        <v>1172</v>
      </c>
      <c r="L243" s="28" t="s">
        <v>1169</v>
      </c>
      <c r="M243" s="20" t="s">
        <v>1178</v>
      </c>
      <c r="N243" s="47">
        <v>45612</v>
      </c>
      <c r="O243" s="20">
        <f>INDEX(Auxiliar!$D$5:$F$13,MATCH(Table1[[#This Row],[Tipologia_Testes]],Auxiliar!$B$5:$B$13,0),MATCH(Table1[[#This Row],[Complexidade]],Auxiliar!$D$4:$F$4,0))</f>
        <v>2</v>
      </c>
      <c r="P243" s="2"/>
      <c r="Q243" s="2"/>
      <c r="R243" s="151">
        <v>45616</v>
      </c>
      <c r="S243" s="151"/>
      <c r="T243" s="151"/>
      <c r="U243" s="151"/>
      <c r="V243" s="151">
        <v>45639</v>
      </c>
      <c r="W243" s="2">
        <f>VLOOKUP(Table1[[#This Row],[Status]],Auxiliar!$B$16:$D$24,3,0)*Table1[[#This Row],[Estimação (horas)]]</f>
        <v>2</v>
      </c>
      <c r="X243" s="166">
        <f>+VLOOKUP(CONCATENATE(Table1[[#This Row],[Tabela]],Table1[[#This Row],[Campo]]),'2. Status Detalhe Campos FY24'!A:J,9,FALSE)</f>
        <v>0</v>
      </c>
    </row>
    <row r="244" spans="2:24" ht="17.850000000000001" hidden="1" customHeight="1">
      <c r="B244" s="2" t="s">
        <v>26</v>
      </c>
      <c r="C244" s="2" t="s">
        <v>54</v>
      </c>
      <c r="D244" s="2" t="s">
        <v>124</v>
      </c>
      <c r="E244" s="2" t="s">
        <v>38</v>
      </c>
      <c r="F244" s="2" t="s">
        <v>123</v>
      </c>
      <c r="G244" s="2" t="s">
        <v>50</v>
      </c>
      <c r="H244" s="56" t="str">
        <f>Table1[[#This Row],[Tabela]]&amp;Table1[[#This Row],[Campo]]</f>
        <v>PROPERTY_ENERGY_CERTIFICATEQUALITY_SCORE</v>
      </c>
      <c r="I244" s="2" t="s">
        <v>612</v>
      </c>
      <c r="J244" s="42">
        <f>VLOOKUP(Table1[[#This Row],[Status]],Auxiliar!$B$16:$C$24,2,0)</f>
        <v>1</v>
      </c>
      <c r="K244" s="2" t="s">
        <v>1174</v>
      </c>
      <c r="L244" s="28" t="s">
        <v>1169</v>
      </c>
      <c r="M244" s="20" t="s">
        <v>1178</v>
      </c>
      <c r="N244" s="47">
        <v>45612</v>
      </c>
      <c r="O244" s="20">
        <f>INDEX(Auxiliar!$D$5:$F$13,MATCH(Table1[[#This Row],[Tipologia_Testes]],Auxiliar!$B$5:$B$13,0),MATCH(Table1[[#This Row],[Complexidade]],Auxiliar!$D$4:$F$4,0))</f>
        <v>0.1</v>
      </c>
      <c r="P244" s="2"/>
      <c r="Q244" s="2"/>
      <c r="R244" s="151">
        <v>45616</v>
      </c>
      <c r="S244" s="151"/>
      <c r="T244" s="151"/>
      <c r="U244" s="151"/>
      <c r="V244" s="151">
        <v>45639</v>
      </c>
      <c r="W244" s="2">
        <f>VLOOKUP(Table1[[#This Row],[Status]],Auxiliar!$B$16:$D$24,3,0)*Table1[[#This Row],[Estimação (horas)]]</f>
        <v>0.1</v>
      </c>
      <c r="X244" s="166">
        <f>+VLOOKUP(CONCATENATE(Table1[[#This Row],[Tabela]],Table1[[#This Row],[Campo]]),'2. Status Detalhe Campos FY24'!A:J,9,FALSE)</f>
        <v>0</v>
      </c>
    </row>
    <row r="245" spans="2:24" ht="17.850000000000001" hidden="1" customHeight="1">
      <c r="B245" s="2" t="s">
        <v>26</v>
      </c>
      <c r="C245" s="2" t="s">
        <v>54</v>
      </c>
      <c r="D245" s="2" t="s">
        <v>124</v>
      </c>
      <c r="E245" s="2" t="s">
        <v>38</v>
      </c>
      <c r="F245" s="2" t="s">
        <v>123</v>
      </c>
      <c r="G245" s="2" t="s">
        <v>135</v>
      </c>
      <c r="H245" s="56" t="str">
        <f>Table1[[#This Row],[Tabela]]&amp;Table1[[#This Row],[Campo]]</f>
        <v>PROPERTY_ENERGY_CERTIFICATEEP_SCORE</v>
      </c>
      <c r="I245" s="2" t="s">
        <v>614</v>
      </c>
      <c r="J245" s="42">
        <f>VLOOKUP(Table1[[#This Row],[Status]],Auxiliar!$B$16:$C$24,2,0)</f>
        <v>5</v>
      </c>
      <c r="K245" s="2" t="s">
        <v>1171</v>
      </c>
      <c r="L245" s="28" t="s">
        <v>1169</v>
      </c>
      <c r="M245" s="20" t="s">
        <v>1178</v>
      </c>
      <c r="N245" s="47">
        <v>45688</v>
      </c>
      <c r="O245" s="20">
        <f>INDEX(Auxiliar!$D$5:$F$13,MATCH(Table1[[#This Row],[Tipologia_Testes]],Auxiliar!$B$5:$B$13,0),MATCH(Table1[[#This Row],[Complexidade]],Auxiliar!$D$4:$F$4,0))</f>
        <v>2</v>
      </c>
      <c r="P245" s="2"/>
      <c r="Q245" s="2"/>
      <c r="R245" s="151">
        <v>45261</v>
      </c>
      <c r="S245" s="151"/>
      <c r="T245" s="151"/>
      <c r="U245" s="151"/>
      <c r="V245" s="151"/>
      <c r="W245" s="2">
        <f>VLOOKUP(Table1[[#This Row],[Status]],Auxiliar!$B$16:$D$24,3,0)*Table1[[#This Row],[Estimação (horas)]]</f>
        <v>0.5</v>
      </c>
      <c r="X245" s="166">
        <f>+VLOOKUP(CONCATENATE(Table1[[#This Row],[Tabela]],Table1[[#This Row],[Campo]]),'2. Status Detalhe Campos FY24'!A:J,9,FALSE)</f>
        <v>0</v>
      </c>
    </row>
    <row r="246" spans="2:24" ht="17.850000000000001" hidden="1" customHeight="1">
      <c r="B246" s="2" t="s">
        <v>26</v>
      </c>
      <c r="C246" s="2" t="s">
        <v>54</v>
      </c>
      <c r="D246" s="2" t="s">
        <v>124</v>
      </c>
      <c r="E246" s="2" t="s">
        <v>38</v>
      </c>
      <c r="F246" s="2" t="s">
        <v>123</v>
      </c>
      <c r="G246" s="2" t="s">
        <v>135</v>
      </c>
      <c r="H246" s="56" t="str">
        <f>Table1[[#This Row],[Tabela]]&amp;Table1[[#This Row],[Campo]]</f>
        <v>PROPERTY_ENERGY_CERTIFICATEEP_SCORE</v>
      </c>
      <c r="I246" s="2" t="s">
        <v>614</v>
      </c>
      <c r="J246" s="42">
        <f>VLOOKUP(Table1[[#This Row],[Status]],Auxiliar!$B$16:$C$24,2,0)</f>
        <v>5</v>
      </c>
      <c r="K246" s="2" t="s">
        <v>1172</v>
      </c>
      <c r="L246" s="28" t="s">
        <v>1169</v>
      </c>
      <c r="M246" s="20" t="s">
        <v>1178</v>
      </c>
      <c r="N246" s="47">
        <v>45688</v>
      </c>
      <c r="O246" s="20">
        <f>INDEX(Auxiliar!$D$5:$F$13,MATCH(Table1[[#This Row],[Tipologia_Testes]],Auxiliar!$B$5:$B$13,0),MATCH(Table1[[#This Row],[Complexidade]],Auxiliar!$D$4:$F$4,0))</f>
        <v>2</v>
      </c>
      <c r="P246" s="2"/>
      <c r="Q246" s="2"/>
      <c r="R246" s="151">
        <v>45261</v>
      </c>
      <c r="S246" s="151"/>
      <c r="T246" s="151"/>
      <c r="U246" s="151"/>
      <c r="V246" s="151"/>
      <c r="W246" s="2">
        <f>VLOOKUP(Table1[[#This Row],[Status]],Auxiliar!$B$16:$D$24,3,0)*Table1[[#This Row],[Estimação (horas)]]</f>
        <v>0.5</v>
      </c>
      <c r="X246" s="166">
        <f>+VLOOKUP(CONCATENATE(Table1[[#This Row],[Tabela]],Table1[[#This Row],[Campo]]),'2. Status Detalhe Campos FY24'!A:J,9,FALSE)</f>
        <v>0</v>
      </c>
    </row>
    <row r="247" spans="2:24" ht="17.850000000000001" hidden="1" customHeight="1">
      <c r="B247" s="2" t="s">
        <v>26</v>
      </c>
      <c r="C247" s="2" t="s">
        <v>54</v>
      </c>
      <c r="D247" s="2" t="s">
        <v>124</v>
      </c>
      <c r="E247" s="2" t="s">
        <v>38</v>
      </c>
      <c r="F247" s="2" t="s">
        <v>123</v>
      </c>
      <c r="G247" s="2" t="s">
        <v>135</v>
      </c>
      <c r="H247" s="56" t="str">
        <f>Table1[[#This Row],[Tabela]]&amp;Table1[[#This Row],[Campo]]</f>
        <v>PROPERTY_ENERGY_CERTIFICATEEP_SCORE</v>
      </c>
      <c r="I247" s="2" t="s">
        <v>614</v>
      </c>
      <c r="J247" s="42">
        <f>VLOOKUP(Table1[[#This Row],[Status]],Auxiliar!$B$16:$C$24,2,0)</f>
        <v>5</v>
      </c>
      <c r="K247" s="2" t="s">
        <v>1174</v>
      </c>
      <c r="L247" s="28" t="s">
        <v>1169</v>
      </c>
      <c r="M247" s="20" t="s">
        <v>1178</v>
      </c>
      <c r="N247" s="47">
        <v>45688</v>
      </c>
      <c r="O247" s="20">
        <f>INDEX(Auxiliar!$D$5:$F$13,MATCH(Table1[[#This Row],[Tipologia_Testes]],Auxiliar!$B$5:$B$13,0),MATCH(Table1[[#This Row],[Complexidade]],Auxiliar!$D$4:$F$4,0))</f>
        <v>0.1</v>
      </c>
      <c r="P247" s="2"/>
      <c r="Q247" s="2"/>
      <c r="R247" s="151">
        <v>45261</v>
      </c>
      <c r="S247" s="151"/>
      <c r="T247" s="151"/>
      <c r="U247" s="151"/>
      <c r="V247" s="151"/>
      <c r="W247" s="2">
        <f>VLOOKUP(Table1[[#This Row],[Status]],Auxiliar!$B$16:$D$24,3,0)*Table1[[#This Row],[Estimação (horas)]]</f>
        <v>2.5000000000000001E-2</v>
      </c>
      <c r="X247" s="166">
        <f>+VLOOKUP(CONCATENATE(Table1[[#This Row],[Tabela]],Table1[[#This Row],[Campo]]),'2. Status Detalhe Campos FY24'!A:J,9,FALSE)</f>
        <v>0</v>
      </c>
    </row>
    <row r="248" spans="2:24" ht="17.850000000000001" hidden="1" customHeight="1">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1171</v>
      </c>
      <c r="L248" s="28" t="s">
        <v>1169</v>
      </c>
      <c r="M248" s="20" t="s">
        <v>1178</v>
      </c>
      <c r="N248" s="47">
        <v>45612</v>
      </c>
      <c r="O248" s="20">
        <f>INDEX(Auxiliar!$D$5:$F$13,MATCH(Table1[[#This Row],[Tipologia_Testes]],Auxiliar!$B$5:$B$13,0),MATCH(Table1[[#This Row],[Complexidade]],Auxiliar!$D$4:$F$4,0))</f>
        <v>2</v>
      </c>
      <c r="P248" s="2"/>
      <c r="Q248" s="2"/>
      <c r="R248" s="151">
        <v>45616</v>
      </c>
      <c r="S248" s="151"/>
      <c r="T248" s="151"/>
      <c r="U248" s="151"/>
      <c r="V248" s="151">
        <v>45639</v>
      </c>
      <c r="W248" s="2">
        <f>VLOOKUP(Table1[[#This Row],[Status]],Auxiliar!$B$16:$D$24,3,0)*Table1[[#This Row],[Estimação (horas)]]</f>
        <v>2</v>
      </c>
      <c r="X248" s="166">
        <f>+VLOOKUP(CONCATENATE(Table1[[#This Row],[Tabela]],Table1[[#This Row],[Campo]]),'2. Status Detalhe Campos FY24'!A:J,9,FALSE)</f>
        <v>0</v>
      </c>
    </row>
    <row r="249" spans="2:24" ht="17.850000000000001" hidden="1" customHeight="1">
      <c r="B249" s="2" t="s">
        <v>26</v>
      </c>
      <c r="C249" s="2" t="s">
        <v>54</v>
      </c>
      <c r="D249" s="2" t="s">
        <v>124</v>
      </c>
      <c r="E249" s="2" t="s">
        <v>38</v>
      </c>
      <c r="F249" s="2" t="s">
        <v>123</v>
      </c>
      <c r="G249" s="2" t="s">
        <v>87</v>
      </c>
      <c r="H249" s="56" t="str">
        <f>Table1[[#This Row],[Tabela]]&amp;Table1[[#This Row],[Campo]]</f>
        <v>PROPERTY_ENERGY_CERTIFICATESOURCE_CODE</v>
      </c>
      <c r="I249" s="2" t="s">
        <v>612</v>
      </c>
      <c r="J249" s="42">
        <f>VLOOKUP(Table1[[#This Row],[Status]],Auxiliar!$B$16:$C$24,2,0)</f>
        <v>1</v>
      </c>
      <c r="K249" s="2" t="s">
        <v>1172</v>
      </c>
      <c r="L249" s="28" t="s">
        <v>1169</v>
      </c>
      <c r="M249" s="20" t="s">
        <v>1178</v>
      </c>
      <c r="N249" s="47">
        <v>45612</v>
      </c>
      <c r="O249" s="20">
        <f>INDEX(Auxiliar!$D$5:$F$13,MATCH(Table1[[#This Row],[Tipologia_Testes]],Auxiliar!$B$5:$B$13,0),MATCH(Table1[[#This Row],[Complexidade]],Auxiliar!$D$4:$F$4,0))</f>
        <v>2</v>
      </c>
      <c r="P249" s="2"/>
      <c r="Q249" s="2"/>
      <c r="R249" s="151">
        <v>45616</v>
      </c>
      <c r="S249" s="151"/>
      <c r="T249" s="151"/>
      <c r="U249" s="151"/>
      <c r="V249" s="151">
        <v>45639</v>
      </c>
      <c r="W249" s="2">
        <f>VLOOKUP(Table1[[#This Row],[Status]],Auxiliar!$B$16:$D$24,3,0)*Table1[[#This Row],[Estimação (horas)]]</f>
        <v>2</v>
      </c>
      <c r="X249" s="166">
        <f>+VLOOKUP(CONCATENATE(Table1[[#This Row],[Tabela]],Table1[[#This Row],[Campo]]),'2. Status Detalhe Campos FY24'!A:J,9,FALSE)</f>
        <v>0</v>
      </c>
    </row>
    <row r="250" spans="2:24" ht="17.850000000000001" hidden="1" customHeight="1">
      <c r="B250" s="2" t="s">
        <v>26</v>
      </c>
      <c r="C250" s="2" t="s">
        <v>54</v>
      </c>
      <c r="D250" s="2" t="s">
        <v>124</v>
      </c>
      <c r="E250" s="2" t="s">
        <v>38</v>
      </c>
      <c r="F250" s="2" t="s">
        <v>123</v>
      </c>
      <c r="G250" s="2" t="s">
        <v>87</v>
      </c>
      <c r="H250" s="56" t="str">
        <f>Table1[[#This Row],[Tabela]]&amp;Table1[[#This Row],[Campo]]</f>
        <v>PROPERTY_ENERGY_CERTIFICATESOURCE_CODE</v>
      </c>
      <c r="I250" s="2" t="s">
        <v>612</v>
      </c>
      <c r="J250" s="42">
        <f>VLOOKUP(Table1[[#This Row],[Status]],Auxiliar!$B$16:$C$24,2,0)</f>
        <v>1</v>
      </c>
      <c r="K250" s="2" t="s">
        <v>1174</v>
      </c>
      <c r="L250" s="28" t="s">
        <v>1169</v>
      </c>
      <c r="M250" s="20" t="s">
        <v>1178</v>
      </c>
      <c r="N250" s="47">
        <v>45612</v>
      </c>
      <c r="O250" s="20">
        <f>INDEX(Auxiliar!$D$5:$F$13,MATCH(Table1[[#This Row],[Tipologia_Testes]],Auxiliar!$B$5:$B$13,0),MATCH(Table1[[#This Row],[Complexidade]],Auxiliar!$D$4:$F$4,0))</f>
        <v>0.1</v>
      </c>
      <c r="P250" s="2"/>
      <c r="Q250" s="2"/>
      <c r="R250" s="151">
        <v>45616</v>
      </c>
      <c r="S250" s="151"/>
      <c r="T250" s="151"/>
      <c r="U250" s="151"/>
      <c r="V250" s="151">
        <v>45639</v>
      </c>
      <c r="W250" s="2">
        <f>VLOOKUP(Table1[[#This Row],[Status]],Auxiliar!$B$16:$D$24,3,0)*Table1[[#This Row],[Estimação (horas)]]</f>
        <v>0.1</v>
      </c>
      <c r="X250" s="166">
        <f>+VLOOKUP(CONCATENATE(Table1[[#This Row],[Tabela]],Table1[[#This Row],[Campo]]),'2. Status Detalhe Campos FY24'!A:J,9,FALSE)</f>
        <v>0</v>
      </c>
    </row>
    <row r="251" spans="2:24" ht="17.850000000000001" hidden="1" customHeight="1">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1171</v>
      </c>
      <c r="L251" s="28" t="s">
        <v>1169</v>
      </c>
      <c r="M251" s="20" t="s">
        <v>1178</v>
      </c>
      <c r="N251" s="47">
        <v>45485</v>
      </c>
      <c r="O251" s="20">
        <f>INDEX(Auxiliar!$D$5:$F$13,MATCH(Table1[[#This Row],[Tipologia_Testes]],Auxiliar!$B$5:$B$13,0),MATCH(Table1[[#This Row],[Complexidade]],Auxiliar!$D$4:$F$4,0))</f>
        <v>2</v>
      </c>
      <c r="P251" s="2" t="s">
        <v>1195</v>
      </c>
      <c r="Q251" s="2"/>
      <c r="R251" s="151">
        <v>45261</v>
      </c>
      <c r="S251" s="151"/>
      <c r="T251" s="151"/>
      <c r="U251" s="151"/>
      <c r="V251" s="151"/>
      <c r="W251" s="2">
        <f>VLOOKUP(Table1[[#This Row],[Status]],Auxiliar!$B$16:$D$24,3,0)*Table1[[#This Row],[Estimação (horas)]]</f>
        <v>2</v>
      </c>
      <c r="X251" s="166">
        <f>+VLOOKUP(CONCATENATE(Table1[[#This Row],[Tabela]],Table1[[#This Row],[Campo]]),'2. Status Detalhe Campos FY24'!A:J,9,FALSE)</f>
        <v>0</v>
      </c>
    </row>
    <row r="252" spans="2:24" ht="17.850000000000001" hidden="1" customHeight="1">
      <c r="B252" s="2" t="s">
        <v>26</v>
      </c>
      <c r="C252" s="2" t="s">
        <v>54</v>
      </c>
      <c r="D252" s="2" t="s">
        <v>124</v>
      </c>
      <c r="E252" s="2" t="s">
        <v>38</v>
      </c>
      <c r="F252" s="2" t="s">
        <v>123</v>
      </c>
      <c r="G252" s="2" t="s">
        <v>73</v>
      </c>
      <c r="H252" s="56" t="str">
        <f>Table1[[#This Row],[Tabela]]&amp;Table1[[#This Row],[Campo]]</f>
        <v>PROPERTY_ENERGY_CERTIFICATEDATA_DATE_PART</v>
      </c>
      <c r="I252" s="2" t="s">
        <v>612</v>
      </c>
      <c r="J252" s="42">
        <f>VLOOKUP(Table1[[#This Row],[Status]],Auxiliar!$B$16:$C$24,2,0)</f>
        <v>1</v>
      </c>
      <c r="K252" s="2" t="s">
        <v>1172</v>
      </c>
      <c r="L252" s="28" t="s">
        <v>1169</v>
      </c>
      <c r="M252" s="20" t="s">
        <v>1178</v>
      </c>
      <c r="N252" s="47">
        <v>45485</v>
      </c>
      <c r="O252" s="20">
        <f>INDEX(Auxiliar!$D$5:$F$13,MATCH(Table1[[#This Row],[Tipologia_Testes]],Auxiliar!$B$5:$B$13,0),MATCH(Table1[[#This Row],[Complexidade]],Auxiliar!$D$4:$F$4,0))</f>
        <v>2</v>
      </c>
      <c r="P252" s="2" t="s">
        <v>1195</v>
      </c>
      <c r="Q252" s="2"/>
      <c r="R252" s="151">
        <v>45261</v>
      </c>
      <c r="S252" s="151"/>
      <c r="T252" s="151"/>
      <c r="U252" s="151"/>
      <c r="V252" s="151"/>
      <c r="W252" s="2">
        <f>VLOOKUP(Table1[[#This Row],[Status]],Auxiliar!$B$16:$D$24,3,0)*Table1[[#This Row],[Estimação (horas)]]</f>
        <v>2</v>
      </c>
      <c r="X252" s="166">
        <f>+VLOOKUP(CONCATENATE(Table1[[#This Row],[Tabela]],Table1[[#This Row],[Campo]]),'2. Status Detalhe Campos FY24'!A:J,9,FALSE)</f>
        <v>0</v>
      </c>
    </row>
    <row r="253" spans="2:24" ht="17.850000000000001" hidden="1" customHeight="1">
      <c r="B253" s="2" t="s">
        <v>26</v>
      </c>
      <c r="C253" s="2" t="s">
        <v>54</v>
      </c>
      <c r="D253" s="2" t="s">
        <v>124</v>
      </c>
      <c r="E253" s="2" t="s">
        <v>38</v>
      </c>
      <c r="F253" s="2" t="s">
        <v>123</v>
      </c>
      <c r="G253" s="2" t="s">
        <v>73</v>
      </c>
      <c r="H253" s="56" t="str">
        <f>Table1[[#This Row],[Tabela]]&amp;Table1[[#This Row],[Campo]]</f>
        <v>PROPERTY_ENERGY_CERTIFICATEDATA_DATE_PART</v>
      </c>
      <c r="I253" s="2" t="s">
        <v>612</v>
      </c>
      <c r="J253" s="42">
        <f>VLOOKUP(Table1[[#This Row],[Status]],Auxiliar!$B$16:$C$24,2,0)</f>
        <v>1</v>
      </c>
      <c r="K253" s="2" t="s">
        <v>1174</v>
      </c>
      <c r="L253" s="28" t="s">
        <v>1169</v>
      </c>
      <c r="M253" s="20" t="s">
        <v>1178</v>
      </c>
      <c r="N253" s="47">
        <v>45485</v>
      </c>
      <c r="O253" s="20">
        <f>INDEX(Auxiliar!$D$5:$F$13,MATCH(Table1[[#This Row],[Tipologia_Testes]],Auxiliar!$B$5:$B$13,0),MATCH(Table1[[#This Row],[Complexidade]],Auxiliar!$D$4:$F$4,0))</f>
        <v>0.1</v>
      </c>
      <c r="P253" s="2" t="s">
        <v>1195</v>
      </c>
      <c r="Q253" s="2"/>
      <c r="R253" s="151">
        <v>45261</v>
      </c>
      <c r="S253" s="151"/>
      <c r="T253" s="151"/>
      <c r="U253" s="151"/>
      <c r="V253" s="151"/>
      <c r="W253" s="2">
        <f>VLOOKUP(Table1[[#This Row],[Status]],Auxiliar!$B$16:$D$24,3,0)*Table1[[#This Row],[Estimação (horas)]]</f>
        <v>0.1</v>
      </c>
      <c r="X253" s="166">
        <f>+VLOOKUP(CONCATENATE(Table1[[#This Row],[Tabela]],Table1[[#This Row],[Campo]]),'2. Status Detalhe Campos FY24'!A:J,9,FALSE)</f>
        <v>0</v>
      </c>
    </row>
    <row r="254" spans="2:24" ht="17.850000000000001" hidden="1" customHeight="1">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1171</v>
      </c>
      <c r="L254" s="28" t="s">
        <v>1169</v>
      </c>
      <c r="M254" s="20" t="s">
        <v>1178</v>
      </c>
      <c r="N254" s="47">
        <v>45612</v>
      </c>
      <c r="O254" s="20">
        <f>INDEX(Auxiliar!$D$5:$F$13,MATCH(Table1[[#This Row],[Tipologia_Testes]],Auxiliar!$B$5:$B$13,0),MATCH(Table1[[#This Row],[Complexidade]],Auxiliar!$D$4:$F$4,0))</f>
        <v>2</v>
      </c>
      <c r="P254" s="2"/>
      <c r="Q254" s="2"/>
      <c r="R254" s="151">
        <v>45616</v>
      </c>
      <c r="S254" s="151"/>
      <c r="T254" s="151"/>
      <c r="U254" s="151"/>
      <c r="V254" s="151">
        <v>45639</v>
      </c>
      <c r="W254" s="2">
        <f>VLOOKUP(Table1[[#This Row],[Status]],Auxiliar!$B$16:$D$24,3,0)*Table1[[#This Row],[Estimação (horas)]]</f>
        <v>2</v>
      </c>
      <c r="X254" s="166">
        <f>+VLOOKUP(CONCATENATE(Table1[[#This Row],[Tabela]],Table1[[#This Row],[Campo]]),'2. Status Detalhe Campos FY24'!A:J,9,FALSE)</f>
        <v>0</v>
      </c>
    </row>
    <row r="255" spans="2:24" ht="17.850000000000001" hidden="1" customHeight="1">
      <c r="B255" s="2" t="s">
        <v>26</v>
      </c>
      <c r="C255" s="2" t="s">
        <v>54</v>
      </c>
      <c r="D255" s="2" t="s">
        <v>124</v>
      </c>
      <c r="E255" s="2" t="s">
        <v>38</v>
      </c>
      <c r="F255" s="2" t="s">
        <v>123</v>
      </c>
      <c r="G255" s="2" t="s">
        <v>136</v>
      </c>
      <c r="H255" s="56" t="str">
        <f>Table1[[#This Row],[Tabela]]&amp;Table1[[#This Row],[Campo]]</f>
        <v>PROPERTY_ENERGY_CERTIFICATECERTIFICATE_TYPE</v>
      </c>
      <c r="I255" s="2" t="s">
        <v>612</v>
      </c>
      <c r="J255" s="42">
        <f>VLOOKUP(Table1[[#This Row],[Status]],Auxiliar!$B$16:$C$24,2,0)</f>
        <v>1</v>
      </c>
      <c r="K255" s="2" t="s">
        <v>1172</v>
      </c>
      <c r="L255" s="28" t="s">
        <v>1169</v>
      </c>
      <c r="M255" s="20" t="s">
        <v>1178</v>
      </c>
      <c r="N255" s="47">
        <v>45612</v>
      </c>
      <c r="O255" s="20">
        <f>INDEX(Auxiliar!$D$5:$F$13,MATCH(Table1[[#This Row],[Tipologia_Testes]],Auxiliar!$B$5:$B$13,0),MATCH(Table1[[#This Row],[Complexidade]],Auxiliar!$D$4:$F$4,0))</f>
        <v>2</v>
      </c>
      <c r="P255" s="2"/>
      <c r="Q255" s="2"/>
      <c r="R255" s="151">
        <v>45616</v>
      </c>
      <c r="S255" s="151"/>
      <c r="T255" s="151"/>
      <c r="U255" s="151"/>
      <c r="V255" s="151">
        <v>45639</v>
      </c>
      <c r="W255" s="2">
        <f>VLOOKUP(Table1[[#This Row],[Status]],Auxiliar!$B$16:$D$24,3,0)*Table1[[#This Row],[Estimação (horas)]]</f>
        <v>2</v>
      </c>
      <c r="X255" s="166">
        <f>+VLOOKUP(CONCATENATE(Table1[[#This Row],[Tabela]],Table1[[#This Row],[Campo]]),'2. Status Detalhe Campos FY24'!A:J,9,FALSE)</f>
        <v>0</v>
      </c>
    </row>
    <row r="256" spans="2:24" ht="17.850000000000001" hidden="1" customHeight="1">
      <c r="B256" s="2" t="s">
        <v>26</v>
      </c>
      <c r="C256" s="2" t="s">
        <v>54</v>
      </c>
      <c r="D256" s="2" t="s">
        <v>124</v>
      </c>
      <c r="E256" s="2" t="s">
        <v>38</v>
      </c>
      <c r="F256" s="2" t="s">
        <v>123</v>
      </c>
      <c r="G256" s="2" t="s">
        <v>136</v>
      </c>
      <c r="H256" s="56" t="str">
        <f>Table1[[#This Row],[Tabela]]&amp;Table1[[#This Row],[Campo]]</f>
        <v>PROPERTY_ENERGY_CERTIFICATECERTIFICATE_TYPE</v>
      </c>
      <c r="I256" s="2" t="s">
        <v>612</v>
      </c>
      <c r="J256" s="42">
        <f>VLOOKUP(Table1[[#This Row],[Status]],Auxiliar!$B$16:$C$24,2,0)</f>
        <v>1</v>
      </c>
      <c r="K256" s="2" t="s">
        <v>1174</v>
      </c>
      <c r="L256" s="28" t="s">
        <v>1169</v>
      </c>
      <c r="M256" s="20" t="s">
        <v>1178</v>
      </c>
      <c r="N256" s="47">
        <v>45612</v>
      </c>
      <c r="O256" s="20">
        <f>INDEX(Auxiliar!$D$5:$F$13,MATCH(Table1[[#This Row],[Tipologia_Testes]],Auxiliar!$B$5:$B$13,0),MATCH(Table1[[#This Row],[Complexidade]],Auxiliar!$D$4:$F$4,0))</f>
        <v>0.1</v>
      </c>
      <c r="P256" s="2"/>
      <c r="Q256" s="2"/>
      <c r="R256" s="151">
        <v>45616</v>
      </c>
      <c r="S256" s="151"/>
      <c r="T256" s="151"/>
      <c r="U256" s="151"/>
      <c r="V256" s="151">
        <v>45639</v>
      </c>
      <c r="W256" s="2">
        <f>VLOOKUP(Table1[[#This Row],[Status]],Auxiliar!$B$16:$D$24,3,0)*Table1[[#This Row],[Estimação (horas)]]</f>
        <v>0.1</v>
      </c>
      <c r="X256" s="166">
        <f>+VLOOKUP(CONCATENATE(Table1[[#This Row],[Tabela]],Table1[[#This Row],[Campo]]),'2. Status Detalhe Campos FY24'!A:J,9,FALSE)</f>
        <v>0</v>
      </c>
    </row>
    <row r="257" spans="2:24" ht="17.850000000000001" hidden="1" customHeight="1">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1171</v>
      </c>
      <c r="L257" s="28" t="s">
        <v>1169</v>
      </c>
      <c r="M257" s="20" t="s">
        <v>1178</v>
      </c>
      <c r="N257" s="47">
        <v>45485</v>
      </c>
      <c r="O257" s="20">
        <f>INDEX(Auxiliar!$D$5:$F$13,MATCH(Table1[[#This Row],[Tipologia_Testes]],Auxiliar!$B$5:$B$13,0),MATCH(Table1[[#This Row],[Complexidade]],Auxiliar!$D$4:$F$4,0))</f>
        <v>2</v>
      </c>
      <c r="P257" s="2" t="s">
        <v>1195</v>
      </c>
      <c r="Q257" s="2"/>
      <c r="R257" s="151">
        <v>45261</v>
      </c>
      <c r="S257" s="151"/>
      <c r="T257" s="151"/>
      <c r="U257" s="151"/>
      <c r="V257" s="151"/>
      <c r="W257" s="2">
        <f>VLOOKUP(Table1[[#This Row],[Status]],Auxiliar!$B$16:$D$24,3,0)*Table1[[#This Row],[Estimação (horas)]]</f>
        <v>2</v>
      </c>
      <c r="X257" s="166">
        <f>+VLOOKUP(CONCATENATE(Table1[[#This Row],[Tabela]],Table1[[#This Row],[Campo]]),'2. Status Detalhe Campos FY24'!A:J,9,FALSE)</f>
        <v>0</v>
      </c>
    </row>
    <row r="258" spans="2:24" ht="17.850000000000001" hidden="1" customHeight="1">
      <c r="B258" s="2" t="s">
        <v>26</v>
      </c>
      <c r="C258" s="2" t="s">
        <v>54</v>
      </c>
      <c r="D258" s="2" t="s">
        <v>124</v>
      </c>
      <c r="E258" s="2" t="s">
        <v>38</v>
      </c>
      <c r="F258" s="2" t="s">
        <v>123</v>
      </c>
      <c r="G258" s="2" t="s">
        <v>137</v>
      </c>
      <c r="H258" s="56" t="str">
        <f>Table1[[#This Row],[Tabela]]&amp;Table1[[#This Row],[Campo]]</f>
        <v>PROPERTY_ENERGY_CERTIFICATEBUILDING_DOMEST_HOTWATER_VALUE</v>
      </c>
      <c r="I258" s="2" t="s">
        <v>612</v>
      </c>
      <c r="J258" s="42">
        <f>VLOOKUP(Table1[[#This Row],[Status]],Auxiliar!$B$16:$C$24,2,0)</f>
        <v>1</v>
      </c>
      <c r="K258" s="2" t="s">
        <v>1172</v>
      </c>
      <c r="L258" s="28" t="s">
        <v>1169</v>
      </c>
      <c r="M258" s="20" t="s">
        <v>1178</v>
      </c>
      <c r="N258" s="47">
        <v>45485</v>
      </c>
      <c r="O258" s="20">
        <f>INDEX(Auxiliar!$D$5:$F$13,MATCH(Table1[[#This Row],[Tipologia_Testes]],Auxiliar!$B$5:$B$13,0),MATCH(Table1[[#This Row],[Complexidade]],Auxiliar!$D$4:$F$4,0))</f>
        <v>2</v>
      </c>
      <c r="P258" s="2" t="s">
        <v>1195</v>
      </c>
      <c r="Q258" s="2"/>
      <c r="R258" s="151">
        <v>45261</v>
      </c>
      <c r="S258" s="151"/>
      <c r="T258" s="151"/>
      <c r="U258" s="151"/>
      <c r="V258" s="151"/>
      <c r="W258" s="2">
        <f>VLOOKUP(Table1[[#This Row],[Status]],Auxiliar!$B$16:$D$24,3,0)*Table1[[#This Row],[Estimação (horas)]]</f>
        <v>2</v>
      </c>
      <c r="X258" s="166">
        <f>+VLOOKUP(CONCATENATE(Table1[[#This Row],[Tabela]],Table1[[#This Row],[Campo]]),'2. Status Detalhe Campos FY24'!A:J,9,FALSE)</f>
        <v>0</v>
      </c>
    </row>
    <row r="259" spans="2:24" ht="17.850000000000001" hidden="1" customHeight="1">
      <c r="B259" s="2" t="s">
        <v>26</v>
      </c>
      <c r="C259" s="2" t="s">
        <v>54</v>
      </c>
      <c r="D259" s="2" t="s">
        <v>124</v>
      </c>
      <c r="E259" s="2" t="s">
        <v>38</v>
      </c>
      <c r="F259" s="2" t="s">
        <v>123</v>
      </c>
      <c r="G259" s="2" t="s">
        <v>137</v>
      </c>
      <c r="H259" s="56" t="str">
        <f>Table1[[#This Row],[Tabela]]&amp;Table1[[#This Row],[Campo]]</f>
        <v>PROPERTY_ENERGY_CERTIFICATEBUILDING_DOMEST_HOTWATER_VALUE</v>
      </c>
      <c r="I259" s="2" t="s">
        <v>612</v>
      </c>
      <c r="J259" s="42">
        <f>VLOOKUP(Table1[[#This Row],[Status]],Auxiliar!$B$16:$C$24,2,0)</f>
        <v>1</v>
      </c>
      <c r="K259" s="2" t="s">
        <v>1174</v>
      </c>
      <c r="L259" s="28" t="s">
        <v>1169</v>
      </c>
      <c r="M259" s="20" t="s">
        <v>1178</v>
      </c>
      <c r="N259" s="47">
        <v>45485</v>
      </c>
      <c r="O259" s="20">
        <f>INDEX(Auxiliar!$D$5:$F$13,MATCH(Table1[[#This Row],[Tipologia_Testes]],Auxiliar!$B$5:$B$13,0),MATCH(Table1[[#This Row],[Complexidade]],Auxiliar!$D$4:$F$4,0))</f>
        <v>0.1</v>
      </c>
      <c r="P259" s="2" t="s">
        <v>1195</v>
      </c>
      <c r="Q259" s="2"/>
      <c r="R259" s="151">
        <v>45261</v>
      </c>
      <c r="S259" s="151"/>
      <c r="T259" s="151"/>
      <c r="U259" s="151"/>
      <c r="V259" s="151"/>
      <c r="W259" s="2">
        <f>VLOOKUP(Table1[[#This Row],[Status]],Auxiliar!$B$16:$D$24,3,0)*Table1[[#This Row],[Estimação (horas)]]</f>
        <v>0.1</v>
      </c>
      <c r="X259" s="166">
        <f>+VLOOKUP(CONCATENATE(Table1[[#This Row],[Tabela]],Table1[[#This Row],[Campo]]),'2. Status Detalhe Campos FY24'!A:J,9,FALSE)</f>
        <v>0</v>
      </c>
    </row>
    <row r="260" spans="2:24" ht="17.850000000000001" hidden="1" customHeight="1">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1171</v>
      </c>
      <c r="L260" s="28" t="s">
        <v>1169</v>
      </c>
      <c r="M260" s="20" t="s">
        <v>1178</v>
      </c>
      <c r="N260" s="47">
        <v>45485</v>
      </c>
      <c r="O260" s="20">
        <f>INDEX(Auxiliar!$D$5:$F$13,MATCH(Table1[[#This Row],[Tipologia_Testes]],Auxiliar!$B$5:$B$13,0),MATCH(Table1[[#This Row],[Complexidade]],Auxiliar!$D$4:$F$4,0))</f>
        <v>2</v>
      </c>
      <c r="P260" s="2" t="s">
        <v>1195</v>
      </c>
      <c r="Q260" s="2"/>
      <c r="R260" s="151">
        <v>45261</v>
      </c>
      <c r="S260" s="151"/>
      <c r="T260" s="151"/>
      <c r="U260" s="151"/>
      <c r="V260" s="151"/>
      <c r="W260" s="2">
        <f>VLOOKUP(Table1[[#This Row],[Status]],Auxiliar!$B$16:$D$24,3,0)*Table1[[#This Row],[Estimação (horas)]]</f>
        <v>2</v>
      </c>
      <c r="X260" s="166">
        <f>+VLOOKUP(CONCATENATE(Table1[[#This Row],[Tabela]],Table1[[#This Row],[Campo]]),'2. Status Detalhe Campos FY24'!A:J,9,FALSE)</f>
        <v>0</v>
      </c>
    </row>
    <row r="261" spans="2:24" ht="17.850000000000001" hidden="1" customHeight="1">
      <c r="B261" s="2" t="s">
        <v>26</v>
      </c>
      <c r="C261" s="2" t="s">
        <v>54</v>
      </c>
      <c r="D261" s="2" t="s">
        <v>124</v>
      </c>
      <c r="E261" s="2" t="s">
        <v>38</v>
      </c>
      <c r="F261" s="2" t="s">
        <v>123</v>
      </c>
      <c r="G261" s="2" t="s">
        <v>138</v>
      </c>
      <c r="H261" s="56" t="str">
        <f>Table1[[#This Row],[Tabela]]&amp;Table1[[#This Row],[Campo]]</f>
        <v>PROPERTY_ENERGY_CERTIFICATERENEWABLE_DOMEST_HOTWATER_VALUE</v>
      </c>
      <c r="I261" s="2" t="s">
        <v>612</v>
      </c>
      <c r="J261" s="42">
        <f>VLOOKUP(Table1[[#This Row],[Status]],Auxiliar!$B$16:$C$24,2,0)</f>
        <v>1</v>
      </c>
      <c r="K261" s="2" t="s">
        <v>1172</v>
      </c>
      <c r="L261" s="28" t="s">
        <v>1169</v>
      </c>
      <c r="M261" s="20" t="s">
        <v>1178</v>
      </c>
      <c r="N261" s="47">
        <v>45485</v>
      </c>
      <c r="O261" s="20">
        <f>INDEX(Auxiliar!$D$5:$F$13,MATCH(Table1[[#This Row],[Tipologia_Testes]],Auxiliar!$B$5:$B$13,0),MATCH(Table1[[#This Row],[Complexidade]],Auxiliar!$D$4:$F$4,0))</f>
        <v>2</v>
      </c>
      <c r="P261" s="2" t="s">
        <v>1195</v>
      </c>
      <c r="Q261" s="2"/>
      <c r="R261" s="151">
        <v>45261</v>
      </c>
      <c r="S261" s="151"/>
      <c r="T261" s="151"/>
      <c r="U261" s="151"/>
      <c r="V261" s="151"/>
      <c r="W261" s="2">
        <f>VLOOKUP(Table1[[#This Row],[Status]],Auxiliar!$B$16:$D$24,3,0)*Table1[[#This Row],[Estimação (horas)]]</f>
        <v>2</v>
      </c>
      <c r="X261" s="166">
        <f>+VLOOKUP(CONCATENATE(Table1[[#This Row],[Tabela]],Table1[[#This Row],[Campo]]),'2. Status Detalhe Campos FY24'!A:J,9,FALSE)</f>
        <v>0</v>
      </c>
    </row>
    <row r="262" spans="2:24" ht="17.850000000000001" hidden="1" customHeight="1">
      <c r="B262" s="2" t="s">
        <v>26</v>
      </c>
      <c r="C262" s="2" t="s">
        <v>54</v>
      </c>
      <c r="D262" s="2" t="s">
        <v>124</v>
      </c>
      <c r="E262" s="2" t="s">
        <v>38</v>
      </c>
      <c r="F262" s="2" t="s">
        <v>123</v>
      </c>
      <c r="G262" s="2" t="s">
        <v>138</v>
      </c>
      <c r="H262" s="56" t="str">
        <f>Table1[[#This Row],[Tabela]]&amp;Table1[[#This Row],[Campo]]</f>
        <v>PROPERTY_ENERGY_CERTIFICATERENEWABLE_DOMEST_HOTWATER_VALUE</v>
      </c>
      <c r="I262" s="2" t="s">
        <v>612</v>
      </c>
      <c r="J262" s="42">
        <f>VLOOKUP(Table1[[#This Row],[Status]],Auxiliar!$B$16:$C$24,2,0)</f>
        <v>1</v>
      </c>
      <c r="K262" s="2" t="s">
        <v>1174</v>
      </c>
      <c r="L262" s="28" t="s">
        <v>1169</v>
      </c>
      <c r="M262" s="20" t="s">
        <v>1178</v>
      </c>
      <c r="N262" s="47">
        <v>45485</v>
      </c>
      <c r="O262" s="20">
        <f>INDEX(Auxiliar!$D$5:$F$13,MATCH(Table1[[#This Row],[Tipologia_Testes]],Auxiliar!$B$5:$B$13,0),MATCH(Table1[[#This Row],[Complexidade]],Auxiliar!$D$4:$F$4,0))</f>
        <v>0.1</v>
      </c>
      <c r="P262" s="2" t="s">
        <v>1195</v>
      </c>
      <c r="Q262" s="2"/>
      <c r="R262" s="151">
        <v>45261</v>
      </c>
      <c r="S262" s="151"/>
      <c r="T262" s="151"/>
      <c r="U262" s="151"/>
      <c r="V262" s="151"/>
      <c r="W262" s="2">
        <f>VLOOKUP(Table1[[#This Row],[Status]],Auxiliar!$B$16:$D$24,3,0)*Table1[[#This Row],[Estimação (horas)]]</f>
        <v>0.1</v>
      </c>
      <c r="X262" s="166">
        <f>+VLOOKUP(CONCATENATE(Table1[[#This Row],[Tabela]],Table1[[#This Row],[Campo]]),'2. Status Detalhe Campos FY24'!A:J,9,FALSE)</f>
        <v>0</v>
      </c>
    </row>
    <row r="263" spans="2:24" ht="17.850000000000001" hidden="1" customHeight="1">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1171</v>
      </c>
      <c r="L263" s="28" t="s">
        <v>1169</v>
      </c>
      <c r="M263" s="20" t="s">
        <v>1178</v>
      </c>
      <c r="N263" s="47">
        <v>45485</v>
      </c>
      <c r="O263" s="20">
        <f>INDEX(Auxiliar!$D$5:$F$13,MATCH(Table1[[#This Row],[Tipologia_Testes]],Auxiliar!$B$5:$B$13,0),MATCH(Table1[[#This Row],[Complexidade]],Auxiliar!$D$4:$F$4,0))</f>
        <v>2</v>
      </c>
      <c r="P263" s="2" t="s">
        <v>1195</v>
      </c>
      <c r="Q263" s="2"/>
      <c r="R263" s="151">
        <v>45261</v>
      </c>
      <c r="S263" s="151"/>
      <c r="T263" s="151"/>
      <c r="U263" s="151"/>
      <c r="V263" s="151"/>
      <c r="W263" s="2">
        <f>VLOOKUP(Table1[[#This Row],[Status]],Auxiliar!$B$16:$D$24,3,0)*Table1[[#This Row],[Estimação (horas)]]</f>
        <v>2</v>
      </c>
      <c r="X263" s="166">
        <f>+VLOOKUP(CONCATENATE(Table1[[#This Row],[Tabela]],Table1[[#This Row],[Campo]]),'2. Status Detalhe Campos FY24'!A:J,9,FALSE)</f>
        <v>0</v>
      </c>
    </row>
    <row r="264" spans="2:24" ht="17.850000000000001" hidden="1" customHeight="1">
      <c r="B264" s="2" t="s">
        <v>26</v>
      </c>
      <c r="C264" s="2" t="s">
        <v>54</v>
      </c>
      <c r="D264" s="2" t="s">
        <v>124</v>
      </c>
      <c r="E264" s="2" t="s">
        <v>38</v>
      </c>
      <c r="F264" s="2" t="s">
        <v>123</v>
      </c>
      <c r="G264" s="2" t="s">
        <v>139</v>
      </c>
      <c r="H264" s="56" t="str">
        <f>Table1[[#This Row],[Tabela]]&amp;Table1[[#This Row],[Campo]]</f>
        <v>PROPERTY_ENERGY_CERTIFICATEDOMEST_HOTWATER_REF_VALUE</v>
      </c>
      <c r="I264" s="2" t="s">
        <v>612</v>
      </c>
      <c r="J264" s="42">
        <f>VLOOKUP(Table1[[#This Row],[Status]],Auxiliar!$B$16:$C$24,2,0)</f>
        <v>1</v>
      </c>
      <c r="K264" s="2" t="s">
        <v>1172</v>
      </c>
      <c r="L264" s="28" t="s">
        <v>1169</v>
      </c>
      <c r="M264" s="20" t="s">
        <v>1178</v>
      </c>
      <c r="N264" s="47">
        <v>45485</v>
      </c>
      <c r="O264" s="20">
        <f>INDEX(Auxiliar!$D$5:$F$13,MATCH(Table1[[#This Row],[Tipologia_Testes]],Auxiliar!$B$5:$B$13,0),MATCH(Table1[[#This Row],[Complexidade]],Auxiliar!$D$4:$F$4,0))</f>
        <v>2</v>
      </c>
      <c r="P264" s="2" t="s">
        <v>1195</v>
      </c>
      <c r="Q264" s="2"/>
      <c r="R264" s="151">
        <v>45261</v>
      </c>
      <c r="S264" s="151"/>
      <c r="T264" s="151"/>
      <c r="U264" s="151"/>
      <c r="V264" s="151"/>
      <c r="W264" s="2">
        <f>VLOOKUP(Table1[[#This Row],[Status]],Auxiliar!$B$16:$D$24,3,0)*Table1[[#This Row],[Estimação (horas)]]</f>
        <v>2</v>
      </c>
      <c r="X264" s="166">
        <f>+VLOOKUP(CONCATENATE(Table1[[#This Row],[Tabela]],Table1[[#This Row],[Campo]]),'2. Status Detalhe Campos FY24'!A:J,9,FALSE)</f>
        <v>0</v>
      </c>
    </row>
    <row r="265" spans="2:24" ht="17.850000000000001" hidden="1" customHeight="1">
      <c r="B265" s="2" t="s">
        <v>26</v>
      </c>
      <c r="C265" s="2" t="s">
        <v>54</v>
      </c>
      <c r="D265" s="2" t="s">
        <v>124</v>
      </c>
      <c r="E265" s="2" t="s">
        <v>38</v>
      </c>
      <c r="F265" s="2" t="s">
        <v>123</v>
      </c>
      <c r="G265" s="2" t="s">
        <v>139</v>
      </c>
      <c r="H265" s="56" t="str">
        <f>Table1[[#This Row],[Tabela]]&amp;Table1[[#This Row],[Campo]]</f>
        <v>PROPERTY_ENERGY_CERTIFICATEDOMEST_HOTWATER_REF_VALUE</v>
      </c>
      <c r="I265" s="2" t="s">
        <v>612</v>
      </c>
      <c r="J265" s="42">
        <f>VLOOKUP(Table1[[#This Row],[Status]],Auxiliar!$B$16:$C$24,2,0)</f>
        <v>1</v>
      </c>
      <c r="K265" s="2" t="s">
        <v>1174</v>
      </c>
      <c r="L265" s="28" t="s">
        <v>1169</v>
      </c>
      <c r="M265" s="20" t="s">
        <v>1178</v>
      </c>
      <c r="N265" s="47">
        <v>45485</v>
      </c>
      <c r="O265" s="20">
        <f>INDEX(Auxiliar!$D$5:$F$13,MATCH(Table1[[#This Row],[Tipologia_Testes]],Auxiliar!$B$5:$B$13,0),MATCH(Table1[[#This Row],[Complexidade]],Auxiliar!$D$4:$F$4,0))</f>
        <v>0.1</v>
      </c>
      <c r="P265" s="2" t="s">
        <v>1195</v>
      </c>
      <c r="Q265" s="2"/>
      <c r="R265" s="151">
        <v>45261</v>
      </c>
      <c r="S265" s="151"/>
      <c r="T265" s="151"/>
      <c r="U265" s="151"/>
      <c r="V265" s="151"/>
      <c r="W265" s="2">
        <f>VLOOKUP(Table1[[#This Row],[Status]],Auxiliar!$B$16:$D$24,3,0)*Table1[[#This Row],[Estimação (horas)]]</f>
        <v>0.1</v>
      </c>
      <c r="X265" s="166">
        <f>+VLOOKUP(CONCATENATE(Table1[[#This Row],[Tabela]],Table1[[#This Row],[Campo]]),'2. Status Detalhe Campos FY24'!A:J,9,FALSE)</f>
        <v>0</v>
      </c>
    </row>
    <row r="266" spans="2:24" ht="17.850000000000001" customHeight="1">
      <c r="B266" s="2" t="s">
        <v>26</v>
      </c>
      <c r="C266" s="2" t="s">
        <v>54</v>
      </c>
      <c r="D266" s="2" t="s">
        <v>124</v>
      </c>
      <c r="E266" s="2" t="s">
        <v>38</v>
      </c>
      <c r="F266" s="2" t="s">
        <v>123</v>
      </c>
      <c r="G266" s="2" t="s">
        <v>2270</v>
      </c>
      <c r="H266" s="56" t="str">
        <f>Table1[[#This Row],[Tabela]]&amp;Table1[[#This Row],[Campo]]</f>
        <v>PROPERTY_ENERGY_CERTIFICATEPRMRY_ENRGY_DMND_RFRNC_VL</v>
      </c>
      <c r="I266" s="2" t="s">
        <v>612</v>
      </c>
      <c r="J266" s="42">
        <f>VLOOKUP(Table1[[#This Row],[Status]],Auxiliar!$B$16:$C$24,2,0)</f>
        <v>1</v>
      </c>
      <c r="K266" s="2"/>
      <c r="L266" s="28"/>
      <c r="M266" s="20"/>
      <c r="N266" s="47"/>
      <c r="O266" s="20" t="e">
        <f>INDEX(Auxiliar!$D$5:$F$11,MATCH(Table1[[#This Row],[Tipologia_Testes]],Auxiliar!$B$5:$B$11,0),MATCH(Table1[[#This Row],[Complexidade]],Auxiliar!$D$4:$F$4,0))</f>
        <v>#N/A</v>
      </c>
      <c r="P266" s="2"/>
      <c r="Q266" s="2"/>
      <c r="R266" s="151"/>
      <c r="S266" s="151"/>
      <c r="T266" s="151"/>
      <c r="U266" s="151"/>
      <c r="V266" s="151"/>
      <c r="W266" s="2" t="e">
        <f>VLOOKUP(Table1[[#This Row],[Status]],Auxiliar!$B$16:$D$24,3,0)*Table1[[#This Row],[Estimação (horas)]]</f>
        <v>#N/A</v>
      </c>
      <c r="X266" s="166">
        <f>+VLOOKUP(CONCATENATE(Table1[[#This Row],[Tabela]],Table1[[#This Row],[Campo]]),'2. Status Detalhe Campos FY24'!A:J,9,FALSE)</f>
        <v>0</v>
      </c>
    </row>
    <row r="267" spans="2:24" ht="17.850000000000001" hidden="1" customHeight="1">
      <c r="B267" s="2" t="s">
        <v>26</v>
      </c>
      <c r="C267" s="2" t="s">
        <v>54</v>
      </c>
      <c r="D267" s="2" t="s">
        <v>124</v>
      </c>
      <c r="E267" s="2" t="s">
        <v>38</v>
      </c>
      <c r="F267" s="2" t="s">
        <v>123</v>
      </c>
      <c r="G267" s="2" t="s">
        <v>140</v>
      </c>
      <c r="H267" s="56" t="str">
        <f>Table1[[#This Row],[Tabela]]&amp;Table1[[#This Row],[Campo]]</f>
        <v>PROPERTY_ENERGY_CERTIFICATEHEIGHT</v>
      </c>
      <c r="I267" s="2" t="s">
        <v>612</v>
      </c>
      <c r="J267" s="42">
        <f>VLOOKUP(Table1[[#This Row],[Status]],Auxiliar!$B$16:$C$24,2,0)</f>
        <v>1</v>
      </c>
      <c r="K267" s="2" t="s">
        <v>1171</v>
      </c>
      <c r="L267" s="28" t="s">
        <v>1169</v>
      </c>
      <c r="M267" s="20" t="s">
        <v>1178</v>
      </c>
      <c r="N267" s="47">
        <v>45485</v>
      </c>
      <c r="O267" s="20">
        <f>INDEX(Auxiliar!$D$5:$F$13,MATCH(Table1[[#This Row],[Tipologia_Testes]],Auxiliar!$B$5:$B$13,0),MATCH(Table1[[#This Row],[Complexidade]],Auxiliar!$D$4:$F$4,0))</f>
        <v>2</v>
      </c>
      <c r="P267" s="2" t="s">
        <v>1195</v>
      </c>
      <c r="Q267" s="2"/>
      <c r="R267" s="151">
        <v>45261</v>
      </c>
      <c r="S267" s="151"/>
      <c r="T267" s="151"/>
      <c r="U267" s="151"/>
      <c r="V267" s="151"/>
      <c r="W267" s="2">
        <f>VLOOKUP(Table1[[#This Row],[Status]],Auxiliar!$B$16:$D$24,3,0)*Table1[[#This Row],[Estimação (horas)]]</f>
        <v>2</v>
      </c>
      <c r="X267" s="166">
        <f>+VLOOKUP(CONCATENATE(Table1[[#This Row],[Tabela]],Table1[[#This Row],[Campo]]),'2. Status Detalhe Campos FY24'!A:J,9,FALSE)</f>
        <v>0</v>
      </c>
    </row>
    <row r="268" spans="2:24" ht="17.850000000000001" hidden="1" customHeight="1">
      <c r="B268" s="2" t="s">
        <v>26</v>
      </c>
      <c r="C268" s="2" t="s">
        <v>54</v>
      </c>
      <c r="D268" s="2" t="s">
        <v>124</v>
      </c>
      <c r="E268" s="2" t="s">
        <v>38</v>
      </c>
      <c r="F268" s="2" t="s">
        <v>123</v>
      </c>
      <c r="G268" s="2" t="s">
        <v>140</v>
      </c>
      <c r="H268" s="56" t="str">
        <f>Table1[[#This Row],[Tabela]]&amp;Table1[[#This Row],[Campo]]</f>
        <v>PROPERTY_ENERGY_CERTIFICATEHEIGHT</v>
      </c>
      <c r="I268" s="2" t="s">
        <v>612</v>
      </c>
      <c r="J268" s="42">
        <f>VLOOKUP(Table1[[#This Row],[Status]],Auxiliar!$B$16:$C$24,2,0)</f>
        <v>1</v>
      </c>
      <c r="K268" s="2" t="s">
        <v>1172</v>
      </c>
      <c r="L268" s="28" t="s">
        <v>1169</v>
      </c>
      <c r="M268" s="20" t="s">
        <v>1178</v>
      </c>
      <c r="N268" s="47">
        <v>45485</v>
      </c>
      <c r="O268" s="20">
        <f>INDEX(Auxiliar!$D$5:$F$13,MATCH(Table1[[#This Row],[Tipologia_Testes]],Auxiliar!$B$5:$B$13,0),MATCH(Table1[[#This Row],[Complexidade]],Auxiliar!$D$4:$F$4,0))</f>
        <v>2</v>
      </c>
      <c r="P268" s="2" t="s">
        <v>1195</v>
      </c>
      <c r="Q268" s="2"/>
      <c r="R268" s="151">
        <v>45261</v>
      </c>
      <c r="S268" s="151"/>
      <c r="T268" s="151"/>
      <c r="U268" s="151"/>
      <c r="V268" s="151"/>
      <c r="W268" s="2">
        <f>VLOOKUP(Table1[[#This Row],[Status]],Auxiliar!$B$16:$D$24,3,0)*Table1[[#This Row],[Estimação (horas)]]</f>
        <v>2</v>
      </c>
      <c r="X268" s="166">
        <f>+VLOOKUP(CONCATENATE(Table1[[#This Row],[Tabela]],Table1[[#This Row],[Campo]]),'2. Status Detalhe Campos FY24'!A:J,9,FALSE)</f>
        <v>0</v>
      </c>
    </row>
    <row r="269" spans="2:24" ht="17.850000000000001" hidden="1" customHeight="1">
      <c r="B269" s="2" t="s">
        <v>26</v>
      </c>
      <c r="C269" s="2" t="s">
        <v>54</v>
      </c>
      <c r="D269" s="2" t="s">
        <v>124</v>
      </c>
      <c r="E269" s="2" t="s">
        <v>38</v>
      </c>
      <c r="F269" s="2" t="s">
        <v>123</v>
      </c>
      <c r="G269" s="2" t="s">
        <v>140</v>
      </c>
      <c r="H269" s="56" t="str">
        <f>Table1[[#This Row],[Tabela]]&amp;Table1[[#This Row],[Campo]]</f>
        <v>PROPERTY_ENERGY_CERTIFICATEHEIGHT</v>
      </c>
      <c r="I269" s="2" t="s">
        <v>612</v>
      </c>
      <c r="J269" s="42">
        <f>VLOOKUP(Table1[[#This Row],[Status]],Auxiliar!$B$16:$C$24,2,0)</f>
        <v>1</v>
      </c>
      <c r="K269" s="2" t="s">
        <v>1174</v>
      </c>
      <c r="L269" s="28" t="s">
        <v>1169</v>
      </c>
      <c r="M269" s="20" t="s">
        <v>1178</v>
      </c>
      <c r="N269" s="47">
        <v>45485</v>
      </c>
      <c r="O269" s="20">
        <f>INDEX(Auxiliar!$D$5:$F$13,MATCH(Table1[[#This Row],[Tipologia_Testes]],Auxiliar!$B$5:$B$13,0),MATCH(Table1[[#This Row],[Complexidade]],Auxiliar!$D$4:$F$4,0))</f>
        <v>0.1</v>
      </c>
      <c r="P269" s="2" t="s">
        <v>1195</v>
      </c>
      <c r="Q269" s="2"/>
      <c r="R269" s="151">
        <v>45261</v>
      </c>
      <c r="S269" s="151"/>
      <c r="T269" s="151"/>
      <c r="U269" s="151"/>
      <c r="V269" s="151"/>
      <c r="W269" s="2">
        <f>VLOOKUP(Table1[[#This Row],[Status]],Auxiliar!$B$16:$D$24,3,0)*Table1[[#This Row],[Estimação (horas)]]</f>
        <v>0.1</v>
      </c>
      <c r="X269" s="166">
        <f>+VLOOKUP(CONCATENATE(Table1[[#This Row],[Tabela]],Table1[[#This Row],[Campo]]),'2. Status Detalhe Campos FY24'!A:J,9,FALSE)</f>
        <v>0</v>
      </c>
    </row>
    <row r="270" spans="2:24" ht="17.850000000000001" hidden="1" customHeight="1">
      <c r="B270" s="2" t="s">
        <v>26</v>
      </c>
      <c r="C270" s="2" t="s">
        <v>54</v>
      </c>
      <c r="D270" s="2" t="s">
        <v>124</v>
      </c>
      <c r="E270" s="2" t="s">
        <v>38</v>
      </c>
      <c r="F270" s="2" t="s">
        <v>123</v>
      </c>
      <c r="G270" s="2" t="s">
        <v>141</v>
      </c>
      <c r="H270" s="56" t="str">
        <f>Table1[[#This Row],[Tabela]]&amp;Table1[[#This Row],[Campo]]</f>
        <v>PROPERTY_ENERGY_CERTIFICATEBUILDING_SPACE_HEATING_VALUE</v>
      </c>
      <c r="I270" s="2" t="s">
        <v>612</v>
      </c>
      <c r="J270" s="42">
        <f>VLOOKUP(Table1[[#This Row],[Status]],Auxiliar!$B$16:$C$24,2,0)</f>
        <v>1</v>
      </c>
      <c r="K270" s="2" t="s">
        <v>1171</v>
      </c>
      <c r="L270" s="28" t="s">
        <v>1169</v>
      </c>
      <c r="M270" s="20" t="s">
        <v>1178</v>
      </c>
      <c r="N270" s="47">
        <v>45485</v>
      </c>
      <c r="O270" s="20">
        <f>INDEX(Auxiliar!$D$5:$F$13,MATCH(Table1[[#This Row],[Tipologia_Testes]],Auxiliar!$B$5:$B$13,0),MATCH(Table1[[#This Row],[Complexidade]],Auxiliar!$D$4:$F$4,0))</f>
        <v>2</v>
      </c>
      <c r="P270" s="2" t="s">
        <v>1195</v>
      </c>
      <c r="Q270" s="2"/>
      <c r="R270" s="151">
        <v>45261</v>
      </c>
      <c r="S270" s="151"/>
      <c r="T270" s="151"/>
      <c r="U270" s="151"/>
      <c r="V270" s="151"/>
      <c r="W270" s="2">
        <f>VLOOKUP(Table1[[#This Row],[Status]],Auxiliar!$B$16:$D$24,3,0)*Table1[[#This Row],[Estimação (horas)]]</f>
        <v>2</v>
      </c>
      <c r="X270" s="166">
        <f>+VLOOKUP(CONCATENATE(Table1[[#This Row],[Tabela]],Table1[[#This Row],[Campo]]),'2. Status Detalhe Campos FY24'!A:J,9,FALSE)</f>
        <v>0</v>
      </c>
    </row>
    <row r="271" spans="2:24" ht="17.850000000000001" hidden="1" customHeight="1">
      <c r="B271" s="2" t="s">
        <v>26</v>
      </c>
      <c r="C271" s="2" t="s">
        <v>54</v>
      </c>
      <c r="D271" s="2" t="s">
        <v>124</v>
      </c>
      <c r="E271" s="2" t="s">
        <v>38</v>
      </c>
      <c r="F271" s="2" t="s">
        <v>123</v>
      </c>
      <c r="G271" s="2" t="s">
        <v>141</v>
      </c>
      <c r="H271" s="56" t="str">
        <f>Table1[[#This Row],[Tabela]]&amp;Table1[[#This Row],[Campo]]</f>
        <v>PROPERTY_ENERGY_CERTIFICATEBUILDING_SPACE_HEATING_VALUE</v>
      </c>
      <c r="I271" s="2" t="s">
        <v>612</v>
      </c>
      <c r="J271" s="42">
        <f>VLOOKUP(Table1[[#This Row],[Status]],Auxiliar!$B$16:$C$24,2,0)</f>
        <v>1</v>
      </c>
      <c r="K271" s="2" t="s">
        <v>1172</v>
      </c>
      <c r="L271" s="28" t="s">
        <v>1169</v>
      </c>
      <c r="M271" s="20" t="s">
        <v>1178</v>
      </c>
      <c r="N271" s="47">
        <v>45485</v>
      </c>
      <c r="O271" s="20">
        <f>INDEX(Auxiliar!$D$5:$F$13,MATCH(Table1[[#This Row],[Tipologia_Testes]],Auxiliar!$B$5:$B$13,0),MATCH(Table1[[#This Row],[Complexidade]],Auxiliar!$D$4:$F$4,0))</f>
        <v>2</v>
      </c>
      <c r="P271" s="2" t="s">
        <v>1195</v>
      </c>
      <c r="Q271" s="2"/>
      <c r="R271" s="151">
        <v>45261</v>
      </c>
      <c r="S271" s="151"/>
      <c r="T271" s="151"/>
      <c r="U271" s="151"/>
      <c r="V271" s="151"/>
      <c r="W271" s="2">
        <f>VLOOKUP(Table1[[#This Row],[Status]],Auxiliar!$B$16:$D$24,3,0)*Table1[[#This Row],[Estimação (horas)]]</f>
        <v>2</v>
      </c>
      <c r="X271" s="166">
        <f>+VLOOKUP(CONCATENATE(Table1[[#This Row],[Tabela]],Table1[[#This Row],[Campo]]),'2. Status Detalhe Campos FY24'!A:J,9,FALSE)</f>
        <v>0</v>
      </c>
    </row>
    <row r="272" spans="2:24" ht="17.850000000000001" hidden="1" customHeight="1">
      <c r="B272" s="2" t="s">
        <v>26</v>
      </c>
      <c r="C272" s="2" t="s">
        <v>54</v>
      </c>
      <c r="D272" s="2" t="s">
        <v>124</v>
      </c>
      <c r="E272" s="2" t="s">
        <v>38</v>
      </c>
      <c r="F272" s="2" t="s">
        <v>123</v>
      </c>
      <c r="G272" s="2" t="s">
        <v>141</v>
      </c>
      <c r="H272" s="56" t="str">
        <f>Table1[[#This Row],[Tabela]]&amp;Table1[[#This Row],[Campo]]</f>
        <v>PROPERTY_ENERGY_CERTIFICATEBUILDING_SPACE_HEATING_VALUE</v>
      </c>
      <c r="I272" s="2" t="s">
        <v>612</v>
      </c>
      <c r="J272" s="42">
        <f>VLOOKUP(Table1[[#This Row],[Status]],Auxiliar!$B$16:$C$24,2,0)</f>
        <v>1</v>
      </c>
      <c r="K272" s="2" t="s">
        <v>1174</v>
      </c>
      <c r="L272" s="28" t="s">
        <v>1169</v>
      </c>
      <c r="M272" s="20" t="s">
        <v>1178</v>
      </c>
      <c r="N272" s="47">
        <v>45485</v>
      </c>
      <c r="O272" s="20">
        <f>INDEX(Auxiliar!$D$5:$F$13,MATCH(Table1[[#This Row],[Tipologia_Testes]],Auxiliar!$B$5:$B$13,0),MATCH(Table1[[#This Row],[Complexidade]],Auxiliar!$D$4:$F$4,0))</f>
        <v>0.1</v>
      </c>
      <c r="P272" s="2" t="s">
        <v>1195</v>
      </c>
      <c r="Q272" s="2"/>
      <c r="R272" s="151">
        <v>45261</v>
      </c>
      <c r="S272" s="151"/>
      <c r="T272" s="151"/>
      <c r="U272" s="151"/>
      <c r="V272" s="151"/>
      <c r="W272" s="2">
        <f>VLOOKUP(Table1[[#This Row],[Status]],Auxiliar!$B$16:$D$24,3,0)*Table1[[#This Row],[Estimação (horas)]]</f>
        <v>0.1</v>
      </c>
      <c r="X272" s="166">
        <f>+VLOOKUP(CONCATENATE(Table1[[#This Row],[Tabela]],Table1[[#This Row],[Campo]]),'2. Status Detalhe Campos FY24'!A:J,9,FALSE)</f>
        <v>0</v>
      </c>
    </row>
    <row r="273" spans="2:24" ht="17.850000000000001" hidden="1" customHeight="1">
      <c r="B273" s="2" t="s">
        <v>26</v>
      </c>
      <c r="C273" s="2" t="s">
        <v>54</v>
      </c>
      <c r="D273" s="2" t="s">
        <v>124</v>
      </c>
      <c r="E273" s="2" t="s">
        <v>38</v>
      </c>
      <c r="F273" s="2" t="s">
        <v>123</v>
      </c>
      <c r="G273" s="2" t="s">
        <v>142</v>
      </c>
      <c r="H273" s="56" t="str">
        <f>Table1[[#This Row],[Tabela]]&amp;Table1[[#This Row],[Campo]]</f>
        <v>PROPERTY_ENERGY_CERTIFICATESPACE_HEATING_REF_VALUE</v>
      </c>
      <c r="I273" s="2" t="s">
        <v>612</v>
      </c>
      <c r="J273" s="42">
        <f>VLOOKUP(Table1[[#This Row],[Status]],Auxiliar!$B$16:$C$24,2,0)</f>
        <v>1</v>
      </c>
      <c r="K273" s="2" t="s">
        <v>1171</v>
      </c>
      <c r="L273" s="28" t="s">
        <v>1169</v>
      </c>
      <c r="M273" s="20" t="s">
        <v>1178</v>
      </c>
      <c r="N273" s="47">
        <v>45485</v>
      </c>
      <c r="O273" s="20">
        <f>INDEX(Auxiliar!$D$5:$F$13,MATCH(Table1[[#This Row],[Tipologia_Testes]],Auxiliar!$B$5:$B$13,0),MATCH(Table1[[#This Row],[Complexidade]],Auxiliar!$D$4:$F$4,0))</f>
        <v>2</v>
      </c>
      <c r="P273" s="2" t="s">
        <v>1195</v>
      </c>
      <c r="Q273" s="2"/>
      <c r="R273" s="151">
        <v>45261</v>
      </c>
      <c r="S273" s="151"/>
      <c r="T273" s="151"/>
      <c r="U273" s="151"/>
      <c r="V273" s="151"/>
      <c r="W273" s="2">
        <f>VLOOKUP(Table1[[#This Row],[Status]],Auxiliar!$B$16:$D$24,3,0)*Table1[[#This Row],[Estimação (horas)]]</f>
        <v>2</v>
      </c>
      <c r="X273" s="166">
        <f>+VLOOKUP(CONCATENATE(Table1[[#This Row],[Tabela]],Table1[[#This Row],[Campo]]),'2. Status Detalhe Campos FY24'!A:J,9,FALSE)</f>
        <v>0</v>
      </c>
    </row>
    <row r="274" spans="2:24" ht="17.850000000000001" hidden="1" customHeight="1">
      <c r="B274" s="2" t="s">
        <v>26</v>
      </c>
      <c r="C274" s="2" t="s">
        <v>54</v>
      </c>
      <c r="D274" s="2" t="s">
        <v>124</v>
      </c>
      <c r="E274" s="2" t="s">
        <v>38</v>
      </c>
      <c r="F274" s="2" t="s">
        <v>123</v>
      </c>
      <c r="G274" s="2" t="s">
        <v>142</v>
      </c>
      <c r="H274" s="56" t="str">
        <f>Table1[[#This Row],[Tabela]]&amp;Table1[[#This Row],[Campo]]</f>
        <v>PROPERTY_ENERGY_CERTIFICATESPACE_HEATING_REF_VALUE</v>
      </c>
      <c r="I274" s="2" t="s">
        <v>612</v>
      </c>
      <c r="J274" s="42">
        <f>VLOOKUP(Table1[[#This Row],[Status]],Auxiliar!$B$16:$C$24,2,0)</f>
        <v>1</v>
      </c>
      <c r="K274" s="2" t="s">
        <v>1172</v>
      </c>
      <c r="L274" s="28" t="s">
        <v>1169</v>
      </c>
      <c r="M274" s="20" t="s">
        <v>1178</v>
      </c>
      <c r="N274" s="47">
        <v>45485</v>
      </c>
      <c r="O274" s="20">
        <f>INDEX(Auxiliar!$D$5:$F$13,MATCH(Table1[[#This Row],[Tipologia_Testes]],Auxiliar!$B$5:$B$13,0),MATCH(Table1[[#This Row],[Complexidade]],Auxiliar!$D$4:$F$4,0))</f>
        <v>2</v>
      </c>
      <c r="P274" s="2" t="s">
        <v>1195</v>
      </c>
      <c r="Q274" s="2"/>
      <c r="R274" s="151">
        <v>45261</v>
      </c>
      <c r="S274" s="151"/>
      <c r="T274" s="151"/>
      <c r="U274" s="151"/>
      <c r="V274" s="151"/>
      <c r="W274" s="2">
        <f>VLOOKUP(Table1[[#This Row],[Status]],Auxiliar!$B$16:$D$24,3,0)*Table1[[#This Row],[Estimação (horas)]]</f>
        <v>2</v>
      </c>
      <c r="X274" s="166">
        <f>+VLOOKUP(CONCATENATE(Table1[[#This Row],[Tabela]],Table1[[#This Row],[Campo]]),'2. Status Detalhe Campos FY24'!A:J,9,FALSE)</f>
        <v>0</v>
      </c>
    </row>
    <row r="275" spans="2:24" ht="17.850000000000001" hidden="1" customHeight="1">
      <c r="B275" s="2" t="s">
        <v>26</v>
      </c>
      <c r="C275" s="2" t="s">
        <v>54</v>
      </c>
      <c r="D275" s="2" t="s">
        <v>124</v>
      </c>
      <c r="E275" s="2" t="s">
        <v>38</v>
      </c>
      <c r="F275" s="2" t="s">
        <v>123</v>
      </c>
      <c r="G275" s="2" t="s">
        <v>142</v>
      </c>
      <c r="H275" s="56" t="str">
        <f>Table1[[#This Row],[Tabela]]&amp;Table1[[#This Row],[Campo]]</f>
        <v>PROPERTY_ENERGY_CERTIFICATESPACE_HEATING_REF_VALUE</v>
      </c>
      <c r="I275" s="2" t="s">
        <v>612</v>
      </c>
      <c r="J275" s="42">
        <f>VLOOKUP(Table1[[#This Row],[Status]],Auxiliar!$B$16:$C$24,2,0)</f>
        <v>1</v>
      </c>
      <c r="K275" s="2" t="s">
        <v>1174</v>
      </c>
      <c r="L275" s="28" t="s">
        <v>1169</v>
      </c>
      <c r="M275" s="20" t="s">
        <v>1178</v>
      </c>
      <c r="N275" s="47">
        <v>45485</v>
      </c>
      <c r="O275" s="20">
        <f>INDEX(Auxiliar!$D$5:$F$13,MATCH(Table1[[#This Row],[Tipologia_Testes]],Auxiliar!$B$5:$B$13,0),MATCH(Table1[[#This Row],[Complexidade]],Auxiliar!$D$4:$F$4,0))</f>
        <v>0.1</v>
      </c>
      <c r="P275" s="2" t="s">
        <v>1195</v>
      </c>
      <c r="Q275" s="2"/>
      <c r="R275" s="151">
        <v>45261</v>
      </c>
      <c r="S275" s="151"/>
      <c r="T275" s="151"/>
      <c r="U275" s="151"/>
      <c r="V275" s="151"/>
      <c r="W275" s="2">
        <f>VLOOKUP(Table1[[#This Row],[Status]],Auxiliar!$B$16:$D$24,3,0)*Table1[[#This Row],[Estimação (horas)]]</f>
        <v>0.1</v>
      </c>
      <c r="X275" s="166">
        <f>+VLOOKUP(CONCATENATE(Table1[[#This Row],[Tabela]],Table1[[#This Row],[Campo]]),'2. Status Detalhe Campos FY24'!A:J,9,FALSE)</f>
        <v>0</v>
      </c>
    </row>
    <row r="276" spans="2:24" ht="17.850000000000001" hidden="1" customHeight="1">
      <c r="B276" s="2" t="s">
        <v>26</v>
      </c>
      <c r="C276" s="2" t="s">
        <v>54</v>
      </c>
      <c r="D276" s="2" t="s">
        <v>124</v>
      </c>
      <c r="E276" s="2" t="s">
        <v>38</v>
      </c>
      <c r="F276" s="2" t="s">
        <v>123</v>
      </c>
      <c r="G276" s="2" t="s">
        <v>143</v>
      </c>
      <c r="H276" s="56" t="str">
        <f>Table1[[#This Row],[Tabela]]&amp;Table1[[#This Row],[Campo]]</f>
        <v>PROPERTY_ENERGY_CERTIFICATERENEWABLE_SPACE_HEATING_VALUE</v>
      </c>
      <c r="I276" s="2" t="s">
        <v>612</v>
      </c>
      <c r="J276" s="42">
        <f>VLOOKUP(Table1[[#This Row],[Status]],Auxiliar!$B$16:$C$24,2,0)</f>
        <v>1</v>
      </c>
      <c r="K276" s="2" t="s">
        <v>1171</v>
      </c>
      <c r="L276" s="28" t="s">
        <v>1169</v>
      </c>
      <c r="M276" s="20" t="s">
        <v>1178</v>
      </c>
      <c r="N276" s="47">
        <v>45485</v>
      </c>
      <c r="O276" s="20">
        <f>INDEX(Auxiliar!$D$5:$F$13,MATCH(Table1[[#This Row],[Tipologia_Testes]],Auxiliar!$B$5:$B$13,0),MATCH(Table1[[#This Row],[Complexidade]],Auxiliar!$D$4:$F$4,0))</f>
        <v>2</v>
      </c>
      <c r="P276" s="2" t="s">
        <v>1195</v>
      </c>
      <c r="Q276" s="2"/>
      <c r="R276" s="151">
        <v>45261</v>
      </c>
      <c r="S276" s="151"/>
      <c r="T276" s="151"/>
      <c r="U276" s="151"/>
      <c r="V276" s="151"/>
      <c r="W276" s="2">
        <f>VLOOKUP(Table1[[#This Row],[Status]],Auxiliar!$B$16:$D$24,3,0)*Table1[[#This Row],[Estimação (horas)]]</f>
        <v>2</v>
      </c>
      <c r="X276" s="166">
        <f>+VLOOKUP(CONCATENATE(Table1[[#This Row],[Tabela]],Table1[[#This Row],[Campo]]),'2. Status Detalhe Campos FY24'!A:J,9,FALSE)</f>
        <v>0</v>
      </c>
    </row>
    <row r="277" spans="2:24" ht="17.850000000000001" hidden="1" customHeight="1">
      <c r="B277" s="2" t="s">
        <v>26</v>
      </c>
      <c r="C277" s="2" t="s">
        <v>54</v>
      </c>
      <c r="D277" s="2" t="s">
        <v>124</v>
      </c>
      <c r="E277" s="2" t="s">
        <v>38</v>
      </c>
      <c r="F277" s="2" t="s">
        <v>123</v>
      </c>
      <c r="G277" s="2" t="s">
        <v>143</v>
      </c>
      <c r="H277" s="56" t="str">
        <f>Table1[[#This Row],[Tabela]]&amp;Table1[[#This Row],[Campo]]</f>
        <v>PROPERTY_ENERGY_CERTIFICATERENEWABLE_SPACE_HEATING_VALUE</v>
      </c>
      <c r="I277" s="2" t="s">
        <v>612</v>
      </c>
      <c r="J277" s="42">
        <f>VLOOKUP(Table1[[#This Row],[Status]],Auxiliar!$B$16:$C$24,2,0)</f>
        <v>1</v>
      </c>
      <c r="K277" s="2" t="s">
        <v>1172</v>
      </c>
      <c r="L277" s="28" t="s">
        <v>1169</v>
      </c>
      <c r="M277" s="20" t="s">
        <v>1178</v>
      </c>
      <c r="N277" s="47">
        <v>45485</v>
      </c>
      <c r="O277" s="20">
        <f>INDEX(Auxiliar!$D$5:$F$13,MATCH(Table1[[#This Row],[Tipologia_Testes]],Auxiliar!$B$5:$B$13,0),MATCH(Table1[[#This Row],[Complexidade]],Auxiliar!$D$4:$F$4,0))</f>
        <v>2</v>
      </c>
      <c r="P277" s="2" t="s">
        <v>1195</v>
      </c>
      <c r="Q277" s="2"/>
      <c r="R277" s="151">
        <v>45261</v>
      </c>
      <c r="S277" s="151"/>
      <c r="T277" s="151"/>
      <c r="U277" s="151"/>
      <c r="V277" s="151"/>
      <c r="W277" s="2">
        <f>VLOOKUP(Table1[[#This Row],[Status]],Auxiliar!$B$16:$D$24,3,0)*Table1[[#This Row],[Estimação (horas)]]</f>
        <v>2</v>
      </c>
      <c r="X277" s="166">
        <f>+VLOOKUP(CONCATENATE(Table1[[#This Row],[Tabela]],Table1[[#This Row],[Campo]]),'2. Status Detalhe Campos FY24'!A:J,9,FALSE)</f>
        <v>0</v>
      </c>
    </row>
    <row r="278" spans="2:24" ht="17.850000000000001" hidden="1" customHeight="1">
      <c r="B278" s="2" t="s">
        <v>26</v>
      </c>
      <c r="C278" s="2" t="s">
        <v>54</v>
      </c>
      <c r="D278" s="2" t="s">
        <v>124</v>
      </c>
      <c r="E278" s="2" t="s">
        <v>38</v>
      </c>
      <c r="F278" s="2" t="s">
        <v>123</v>
      </c>
      <c r="G278" s="2" t="s">
        <v>143</v>
      </c>
      <c r="H278" s="56" t="str">
        <f>Table1[[#This Row],[Tabela]]&amp;Table1[[#This Row],[Campo]]</f>
        <v>PROPERTY_ENERGY_CERTIFICATERENEWABLE_SPACE_HEATING_VALUE</v>
      </c>
      <c r="I278" s="2" t="s">
        <v>612</v>
      </c>
      <c r="J278" s="42">
        <f>VLOOKUP(Table1[[#This Row],[Status]],Auxiliar!$B$16:$C$24,2,0)</f>
        <v>1</v>
      </c>
      <c r="K278" s="2" t="s">
        <v>1174</v>
      </c>
      <c r="L278" s="28" t="s">
        <v>1169</v>
      </c>
      <c r="M278" s="20" t="s">
        <v>1178</v>
      </c>
      <c r="N278" s="47">
        <v>45485</v>
      </c>
      <c r="O278" s="20">
        <f>INDEX(Auxiliar!$D$5:$F$13,MATCH(Table1[[#This Row],[Tipologia_Testes]],Auxiliar!$B$5:$B$13,0),MATCH(Table1[[#This Row],[Complexidade]],Auxiliar!$D$4:$F$4,0))</f>
        <v>0.1</v>
      </c>
      <c r="P278" s="2" t="s">
        <v>1195</v>
      </c>
      <c r="Q278" s="2"/>
      <c r="R278" s="151">
        <v>45261</v>
      </c>
      <c r="S278" s="151"/>
      <c r="T278" s="151"/>
      <c r="U278" s="151"/>
      <c r="V278" s="151"/>
      <c r="W278" s="2">
        <f>VLOOKUP(Table1[[#This Row],[Status]],Auxiliar!$B$16:$D$24,3,0)*Table1[[#This Row],[Estimação (horas)]]</f>
        <v>0.1</v>
      </c>
      <c r="X278" s="166">
        <f>+VLOOKUP(CONCATENATE(Table1[[#This Row],[Tabela]],Table1[[#This Row],[Campo]]),'2. Status Detalhe Campos FY24'!A:J,9,FALSE)</f>
        <v>0</v>
      </c>
    </row>
    <row r="279" spans="2:24" ht="17.850000000000001" hidden="1" customHeight="1">
      <c r="B279" s="2" t="s">
        <v>26</v>
      </c>
      <c r="C279" s="2" t="s">
        <v>54</v>
      </c>
      <c r="D279" s="2" t="s">
        <v>124</v>
      </c>
      <c r="E279" s="2" t="s">
        <v>38</v>
      </c>
      <c r="F279" s="2" t="s">
        <v>123</v>
      </c>
      <c r="G279" s="2" t="s">
        <v>144</v>
      </c>
      <c r="H279" s="56" t="str">
        <f>Table1[[#This Row],[Tabela]]&amp;Table1[[#This Row],[Campo]]</f>
        <v>PROPERTY_ENERGY_CERTIFICATEBUILDING_SPACE_COOLING_VALUE</v>
      </c>
      <c r="I279" s="2" t="s">
        <v>612</v>
      </c>
      <c r="J279" s="42">
        <f>VLOOKUP(Table1[[#This Row],[Status]],Auxiliar!$B$16:$C$24,2,0)</f>
        <v>1</v>
      </c>
      <c r="K279" s="2" t="s">
        <v>1171</v>
      </c>
      <c r="L279" s="28" t="s">
        <v>1169</v>
      </c>
      <c r="M279" s="20" t="s">
        <v>1178</v>
      </c>
      <c r="N279" s="47">
        <v>45485</v>
      </c>
      <c r="O279" s="20">
        <f>INDEX(Auxiliar!$D$5:$F$13,MATCH(Table1[[#This Row],[Tipologia_Testes]],Auxiliar!$B$5:$B$13,0),MATCH(Table1[[#This Row],[Complexidade]],Auxiliar!$D$4:$F$4,0))</f>
        <v>2</v>
      </c>
      <c r="P279" s="2" t="s">
        <v>1195</v>
      </c>
      <c r="Q279" s="2"/>
      <c r="R279" s="151">
        <v>45261</v>
      </c>
      <c r="S279" s="151"/>
      <c r="T279" s="151"/>
      <c r="U279" s="151"/>
      <c r="V279" s="151"/>
      <c r="W279" s="2">
        <f>VLOOKUP(Table1[[#This Row],[Status]],Auxiliar!$B$16:$D$24,3,0)*Table1[[#This Row],[Estimação (horas)]]</f>
        <v>2</v>
      </c>
      <c r="X279" s="166">
        <f>+VLOOKUP(CONCATENATE(Table1[[#This Row],[Tabela]],Table1[[#This Row],[Campo]]),'2. Status Detalhe Campos FY24'!A:J,9,FALSE)</f>
        <v>0</v>
      </c>
    </row>
    <row r="280" spans="2:24" ht="17.850000000000001" hidden="1" customHeight="1">
      <c r="B280" s="2" t="s">
        <v>26</v>
      </c>
      <c r="C280" s="2" t="s">
        <v>54</v>
      </c>
      <c r="D280" s="2" t="s">
        <v>124</v>
      </c>
      <c r="E280" s="2" t="s">
        <v>38</v>
      </c>
      <c r="F280" s="2" t="s">
        <v>123</v>
      </c>
      <c r="G280" s="2" t="s">
        <v>144</v>
      </c>
      <c r="H280" s="56" t="str">
        <f>Table1[[#This Row],[Tabela]]&amp;Table1[[#This Row],[Campo]]</f>
        <v>PROPERTY_ENERGY_CERTIFICATEBUILDING_SPACE_COOLING_VALUE</v>
      </c>
      <c r="I280" s="2" t="s">
        <v>612</v>
      </c>
      <c r="J280" s="42">
        <f>VLOOKUP(Table1[[#This Row],[Status]],Auxiliar!$B$16:$C$24,2,0)</f>
        <v>1</v>
      </c>
      <c r="K280" s="2" t="s">
        <v>1172</v>
      </c>
      <c r="L280" s="28" t="s">
        <v>1169</v>
      </c>
      <c r="M280" s="20" t="s">
        <v>1178</v>
      </c>
      <c r="N280" s="47">
        <v>45485</v>
      </c>
      <c r="O280" s="20">
        <f>INDEX(Auxiliar!$D$5:$F$13,MATCH(Table1[[#This Row],[Tipologia_Testes]],Auxiliar!$B$5:$B$13,0),MATCH(Table1[[#This Row],[Complexidade]],Auxiliar!$D$4:$F$4,0))</f>
        <v>2</v>
      </c>
      <c r="P280" s="2" t="s">
        <v>1195</v>
      </c>
      <c r="Q280" s="2"/>
      <c r="R280" s="151">
        <v>45261</v>
      </c>
      <c r="S280" s="151"/>
      <c r="T280" s="151"/>
      <c r="U280" s="151"/>
      <c r="V280" s="151"/>
      <c r="W280" s="2">
        <f>VLOOKUP(Table1[[#This Row],[Status]],Auxiliar!$B$16:$D$24,3,0)*Table1[[#This Row],[Estimação (horas)]]</f>
        <v>2</v>
      </c>
      <c r="X280" s="166">
        <f>+VLOOKUP(CONCATENATE(Table1[[#This Row],[Tabela]],Table1[[#This Row],[Campo]]),'2. Status Detalhe Campos FY24'!A:J,9,FALSE)</f>
        <v>0</v>
      </c>
    </row>
    <row r="281" spans="2:24" ht="17.850000000000001" hidden="1" customHeight="1">
      <c r="B281" s="2" t="s">
        <v>26</v>
      </c>
      <c r="C281" s="2" t="s">
        <v>54</v>
      </c>
      <c r="D281" s="2" t="s">
        <v>124</v>
      </c>
      <c r="E281" s="2" t="s">
        <v>38</v>
      </c>
      <c r="F281" s="2" t="s">
        <v>123</v>
      </c>
      <c r="G281" s="2" t="s">
        <v>144</v>
      </c>
      <c r="H281" s="56" t="str">
        <f>Table1[[#This Row],[Tabela]]&amp;Table1[[#This Row],[Campo]]</f>
        <v>PROPERTY_ENERGY_CERTIFICATEBUILDING_SPACE_COOLING_VALUE</v>
      </c>
      <c r="I281" s="2" t="s">
        <v>612</v>
      </c>
      <c r="J281" s="42">
        <f>VLOOKUP(Table1[[#This Row],[Status]],Auxiliar!$B$16:$C$24,2,0)</f>
        <v>1</v>
      </c>
      <c r="K281" s="2" t="s">
        <v>1174</v>
      </c>
      <c r="L281" s="28" t="s">
        <v>1169</v>
      </c>
      <c r="M281" s="20" t="s">
        <v>1178</v>
      </c>
      <c r="N281" s="47">
        <v>45485</v>
      </c>
      <c r="O281" s="20">
        <f>INDEX(Auxiliar!$D$5:$F$13,MATCH(Table1[[#This Row],[Tipologia_Testes]],Auxiliar!$B$5:$B$13,0),MATCH(Table1[[#This Row],[Complexidade]],Auxiliar!$D$4:$F$4,0))</f>
        <v>0.1</v>
      </c>
      <c r="P281" s="2" t="s">
        <v>1195</v>
      </c>
      <c r="Q281" s="2"/>
      <c r="R281" s="151">
        <v>45261</v>
      </c>
      <c r="S281" s="151"/>
      <c r="T281" s="151"/>
      <c r="U281" s="151"/>
      <c r="V281" s="151"/>
      <c r="W281" s="2">
        <f>VLOOKUP(Table1[[#This Row],[Status]],Auxiliar!$B$16:$D$24,3,0)*Table1[[#This Row],[Estimação (horas)]]</f>
        <v>0.1</v>
      </c>
      <c r="X281" s="166">
        <f>+VLOOKUP(CONCATENATE(Table1[[#This Row],[Tabela]],Table1[[#This Row],[Campo]]),'2. Status Detalhe Campos FY24'!A:J,9,FALSE)</f>
        <v>0</v>
      </c>
    </row>
    <row r="282" spans="2:24" ht="17.850000000000001" hidden="1" customHeight="1">
      <c r="B282" s="2" t="s">
        <v>26</v>
      </c>
      <c r="C282" s="2" t="s">
        <v>54</v>
      </c>
      <c r="D282" s="2" t="s">
        <v>124</v>
      </c>
      <c r="E282" s="2" t="s">
        <v>38</v>
      </c>
      <c r="F282" s="2" t="s">
        <v>123</v>
      </c>
      <c r="G282" s="2" t="s">
        <v>145</v>
      </c>
      <c r="H282" s="56" t="str">
        <f>Table1[[#This Row],[Tabela]]&amp;Table1[[#This Row],[Campo]]</f>
        <v>PROPERTY_ENERGY_CERTIFICATERENEWABLE_SPACE_COOLING_VALUE</v>
      </c>
      <c r="I282" s="2" t="s">
        <v>612</v>
      </c>
      <c r="J282" s="42">
        <f>VLOOKUP(Table1[[#This Row],[Status]],Auxiliar!$B$16:$C$24,2,0)</f>
        <v>1</v>
      </c>
      <c r="K282" s="2" t="s">
        <v>1171</v>
      </c>
      <c r="L282" s="28" t="s">
        <v>1169</v>
      </c>
      <c r="M282" s="20" t="s">
        <v>1178</v>
      </c>
      <c r="N282" s="47">
        <v>45485</v>
      </c>
      <c r="O282" s="20">
        <f>INDEX(Auxiliar!$D$5:$F$13,MATCH(Table1[[#This Row],[Tipologia_Testes]],Auxiliar!$B$5:$B$13,0),MATCH(Table1[[#This Row],[Complexidade]],Auxiliar!$D$4:$F$4,0))</f>
        <v>2</v>
      </c>
      <c r="P282" s="2" t="s">
        <v>1195</v>
      </c>
      <c r="Q282" s="2"/>
      <c r="R282" s="151">
        <v>45261</v>
      </c>
      <c r="S282" s="151"/>
      <c r="T282" s="151"/>
      <c r="U282" s="151"/>
      <c r="V282" s="151"/>
      <c r="W282" s="2">
        <f>VLOOKUP(Table1[[#This Row],[Status]],Auxiliar!$B$16:$D$24,3,0)*Table1[[#This Row],[Estimação (horas)]]</f>
        <v>2</v>
      </c>
      <c r="X282" s="166">
        <f>+VLOOKUP(CONCATENATE(Table1[[#This Row],[Tabela]],Table1[[#This Row],[Campo]]),'2. Status Detalhe Campos FY24'!A:J,9,FALSE)</f>
        <v>0</v>
      </c>
    </row>
    <row r="283" spans="2:24" ht="17.850000000000001" hidden="1" customHeight="1">
      <c r="B283" s="2" t="s">
        <v>26</v>
      </c>
      <c r="C283" s="2" t="s">
        <v>54</v>
      </c>
      <c r="D283" s="2" t="s">
        <v>124</v>
      </c>
      <c r="E283" s="2" t="s">
        <v>38</v>
      </c>
      <c r="F283" s="2" t="s">
        <v>123</v>
      </c>
      <c r="G283" s="2" t="s">
        <v>145</v>
      </c>
      <c r="H283" s="56" t="str">
        <f>Table1[[#This Row],[Tabela]]&amp;Table1[[#This Row],[Campo]]</f>
        <v>PROPERTY_ENERGY_CERTIFICATERENEWABLE_SPACE_COOLING_VALUE</v>
      </c>
      <c r="I283" s="2" t="s">
        <v>612</v>
      </c>
      <c r="J283" s="42">
        <f>VLOOKUP(Table1[[#This Row],[Status]],Auxiliar!$B$16:$C$24,2,0)</f>
        <v>1</v>
      </c>
      <c r="K283" s="2" t="s">
        <v>1172</v>
      </c>
      <c r="L283" s="28" t="s">
        <v>1169</v>
      </c>
      <c r="M283" s="20" t="s">
        <v>1178</v>
      </c>
      <c r="N283" s="47">
        <v>45485</v>
      </c>
      <c r="O283" s="20">
        <f>INDEX(Auxiliar!$D$5:$F$13,MATCH(Table1[[#This Row],[Tipologia_Testes]],Auxiliar!$B$5:$B$13,0),MATCH(Table1[[#This Row],[Complexidade]],Auxiliar!$D$4:$F$4,0))</f>
        <v>2</v>
      </c>
      <c r="P283" s="2" t="s">
        <v>1195</v>
      </c>
      <c r="Q283" s="2"/>
      <c r="R283" s="151">
        <v>45261</v>
      </c>
      <c r="S283" s="151"/>
      <c r="T283" s="151"/>
      <c r="U283" s="151"/>
      <c r="V283" s="151"/>
      <c r="W283" s="2">
        <f>VLOOKUP(Table1[[#This Row],[Status]],Auxiliar!$B$16:$D$24,3,0)*Table1[[#This Row],[Estimação (horas)]]</f>
        <v>2</v>
      </c>
      <c r="X283" s="166">
        <f>+VLOOKUP(CONCATENATE(Table1[[#This Row],[Tabela]],Table1[[#This Row],[Campo]]),'2. Status Detalhe Campos FY24'!A:J,9,FALSE)</f>
        <v>0</v>
      </c>
    </row>
    <row r="284" spans="2:24" ht="17.850000000000001" hidden="1" customHeight="1">
      <c r="B284" s="2" t="s">
        <v>26</v>
      </c>
      <c r="C284" s="2" t="s">
        <v>54</v>
      </c>
      <c r="D284" s="2" t="s">
        <v>124</v>
      </c>
      <c r="E284" s="2" t="s">
        <v>38</v>
      </c>
      <c r="F284" s="2" t="s">
        <v>123</v>
      </c>
      <c r="G284" s="2" t="s">
        <v>145</v>
      </c>
      <c r="H284" s="56" t="str">
        <f>Table1[[#This Row],[Tabela]]&amp;Table1[[#This Row],[Campo]]</f>
        <v>PROPERTY_ENERGY_CERTIFICATERENEWABLE_SPACE_COOLING_VALUE</v>
      </c>
      <c r="I284" s="2" t="s">
        <v>612</v>
      </c>
      <c r="J284" s="42">
        <f>VLOOKUP(Table1[[#This Row],[Status]],Auxiliar!$B$16:$C$24,2,0)</f>
        <v>1</v>
      </c>
      <c r="K284" s="2" t="s">
        <v>1174</v>
      </c>
      <c r="L284" s="28" t="s">
        <v>1169</v>
      </c>
      <c r="M284" s="20" t="s">
        <v>1178</v>
      </c>
      <c r="N284" s="47">
        <v>45485</v>
      </c>
      <c r="O284" s="20">
        <f>INDEX(Auxiliar!$D$5:$F$13,MATCH(Table1[[#This Row],[Tipologia_Testes]],Auxiliar!$B$5:$B$13,0),MATCH(Table1[[#This Row],[Complexidade]],Auxiliar!$D$4:$F$4,0))</f>
        <v>0.1</v>
      </c>
      <c r="P284" s="2" t="s">
        <v>1195</v>
      </c>
      <c r="Q284" s="2"/>
      <c r="R284" s="151">
        <v>45261</v>
      </c>
      <c r="S284" s="151"/>
      <c r="T284" s="151"/>
      <c r="U284" s="151"/>
      <c r="V284" s="151"/>
      <c r="W284" s="2">
        <f>VLOOKUP(Table1[[#This Row],[Status]],Auxiliar!$B$16:$D$24,3,0)*Table1[[#This Row],[Estimação (horas)]]</f>
        <v>0.1</v>
      </c>
      <c r="X284" s="166">
        <f>+VLOOKUP(CONCATENATE(Table1[[#This Row],[Tabela]],Table1[[#This Row],[Campo]]),'2. Status Detalhe Campos FY24'!A:J,9,FALSE)</f>
        <v>0</v>
      </c>
    </row>
    <row r="285" spans="2:24" ht="17.850000000000001" hidden="1" customHeight="1">
      <c r="B285" s="2" t="s">
        <v>26</v>
      </c>
      <c r="C285" s="2" t="s">
        <v>54</v>
      </c>
      <c r="D285" s="2" t="s">
        <v>124</v>
      </c>
      <c r="E285" s="2" t="s">
        <v>38</v>
      </c>
      <c r="F285" s="2" t="s">
        <v>123</v>
      </c>
      <c r="G285" s="2" t="s">
        <v>146</v>
      </c>
      <c r="H285" s="56" t="str">
        <f>Table1[[#This Row],[Tabela]]&amp;Table1[[#This Row],[Campo]]</f>
        <v>PROPERTY_ENERGY_CERTIFICATESPACE_COOLING_REF_VALUE</v>
      </c>
      <c r="I285" s="2" t="s">
        <v>612</v>
      </c>
      <c r="J285" s="42">
        <f>VLOOKUP(Table1[[#This Row],[Status]],Auxiliar!$B$16:$C$24,2,0)</f>
        <v>1</v>
      </c>
      <c r="K285" s="2" t="s">
        <v>1171</v>
      </c>
      <c r="L285" s="28" t="s">
        <v>1169</v>
      </c>
      <c r="M285" s="20" t="s">
        <v>1178</v>
      </c>
      <c r="N285" s="47">
        <v>45485</v>
      </c>
      <c r="O285" s="20">
        <f>INDEX(Auxiliar!$D$5:$F$13,MATCH(Table1[[#This Row],[Tipologia_Testes]],Auxiliar!$B$5:$B$13,0),MATCH(Table1[[#This Row],[Complexidade]],Auxiliar!$D$4:$F$4,0))</f>
        <v>2</v>
      </c>
      <c r="P285" s="2" t="s">
        <v>1195</v>
      </c>
      <c r="Q285" s="2"/>
      <c r="R285" s="151">
        <v>45261</v>
      </c>
      <c r="S285" s="151"/>
      <c r="T285" s="151"/>
      <c r="U285" s="151"/>
      <c r="V285" s="151"/>
      <c r="W285" s="2">
        <f>VLOOKUP(Table1[[#This Row],[Status]],Auxiliar!$B$16:$D$24,3,0)*Table1[[#This Row],[Estimação (horas)]]</f>
        <v>2</v>
      </c>
      <c r="X285" s="166">
        <f>+VLOOKUP(CONCATENATE(Table1[[#This Row],[Tabela]],Table1[[#This Row],[Campo]]),'2. Status Detalhe Campos FY24'!A:J,9,FALSE)</f>
        <v>0</v>
      </c>
    </row>
    <row r="286" spans="2:24" ht="17.850000000000001" hidden="1" customHeight="1">
      <c r="B286" s="2" t="s">
        <v>26</v>
      </c>
      <c r="C286" s="2" t="s">
        <v>54</v>
      </c>
      <c r="D286" s="2" t="s">
        <v>124</v>
      </c>
      <c r="E286" s="2" t="s">
        <v>38</v>
      </c>
      <c r="F286" s="2" t="s">
        <v>123</v>
      </c>
      <c r="G286" s="2" t="s">
        <v>146</v>
      </c>
      <c r="H286" s="56" t="str">
        <f>Table1[[#This Row],[Tabela]]&amp;Table1[[#This Row],[Campo]]</f>
        <v>PROPERTY_ENERGY_CERTIFICATESPACE_COOLING_REF_VALUE</v>
      </c>
      <c r="I286" s="2" t="s">
        <v>612</v>
      </c>
      <c r="J286" s="42">
        <f>VLOOKUP(Table1[[#This Row],[Status]],Auxiliar!$B$16:$C$24,2,0)</f>
        <v>1</v>
      </c>
      <c r="K286" s="2" t="s">
        <v>1172</v>
      </c>
      <c r="L286" s="28" t="s">
        <v>1169</v>
      </c>
      <c r="M286" s="20" t="s">
        <v>1178</v>
      </c>
      <c r="N286" s="47">
        <v>45485</v>
      </c>
      <c r="O286" s="20">
        <f>INDEX(Auxiliar!$D$5:$F$13,MATCH(Table1[[#This Row],[Tipologia_Testes]],Auxiliar!$B$5:$B$13,0),MATCH(Table1[[#This Row],[Complexidade]],Auxiliar!$D$4:$F$4,0))</f>
        <v>2</v>
      </c>
      <c r="P286" s="2" t="s">
        <v>1195</v>
      </c>
      <c r="Q286" s="2"/>
      <c r="R286" s="151">
        <v>45261</v>
      </c>
      <c r="S286" s="151"/>
      <c r="T286" s="151"/>
      <c r="U286" s="151"/>
      <c r="V286" s="151"/>
      <c r="W286" s="2">
        <f>VLOOKUP(Table1[[#This Row],[Status]],Auxiliar!$B$16:$D$24,3,0)*Table1[[#This Row],[Estimação (horas)]]</f>
        <v>2</v>
      </c>
      <c r="X286" s="166">
        <f>+VLOOKUP(CONCATENATE(Table1[[#This Row],[Tabela]],Table1[[#This Row],[Campo]]),'2. Status Detalhe Campos FY24'!A:J,9,FALSE)</f>
        <v>0</v>
      </c>
    </row>
    <row r="287" spans="2:24" ht="17.850000000000001" hidden="1" customHeight="1">
      <c r="B287" s="2" t="s">
        <v>26</v>
      </c>
      <c r="C287" s="2" t="s">
        <v>54</v>
      </c>
      <c r="D287" s="2" t="s">
        <v>124</v>
      </c>
      <c r="E287" s="2" t="s">
        <v>38</v>
      </c>
      <c r="F287" s="2" t="s">
        <v>123</v>
      </c>
      <c r="G287" s="2" t="s">
        <v>146</v>
      </c>
      <c r="H287" s="56" t="str">
        <f>Table1[[#This Row],[Tabela]]&amp;Table1[[#This Row],[Campo]]</f>
        <v>PROPERTY_ENERGY_CERTIFICATESPACE_COOLING_REF_VALUE</v>
      </c>
      <c r="I287" s="2" t="s">
        <v>612</v>
      </c>
      <c r="J287" s="42">
        <f>VLOOKUP(Table1[[#This Row],[Status]],Auxiliar!$B$16:$C$24,2,0)</f>
        <v>1</v>
      </c>
      <c r="K287" s="2" t="s">
        <v>1174</v>
      </c>
      <c r="L287" s="28" t="s">
        <v>1169</v>
      </c>
      <c r="M287" s="20" t="s">
        <v>1178</v>
      </c>
      <c r="N287" s="47">
        <v>45485</v>
      </c>
      <c r="O287" s="20">
        <f>INDEX(Auxiliar!$D$5:$F$13,MATCH(Table1[[#This Row],[Tipologia_Testes]],Auxiliar!$B$5:$B$13,0),MATCH(Table1[[#This Row],[Complexidade]],Auxiliar!$D$4:$F$4,0))</f>
        <v>0.1</v>
      </c>
      <c r="P287" s="2" t="s">
        <v>1195</v>
      </c>
      <c r="Q287" s="2"/>
      <c r="R287" s="151">
        <v>45261</v>
      </c>
      <c r="S287" s="151"/>
      <c r="T287" s="151"/>
      <c r="U287" s="151"/>
      <c r="V287" s="151"/>
      <c r="W287" s="2">
        <f>VLOOKUP(Table1[[#This Row],[Status]],Auxiliar!$B$16:$D$24,3,0)*Table1[[#This Row],[Estimação (horas)]]</f>
        <v>0.1</v>
      </c>
      <c r="X287" s="166">
        <f>+VLOOKUP(CONCATENATE(Table1[[#This Row],[Tabela]],Table1[[#This Row],[Campo]]),'2. Status Detalhe Campos FY24'!A:J,9,FALSE)</f>
        <v>0</v>
      </c>
    </row>
    <row r="288" spans="2:24" ht="17.850000000000001" hidden="1" customHeight="1">
      <c r="B288" s="2" t="s">
        <v>26</v>
      </c>
      <c r="C288" s="2" t="s">
        <v>54</v>
      </c>
      <c r="D288" s="2" t="s">
        <v>124</v>
      </c>
      <c r="E288" s="2" t="s">
        <v>38</v>
      </c>
      <c r="F288" s="2" t="s">
        <v>123</v>
      </c>
      <c r="G288" s="2" t="s">
        <v>147</v>
      </c>
      <c r="H288" s="56" t="str">
        <f>Table1[[#This Row],[Tabela]]&amp;Table1[[#This Row],[Campo]]</f>
        <v>PROPERTY_ENERGY_CERTIFICATEENERGY_CLASS_AFTER_MEASUREMENT</v>
      </c>
      <c r="I288" s="2" t="s">
        <v>612</v>
      </c>
      <c r="J288" s="42">
        <f>VLOOKUP(Table1[[#This Row],[Status]],Auxiliar!$B$16:$C$24,2,0)</f>
        <v>1</v>
      </c>
      <c r="K288" s="2" t="s">
        <v>1171</v>
      </c>
      <c r="L288" s="28" t="s">
        <v>1169</v>
      </c>
      <c r="M288" s="20" t="s">
        <v>1178</v>
      </c>
      <c r="N288" s="47">
        <v>45485</v>
      </c>
      <c r="O288" s="20">
        <f>INDEX(Auxiliar!$D$5:$F$13,MATCH(Table1[[#This Row],[Tipologia_Testes]],Auxiliar!$B$5:$B$13,0),MATCH(Table1[[#This Row],[Complexidade]],Auxiliar!$D$4:$F$4,0))</f>
        <v>2</v>
      </c>
      <c r="P288" s="2" t="s">
        <v>1195</v>
      </c>
      <c r="Q288" s="2"/>
      <c r="R288" s="151">
        <v>45261</v>
      </c>
      <c r="S288" s="151"/>
      <c r="T288" s="151"/>
      <c r="U288" s="151"/>
      <c r="V288" s="151"/>
      <c r="W288" s="2">
        <f>VLOOKUP(Table1[[#This Row],[Status]],Auxiliar!$B$16:$D$24,3,0)*Table1[[#This Row],[Estimação (horas)]]</f>
        <v>2</v>
      </c>
      <c r="X288" s="166">
        <f>+VLOOKUP(CONCATENATE(Table1[[#This Row],[Tabela]],Table1[[#This Row],[Campo]]),'2. Status Detalhe Campos FY24'!A:J,9,FALSE)</f>
        <v>0</v>
      </c>
    </row>
    <row r="289" spans="2:24" ht="17.850000000000001" hidden="1" customHeight="1">
      <c r="B289" s="2" t="s">
        <v>26</v>
      </c>
      <c r="C289" s="2" t="s">
        <v>54</v>
      </c>
      <c r="D289" s="2" t="s">
        <v>124</v>
      </c>
      <c r="E289" s="2" t="s">
        <v>38</v>
      </c>
      <c r="F289" s="2" t="s">
        <v>123</v>
      </c>
      <c r="G289" s="2" t="s">
        <v>147</v>
      </c>
      <c r="H289" s="56" t="str">
        <f>Table1[[#This Row],[Tabela]]&amp;Table1[[#This Row],[Campo]]</f>
        <v>PROPERTY_ENERGY_CERTIFICATEENERGY_CLASS_AFTER_MEASUREMENT</v>
      </c>
      <c r="I289" s="2" t="s">
        <v>612</v>
      </c>
      <c r="J289" s="42">
        <f>VLOOKUP(Table1[[#This Row],[Status]],Auxiliar!$B$16:$C$24,2,0)</f>
        <v>1</v>
      </c>
      <c r="K289" s="2" t="s">
        <v>1172</v>
      </c>
      <c r="L289" s="28" t="s">
        <v>1169</v>
      </c>
      <c r="M289" s="20" t="s">
        <v>1178</v>
      </c>
      <c r="N289" s="47">
        <v>45485</v>
      </c>
      <c r="O289" s="20">
        <f>INDEX(Auxiliar!$D$5:$F$13,MATCH(Table1[[#This Row],[Tipologia_Testes]],Auxiliar!$B$5:$B$13,0),MATCH(Table1[[#This Row],[Complexidade]],Auxiliar!$D$4:$F$4,0))</f>
        <v>2</v>
      </c>
      <c r="P289" s="2" t="s">
        <v>1195</v>
      </c>
      <c r="Q289" s="2"/>
      <c r="R289" s="151">
        <v>45261</v>
      </c>
      <c r="S289" s="151"/>
      <c r="T289" s="151"/>
      <c r="U289" s="151"/>
      <c r="V289" s="151"/>
      <c r="W289" s="2">
        <f>VLOOKUP(Table1[[#This Row],[Status]],Auxiliar!$B$16:$D$24,3,0)*Table1[[#This Row],[Estimação (horas)]]</f>
        <v>2</v>
      </c>
      <c r="X289" s="166">
        <f>+VLOOKUP(CONCATENATE(Table1[[#This Row],[Tabela]],Table1[[#This Row],[Campo]]),'2. Status Detalhe Campos FY24'!A:J,9,FALSE)</f>
        <v>0</v>
      </c>
    </row>
    <row r="290" spans="2:24" ht="17.850000000000001" hidden="1" customHeight="1">
      <c r="B290" s="2" t="s">
        <v>26</v>
      </c>
      <c r="C290" s="2" t="s">
        <v>54</v>
      </c>
      <c r="D290" s="2" t="s">
        <v>124</v>
      </c>
      <c r="E290" s="2" t="s">
        <v>38</v>
      </c>
      <c r="F290" s="2" t="s">
        <v>123</v>
      </c>
      <c r="G290" s="2" t="s">
        <v>147</v>
      </c>
      <c r="H290" s="56" t="str">
        <f>Table1[[#This Row],[Tabela]]&amp;Table1[[#This Row],[Campo]]</f>
        <v>PROPERTY_ENERGY_CERTIFICATEENERGY_CLASS_AFTER_MEASUREMENT</v>
      </c>
      <c r="I290" s="2" t="s">
        <v>612</v>
      </c>
      <c r="J290" s="42">
        <f>VLOOKUP(Table1[[#This Row],[Status]],Auxiliar!$B$16:$C$24,2,0)</f>
        <v>1</v>
      </c>
      <c r="K290" s="2" t="s">
        <v>1174</v>
      </c>
      <c r="L290" s="28" t="s">
        <v>1169</v>
      </c>
      <c r="M290" s="20" t="s">
        <v>1178</v>
      </c>
      <c r="N290" s="47">
        <v>45485</v>
      </c>
      <c r="O290" s="20">
        <f>INDEX(Auxiliar!$D$5:$F$13,MATCH(Table1[[#This Row],[Tipologia_Testes]],Auxiliar!$B$5:$B$13,0),MATCH(Table1[[#This Row],[Complexidade]],Auxiliar!$D$4:$F$4,0))</f>
        <v>0.1</v>
      </c>
      <c r="P290" s="2" t="s">
        <v>1195</v>
      </c>
      <c r="Q290" s="2"/>
      <c r="R290" s="151">
        <v>45261</v>
      </c>
      <c r="S290" s="151"/>
      <c r="T290" s="151"/>
      <c r="U290" s="151"/>
      <c r="V290" s="151"/>
      <c r="W290" s="2">
        <f>VLOOKUP(Table1[[#This Row],[Status]],Auxiliar!$B$16:$D$24,3,0)*Table1[[#This Row],[Estimação (horas)]]</f>
        <v>0.1</v>
      </c>
      <c r="X290" s="166">
        <f>+VLOOKUP(CONCATENATE(Table1[[#This Row],[Tabela]],Table1[[#This Row],[Campo]]),'2. Status Detalhe Campos FY24'!A:J,9,FALSE)</f>
        <v>0</v>
      </c>
    </row>
    <row r="291" spans="2:24" ht="17.850000000000001" hidden="1" customHeight="1">
      <c r="B291" s="2" t="s">
        <v>26</v>
      </c>
      <c r="C291" s="2" t="s">
        <v>54</v>
      </c>
      <c r="D291" s="2" t="s">
        <v>124</v>
      </c>
      <c r="E291" s="2" t="s">
        <v>38</v>
      </c>
      <c r="F291" s="2" t="s">
        <v>123</v>
      </c>
      <c r="G291" s="2" t="s">
        <v>51</v>
      </c>
      <c r="H291" s="56" t="str">
        <f>Table1[[#This Row],[Tabela]]&amp;Table1[[#This Row],[Campo]]</f>
        <v>PROPERTY_ENERGY_CERTIFICATEENERGY_CONSUMPTION_VALUE_YEAR</v>
      </c>
      <c r="I291" s="2" t="s">
        <v>614</v>
      </c>
      <c r="J291" s="42">
        <f>VLOOKUP(Table1[[#This Row],[Status]],Auxiliar!$B$16:$C$24,2,0)</f>
        <v>5</v>
      </c>
      <c r="K291" s="2" t="s">
        <v>1171</v>
      </c>
      <c r="L291" s="28" t="s">
        <v>1169</v>
      </c>
      <c r="M291" s="20" t="s">
        <v>1178</v>
      </c>
      <c r="N291" s="47">
        <v>45688</v>
      </c>
      <c r="O291" s="20">
        <f>INDEX(Auxiliar!$D$5:$F$13,MATCH(Table1[[#This Row],[Tipologia_Testes]],Auxiliar!$B$5:$B$13,0),MATCH(Table1[[#This Row],[Complexidade]],Auxiliar!$D$4:$F$4,0))</f>
        <v>2</v>
      </c>
      <c r="P291" s="2"/>
      <c r="Q291" s="2"/>
      <c r="R291" s="151">
        <v>45616</v>
      </c>
      <c r="S291" s="151"/>
      <c r="T291" s="151"/>
      <c r="U291" s="151"/>
      <c r="V291" s="151">
        <v>45639</v>
      </c>
      <c r="W291" s="2">
        <f>VLOOKUP(Table1[[#This Row],[Status]],Auxiliar!$B$16:$D$24,3,0)*Table1[[#This Row],[Estimação (horas)]]</f>
        <v>0.5</v>
      </c>
      <c r="X291" s="166">
        <f>+VLOOKUP(CONCATENATE(Table1[[#This Row],[Tabela]],Table1[[#This Row],[Campo]]),'2. Status Detalhe Campos FY24'!A:J,9,FALSE)</f>
        <v>0</v>
      </c>
    </row>
    <row r="292" spans="2:24" ht="17.850000000000001" hidden="1" customHeight="1">
      <c r="B292" s="2" t="s">
        <v>26</v>
      </c>
      <c r="C292" s="2" t="s">
        <v>54</v>
      </c>
      <c r="D292" s="2" t="s">
        <v>124</v>
      </c>
      <c r="E292" s="2" t="s">
        <v>38</v>
      </c>
      <c r="F292" s="2" t="s">
        <v>123</v>
      </c>
      <c r="G292" s="2" t="s">
        <v>51</v>
      </c>
      <c r="H292" s="56" t="str">
        <f>Table1[[#This Row],[Tabela]]&amp;Table1[[#This Row],[Campo]]</f>
        <v>PROPERTY_ENERGY_CERTIFICATEENERGY_CONSUMPTION_VALUE_YEAR</v>
      </c>
      <c r="I292" s="2" t="s">
        <v>614</v>
      </c>
      <c r="J292" s="42">
        <f>VLOOKUP(Table1[[#This Row],[Status]],Auxiliar!$B$16:$C$24,2,0)</f>
        <v>5</v>
      </c>
      <c r="K292" s="2" t="s">
        <v>1172</v>
      </c>
      <c r="L292" s="28" t="s">
        <v>1169</v>
      </c>
      <c r="M292" s="20" t="s">
        <v>1178</v>
      </c>
      <c r="N292" s="47">
        <v>45688</v>
      </c>
      <c r="O292" s="20">
        <f>INDEX(Auxiliar!$D$5:$F$13,MATCH(Table1[[#This Row],[Tipologia_Testes]],Auxiliar!$B$5:$B$13,0),MATCH(Table1[[#This Row],[Complexidade]],Auxiliar!$D$4:$F$4,0))</f>
        <v>2</v>
      </c>
      <c r="P292" s="2"/>
      <c r="Q292" s="2"/>
      <c r="R292" s="151">
        <v>45616</v>
      </c>
      <c r="S292" s="151"/>
      <c r="T292" s="151"/>
      <c r="U292" s="151"/>
      <c r="V292" s="151">
        <v>45639</v>
      </c>
      <c r="W292" s="2">
        <f>VLOOKUP(Table1[[#This Row],[Status]],Auxiliar!$B$16:$D$24,3,0)*Table1[[#This Row],[Estimação (horas)]]</f>
        <v>0.5</v>
      </c>
      <c r="X292" s="166">
        <f>+VLOOKUP(CONCATENATE(Table1[[#This Row],[Tabela]],Table1[[#This Row],[Campo]]),'2. Status Detalhe Campos FY24'!A:J,9,FALSE)</f>
        <v>0</v>
      </c>
    </row>
    <row r="293" spans="2:24" ht="17.850000000000001" hidden="1" customHeight="1">
      <c r="B293" s="2" t="s">
        <v>26</v>
      </c>
      <c r="C293" s="2" t="s">
        <v>54</v>
      </c>
      <c r="D293" s="2" t="s">
        <v>124</v>
      </c>
      <c r="E293" s="2" t="s">
        <v>38</v>
      </c>
      <c r="F293" s="2" t="s">
        <v>123</v>
      </c>
      <c r="G293" s="2" t="s">
        <v>51</v>
      </c>
      <c r="H293" s="56" t="str">
        <f>Table1[[#This Row],[Tabela]]&amp;Table1[[#This Row],[Campo]]</f>
        <v>PROPERTY_ENERGY_CERTIFICATEENERGY_CONSUMPTION_VALUE_YEAR</v>
      </c>
      <c r="I293" s="2" t="s">
        <v>614</v>
      </c>
      <c r="J293" s="42">
        <f>VLOOKUP(Table1[[#This Row],[Status]],Auxiliar!$B$16:$C$24,2,0)</f>
        <v>5</v>
      </c>
      <c r="K293" s="2" t="s">
        <v>1174</v>
      </c>
      <c r="L293" s="28" t="s">
        <v>1169</v>
      </c>
      <c r="M293" s="20" t="s">
        <v>1178</v>
      </c>
      <c r="N293" s="47">
        <v>45688</v>
      </c>
      <c r="O293" s="20">
        <f>INDEX(Auxiliar!$D$5:$F$13,MATCH(Table1[[#This Row],[Tipologia_Testes]],Auxiliar!$B$5:$B$13,0),MATCH(Table1[[#This Row],[Complexidade]],Auxiliar!$D$4:$F$4,0))</f>
        <v>0.1</v>
      </c>
      <c r="P293" s="2"/>
      <c r="Q293" s="2"/>
      <c r="R293" s="151">
        <v>45616</v>
      </c>
      <c r="S293" s="151"/>
      <c r="T293" s="151"/>
      <c r="U293" s="151"/>
      <c r="V293" s="151">
        <v>45639</v>
      </c>
      <c r="W293" s="2">
        <f>VLOOKUP(Table1[[#This Row],[Status]],Auxiliar!$B$16:$D$24,3,0)*Table1[[#This Row],[Estimação (horas)]]</f>
        <v>2.5000000000000001E-2</v>
      </c>
      <c r="X293" s="166">
        <f>+VLOOKUP(CONCATENATE(Table1[[#This Row],[Tabela]],Table1[[#This Row],[Campo]]),'2. Status Detalhe Campos FY24'!A:J,9,FALSE)</f>
        <v>0</v>
      </c>
    </row>
    <row r="294" spans="2:24" ht="17.850000000000001" hidden="1" customHeight="1">
      <c r="B294" s="2" t="s">
        <v>26</v>
      </c>
      <c r="C294" s="2" t="s">
        <v>54</v>
      </c>
      <c r="D294" s="2" t="s">
        <v>124</v>
      </c>
      <c r="E294" s="2" t="s">
        <v>38</v>
      </c>
      <c r="F294" s="2" t="s">
        <v>123</v>
      </c>
      <c r="G294" s="2" t="s">
        <v>148</v>
      </c>
      <c r="H294" s="56" t="str">
        <f>Table1[[#This Row],[Tabela]]&amp;Table1[[#This Row],[Campo]]</f>
        <v>PROPERTY_ENERGY_CERTIFICATETHERMAL_BEHAVIOUR_ROOF</v>
      </c>
      <c r="I294" s="2" t="s">
        <v>612</v>
      </c>
      <c r="J294" s="42">
        <f>VLOOKUP(Table1[[#This Row],[Status]],Auxiliar!$B$16:$C$24,2,0)</f>
        <v>1</v>
      </c>
      <c r="K294" s="2" t="s">
        <v>1171</v>
      </c>
      <c r="L294" s="28" t="s">
        <v>1169</v>
      </c>
      <c r="M294" s="20" t="s">
        <v>1178</v>
      </c>
      <c r="N294" s="47">
        <v>45485</v>
      </c>
      <c r="O294" s="20">
        <f>INDEX(Auxiliar!$D$5:$F$13,MATCH(Table1[[#This Row],[Tipologia_Testes]],Auxiliar!$B$5:$B$13,0),MATCH(Table1[[#This Row],[Complexidade]],Auxiliar!$D$4:$F$4,0))</f>
        <v>2</v>
      </c>
      <c r="P294" s="2" t="s">
        <v>1195</v>
      </c>
      <c r="Q294" s="2"/>
      <c r="R294" s="151">
        <v>45261</v>
      </c>
      <c r="S294" s="151"/>
      <c r="T294" s="151"/>
      <c r="U294" s="151"/>
      <c r="V294" s="151"/>
      <c r="W294" s="2">
        <f>VLOOKUP(Table1[[#This Row],[Status]],Auxiliar!$B$16:$D$24,3,0)*Table1[[#This Row],[Estimação (horas)]]</f>
        <v>2</v>
      </c>
      <c r="X294" s="166">
        <f>+VLOOKUP(CONCATENATE(Table1[[#This Row],[Tabela]],Table1[[#This Row],[Campo]]),'2. Status Detalhe Campos FY24'!A:J,9,FALSE)</f>
        <v>0</v>
      </c>
    </row>
    <row r="295" spans="2:24" ht="17.850000000000001" hidden="1" customHeight="1">
      <c r="B295" s="2" t="s">
        <v>26</v>
      </c>
      <c r="C295" s="2" t="s">
        <v>54</v>
      </c>
      <c r="D295" s="2" t="s">
        <v>124</v>
      </c>
      <c r="E295" s="2" t="s">
        <v>38</v>
      </c>
      <c r="F295" s="2" t="s">
        <v>123</v>
      </c>
      <c r="G295" s="2" t="s">
        <v>148</v>
      </c>
      <c r="H295" s="56" t="str">
        <f>Table1[[#This Row],[Tabela]]&amp;Table1[[#This Row],[Campo]]</f>
        <v>PROPERTY_ENERGY_CERTIFICATETHERMAL_BEHAVIOUR_ROOF</v>
      </c>
      <c r="I295" s="2" t="s">
        <v>612</v>
      </c>
      <c r="J295" s="42">
        <f>VLOOKUP(Table1[[#This Row],[Status]],Auxiliar!$B$16:$C$24,2,0)</f>
        <v>1</v>
      </c>
      <c r="K295" s="2" t="s">
        <v>1172</v>
      </c>
      <c r="L295" s="28" t="s">
        <v>1169</v>
      </c>
      <c r="M295" s="20" t="s">
        <v>1178</v>
      </c>
      <c r="N295" s="47">
        <v>45485</v>
      </c>
      <c r="O295" s="20">
        <f>INDEX(Auxiliar!$D$5:$F$13,MATCH(Table1[[#This Row],[Tipologia_Testes]],Auxiliar!$B$5:$B$13,0),MATCH(Table1[[#This Row],[Complexidade]],Auxiliar!$D$4:$F$4,0))</f>
        <v>2</v>
      </c>
      <c r="P295" s="2" t="s">
        <v>1195</v>
      </c>
      <c r="Q295" s="2"/>
      <c r="R295" s="151">
        <v>45261</v>
      </c>
      <c r="S295" s="151"/>
      <c r="T295" s="151"/>
      <c r="U295" s="151"/>
      <c r="V295" s="151"/>
      <c r="W295" s="2">
        <f>VLOOKUP(Table1[[#This Row],[Status]],Auxiliar!$B$16:$D$24,3,0)*Table1[[#This Row],[Estimação (horas)]]</f>
        <v>2</v>
      </c>
      <c r="X295" s="166">
        <f>+VLOOKUP(CONCATENATE(Table1[[#This Row],[Tabela]],Table1[[#This Row],[Campo]]),'2. Status Detalhe Campos FY24'!A:J,9,FALSE)</f>
        <v>0</v>
      </c>
    </row>
    <row r="296" spans="2:24" ht="17.850000000000001" hidden="1" customHeight="1">
      <c r="B296" s="2" t="s">
        <v>26</v>
      </c>
      <c r="C296" s="2" t="s">
        <v>54</v>
      </c>
      <c r="D296" s="2" t="s">
        <v>124</v>
      </c>
      <c r="E296" s="2" t="s">
        <v>38</v>
      </c>
      <c r="F296" s="2" t="s">
        <v>123</v>
      </c>
      <c r="G296" s="2" t="s">
        <v>148</v>
      </c>
      <c r="H296" s="56" t="str">
        <f>Table1[[#This Row],[Tabela]]&amp;Table1[[#This Row],[Campo]]</f>
        <v>PROPERTY_ENERGY_CERTIFICATETHERMAL_BEHAVIOUR_ROOF</v>
      </c>
      <c r="I296" s="2" t="s">
        <v>612</v>
      </c>
      <c r="J296" s="42">
        <f>VLOOKUP(Table1[[#This Row],[Status]],Auxiliar!$B$16:$C$24,2,0)</f>
        <v>1</v>
      </c>
      <c r="K296" s="2" t="s">
        <v>1174</v>
      </c>
      <c r="L296" s="28" t="s">
        <v>1169</v>
      </c>
      <c r="M296" s="20" t="s">
        <v>1178</v>
      </c>
      <c r="N296" s="47">
        <v>45485</v>
      </c>
      <c r="O296" s="20">
        <f>INDEX(Auxiliar!$D$5:$F$13,MATCH(Table1[[#This Row],[Tipologia_Testes]],Auxiliar!$B$5:$B$13,0),MATCH(Table1[[#This Row],[Complexidade]],Auxiliar!$D$4:$F$4,0))</f>
        <v>0.1</v>
      </c>
      <c r="P296" s="2" t="s">
        <v>1195</v>
      </c>
      <c r="Q296" s="2"/>
      <c r="R296" s="151">
        <v>45261</v>
      </c>
      <c r="S296" s="151"/>
      <c r="T296" s="151"/>
      <c r="U296" s="151"/>
      <c r="V296" s="151"/>
      <c r="W296" s="2">
        <f>VLOOKUP(Table1[[#This Row],[Status]],Auxiliar!$B$16:$D$24,3,0)*Table1[[#This Row],[Estimação (horas)]]</f>
        <v>0.1</v>
      </c>
      <c r="X296" s="166">
        <f>+VLOOKUP(CONCATENATE(Table1[[#This Row],[Tabela]],Table1[[#This Row],[Campo]]),'2. Status Detalhe Campos FY24'!A:J,9,FALSE)</f>
        <v>0</v>
      </c>
    </row>
    <row r="297" spans="2:24" ht="17.850000000000001" hidden="1" customHeight="1">
      <c r="B297" s="2" t="s">
        <v>26</v>
      </c>
      <c r="C297" s="2" t="s">
        <v>54</v>
      </c>
      <c r="D297" s="2" t="s">
        <v>124</v>
      </c>
      <c r="E297" s="2" t="s">
        <v>38</v>
      </c>
      <c r="F297" s="2" t="s">
        <v>123</v>
      </c>
      <c r="G297" s="2" t="s">
        <v>149</v>
      </c>
      <c r="H297" s="56" t="str">
        <f>Table1[[#This Row],[Tabela]]&amp;Table1[[#This Row],[Campo]]</f>
        <v>PROPERTY_ENERGY_CERTIFICATETHERMAL_BEHAVIOUR_WINDOWS</v>
      </c>
      <c r="I297" s="2" t="s">
        <v>612</v>
      </c>
      <c r="J297" s="42">
        <f>VLOOKUP(Table1[[#This Row],[Status]],Auxiliar!$B$16:$C$24,2,0)</f>
        <v>1</v>
      </c>
      <c r="K297" s="2" t="s">
        <v>1171</v>
      </c>
      <c r="L297" s="28" t="s">
        <v>1169</v>
      </c>
      <c r="M297" s="20" t="s">
        <v>1178</v>
      </c>
      <c r="N297" s="47">
        <v>45485</v>
      </c>
      <c r="O297" s="20">
        <f>INDEX(Auxiliar!$D$5:$F$13,MATCH(Table1[[#This Row],[Tipologia_Testes]],Auxiliar!$B$5:$B$13,0),MATCH(Table1[[#This Row],[Complexidade]],Auxiliar!$D$4:$F$4,0))</f>
        <v>2</v>
      </c>
      <c r="P297" s="2" t="s">
        <v>1195</v>
      </c>
      <c r="Q297" s="2"/>
      <c r="R297" s="151">
        <v>45261</v>
      </c>
      <c r="S297" s="151"/>
      <c r="T297" s="151"/>
      <c r="U297" s="151"/>
      <c r="V297" s="151"/>
      <c r="W297" s="2">
        <f>VLOOKUP(Table1[[#This Row],[Status]],Auxiliar!$B$16:$D$24,3,0)*Table1[[#This Row],[Estimação (horas)]]</f>
        <v>2</v>
      </c>
      <c r="X297" s="166">
        <f>+VLOOKUP(CONCATENATE(Table1[[#This Row],[Tabela]],Table1[[#This Row],[Campo]]),'2. Status Detalhe Campos FY24'!A:J,9,FALSE)</f>
        <v>0</v>
      </c>
    </row>
    <row r="298" spans="2:24" ht="17.850000000000001" hidden="1" customHeight="1">
      <c r="B298" s="2" t="s">
        <v>26</v>
      </c>
      <c r="C298" s="2" t="s">
        <v>54</v>
      </c>
      <c r="D298" s="2" t="s">
        <v>124</v>
      </c>
      <c r="E298" s="2" t="s">
        <v>38</v>
      </c>
      <c r="F298" s="2" t="s">
        <v>123</v>
      </c>
      <c r="G298" s="2" t="s">
        <v>149</v>
      </c>
      <c r="H298" s="56" t="str">
        <f>Table1[[#This Row],[Tabela]]&amp;Table1[[#This Row],[Campo]]</f>
        <v>PROPERTY_ENERGY_CERTIFICATETHERMAL_BEHAVIOUR_WINDOWS</v>
      </c>
      <c r="I298" s="2" t="s">
        <v>612</v>
      </c>
      <c r="J298" s="42">
        <f>VLOOKUP(Table1[[#This Row],[Status]],Auxiliar!$B$16:$C$24,2,0)</f>
        <v>1</v>
      </c>
      <c r="K298" s="2" t="s">
        <v>1172</v>
      </c>
      <c r="L298" s="28" t="s">
        <v>1169</v>
      </c>
      <c r="M298" s="20" t="s">
        <v>1178</v>
      </c>
      <c r="N298" s="47">
        <v>45485</v>
      </c>
      <c r="O298" s="20">
        <f>INDEX(Auxiliar!$D$5:$F$13,MATCH(Table1[[#This Row],[Tipologia_Testes]],Auxiliar!$B$5:$B$13,0),MATCH(Table1[[#This Row],[Complexidade]],Auxiliar!$D$4:$F$4,0))</f>
        <v>2</v>
      </c>
      <c r="P298" s="2" t="s">
        <v>1195</v>
      </c>
      <c r="Q298" s="2"/>
      <c r="R298" s="151">
        <v>45261</v>
      </c>
      <c r="S298" s="151"/>
      <c r="T298" s="151"/>
      <c r="U298" s="151"/>
      <c r="V298" s="151"/>
      <c r="W298" s="2">
        <f>VLOOKUP(Table1[[#This Row],[Status]],Auxiliar!$B$16:$D$24,3,0)*Table1[[#This Row],[Estimação (horas)]]</f>
        <v>2</v>
      </c>
      <c r="X298" s="166">
        <f>+VLOOKUP(CONCATENATE(Table1[[#This Row],[Tabela]],Table1[[#This Row],[Campo]]),'2. Status Detalhe Campos FY24'!A:J,9,FALSE)</f>
        <v>0</v>
      </c>
    </row>
    <row r="299" spans="2:24" ht="17.850000000000001" hidden="1" customHeight="1">
      <c r="B299" s="2" t="s">
        <v>26</v>
      </c>
      <c r="C299" s="2" t="s">
        <v>54</v>
      </c>
      <c r="D299" s="2" t="s">
        <v>124</v>
      </c>
      <c r="E299" s="2" t="s">
        <v>38</v>
      </c>
      <c r="F299" s="2" t="s">
        <v>123</v>
      </c>
      <c r="G299" s="2" t="s">
        <v>149</v>
      </c>
      <c r="H299" s="56" t="str">
        <f>Table1[[#This Row],[Tabela]]&amp;Table1[[#This Row],[Campo]]</f>
        <v>PROPERTY_ENERGY_CERTIFICATETHERMAL_BEHAVIOUR_WINDOWS</v>
      </c>
      <c r="I299" s="2" t="s">
        <v>612</v>
      </c>
      <c r="J299" s="42">
        <f>VLOOKUP(Table1[[#This Row],[Status]],Auxiliar!$B$16:$C$24,2,0)</f>
        <v>1</v>
      </c>
      <c r="K299" s="2" t="s">
        <v>1174</v>
      </c>
      <c r="L299" s="28" t="s">
        <v>1169</v>
      </c>
      <c r="M299" s="20" t="s">
        <v>1178</v>
      </c>
      <c r="N299" s="47">
        <v>45485</v>
      </c>
      <c r="O299" s="20">
        <f>INDEX(Auxiliar!$D$5:$F$13,MATCH(Table1[[#This Row],[Tipologia_Testes]],Auxiliar!$B$5:$B$13,0),MATCH(Table1[[#This Row],[Complexidade]],Auxiliar!$D$4:$F$4,0))</f>
        <v>0.1</v>
      </c>
      <c r="P299" s="2" t="s">
        <v>1195</v>
      </c>
      <c r="Q299" s="2"/>
      <c r="R299" s="151">
        <v>45261</v>
      </c>
      <c r="S299" s="151"/>
      <c r="T299" s="151"/>
      <c r="U299" s="151"/>
      <c r="V299" s="151"/>
      <c r="W299" s="2">
        <f>VLOOKUP(Table1[[#This Row],[Status]],Auxiliar!$B$16:$D$24,3,0)*Table1[[#This Row],[Estimação (horas)]]</f>
        <v>0.1</v>
      </c>
      <c r="X299" s="166">
        <f>+VLOOKUP(CONCATENATE(Table1[[#This Row],[Tabela]],Table1[[#This Row],[Campo]]),'2. Status Detalhe Campos FY24'!A:J,9,FALSE)</f>
        <v>0</v>
      </c>
    </row>
    <row r="300" spans="2:24" ht="17.850000000000001" hidden="1" customHeight="1">
      <c r="B300" s="2" t="s">
        <v>26</v>
      </c>
      <c r="C300" s="2" t="s">
        <v>54</v>
      </c>
      <c r="D300" s="2" t="s">
        <v>124</v>
      </c>
      <c r="E300" s="2" t="s">
        <v>38</v>
      </c>
      <c r="F300" s="2" t="s">
        <v>123</v>
      </c>
      <c r="G300" s="2" t="s">
        <v>150</v>
      </c>
      <c r="H300" s="56" t="str">
        <f>Table1[[#This Row],[Tabela]]&amp;Table1[[#This Row],[Campo]]</f>
        <v>PROPERTY_ENERGY_CERTIFICATETHERMAL_BEHAVIOUR_WALL</v>
      </c>
      <c r="I300" s="2" t="s">
        <v>612</v>
      </c>
      <c r="J300" s="42">
        <f>VLOOKUP(Table1[[#This Row],[Status]],Auxiliar!$B$16:$C$24,2,0)</f>
        <v>1</v>
      </c>
      <c r="K300" s="2" t="s">
        <v>1171</v>
      </c>
      <c r="L300" s="28" t="s">
        <v>1169</v>
      </c>
      <c r="M300" s="20" t="s">
        <v>1178</v>
      </c>
      <c r="N300" s="47">
        <v>45485</v>
      </c>
      <c r="O300" s="20">
        <f>INDEX(Auxiliar!$D$5:$F$13,MATCH(Table1[[#This Row],[Tipologia_Testes]],Auxiliar!$B$5:$B$13,0),MATCH(Table1[[#This Row],[Complexidade]],Auxiliar!$D$4:$F$4,0))</f>
        <v>2</v>
      </c>
      <c r="P300" s="2" t="s">
        <v>1195</v>
      </c>
      <c r="Q300" s="2"/>
      <c r="R300" s="151">
        <v>45261</v>
      </c>
      <c r="S300" s="151"/>
      <c r="T300" s="151"/>
      <c r="U300" s="151"/>
      <c r="V300" s="151"/>
      <c r="W300" s="2">
        <f>VLOOKUP(Table1[[#This Row],[Status]],Auxiliar!$B$16:$D$24,3,0)*Table1[[#This Row],[Estimação (horas)]]</f>
        <v>2</v>
      </c>
      <c r="X300" s="166">
        <f>+VLOOKUP(CONCATENATE(Table1[[#This Row],[Tabela]],Table1[[#This Row],[Campo]]),'2. Status Detalhe Campos FY24'!A:J,9,FALSE)</f>
        <v>0</v>
      </c>
    </row>
    <row r="301" spans="2:24" ht="17.850000000000001" hidden="1" customHeight="1">
      <c r="B301" s="2" t="s">
        <v>26</v>
      </c>
      <c r="C301" s="2" t="s">
        <v>54</v>
      </c>
      <c r="D301" s="2" t="s">
        <v>124</v>
      </c>
      <c r="E301" s="2" t="s">
        <v>38</v>
      </c>
      <c r="F301" s="2" t="s">
        <v>123</v>
      </c>
      <c r="G301" s="2" t="s">
        <v>150</v>
      </c>
      <c r="H301" s="56" t="str">
        <f>Table1[[#This Row],[Tabela]]&amp;Table1[[#This Row],[Campo]]</f>
        <v>PROPERTY_ENERGY_CERTIFICATETHERMAL_BEHAVIOUR_WALL</v>
      </c>
      <c r="I301" s="2" t="s">
        <v>612</v>
      </c>
      <c r="J301" s="42">
        <f>VLOOKUP(Table1[[#This Row],[Status]],Auxiliar!$B$16:$C$24,2,0)</f>
        <v>1</v>
      </c>
      <c r="K301" s="2" t="s">
        <v>1172</v>
      </c>
      <c r="L301" s="28" t="s">
        <v>1169</v>
      </c>
      <c r="M301" s="20" t="s">
        <v>1178</v>
      </c>
      <c r="N301" s="47">
        <v>45485</v>
      </c>
      <c r="O301" s="20">
        <f>INDEX(Auxiliar!$D$5:$F$13,MATCH(Table1[[#This Row],[Tipologia_Testes]],Auxiliar!$B$5:$B$13,0),MATCH(Table1[[#This Row],[Complexidade]],Auxiliar!$D$4:$F$4,0))</f>
        <v>2</v>
      </c>
      <c r="P301" s="2" t="s">
        <v>1195</v>
      </c>
      <c r="Q301" s="2"/>
      <c r="R301" s="151">
        <v>45261</v>
      </c>
      <c r="S301" s="151"/>
      <c r="T301" s="151"/>
      <c r="U301" s="151"/>
      <c r="V301" s="151"/>
      <c r="W301" s="2">
        <f>VLOOKUP(Table1[[#This Row],[Status]],Auxiliar!$B$16:$D$24,3,0)*Table1[[#This Row],[Estimação (horas)]]</f>
        <v>2</v>
      </c>
      <c r="X301" s="166">
        <f>+VLOOKUP(CONCATENATE(Table1[[#This Row],[Tabela]],Table1[[#This Row],[Campo]]),'2. Status Detalhe Campos FY24'!A:J,9,FALSE)</f>
        <v>0</v>
      </c>
    </row>
    <row r="302" spans="2:24" ht="17.850000000000001" hidden="1" customHeight="1">
      <c r="B302" s="2" t="s">
        <v>26</v>
      </c>
      <c r="C302" s="2" t="s">
        <v>54</v>
      </c>
      <c r="D302" s="2" t="s">
        <v>124</v>
      </c>
      <c r="E302" s="2" t="s">
        <v>38</v>
      </c>
      <c r="F302" s="2" t="s">
        <v>123</v>
      </c>
      <c r="G302" s="2" t="s">
        <v>150</v>
      </c>
      <c r="H302" s="56" t="str">
        <f>Table1[[#This Row],[Tabela]]&amp;Table1[[#This Row],[Campo]]</f>
        <v>PROPERTY_ENERGY_CERTIFICATETHERMAL_BEHAVIOUR_WALL</v>
      </c>
      <c r="I302" s="2" t="s">
        <v>612</v>
      </c>
      <c r="J302" s="42">
        <f>VLOOKUP(Table1[[#This Row],[Status]],Auxiliar!$B$16:$C$24,2,0)</f>
        <v>1</v>
      </c>
      <c r="K302" s="2" t="s">
        <v>1174</v>
      </c>
      <c r="L302" s="28" t="s">
        <v>1169</v>
      </c>
      <c r="M302" s="20" t="s">
        <v>1178</v>
      </c>
      <c r="N302" s="47">
        <v>45485</v>
      </c>
      <c r="O302" s="20">
        <f>INDEX(Auxiliar!$D$5:$F$13,MATCH(Table1[[#This Row],[Tipologia_Testes]],Auxiliar!$B$5:$B$13,0),MATCH(Table1[[#This Row],[Complexidade]],Auxiliar!$D$4:$F$4,0))</f>
        <v>0.1</v>
      </c>
      <c r="P302" s="2" t="s">
        <v>1195</v>
      </c>
      <c r="Q302" s="2"/>
      <c r="R302" s="151">
        <v>45261</v>
      </c>
      <c r="S302" s="151"/>
      <c r="T302" s="151"/>
      <c r="U302" s="151"/>
      <c r="V302" s="151"/>
      <c r="W302" s="2">
        <f>VLOOKUP(Table1[[#This Row],[Status]],Auxiliar!$B$16:$D$24,3,0)*Table1[[#This Row],[Estimação (horas)]]</f>
        <v>0.1</v>
      </c>
      <c r="X302" s="166">
        <f>+VLOOKUP(CONCATENATE(Table1[[#This Row],[Tabela]],Table1[[#This Row],[Campo]]),'2. Status Detalhe Campos FY24'!A:J,9,FALSE)</f>
        <v>0</v>
      </c>
    </row>
    <row r="303" spans="2:24" ht="17.850000000000001" hidden="1" customHeight="1">
      <c r="B303" s="2" t="s">
        <v>26</v>
      </c>
      <c r="C303" s="2" t="s">
        <v>54</v>
      </c>
      <c r="D303" s="2" t="s">
        <v>124</v>
      </c>
      <c r="E303" s="2" t="s">
        <v>38</v>
      </c>
      <c r="F303" s="2" t="s">
        <v>123</v>
      </c>
      <c r="G303" s="2" t="s">
        <v>151</v>
      </c>
      <c r="H303" s="56" t="str">
        <f>Table1[[#This Row],[Tabela]]&amp;Table1[[#This Row],[Campo]]</f>
        <v>PROPERTY_ENERGY_CERTIFICATETHERMAL_BEHAVIOUR_FLOORS</v>
      </c>
      <c r="I303" s="2" t="s">
        <v>612</v>
      </c>
      <c r="J303" s="42">
        <f>VLOOKUP(Table1[[#This Row],[Status]],Auxiliar!$B$16:$C$24,2,0)</f>
        <v>1</v>
      </c>
      <c r="K303" s="2" t="s">
        <v>1171</v>
      </c>
      <c r="L303" s="28" t="s">
        <v>1169</v>
      </c>
      <c r="M303" s="20" t="s">
        <v>1178</v>
      </c>
      <c r="N303" s="47">
        <v>45485</v>
      </c>
      <c r="O303" s="20">
        <f>INDEX(Auxiliar!$D$5:$F$13,MATCH(Table1[[#This Row],[Tipologia_Testes]],Auxiliar!$B$5:$B$13,0),MATCH(Table1[[#This Row],[Complexidade]],Auxiliar!$D$4:$F$4,0))</f>
        <v>2</v>
      </c>
      <c r="P303" s="2" t="s">
        <v>1195</v>
      </c>
      <c r="Q303" s="2"/>
      <c r="R303" s="151">
        <v>45261</v>
      </c>
      <c r="S303" s="151"/>
      <c r="T303" s="151"/>
      <c r="U303" s="151"/>
      <c r="V303" s="151"/>
      <c r="W303" s="2">
        <f>VLOOKUP(Table1[[#This Row],[Status]],Auxiliar!$B$16:$D$24,3,0)*Table1[[#This Row],[Estimação (horas)]]</f>
        <v>2</v>
      </c>
      <c r="X303" s="166">
        <f>+VLOOKUP(CONCATENATE(Table1[[#This Row],[Tabela]],Table1[[#This Row],[Campo]]),'2. Status Detalhe Campos FY24'!A:J,9,FALSE)</f>
        <v>0</v>
      </c>
    </row>
    <row r="304" spans="2:24" ht="17.850000000000001" hidden="1" customHeight="1">
      <c r="B304" s="2" t="s">
        <v>26</v>
      </c>
      <c r="C304" s="2" t="s">
        <v>54</v>
      </c>
      <c r="D304" s="2" t="s">
        <v>124</v>
      </c>
      <c r="E304" s="2" t="s">
        <v>38</v>
      </c>
      <c r="F304" s="2" t="s">
        <v>123</v>
      </c>
      <c r="G304" s="2" t="s">
        <v>151</v>
      </c>
      <c r="H304" s="56" t="str">
        <f>Table1[[#This Row],[Tabela]]&amp;Table1[[#This Row],[Campo]]</f>
        <v>PROPERTY_ENERGY_CERTIFICATETHERMAL_BEHAVIOUR_FLOORS</v>
      </c>
      <c r="I304" s="2" t="s">
        <v>612</v>
      </c>
      <c r="J304" s="42">
        <f>VLOOKUP(Table1[[#This Row],[Status]],Auxiliar!$B$16:$C$24,2,0)</f>
        <v>1</v>
      </c>
      <c r="K304" s="2" t="s">
        <v>1172</v>
      </c>
      <c r="L304" s="28" t="s">
        <v>1169</v>
      </c>
      <c r="M304" s="20" t="s">
        <v>1178</v>
      </c>
      <c r="N304" s="47">
        <v>45485</v>
      </c>
      <c r="O304" s="20">
        <f>INDEX(Auxiliar!$D$5:$F$13,MATCH(Table1[[#This Row],[Tipologia_Testes]],Auxiliar!$B$5:$B$13,0),MATCH(Table1[[#This Row],[Complexidade]],Auxiliar!$D$4:$F$4,0))</f>
        <v>2</v>
      </c>
      <c r="P304" s="2" t="s">
        <v>1195</v>
      </c>
      <c r="Q304" s="2"/>
      <c r="R304" s="151">
        <v>45261</v>
      </c>
      <c r="S304" s="151"/>
      <c r="T304" s="151"/>
      <c r="U304" s="151"/>
      <c r="V304" s="151"/>
      <c r="W304" s="2">
        <f>VLOOKUP(Table1[[#This Row],[Status]],Auxiliar!$B$16:$D$24,3,0)*Table1[[#This Row],[Estimação (horas)]]</f>
        <v>2</v>
      </c>
      <c r="X304" s="166">
        <f>+VLOOKUP(CONCATENATE(Table1[[#This Row],[Tabela]],Table1[[#This Row],[Campo]]),'2. Status Detalhe Campos FY24'!A:J,9,FALSE)</f>
        <v>0</v>
      </c>
    </row>
    <row r="305" spans="2:24" ht="17.850000000000001" hidden="1" customHeight="1">
      <c r="B305" s="2" t="s">
        <v>26</v>
      </c>
      <c r="C305" s="2" t="s">
        <v>54</v>
      </c>
      <c r="D305" s="2" t="s">
        <v>124</v>
      </c>
      <c r="E305" s="2" t="s">
        <v>38</v>
      </c>
      <c r="F305" s="2" t="s">
        <v>123</v>
      </c>
      <c r="G305" s="2" t="s">
        <v>151</v>
      </c>
      <c r="H305" s="56" t="str">
        <f>Table1[[#This Row],[Tabela]]&amp;Table1[[#This Row],[Campo]]</f>
        <v>PROPERTY_ENERGY_CERTIFICATETHERMAL_BEHAVIOUR_FLOORS</v>
      </c>
      <c r="I305" s="2" t="s">
        <v>612</v>
      </c>
      <c r="J305" s="42">
        <f>VLOOKUP(Table1[[#This Row],[Status]],Auxiliar!$B$16:$C$24,2,0)</f>
        <v>1</v>
      </c>
      <c r="K305" s="2" t="s">
        <v>1174</v>
      </c>
      <c r="L305" s="28" t="s">
        <v>1169</v>
      </c>
      <c r="M305" s="20" t="s">
        <v>1178</v>
      </c>
      <c r="N305" s="47">
        <v>45485</v>
      </c>
      <c r="O305" s="20">
        <f>INDEX(Auxiliar!$D$5:$F$13,MATCH(Table1[[#This Row],[Tipologia_Testes]],Auxiliar!$B$5:$B$13,0),MATCH(Table1[[#This Row],[Complexidade]],Auxiliar!$D$4:$F$4,0))</f>
        <v>0.1</v>
      </c>
      <c r="P305" s="2" t="s">
        <v>1195</v>
      </c>
      <c r="Q305" s="2"/>
      <c r="R305" s="151">
        <v>45261</v>
      </c>
      <c r="S305" s="151"/>
      <c r="T305" s="151"/>
      <c r="U305" s="151"/>
      <c r="V305" s="151"/>
      <c r="W305" s="2">
        <f>VLOOKUP(Table1[[#This Row],[Status]],Auxiliar!$B$16:$D$24,3,0)*Table1[[#This Row],[Estimação (horas)]]</f>
        <v>0.1</v>
      </c>
      <c r="X305" s="166">
        <f>+VLOOKUP(CONCATENATE(Table1[[#This Row],[Tabela]],Table1[[#This Row],[Campo]]),'2. Status Detalhe Campos FY24'!A:J,9,FALSE)</f>
        <v>0</v>
      </c>
    </row>
    <row r="306" spans="2:24" ht="17.850000000000001" hidden="1" customHeight="1">
      <c r="B306" s="2" t="s">
        <v>26</v>
      </c>
      <c r="C306" s="2" t="s">
        <v>54</v>
      </c>
      <c r="D306" s="2" t="s">
        <v>124</v>
      </c>
      <c r="E306" s="2" t="s">
        <v>38</v>
      </c>
      <c r="F306" s="2" t="s">
        <v>123</v>
      </c>
      <c r="G306" s="2" t="s">
        <v>152</v>
      </c>
      <c r="H306" s="56" t="str">
        <f>Table1[[#This Row],[Tabela]]&amp;Table1[[#This Row],[Campo]]</f>
        <v>PROPERTY_ENERGY_CERTIFICATETHERMAL_BEHAVIOUR_TECH_SYS_VENT</v>
      </c>
      <c r="I306" s="2" t="s">
        <v>612</v>
      </c>
      <c r="J306" s="42">
        <f>VLOOKUP(Table1[[#This Row],[Status]],Auxiliar!$B$16:$C$24,2,0)</f>
        <v>1</v>
      </c>
      <c r="K306" s="2" t="s">
        <v>1171</v>
      </c>
      <c r="L306" s="28" t="s">
        <v>1169</v>
      </c>
      <c r="M306" s="20" t="s">
        <v>1178</v>
      </c>
      <c r="N306" s="47">
        <v>45485</v>
      </c>
      <c r="O306" s="20">
        <f>INDEX(Auxiliar!$D$5:$F$13,MATCH(Table1[[#This Row],[Tipologia_Testes]],Auxiliar!$B$5:$B$13,0),MATCH(Table1[[#This Row],[Complexidade]],Auxiliar!$D$4:$F$4,0))</f>
        <v>2</v>
      </c>
      <c r="P306" s="2" t="s">
        <v>1195</v>
      </c>
      <c r="Q306" s="2"/>
      <c r="R306" s="151">
        <v>45261</v>
      </c>
      <c r="S306" s="151"/>
      <c r="T306" s="151"/>
      <c r="U306" s="151"/>
      <c r="V306" s="151"/>
      <c r="W306" s="2">
        <f>VLOOKUP(Table1[[#This Row],[Status]],Auxiliar!$B$16:$D$24,3,0)*Table1[[#This Row],[Estimação (horas)]]</f>
        <v>2</v>
      </c>
      <c r="X306" s="166">
        <f>+VLOOKUP(CONCATENATE(Table1[[#This Row],[Tabela]],Table1[[#This Row],[Campo]]),'2. Status Detalhe Campos FY24'!A:J,9,FALSE)</f>
        <v>0</v>
      </c>
    </row>
    <row r="307" spans="2:24" ht="17.850000000000001" hidden="1" customHeight="1">
      <c r="B307" s="2" t="s">
        <v>26</v>
      </c>
      <c r="C307" s="2" t="s">
        <v>54</v>
      </c>
      <c r="D307" s="2" t="s">
        <v>124</v>
      </c>
      <c r="E307" s="2" t="s">
        <v>38</v>
      </c>
      <c r="F307" s="2" t="s">
        <v>123</v>
      </c>
      <c r="G307" s="2" t="s">
        <v>152</v>
      </c>
      <c r="H307" s="56" t="str">
        <f>Table1[[#This Row],[Tabela]]&amp;Table1[[#This Row],[Campo]]</f>
        <v>PROPERTY_ENERGY_CERTIFICATETHERMAL_BEHAVIOUR_TECH_SYS_VENT</v>
      </c>
      <c r="I307" s="2" t="s">
        <v>612</v>
      </c>
      <c r="J307" s="42">
        <f>VLOOKUP(Table1[[#This Row],[Status]],Auxiliar!$B$16:$C$24,2,0)</f>
        <v>1</v>
      </c>
      <c r="K307" s="2" t="s">
        <v>1172</v>
      </c>
      <c r="L307" s="28" t="s">
        <v>1169</v>
      </c>
      <c r="M307" s="20" t="s">
        <v>1178</v>
      </c>
      <c r="N307" s="47">
        <v>45485</v>
      </c>
      <c r="O307" s="20">
        <f>INDEX(Auxiliar!$D$5:$F$13,MATCH(Table1[[#This Row],[Tipologia_Testes]],Auxiliar!$B$5:$B$13,0),MATCH(Table1[[#This Row],[Complexidade]],Auxiliar!$D$4:$F$4,0))</f>
        <v>2</v>
      </c>
      <c r="P307" s="2" t="s">
        <v>1195</v>
      </c>
      <c r="Q307" s="2"/>
      <c r="R307" s="151">
        <v>45261</v>
      </c>
      <c r="S307" s="151"/>
      <c r="T307" s="151"/>
      <c r="U307" s="151"/>
      <c r="V307" s="151"/>
      <c r="W307" s="2">
        <f>VLOOKUP(Table1[[#This Row],[Status]],Auxiliar!$B$16:$D$24,3,0)*Table1[[#This Row],[Estimação (horas)]]</f>
        <v>2</v>
      </c>
      <c r="X307" s="166">
        <f>+VLOOKUP(CONCATENATE(Table1[[#This Row],[Tabela]],Table1[[#This Row],[Campo]]),'2. Status Detalhe Campos FY24'!A:J,9,FALSE)</f>
        <v>0</v>
      </c>
    </row>
    <row r="308" spans="2:24" ht="17.850000000000001" hidden="1" customHeight="1">
      <c r="B308" s="2" t="s">
        <v>26</v>
      </c>
      <c r="C308" s="2" t="s">
        <v>54</v>
      </c>
      <c r="D308" s="2" t="s">
        <v>124</v>
      </c>
      <c r="E308" s="2" t="s">
        <v>38</v>
      </c>
      <c r="F308" s="2" t="s">
        <v>123</v>
      </c>
      <c r="G308" s="2" t="s">
        <v>152</v>
      </c>
      <c r="H308" s="56" t="str">
        <f>Table1[[#This Row],[Tabela]]&amp;Table1[[#This Row],[Campo]]</f>
        <v>PROPERTY_ENERGY_CERTIFICATETHERMAL_BEHAVIOUR_TECH_SYS_VENT</v>
      </c>
      <c r="I308" s="2" t="s">
        <v>612</v>
      </c>
      <c r="J308" s="42">
        <f>VLOOKUP(Table1[[#This Row],[Status]],Auxiliar!$B$16:$C$24,2,0)</f>
        <v>1</v>
      </c>
      <c r="K308" s="2" t="s">
        <v>1174</v>
      </c>
      <c r="L308" s="28" t="s">
        <v>1169</v>
      </c>
      <c r="M308" s="20" t="s">
        <v>1178</v>
      </c>
      <c r="N308" s="47">
        <v>45485</v>
      </c>
      <c r="O308" s="20">
        <f>INDEX(Auxiliar!$D$5:$F$13,MATCH(Table1[[#This Row],[Tipologia_Testes]],Auxiliar!$B$5:$B$13,0),MATCH(Table1[[#This Row],[Complexidade]],Auxiliar!$D$4:$F$4,0))</f>
        <v>0.1</v>
      </c>
      <c r="P308" s="2" t="s">
        <v>1195</v>
      </c>
      <c r="Q308" s="2"/>
      <c r="R308" s="151">
        <v>45261</v>
      </c>
      <c r="S308" s="151"/>
      <c r="T308" s="151"/>
      <c r="U308" s="151"/>
      <c r="V308" s="151"/>
      <c r="W308" s="2">
        <f>VLOOKUP(Table1[[#This Row],[Status]],Auxiliar!$B$16:$D$24,3,0)*Table1[[#This Row],[Estimação (horas)]]</f>
        <v>0.1</v>
      </c>
      <c r="X308" s="166">
        <f>+VLOOKUP(CONCATENATE(Table1[[#This Row],[Tabela]],Table1[[#This Row],[Campo]]),'2. Status Detalhe Campos FY24'!A:J,9,FALSE)</f>
        <v>0</v>
      </c>
    </row>
    <row r="309" spans="2:24" ht="17.850000000000001" hidden="1" customHeight="1">
      <c r="B309" s="2" t="s">
        <v>26</v>
      </c>
      <c r="C309" s="2" t="s">
        <v>54</v>
      </c>
      <c r="D309" s="2" t="s">
        <v>124</v>
      </c>
      <c r="E309" s="2" t="s">
        <v>38</v>
      </c>
      <c r="F309" s="2" t="s">
        <v>123</v>
      </c>
      <c r="G309" s="2" t="s">
        <v>153</v>
      </c>
      <c r="H309" s="56" t="str">
        <f>Table1[[#This Row],[Tabela]]&amp;Table1[[#This Row],[Campo]]</f>
        <v>PROPERTY_ENERGY_CERTIFICATETOTAL_INVSTMNT_ESTMTD_VALUE</v>
      </c>
      <c r="I309" s="2" t="s">
        <v>612</v>
      </c>
      <c r="J309" s="42">
        <f>VLOOKUP(Table1[[#This Row],[Status]],Auxiliar!$B$16:$C$24,2,0)</f>
        <v>1</v>
      </c>
      <c r="K309" s="2" t="s">
        <v>1171</v>
      </c>
      <c r="L309" s="28" t="s">
        <v>1169</v>
      </c>
      <c r="M309" s="20" t="s">
        <v>1178</v>
      </c>
      <c r="N309" s="47">
        <v>45485</v>
      </c>
      <c r="O309" s="20">
        <f>INDEX(Auxiliar!$D$5:$F$13,MATCH(Table1[[#This Row],[Tipologia_Testes]],Auxiliar!$B$5:$B$13,0),MATCH(Table1[[#This Row],[Complexidade]],Auxiliar!$D$4:$F$4,0))</f>
        <v>2</v>
      </c>
      <c r="P309" s="2" t="s">
        <v>1195</v>
      </c>
      <c r="Q309" s="2"/>
      <c r="R309" s="151">
        <v>45261</v>
      </c>
      <c r="S309" s="151"/>
      <c r="T309" s="151"/>
      <c r="U309" s="151"/>
      <c r="V309" s="151"/>
      <c r="W309" s="2">
        <f>VLOOKUP(Table1[[#This Row],[Status]],Auxiliar!$B$16:$D$24,3,0)*Table1[[#This Row],[Estimação (horas)]]</f>
        <v>2</v>
      </c>
      <c r="X309" s="166">
        <f>+VLOOKUP(CONCATENATE(Table1[[#This Row],[Tabela]],Table1[[#This Row],[Campo]]),'2. Status Detalhe Campos FY24'!A:J,9,FALSE)</f>
        <v>0</v>
      </c>
    </row>
    <row r="310" spans="2:24" ht="17.850000000000001" hidden="1" customHeight="1">
      <c r="B310" s="2" t="s">
        <v>26</v>
      </c>
      <c r="C310" s="2" t="s">
        <v>54</v>
      </c>
      <c r="D310" s="2" t="s">
        <v>124</v>
      </c>
      <c r="E310" s="2" t="s">
        <v>38</v>
      </c>
      <c r="F310" s="2" t="s">
        <v>123</v>
      </c>
      <c r="G310" s="2" t="s">
        <v>153</v>
      </c>
      <c r="H310" s="56" t="str">
        <f>Table1[[#This Row],[Tabela]]&amp;Table1[[#This Row],[Campo]]</f>
        <v>PROPERTY_ENERGY_CERTIFICATETOTAL_INVSTMNT_ESTMTD_VALUE</v>
      </c>
      <c r="I310" s="2" t="s">
        <v>612</v>
      </c>
      <c r="J310" s="42">
        <f>VLOOKUP(Table1[[#This Row],[Status]],Auxiliar!$B$16:$C$24,2,0)</f>
        <v>1</v>
      </c>
      <c r="K310" s="2" t="s">
        <v>1172</v>
      </c>
      <c r="L310" s="28" t="s">
        <v>1169</v>
      </c>
      <c r="M310" s="20" t="s">
        <v>1178</v>
      </c>
      <c r="N310" s="47">
        <v>45485</v>
      </c>
      <c r="O310" s="20">
        <f>INDEX(Auxiliar!$D$5:$F$13,MATCH(Table1[[#This Row],[Tipologia_Testes]],Auxiliar!$B$5:$B$13,0),MATCH(Table1[[#This Row],[Complexidade]],Auxiliar!$D$4:$F$4,0))</f>
        <v>2</v>
      </c>
      <c r="P310" s="2" t="s">
        <v>1195</v>
      </c>
      <c r="Q310" s="2"/>
      <c r="R310" s="151">
        <v>45261</v>
      </c>
      <c r="S310" s="151"/>
      <c r="T310" s="151"/>
      <c r="U310" s="151"/>
      <c r="V310" s="151"/>
      <c r="W310" s="2">
        <f>VLOOKUP(Table1[[#This Row],[Status]],Auxiliar!$B$16:$D$24,3,0)*Table1[[#This Row],[Estimação (horas)]]</f>
        <v>2</v>
      </c>
      <c r="X310" s="166">
        <f>+VLOOKUP(CONCATENATE(Table1[[#This Row],[Tabela]],Table1[[#This Row],[Campo]]),'2. Status Detalhe Campos FY24'!A:J,9,FALSE)</f>
        <v>0</v>
      </c>
    </row>
    <row r="311" spans="2:24" ht="17.850000000000001" hidden="1" customHeight="1">
      <c r="B311" s="2" t="s">
        <v>26</v>
      </c>
      <c r="C311" s="2" t="s">
        <v>54</v>
      </c>
      <c r="D311" s="2" t="s">
        <v>124</v>
      </c>
      <c r="E311" s="2" t="s">
        <v>38</v>
      </c>
      <c r="F311" s="2" t="s">
        <v>123</v>
      </c>
      <c r="G311" s="2" t="s">
        <v>153</v>
      </c>
      <c r="H311" s="56" t="str">
        <f>Table1[[#This Row],[Tabela]]&amp;Table1[[#This Row],[Campo]]</f>
        <v>PROPERTY_ENERGY_CERTIFICATETOTAL_INVSTMNT_ESTMTD_VALUE</v>
      </c>
      <c r="I311" s="2" t="s">
        <v>612</v>
      </c>
      <c r="J311" s="42">
        <f>VLOOKUP(Table1[[#This Row],[Status]],Auxiliar!$B$16:$C$24,2,0)</f>
        <v>1</v>
      </c>
      <c r="K311" s="2" t="s">
        <v>1174</v>
      </c>
      <c r="L311" s="28" t="s">
        <v>1169</v>
      </c>
      <c r="M311" s="20" t="s">
        <v>1178</v>
      </c>
      <c r="N311" s="47">
        <v>45485</v>
      </c>
      <c r="O311" s="20">
        <f>INDEX(Auxiliar!$D$5:$F$13,MATCH(Table1[[#This Row],[Tipologia_Testes]],Auxiliar!$B$5:$B$13,0),MATCH(Table1[[#This Row],[Complexidade]],Auxiliar!$D$4:$F$4,0))</f>
        <v>0.1</v>
      </c>
      <c r="P311" s="2" t="s">
        <v>1195</v>
      </c>
      <c r="Q311" s="2"/>
      <c r="R311" s="151">
        <v>45261</v>
      </c>
      <c r="S311" s="151"/>
      <c r="T311" s="151"/>
      <c r="U311" s="151"/>
      <c r="V311" s="151"/>
      <c r="W311" s="2">
        <f>VLOOKUP(Table1[[#This Row],[Status]],Auxiliar!$B$16:$D$24,3,0)*Table1[[#This Row],[Estimação (horas)]]</f>
        <v>0.1</v>
      </c>
      <c r="X311" s="166">
        <f>+VLOOKUP(CONCATENATE(Table1[[#This Row],[Tabela]],Table1[[#This Row],[Campo]]),'2. Status Detalhe Campos FY24'!A:J,9,FALSE)</f>
        <v>0</v>
      </c>
    </row>
    <row r="312" spans="2:24" ht="17.850000000000001" hidden="1" customHeight="1">
      <c r="B312" s="2" t="s">
        <v>26</v>
      </c>
      <c r="C312" s="2" t="s">
        <v>54</v>
      </c>
      <c r="D312" s="2" t="s">
        <v>124</v>
      </c>
      <c r="E312" s="2" t="s">
        <v>38</v>
      </c>
      <c r="F312" s="2" t="s">
        <v>123</v>
      </c>
      <c r="G312" s="2" t="s">
        <v>154</v>
      </c>
      <c r="H312" s="56" t="str">
        <f>Table1[[#This Row],[Tabela]]&amp;Table1[[#This Row],[Campo]]</f>
        <v>PROPERTY_ENERGY_CERTIFICATEDURATION_SUMMER</v>
      </c>
      <c r="I312" s="2" t="s">
        <v>612</v>
      </c>
      <c r="J312" s="42">
        <f>VLOOKUP(Table1[[#This Row],[Status]],Auxiliar!$B$16:$C$24,2,0)</f>
        <v>1</v>
      </c>
      <c r="K312" s="2" t="s">
        <v>1171</v>
      </c>
      <c r="L312" s="28" t="s">
        <v>1169</v>
      </c>
      <c r="M312" s="20" t="s">
        <v>1178</v>
      </c>
      <c r="N312" s="47">
        <v>45485</v>
      </c>
      <c r="O312" s="20">
        <f>INDEX(Auxiliar!$D$5:$F$13,MATCH(Table1[[#This Row],[Tipologia_Testes]],Auxiliar!$B$5:$B$13,0),MATCH(Table1[[#This Row],[Complexidade]],Auxiliar!$D$4:$F$4,0))</f>
        <v>2</v>
      </c>
      <c r="P312" s="2" t="s">
        <v>1195</v>
      </c>
      <c r="Q312" s="2"/>
      <c r="R312" s="151">
        <v>45261</v>
      </c>
      <c r="S312" s="151"/>
      <c r="T312" s="151"/>
      <c r="U312" s="151"/>
      <c r="V312" s="151"/>
      <c r="W312" s="2">
        <f>VLOOKUP(Table1[[#This Row],[Status]],Auxiliar!$B$16:$D$24,3,0)*Table1[[#This Row],[Estimação (horas)]]</f>
        <v>2</v>
      </c>
      <c r="X312" s="166">
        <f>+VLOOKUP(CONCATENATE(Table1[[#This Row],[Tabela]],Table1[[#This Row],[Campo]]),'2. Status Detalhe Campos FY24'!A:J,9,FALSE)</f>
        <v>0</v>
      </c>
    </row>
    <row r="313" spans="2:24" ht="17.850000000000001" hidden="1" customHeight="1">
      <c r="B313" s="2" t="s">
        <v>26</v>
      </c>
      <c r="C313" s="2" t="s">
        <v>54</v>
      </c>
      <c r="D313" s="2" t="s">
        <v>124</v>
      </c>
      <c r="E313" s="2" t="s">
        <v>38</v>
      </c>
      <c r="F313" s="2" t="s">
        <v>123</v>
      </c>
      <c r="G313" s="2" t="s">
        <v>154</v>
      </c>
      <c r="H313" s="56" t="str">
        <f>Table1[[#This Row],[Tabela]]&amp;Table1[[#This Row],[Campo]]</f>
        <v>PROPERTY_ENERGY_CERTIFICATEDURATION_SUMMER</v>
      </c>
      <c r="I313" s="2" t="s">
        <v>612</v>
      </c>
      <c r="J313" s="42">
        <f>VLOOKUP(Table1[[#This Row],[Status]],Auxiliar!$B$16:$C$24,2,0)</f>
        <v>1</v>
      </c>
      <c r="K313" s="2" t="s">
        <v>1172</v>
      </c>
      <c r="L313" s="28" t="s">
        <v>1169</v>
      </c>
      <c r="M313" s="20" t="s">
        <v>1178</v>
      </c>
      <c r="N313" s="47">
        <v>45485</v>
      </c>
      <c r="O313" s="20">
        <f>INDEX(Auxiliar!$D$5:$F$13,MATCH(Table1[[#This Row],[Tipologia_Testes]],Auxiliar!$B$5:$B$13,0),MATCH(Table1[[#This Row],[Complexidade]],Auxiliar!$D$4:$F$4,0))</f>
        <v>2</v>
      </c>
      <c r="P313" s="2" t="s">
        <v>1195</v>
      </c>
      <c r="Q313" s="2"/>
      <c r="R313" s="151">
        <v>45261</v>
      </c>
      <c r="S313" s="151"/>
      <c r="T313" s="151"/>
      <c r="U313" s="151"/>
      <c r="V313" s="151"/>
      <c r="W313" s="2">
        <f>VLOOKUP(Table1[[#This Row],[Status]],Auxiliar!$B$16:$D$24,3,0)*Table1[[#This Row],[Estimação (horas)]]</f>
        <v>2</v>
      </c>
      <c r="X313" s="166">
        <f>+VLOOKUP(CONCATENATE(Table1[[#This Row],[Tabela]],Table1[[#This Row],[Campo]]),'2. Status Detalhe Campos FY24'!A:J,9,FALSE)</f>
        <v>0</v>
      </c>
    </row>
    <row r="314" spans="2:24" ht="17.850000000000001" hidden="1" customHeight="1">
      <c r="B314" s="2" t="s">
        <v>26</v>
      </c>
      <c r="C314" s="2" t="s">
        <v>54</v>
      </c>
      <c r="D314" s="2" t="s">
        <v>124</v>
      </c>
      <c r="E314" s="2" t="s">
        <v>38</v>
      </c>
      <c r="F314" s="2" t="s">
        <v>123</v>
      </c>
      <c r="G314" s="2" t="s">
        <v>154</v>
      </c>
      <c r="H314" s="56" t="str">
        <f>Table1[[#This Row],[Tabela]]&amp;Table1[[#This Row],[Campo]]</f>
        <v>PROPERTY_ENERGY_CERTIFICATEDURATION_SUMMER</v>
      </c>
      <c r="I314" s="2" t="s">
        <v>612</v>
      </c>
      <c r="J314" s="42">
        <f>VLOOKUP(Table1[[#This Row],[Status]],Auxiliar!$B$16:$C$24,2,0)</f>
        <v>1</v>
      </c>
      <c r="K314" s="2" t="s">
        <v>1174</v>
      </c>
      <c r="L314" s="28" t="s">
        <v>1169</v>
      </c>
      <c r="M314" s="20" t="s">
        <v>1178</v>
      </c>
      <c r="N314" s="47">
        <v>45485</v>
      </c>
      <c r="O314" s="20">
        <f>INDEX(Auxiliar!$D$5:$F$13,MATCH(Table1[[#This Row],[Tipologia_Testes]],Auxiliar!$B$5:$B$13,0),MATCH(Table1[[#This Row],[Complexidade]],Auxiliar!$D$4:$F$4,0))</f>
        <v>0.1</v>
      </c>
      <c r="P314" s="2" t="s">
        <v>1195</v>
      </c>
      <c r="Q314" s="2"/>
      <c r="R314" s="151">
        <v>45261</v>
      </c>
      <c r="S314" s="151"/>
      <c r="T314" s="151"/>
      <c r="U314" s="151"/>
      <c r="V314" s="151"/>
      <c r="W314" s="2">
        <f>VLOOKUP(Table1[[#This Row],[Status]],Auxiliar!$B$16:$D$24,3,0)*Table1[[#This Row],[Estimação (horas)]]</f>
        <v>0.1</v>
      </c>
      <c r="X314" s="166">
        <f>+VLOOKUP(CONCATENATE(Table1[[#This Row],[Tabela]],Table1[[#This Row],[Campo]]),'2. Status Detalhe Campos FY24'!A:J,9,FALSE)</f>
        <v>0</v>
      </c>
    </row>
    <row r="315" spans="2:24" ht="17.850000000000001" hidden="1" customHeight="1">
      <c r="B315" s="2" t="s">
        <v>26</v>
      </c>
      <c r="C315" s="2" t="s">
        <v>54</v>
      </c>
      <c r="D315" s="2" t="s">
        <v>124</v>
      </c>
      <c r="E315" s="2" t="s">
        <v>38</v>
      </c>
      <c r="F315" s="2" t="s">
        <v>123</v>
      </c>
      <c r="G315" s="2" t="s">
        <v>155</v>
      </c>
      <c r="H315" s="56" t="str">
        <f>Table1[[#This Row],[Tabela]]&amp;Table1[[#This Row],[Campo]]</f>
        <v>PROPERTY_ENERGY_CERTIFICATEDURATION_WINTER</v>
      </c>
      <c r="I315" s="2" t="s">
        <v>612</v>
      </c>
      <c r="J315" s="42">
        <f>VLOOKUP(Table1[[#This Row],[Status]],Auxiliar!$B$16:$C$24,2,0)</f>
        <v>1</v>
      </c>
      <c r="K315" s="2" t="s">
        <v>1171</v>
      </c>
      <c r="L315" s="28" t="s">
        <v>1169</v>
      </c>
      <c r="M315" s="20" t="s">
        <v>1178</v>
      </c>
      <c r="N315" s="47">
        <v>45485</v>
      </c>
      <c r="O315" s="20">
        <f>INDEX(Auxiliar!$D$5:$F$13,MATCH(Table1[[#This Row],[Tipologia_Testes]],Auxiliar!$B$5:$B$13,0),MATCH(Table1[[#This Row],[Complexidade]],Auxiliar!$D$4:$F$4,0))</f>
        <v>2</v>
      </c>
      <c r="P315" s="2" t="s">
        <v>1195</v>
      </c>
      <c r="Q315" s="2"/>
      <c r="R315" s="151">
        <v>45261</v>
      </c>
      <c r="S315" s="151"/>
      <c r="T315" s="151"/>
      <c r="U315" s="151"/>
      <c r="V315" s="151"/>
      <c r="W315" s="2">
        <f>VLOOKUP(Table1[[#This Row],[Status]],Auxiliar!$B$16:$D$24,3,0)*Table1[[#This Row],[Estimação (horas)]]</f>
        <v>2</v>
      </c>
      <c r="X315" s="166">
        <f>+VLOOKUP(CONCATENATE(Table1[[#This Row],[Tabela]],Table1[[#This Row],[Campo]]),'2. Status Detalhe Campos FY24'!A:J,9,FALSE)</f>
        <v>0</v>
      </c>
    </row>
    <row r="316" spans="2:24" ht="17.850000000000001" hidden="1" customHeight="1">
      <c r="B316" s="2" t="s">
        <v>26</v>
      </c>
      <c r="C316" s="2" t="s">
        <v>54</v>
      </c>
      <c r="D316" s="2" t="s">
        <v>124</v>
      </c>
      <c r="E316" s="2" t="s">
        <v>38</v>
      </c>
      <c r="F316" s="2" t="s">
        <v>123</v>
      </c>
      <c r="G316" s="2" t="s">
        <v>155</v>
      </c>
      <c r="H316" s="56" t="str">
        <f>Table1[[#This Row],[Tabela]]&amp;Table1[[#This Row],[Campo]]</f>
        <v>PROPERTY_ENERGY_CERTIFICATEDURATION_WINTER</v>
      </c>
      <c r="I316" s="2" t="s">
        <v>612</v>
      </c>
      <c r="J316" s="42">
        <f>VLOOKUP(Table1[[#This Row],[Status]],Auxiliar!$B$16:$C$24,2,0)</f>
        <v>1</v>
      </c>
      <c r="K316" s="2" t="s">
        <v>1172</v>
      </c>
      <c r="L316" s="28" t="s">
        <v>1169</v>
      </c>
      <c r="M316" s="20" t="s">
        <v>1178</v>
      </c>
      <c r="N316" s="47">
        <v>45485</v>
      </c>
      <c r="O316" s="20">
        <f>INDEX(Auxiliar!$D$5:$F$13,MATCH(Table1[[#This Row],[Tipologia_Testes]],Auxiliar!$B$5:$B$13,0),MATCH(Table1[[#This Row],[Complexidade]],Auxiliar!$D$4:$F$4,0))</f>
        <v>2</v>
      </c>
      <c r="P316" s="2" t="s">
        <v>1195</v>
      </c>
      <c r="Q316" s="2"/>
      <c r="R316" s="151">
        <v>45261</v>
      </c>
      <c r="S316" s="151"/>
      <c r="T316" s="151"/>
      <c r="U316" s="151"/>
      <c r="V316" s="151"/>
      <c r="W316" s="2">
        <f>VLOOKUP(Table1[[#This Row],[Status]],Auxiliar!$B$16:$D$24,3,0)*Table1[[#This Row],[Estimação (horas)]]</f>
        <v>2</v>
      </c>
      <c r="X316" s="166">
        <f>+VLOOKUP(CONCATENATE(Table1[[#This Row],[Tabela]],Table1[[#This Row],[Campo]]),'2. Status Detalhe Campos FY24'!A:J,9,FALSE)</f>
        <v>0</v>
      </c>
    </row>
    <row r="317" spans="2:24" ht="17.850000000000001" hidden="1" customHeight="1">
      <c r="B317" s="2" t="s">
        <v>26</v>
      </c>
      <c r="C317" s="2" t="s">
        <v>54</v>
      </c>
      <c r="D317" s="2" t="s">
        <v>124</v>
      </c>
      <c r="E317" s="2" t="s">
        <v>38</v>
      </c>
      <c r="F317" s="2" t="s">
        <v>123</v>
      </c>
      <c r="G317" s="2" t="s">
        <v>155</v>
      </c>
      <c r="H317" s="56" t="str">
        <f>Table1[[#This Row],[Tabela]]&amp;Table1[[#This Row],[Campo]]</f>
        <v>PROPERTY_ENERGY_CERTIFICATEDURATION_WINTER</v>
      </c>
      <c r="I317" s="2" t="s">
        <v>612</v>
      </c>
      <c r="J317" s="42">
        <f>VLOOKUP(Table1[[#This Row],[Status]],Auxiliar!$B$16:$C$24,2,0)</f>
        <v>1</v>
      </c>
      <c r="K317" s="2" t="s">
        <v>1174</v>
      </c>
      <c r="L317" s="28" t="s">
        <v>1169</v>
      </c>
      <c r="M317" s="20" t="s">
        <v>1178</v>
      </c>
      <c r="N317" s="47">
        <v>45485</v>
      </c>
      <c r="O317" s="20">
        <f>INDEX(Auxiliar!$D$5:$F$13,MATCH(Table1[[#This Row],[Tipologia_Testes]],Auxiliar!$B$5:$B$13,0),MATCH(Table1[[#This Row],[Complexidade]],Auxiliar!$D$4:$F$4,0))</f>
        <v>0.1</v>
      </c>
      <c r="P317" s="2" t="s">
        <v>1195</v>
      </c>
      <c r="Q317" s="2"/>
      <c r="R317" s="151">
        <v>45261</v>
      </c>
      <c r="S317" s="151"/>
      <c r="T317" s="151"/>
      <c r="U317" s="151"/>
      <c r="V317" s="151"/>
      <c r="W317" s="2">
        <f>VLOOKUP(Table1[[#This Row],[Status]],Auxiliar!$B$16:$D$24,3,0)*Table1[[#This Row],[Estimação (horas)]]</f>
        <v>0.1</v>
      </c>
      <c r="X317" s="166">
        <f>+VLOOKUP(CONCATENATE(Table1[[#This Row],[Tabela]],Table1[[#This Row],[Campo]]),'2. Status Detalhe Campos FY24'!A:J,9,FALSE)</f>
        <v>0</v>
      </c>
    </row>
    <row r="318" spans="2:24" ht="17.850000000000001" hidden="1" customHeight="1">
      <c r="B318" s="2" t="s">
        <v>26</v>
      </c>
      <c r="C318" s="2" t="s">
        <v>54</v>
      </c>
      <c r="D318" s="2" t="s">
        <v>124</v>
      </c>
      <c r="E318" s="2" t="s">
        <v>38</v>
      </c>
      <c r="F318" s="2" t="s">
        <v>123</v>
      </c>
      <c r="G318" s="2" t="s">
        <v>52</v>
      </c>
      <c r="H318" s="56" t="str">
        <f>Table1[[#This Row],[Tabela]]&amp;Table1[[#This Row],[Campo]]</f>
        <v>PROPERTY_ENERGY_CERTIFICATECARBON_EMISSION_VALUE_YEAR</v>
      </c>
      <c r="I318" s="2" t="s">
        <v>1845</v>
      </c>
      <c r="J318" s="42">
        <f>VLOOKUP(Table1[[#This Row],[Status]],Auxiliar!$B$16:$C$24,2,0)</f>
        <v>2</v>
      </c>
      <c r="K318" s="2" t="s">
        <v>1171</v>
      </c>
      <c r="L318" s="28" t="s">
        <v>1169</v>
      </c>
      <c r="M318" s="20" t="s">
        <v>1178</v>
      </c>
      <c r="N318" s="47">
        <v>45688</v>
      </c>
      <c r="O318" s="20">
        <f>INDEX(Auxiliar!$D$5:$F$13,MATCH(Table1[[#This Row],[Tipologia_Testes]],Auxiliar!$B$5:$B$13,0),MATCH(Table1[[#This Row],[Complexidade]],Auxiliar!$D$4:$F$4,0))</f>
        <v>2</v>
      </c>
      <c r="P318" s="2"/>
      <c r="Q318" s="2"/>
      <c r="R318" s="151">
        <v>45616</v>
      </c>
      <c r="S318" s="151"/>
      <c r="T318" s="151"/>
      <c r="U318" s="151"/>
      <c r="V318" s="151">
        <v>45639</v>
      </c>
      <c r="W318" s="2">
        <f>VLOOKUP(Table1[[#This Row],[Status]],Auxiliar!$B$16:$D$24,3,0)*Table1[[#This Row],[Estimação (horas)]]</f>
        <v>1</v>
      </c>
      <c r="X318" s="166">
        <f>+VLOOKUP(CONCATENATE(Table1[[#This Row],[Tabela]],Table1[[#This Row],[Campo]]),'2. Status Detalhe Campos FY24'!A:J,9,FALSE)</f>
        <v>0</v>
      </c>
    </row>
    <row r="319" spans="2:24" ht="17.850000000000001" hidden="1" customHeight="1">
      <c r="B319" s="2" t="s">
        <v>26</v>
      </c>
      <c r="C319" s="2" t="s">
        <v>54</v>
      </c>
      <c r="D319" s="2" t="s">
        <v>124</v>
      </c>
      <c r="E319" s="2" t="s">
        <v>38</v>
      </c>
      <c r="F319" s="2" t="s">
        <v>123</v>
      </c>
      <c r="G319" s="2" t="s">
        <v>52</v>
      </c>
      <c r="H319" s="56" t="str">
        <f>Table1[[#This Row],[Tabela]]&amp;Table1[[#This Row],[Campo]]</f>
        <v>PROPERTY_ENERGY_CERTIFICATECARBON_EMISSION_VALUE_YEAR</v>
      </c>
      <c r="I319" s="2" t="s">
        <v>1845</v>
      </c>
      <c r="J319" s="42">
        <f>VLOOKUP(Table1[[#This Row],[Status]],Auxiliar!$B$16:$C$24,2,0)</f>
        <v>2</v>
      </c>
      <c r="K319" s="2" t="s">
        <v>1172</v>
      </c>
      <c r="L319" s="28" t="s">
        <v>1169</v>
      </c>
      <c r="M319" s="20" t="s">
        <v>1178</v>
      </c>
      <c r="N319" s="47">
        <v>45688</v>
      </c>
      <c r="O319" s="20">
        <f>INDEX(Auxiliar!$D$5:$F$13,MATCH(Table1[[#This Row],[Tipologia_Testes]],Auxiliar!$B$5:$B$13,0),MATCH(Table1[[#This Row],[Complexidade]],Auxiliar!$D$4:$F$4,0))</f>
        <v>2</v>
      </c>
      <c r="P319" s="2"/>
      <c r="Q319" s="2"/>
      <c r="R319" s="151">
        <v>45616</v>
      </c>
      <c r="S319" s="151"/>
      <c r="T319" s="151"/>
      <c r="U319" s="151"/>
      <c r="V319" s="151">
        <v>45639</v>
      </c>
      <c r="W319" s="2">
        <f>VLOOKUP(Table1[[#This Row],[Status]],Auxiliar!$B$16:$D$24,3,0)*Table1[[#This Row],[Estimação (horas)]]</f>
        <v>1</v>
      </c>
      <c r="X319" s="166">
        <f>+VLOOKUP(CONCATENATE(Table1[[#This Row],[Tabela]],Table1[[#This Row],[Campo]]),'2. Status Detalhe Campos FY24'!A:J,9,FALSE)</f>
        <v>0</v>
      </c>
    </row>
    <row r="320" spans="2:24" ht="17.850000000000001" hidden="1" customHeight="1">
      <c r="B320" s="2" t="s">
        <v>26</v>
      </c>
      <c r="C320" s="2" t="s">
        <v>54</v>
      </c>
      <c r="D320" s="2" t="s">
        <v>124</v>
      </c>
      <c r="E320" s="2" t="s">
        <v>38</v>
      </c>
      <c r="F320" s="2" t="s">
        <v>123</v>
      </c>
      <c r="G320" s="2" t="s">
        <v>52</v>
      </c>
      <c r="H320" s="56" t="str">
        <f>Table1[[#This Row],[Tabela]]&amp;Table1[[#This Row],[Campo]]</f>
        <v>PROPERTY_ENERGY_CERTIFICATECARBON_EMISSION_VALUE_YEAR</v>
      </c>
      <c r="I320" s="2" t="s">
        <v>1845</v>
      </c>
      <c r="J320" s="42">
        <f>VLOOKUP(Table1[[#This Row],[Status]],Auxiliar!$B$16:$C$24,2,0)</f>
        <v>2</v>
      </c>
      <c r="K320" s="2" t="s">
        <v>1174</v>
      </c>
      <c r="L320" s="28" t="s">
        <v>1169</v>
      </c>
      <c r="M320" s="20" t="s">
        <v>1178</v>
      </c>
      <c r="N320" s="47">
        <v>45688</v>
      </c>
      <c r="O320" s="20">
        <f>INDEX(Auxiliar!$D$5:$F$13,MATCH(Table1[[#This Row],[Tipologia_Testes]],Auxiliar!$B$5:$B$13,0),MATCH(Table1[[#This Row],[Complexidade]],Auxiliar!$D$4:$F$4,0))</f>
        <v>0.1</v>
      </c>
      <c r="P320" s="2"/>
      <c r="Q320" s="2"/>
      <c r="R320" s="151">
        <v>45616</v>
      </c>
      <c r="S320" s="151"/>
      <c r="T320" s="151"/>
      <c r="U320" s="151"/>
      <c r="V320" s="151">
        <v>45639</v>
      </c>
      <c r="W320" s="2">
        <f>VLOOKUP(Table1[[#This Row],[Status]],Auxiliar!$B$16:$D$24,3,0)*Table1[[#This Row],[Estimação (horas)]]</f>
        <v>0.05</v>
      </c>
      <c r="X320" s="166">
        <f>+VLOOKUP(CONCATENATE(Table1[[#This Row],[Tabela]],Table1[[#This Row],[Campo]]),'2. Status Detalhe Campos FY24'!A:J,9,FALSE)</f>
        <v>0</v>
      </c>
    </row>
    <row r="321" spans="2:24" ht="17.850000000000001" hidden="1" customHeight="1">
      <c r="B321" s="2" t="s">
        <v>26</v>
      </c>
      <c r="C321" s="2" t="s">
        <v>54</v>
      </c>
      <c r="D321" s="2" t="s">
        <v>124</v>
      </c>
      <c r="E321" s="2" t="s">
        <v>38</v>
      </c>
      <c r="F321" s="2" t="s">
        <v>123</v>
      </c>
      <c r="G321" s="2" t="s">
        <v>156</v>
      </c>
      <c r="H321" s="56" t="str">
        <f>Table1[[#This Row],[Tabela]]&amp;Table1[[#This Row],[Campo]]</f>
        <v>PROPERTY_ENERGY_CERTIFICATECARBON_EMISSION_VALUE</v>
      </c>
      <c r="I321" s="2" t="s">
        <v>612</v>
      </c>
      <c r="J321" s="42">
        <f>VLOOKUP(Table1[[#This Row],[Status]],Auxiliar!$B$16:$C$24,2,0)</f>
        <v>1</v>
      </c>
      <c r="K321" s="2" t="s">
        <v>1171</v>
      </c>
      <c r="L321" s="28" t="s">
        <v>1169</v>
      </c>
      <c r="M321" s="20" t="s">
        <v>1178</v>
      </c>
      <c r="N321" s="47">
        <v>45485</v>
      </c>
      <c r="O321" s="20">
        <f>INDEX(Auxiliar!$D$5:$F$13,MATCH(Table1[[#This Row],[Tipologia_Testes]],Auxiliar!$B$5:$B$13,0),MATCH(Table1[[#This Row],[Complexidade]],Auxiliar!$D$4:$F$4,0))</f>
        <v>2</v>
      </c>
      <c r="P321" s="2" t="s">
        <v>1195</v>
      </c>
      <c r="Q321" s="2"/>
      <c r="R321" s="151">
        <v>45261</v>
      </c>
      <c r="S321" s="151"/>
      <c r="T321" s="151"/>
      <c r="U321" s="151"/>
      <c r="V321" s="151"/>
      <c r="W321" s="2">
        <f>VLOOKUP(Table1[[#This Row],[Status]],Auxiliar!$B$16:$D$24,3,0)*Table1[[#This Row],[Estimação (horas)]]</f>
        <v>2</v>
      </c>
      <c r="X321" s="166">
        <f>+VLOOKUP(CONCATENATE(Table1[[#This Row],[Tabela]],Table1[[#This Row],[Campo]]),'2. Status Detalhe Campos FY24'!A:J,9,FALSE)</f>
        <v>0</v>
      </c>
    </row>
    <row r="322" spans="2:24" ht="17.850000000000001" hidden="1" customHeight="1">
      <c r="B322" s="2" t="s">
        <v>26</v>
      </c>
      <c r="C322" s="2" t="s">
        <v>54</v>
      </c>
      <c r="D322" s="2" t="s">
        <v>124</v>
      </c>
      <c r="E322" s="2" t="s">
        <v>38</v>
      </c>
      <c r="F322" s="2" t="s">
        <v>123</v>
      </c>
      <c r="G322" s="2" t="s">
        <v>156</v>
      </c>
      <c r="H322" s="56" t="str">
        <f>Table1[[#This Row],[Tabela]]&amp;Table1[[#This Row],[Campo]]</f>
        <v>PROPERTY_ENERGY_CERTIFICATECARBON_EMISSION_VALUE</v>
      </c>
      <c r="I322" s="2" t="s">
        <v>612</v>
      </c>
      <c r="J322" s="42">
        <f>VLOOKUP(Table1[[#This Row],[Status]],Auxiliar!$B$16:$C$24,2,0)</f>
        <v>1</v>
      </c>
      <c r="K322" s="2" t="s">
        <v>1172</v>
      </c>
      <c r="L322" s="28" t="s">
        <v>1169</v>
      </c>
      <c r="M322" s="20" t="s">
        <v>1178</v>
      </c>
      <c r="N322" s="47">
        <v>45485</v>
      </c>
      <c r="O322" s="20">
        <f>INDEX(Auxiliar!$D$5:$F$13,MATCH(Table1[[#This Row],[Tipologia_Testes]],Auxiliar!$B$5:$B$13,0),MATCH(Table1[[#This Row],[Complexidade]],Auxiliar!$D$4:$F$4,0))</f>
        <v>2</v>
      </c>
      <c r="P322" s="2" t="s">
        <v>1195</v>
      </c>
      <c r="Q322" s="2"/>
      <c r="R322" s="151">
        <v>45261</v>
      </c>
      <c r="S322" s="151"/>
      <c r="T322" s="151"/>
      <c r="U322" s="151"/>
      <c r="V322" s="151"/>
      <c r="W322" s="2">
        <f>VLOOKUP(Table1[[#This Row],[Status]],Auxiliar!$B$16:$D$24,3,0)*Table1[[#This Row],[Estimação (horas)]]</f>
        <v>2</v>
      </c>
      <c r="X322" s="166">
        <f>+VLOOKUP(CONCATENATE(Table1[[#This Row],[Tabela]],Table1[[#This Row],[Campo]]),'2. Status Detalhe Campos FY24'!A:J,9,FALSE)</f>
        <v>0</v>
      </c>
    </row>
    <row r="323" spans="2:24" ht="17.850000000000001" hidden="1" customHeight="1">
      <c r="B323" s="2" t="s">
        <v>26</v>
      </c>
      <c r="C323" s="2" t="s">
        <v>54</v>
      </c>
      <c r="D323" s="2" t="s">
        <v>124</v>
      </c>
      <c r="E323" s="2" t="s">
        <v>38</v>
      </c>
      <c r="F323" s="2" t="s">
        <v>123</v>
      </c>
      <c r="G323" s="2" t="s">
        <v>156</v>
      </c>
      <c r="H323" s="56" t="str">
        <f>Table1[[#This Row],[Tabela]]&amp;Table1[[#This Row],[Campo]]</f>
        <v>PROPERTY_ENERGY_CERTIFICATECARBON_EMISSION_VALUE</v>
      </c>
      <c r="I323" s="2" t="s">
        <v>612</v>
      </c>
      <c r="J323" s="42">
        <f>VLOOKUP(Table1[[#This Row],[Status]],Auxiliar!$B$16:$C$24,2,0)</f>
        <v>1</v>
      </c>
      <c r="K323" s="2" t="s">
        <v>1174</v>
      </c>
      <c r="L323" s="28" t="s">
        <v>1169</v>
      </c>
      <c r="M323" s="20" t="s">
        <v>1178</v>
      </c>
      <c r="N323" s="47">
        <v>45485</v>
      </c>
      <c r="O323" s="20">
        <f>INDEX(Auxiliar!$D$5:$F$13,MATCH(Table1[[#This Row],[Tipologia_Testes]],Auxiliar!$B$5:$B$13,0),MATCH(Table1[[#This Row],[Complexidade]],Auxiliar!$D$4:$F$4,0))</f>
        <v>0.1</v>
      </c>
      <c r="P323" s="2" t="s">
        <v>1195</v>
      </c>
      <c r="Q323" s="2"/>
      <c r="R323" s="151">
        <v>45261</v>
      </c>
      <c r="S323" s="151"/>
      <c r="T323" s="151"/>
      <c r="U323" s="151"/>
      <c r="V323" s="151"/>
      <c r="W323" s="2">
        <f>VLOOKUP(Table1[[#This Row],[Status]],Auxiliar!$B$16:$D$24,3,0)*Table1[[#This Row],[Estimação (horas)]]</f>
        <v>0.1</v>
      </c>
      <c r="X323" s="166">
        <f>+VLOOKUP(CONCATENATE(Table1[[#This Row],[Tabela]],Table1[[#This Row],[Campo]]),'2. Status Detalhe Campos FY24'!A:J,9,FALSE)</f>
        <v>0</v>
      </c>
    </row>
    <row r="324" spans="2:24" ht="17.850000000000001" hidden="1" customHeight="1">
      <c r="B324" s="2" t="s">
        <v>26</v>
      </c>
      <c r="C324" s="2" t="s">
        <v>54</v>
      </c>
      <c r="D324" s="2" t="s">
        <v>124</v>
      </c>
      <c r="E324" s="2" t="s">
        <v>38</v>
      </c>
      <c r="F324" s="2" t="s">
        <v>123</v>
      </c>
      <c r="G324" s="2" t="s">
        <v>157</v>
      </c>
      <c r="H324" s="56" t="str">
        <f>Table1[[#This Row],[Tabela]]&amp;Table1[[#This Row],[Campo]]</f>
        <v>PROPERTY_ENERGY_CERTIFICATEUSEFUL_ENERGY_FANS_REQ_VALUE</v>
      </c>
      <c r="I324" s="2" t="s">
        <v>612</v>
      </c>
      <c r="J324" s="42">
        <f>VLOOKUP(Table1[[#This Row],[Status]],Auxiliar!$B$16:$C$24,2,0)</f>
        <v>1</v>
      </c>
      <c r="K324" s="2" t="s">
        <v>1171</v>
      </c>
      <c r="L324" s="28" t="s">
        <v>1169</v>
      </c>
      <c r="M324" s="20" t="s">
        <v>1178</v>
      </c>
      <c r="N324" s="47">
        <v>45485</v>
      </c>
      <c r="O324" s="20">
        <f>INDEX(Auxiliar!$D$5:$F$13,MATCH(Table1[[#This Row],[Tipologia_Testes]],Auxiliar!$B$5:$B$13,0),MATCH(Table1[[#This Row],[Complexidade]],Auxiliar!$D$4:$F$4,0))</f>
        <v>2</v>
      </c>
      <c r="P324" s="2" t="s">
        <v>1195</v>
      </c>
      <c r="Q324" s="2"/>
      <c r="R324" s="151">
        <v>45261</v>
      </c>
      <c r="S324" s="151"/>
      <c r="T324" s="151"/>
      <c r="U324" s="151"/>
      <c r="V324" s="151"/>
      <c r="W324" s="2">
        <f>VLOOKUP(Table1[[#This Row],[Status]],Auxiliar!$B$16:$D$24,3,0)*Table1[[#This Row],[Estimação (horas)]]</f>
        <v>2</v>
      </c>
      <c r="X324" s="166">
        <f>+VLOOKUP(CONCATENATE(Table1[[#This Row],[Tabela]],Table1[[#This Row],[Campo]]),'2. Status Detalhe Campos FY24'!A:J,9,FALSE)</f>
        <v>0</v>
      </c>
    </row>
    <row r="325" spans="2:24" ht="17.850000000000001" hidden="1" customHeight="1">
      <c r="B325" s="2" t="s">
        <v>26</v>
      </c>
      <c r="C325" s="2" t="s">
        <v>54</v>
      </c>
      <c r="D325" s="2" t="s">
        <v>124</v>
      </c>
      <c r="E325" s="2" t="s">
        <v>38</v>
      </c>
      <c r="F325" s="2" t="s">
        <v>123</v>
      </c>
      <c r="G325" s="2" t="s">
        <v>157</v>
      </c>
      <c r="H325" s="56" t="str">
        <f>Table1[[#This Row],[Tabela]]&amp;Table1[[#This Row],[Campo]]</f>
        <v>PROPERTY_ENERGY_CERTIFICATEUSEFUL_ENERGY_FANS_REQ_VALUE</v>
      </c>
      <c r="I325" s="2" t="s">
        <v>612</v>
      </c>
      <c r="J325" s="42">
        <f>VLOOKUP(Table1[[#This Row],[Status]],Auxiliar!$B$16:$C$24,2,0)</f>
        <v>1</v>
      </c>
      <c r="K325" s="2" t="s">
        <v>1172</v>
      </c>
      <c r="L325" s="28" t="s">
        <v>1169</v>
      </c>
      <c r="M325" s="20" t="s">
        <v>1178</v>
      </c>
      <c r="N325" s="47">
        <v>45485</v>
      </c>
      <c r="O325" s="20">
        <f>INDEX(Auxiliar!$D$5:$F$13,MATCH(Table1[[#This Row],[Tipologia_Testes]],Auxiliar!$B$5:$B$13,0),MATCH(Table1[[#This Row],[Complexidade]],Auxiliar!$D$4:$F$4,0))</f>
        <v>2</v>
      </c>
      <c r="P325" s="2" t="s">
        <v>1195</v>
      </c>
      <c r="Q325" s="2"/>
      <c r="R325" s="151">
        <v>45261</v>
      </c>
      <c r="S325" s="151"/>
      <c r="T325" s="151"/>
      <c r="U325" s="151"/>
      <c r="V325" s="151"/>
      <c r="W325" s="2">
        <f>VLOOKUP(Table1[[#This Row],[Status]],Auxiliar!$B$16:$D$24,3,0)*Table1[[#This Row],[Estimação (horas)]]</f>
        <v>2</v>
      </c>
      <c r="X325" s="166">
        <f>+VLOOKUP(CONCATENATE(Table1[[#This Row],[Tabela]],Table1[[#This Row],[Campo]]),'2. Status Detalhe Campos FY24'!A:J,9,FALSE)</f>
        <v>0</v>
      </c>
    </row>
    <row r="326" spans="2:24" ht="17.850000000000001" hidden="1" customHeight="1">
      <c r="B326" s="2" t="s">
        <v>26</v>
      </c>
      <c r="C326" s="2" t="s">
        <v>54</v>
      </c>
      <c r="D326" s="2" t="s">
        <v>124</v>
      </c>
      <c r="E326" s="2" t="s">
        <v>38</v>
      </c>
      <c r="F326" s="2" t="s">
        <v>123</v>
      </c>
      <c r="G326" s="2" t="s">
        <v>157</v>
      </c>
      <c r="H326" s="56" t="str">
        <f>Table1[[#This Row],[Tabela]]&amp;Table1[[#This Row],[Campo]]</f>
        <v>PROPERTY_ENERGY_CERTIFICATEUSEFUL_ENERGY_FANS_REQ_VALUE</v>
      </c>
      <c r="I326" s="2" t="s">
        <v>612</v>
      </c>
      <c r="J326" s="42">
        <f>VLOOKUP(Table1[[#This Row],[Status]],Auxiliar!$B$16:$C$24,2,0)</f>
        <v>1</v>
      </c>
      <c r="K326" s="2" t="s">
        <v>1174</v>
      </c>
      <c r="L326" s="28" t="s">
        <v>1169</v>
      </c>
      <c r="M326" s="20" t="s">
        <v>1178</v>
      </c>
      <c r="N326" s="47">
        <v>45485</v>
      </c>
      <c r="O326" s="20">
        <f>INDEX(Auxiliar!$D$5:$F$13,MATCH(Table1[[#This Row],[Tipologia_Testes]],Auxiliar!$B$5:$B$13,0),MATCH(Table1[[#This Row],[Complexidade]],Auxiliar!$D$4:$F$4,0))</f>
        <v>0.1</v>
      </c>
      <c r="P326" s="2" t="s">
        <v>1195</v>
      </c>
      <c r="Q326" s="2"/>
      <c r="R326" s="151">
        <v>45261</v>
      </c>
      <c r="S326" s="151"/>
      <c r="T326" s="151"/>
      <c r="U326" s="151"/>
      <c r="V326" s="151"/>
      <c r="W326" s="2">
        <f>VLOOKUP(Table1[[#This Row],[Status]],Auxiliar!$B$16:$D$24,3,0)*Table1[[#This Row],[Estimação (horas)]]</f>
        <v>0.1</v>
      </c>
      <c r="X326" s="166">
        <f>+VLOOKUP(CONCATENATE(Table1[[#This Row],[Tabela]],Table1[[#This Row],[Campo]]),'2. Status Detalhe Campos FY24'!A:J,9,FALSE)</f>
        <v>0</v>
      </c>
    </row>
    <row r="327" spans="2:24" ht="17.850000000000001" hidden="1" customHeight="1">
      <c r="B327" s="2" t="s">
        <v>26</v>
      </c>
      <c r="C327" s="2" t="s">
        <v>54</v>
      </c>
      <c r="D327" s="2" t="s">
        <v>124</v>
      </c>
      <c r="E327" s="2" t="s">
        <v>38</v>
      </c>
      <c r="F327" s="2" t="s">
        <v>123</v>
      </c>
      <c r="G327" s="2" t="s">
        <v>158</v>
      </c>
      <c r="H327" s="56" t="str">
        <f>Table1[[#This Row],[Tabela]]&amp;Table1[[#This Row],[Campo]]</f>
        <v>PROPERTY_ENERGY_CERTIFICATEREN_ENERGY_PRODUCED_OTHER_VALUE</v>
      </c>
      <c r="I327" s="2" t="s">
        <v>612</v>
      </c>
      <c r="J327" s="42">
        <f>VLOOKUP(Table1[[#This Row],[Status]],Auxiliar!$B$16:$C$24,2,0)</f>
        <v>1</v>
      </c>
      <c r="K327" s="2" t="s">
        <v>1171</v>
      </c>
      <c r="L327" s="28" t="s">
        <v>1169</v>
      </c>
      <c r="M327" s="20" t="s">
        <v>1178</v>
      </c>
      <c r="N327" s="47">
        <v>45485</v>
      </c>
      <c r="O327" s="20">
        <f>INDEX(Auxiliar!$D$5:$F$13,MATCH(Table1[[#This Row],[Tipologia_Testes]],Auxiliar!$B$5:$B$13,0),MATCH(Table1[[#This Row],[Complexidade]],Auxiliar!$D$4:$F$4,0))</f>
        <v>2</v>
      </c>
      <c r="P327" s="2" t="s">
        <v>1195</v>
      </c>
      <c r="Q327" s="2"/>
      <c r="R327" s="151">
        <v>45261</v>
      </c>
      <c r="S327" s="151"/>
      <c r="T327" s="151"/>
      <c r="U327" s="151"/>
      <c r="V327" s="151"/>
      <c r="W327" s="2">
        <f>VLOOKUP(Table1[[#This Row],[Status]],Auxiliar!$B$16:$D$24,3,0)*Table1[[#This Row],[Estimação (horas)]]</f>
        <v>2</v>
      </c>
      <c r="X327" s="166">
        <f>+VLOOKUP(CONCATENATE(Table1[[#This Row],[Tabela]],Table1[[#This Row],[Campo]]),'2. Status Detalhe Campos FY24'!A:J,9,FALSE)</f>
        <v>0</v>
      </c>
    </row>
    <row r="328" spans="2:24" ht="17.850000000000001" hidden="1" customHeight="1">
      <c r="B328" s="2" t="s">
        <v>26</v>
      </c>
      <c r="C328" s="2" t="s">
        <v>54</v>
      </c>
      <c r="D328" s="2" t="s">
        <v>124</v>
      </c>
      <c r="E328" s="2" t="s">
        <v>38</v>
      </c>
      <c r="F328" s="2" t="s">
        <v>123</v>
      </c>
      <c r="G328" s="2" t="s">
        <v>158</v>
      </c>
      <c r="H328" s="56" t="str">
        <f>Table1[[#This Row],[Tabela]]&amp;Table1[[#This Row],[Campo]]</f>
        <v>PROPERTY_ENERGY_CERTIFICATEREN_ENERGY_PRODUCED_OTHER_VALUE</v>
      </c>
      <c r="I328" s="2" t="s">
        <v>612</v>
      </c>
      <c r="J328" s="42">
        <f>VLOOKUP(Table1[[#This Row],[Status]],Auxiliar!$B$16:$C$24,2,0)</f>
        <v>1</v>
      </c>
      <c r="K328" s="2" t="s">
        <v>1172</v>
      </c>
      <c r="L328" s="28" t="s">
        <v>1169</v>
      </c>
      <c r="M328" s="20" t="s">
        <v>1178</v>
      </c>
      <c r="N328" s="47">
        <v>45485</v>
      </c>
      <c r="O328" s="20">
        <f>INDEX(Auxiliar!$D$5:$F$13,MATCH(Table1[[#This Row],[Tipologia_Testes]],Auxiliar!$B$5:$B$13,0),MATCH(Table1[[#This Row],[Complexidade]],Auxiliar!$D$4:$F$4,0))</f>
        <v>2</v>
      </c>
      <c r="P328" s="2" t="s">
        <v>1195</v>
      </c>
      <c r="Q328" s="2"/>
      <c r="R328" s="151">
        <v>45261</v>
      </c>
      <c r="S328" s="151"/>
      <c r="T328" s="151"/>
      <c r="U328" s="151"/>
      <c r="V328" s="151"/>
      <c r="W328" s="2">
        <f>VLOOKUP(Table1[[#This Row],[Status]],Auxiliar!$B$16:$D$24,3,0)*Table1[[#This Row],[Estimação (horas)]]</f>
        <v>2</v>
      </c>
      <c r="X328" s="166">
        <f>+VLOOKUP(CONCATENATE(Table1[[#This Row],[Tabela]],Table1[[#This Row],[Campo]]),'2. Status Detalhe Campos FY24'!A:J,9,FALSE)</f>
        <v>0</v>
      </c>
    </row>
    <row r="329" spans="2:24" ht="17.850000000000001" hidden="1" customHeight="1">
      <c r="B329" s="2" t="s">
        <v>26</v>
      </c>
      <c r="C329" s="2" t="s">
        <v>54</v>
      </c>
      <c r="D329" s="2" t="s">
        <v>124</v>
      </c>
      <c r="E329" s="2" t="s">
        <v>38</v>
      </c>
      <c r="F329" s="2" t="s">
        <v>123</v>
      </c>
      <c r="G329" s="2" t="s">
        <v>158</v>
      </c>
      <c r="H329" s="56" t="str">
        <f>Table1[[#This Row],[Tabela]]&amp;Table1[[#This Row],[Campo]]</f>
        <v>PROPERTY_ENERGY_CERTIFICATEREN_ENERGY_PRODUCED_OTHER_VALUE</v>
      </c>
      <c r="I329" s="2" t="s">
        <v>612</v>
      </c>
      <c r="J329" s="42">
        <f>VLOOKUP(Table1[[#This Row],[Status]],Auxiliar!$B$16:$C$24,2,0)</f>
        <v>1</v>
      </c>
      <c r="K329" s="2" t="s">
        <v>1174</v>
      </c>
      <c r="L329" s="28" t="s">
        <v>1169</v>
      </c>
      <c r="M329" s="20" t="s">
        <v>1178</v>
      </c>
      <c r="N329" s="47">
        <v>45485</v>
      </c>
      <c r="O329" s="20">
        <f>INDEX(Auxiliar!$D$5:$F$13,MATCH(Table1[[#This Row],[Tipologia_Testes]],Auxiliar!$B$5:$B$13,0),MATCH(Table1[[#This Row],[Complexidade]],Auxiliar!$D$4:$F$4,0))</f>
        <v>0.1</v>
      </c>
      <c r="P329" s="2" t="s">
        <v>1195</v>
      </c>
      <c r="Q329" s="2"/>
      <c r="R329" s="151">
        <v>45261</v>
      </c>
      <c r="S329" s="151"/>
      <c r="T329" s="151"/>
      <c r="U329" s="151"/>
      <c r="V329" s="151"/>
      <c r="W329" s="2">
        <f>VLOOKUP(Table1[[#This Row],[Status]],Auxiliar!$B$16:$D$24,3,0)*Table1[[#This Row],[Estimação (horas)]]</f>
        <v>0.1</v>
      </c>
      <c r="X329" s="166">
        <f>+VLOOKUP(CONCATENATE(Table1[[#This Row],[Tabela]],Table1[[#This Row],[Campo]]),'2. Status Detalhe Campos FY24'!A:J,9,FALSE)</f>
        <v>0</v>
      </c>
    </row>
    <row r="330" spans="2:24" ht="17.850000000000001" hidden="1" customHeight="1">
      <c r="B330" s="2" t="s">
        <v>26</v>
      </c>
      <c r="C330" s="2" t="s">
        <v>54</v>
      </c>
      <c r="D330" s="2" t="s">
        <v>124</v>
      </c>
      <c r="E330" s="2" t="s">
        <v>38</v>
      </c>
      <c r="F330" s="2" t="s">
        <v>123</v>
      </c>
      <c r="G330" s="2" t="s">
        <v>159</v>
      </c>
      <c r="H330" s="56" t="str">
        <f>Table1[[#This Row],[Tabela]]&amp;Table1[[#This Row],[Campo]]</f>
        <v>PROPERTY_ENERGY_CERTIFICATEREN_ENERGY_PRODUCED_REG_VALUE</v>
      </c>
      <c r="I330" s="2" t="s">
        <v>612</v>
      </c>
      <c r="J330" s="42">
        <f>VLOOKUP(Table1[[#This Row],[Status]],Auxiliar!$B$16:$C$24,2,0)</f>
        <v>1</v>
      </c>
      <c r="K330" s="2" t="s">
        <v>1171</v>
      </c>
      <c r="L330" s="28" t="s">
        <v>1169</v>
      </c>
      <c r="M330" s="20" t="s">
        <v>1178</v>
      </c>
      <c r="N330" s="47">
        <v>45485</v>
      </c>
      <c r="O330" s="20">
        <f>INDEX(Auxiliar!$D$5:$F$13,MATCH(Table1[[#This Row],[Tipologia_Testes]],Auxiliar!$B$5:$B$13,0),MATCH(Table1[[#This Row],[Complexidade]],Auxiliar!$D$4:$F$4,0))</f>
        <v>2</v>
      </c>
      <c r="P330" s="2" t="s">
        <v>1195</v>
      </c>
      <c r="Q330" s="2"/>
      <c r="R330" s="151">
        <v>45261</v>
      </c>
      <c r="S330" s="151"/>
      <c r="T330" s="151"/>
      <c r="U330" s="151"/>
      <c r="V330" s="151"/>
      <c r="W330" s="2">
        <f>VLOOKUP(Table1[[#This Row],[Status]],Auxiliar!$B$16:$D$24,3,0)*Table1[[#This Row],[Estimação (horas)]]</f>
        <v>2</v>
      </c>
      <c r="X330" s="166">
        <f>+VLOOKUP(CONCATENATE(Table1[[#This Row],[Tabela]],Table1[[#This Row],[Campo]]),'2. Status Detalhe Campos FY24'!A:J,9,FALSE)</f>
        <v>0</v>
      </c>
    </row>
    <row r="331" spans="2:24" ht="17.850000000000001" hidden="1" customHeight="1">
      <c r="B331" s="2" t="s">
        <v>26</v>
      </c>
      <c r="C331" s="2" t="s">
        <v>54</v>
      </c>
      <c r="D331" s="2" t="s">
        <v>124</v>
      </c>
      <c r="E331" s="2" t="s">
        <v>38</v>
      </c>
      <c r="F331" s="2" t="s">
        <v>123</v>
      </c>
      <c r="G331" s="2" t="s">
        <v>159</v>
      </c>
      <c r="H331" s="56" t="str">
        <f>Table1[[#This Row],[Tabela]]&amp;Table1[[#This Row],[Campo]]</f>
        <v>PROPERTY_ENERGY_CERTIFICATEREN_ENERGY_PRODUCED_REG_VALUE</v>
      </c>
      <c r="I331" s="2" t="s">
        <v>612</v>
      </c>
      <c r="J331" s="42">
        <f>VLOOKUP(Table1[[#This Row],[Status]],Auxiliar!$B$16:$C$24,2,0)</f>
        <v>1</v>
      </c>
      <c r="K331" s="2" t="s">
        <v>1172</v>
      </c>
      <c r="L331" s="28" t="s">
        <v>1169</v>
      </c>
      <c r="M331" s="20" t="s">
        <v>1178</v>
      </c>
      <c r="N331" s="47">
        <v>45485</v>
      </c>
      <c r="O331" s="20">
        <f>INDEX(Auxiliar!$D$5:$F$13,MATCH(Table1[[#This Row],[Tipologia_Testes]],Auxiliar!$B$5:$B$13,0),MATCH(Table1[[#This Row],[Complexidade]],Auxiliar!$D$4:$F$4,0))</f>
        <v>2</v>
      </c>
      <c r="P331" s="2" t="s">
        <v>1195</v>
      </c>
      <c r="Q331" s="2"/>
      <c r="R331" s="151">
        <v>45261</v>
      </c>
      <c r="S331" s="151"/>
      <c r="T331" s="151"/>
      <c r="U331" s="151"/>
      <c r="V331" s="151"/>
      <c r="W331" s="2">
        <f>VLOOKUP(Table1[[#This Row],[Status]],Auxiliar!$B$16:$D$24,3,0)*Table1[[#This Row],[Estimação (horas)]]</f>
        <v>2</v>
      </c>
      <c r="X331" s="166">
        <f>+VLOOKUP(CONCATENATE(Table1[[#This Row],[Tabela]],Table1[[#This Row],[Campo]]),'2. Status Detalhe Campos FY24'!A:J,9,FALSE)</f>
        <v>0</v>
      </c>
    </row>
    <row r="332" spans="2:24" ht="17.850000000000001" hidden="1" customHeight="1">
      <c r="B332" s="2" t="s">
        <v>26</v>
      </c>
      <c r="C332" s="2" t="s">
        <v>54</v>
      </c>
      <c r="D332" s="2" t="s">
        <v>124</v>
      </c>
      <c r="E332" s="2" t="s">
        <v>38</v>
      </c>
      <c r="F332" s="2" t="s">
        <v>123</v>
      </c>
      <c r="G332" s="2" t="s">
        <v>159</v>
      </c>
      <c r="H332" s="56" t="str">
        <f>Table1[[#This Row],[Tabela]]&amp;Table1[[#This Row],[Campo]]</f>
        <v>PROPERTY_ENERGY_CERTIFICATEREN_ENERGY_PRODUCED_REG_VALUE</v>
      </c>
      <c r="I332" s="2" t="s">
        <v>612</v>
      </c>
      <c r="J332" s="42">
        <f>VLOOKUP(Table1[[#This Row],[Status]],Auxiliar!$B$16:$C$24,2,0)</f>
        <v>1</v>
      </c>
      <c r="K332" s="2" t="s">
        <v>1174</v>
      </c>
      <c r="L332" s="28" t="s">
        <v>1169</v>
      </c>
      <c r="M332" s="20" t="s">
        <v>1178</v>
      </c>
      <c r="N332" s="47">
        <v>45485</v>
      </c>
      <c r="O332" s="20">
        <f>INDEX(Auxiliar!$D$5:$F$13,MATCH(Table1[[#This Row],[Tipologia_Testes]],Auxiliar!$B$5:$B$13,0),MATCH(Table1[[#This Row],[Complexidade]],Auxiliar!$D$4:$F$4,0))</f>
        <v>0.1</v>
      </c>
      <c r="P332" s="2" t="s">
        <v>1195</v>
      </c>
      <c r="Q332" s="2"/>
      <c r="R332" s="151">
        <v>45261</v>
      </c>
      <c r="S332" s="151"/>
      <c r="T332" s="151"/>
      <c r="U332" s="151"/>
      <c r="V332" s="151"/>
      <c r="W332" s="2">
        <f>VLOOKUP(Table1[[#This Row],[Status]],Auxiliar!$B$16:$D$24,3,0)*Table1[[#This Row],[Estimação (horas)]]</f>
        <v>0.1</v>
      </c>
      <c r="X332" s="166">
        <f>+VLOOKUP(CONCATENATE(Table1[[#This Row],[Tabela]],Table1[[#This Row],[Campo]]),'2. Status Detalhe Campos FY24'!A:J,9,FALSE)</f>
        <v>0</v>
      </c>
    </row>
    <row r="333" spans="2:24" ht="17.850000000000001" hidden="1" customHeight="1">
      <c r="B333" s="2" t="s">
        <v>26</v>
      </c>
      <c r="C333" s="2" t="s">
        <v>54</v>
      </c>
      <c r="D333" s="2" t="s">
        <v>124</v>
      </c>
      <c r="E333" s="2" t="s">
        <v>38</v>
      </c>
      <c r="F333" s="2" t="s">
        <v>123</v>
      </c>
      <c r="G333" s="2" t="s">
        <v>160</v>
      </c>
      <c r="H333" s="56" t="str">
        <f>Table1[[#This Row],[Tabela]]&amp;Table1[[#This Row],[Campo]]</f>
        <v>PROPERTY_ENERGY_CERTIFICATEREN_ENERGY_PRODUCED_VALUE</v>
      </c>
      <c r="I333" s="2" t="s">
        <v>612</v>
      </c>
      <c r="J333" s="42">
        <f>VLOOKUP(Table1[[#This Row],[Status]],Auxiliar!$B$16:$C$24,2,0)</f>
        <v>1</v>
      </c>
      <c r="K333" s="2" t="s">
        <v>1171</v>
      </c>
      <c r="L333" s="28" t="s">
        <v>1169</v>
      </c>
      <c r="M333" s="20" t="s">
        <v>1178</v>
      </c>
      <c r="N333" s="47">
        <v>45612</v>
      </c>
      <c r="O333" s="20">
        <f>INDEX(Auxiliar!$D$5:$F$13,MATCH(Table1[[#This Row],[Tipologia_Testes]],Auxiliar!$B$5:$B$13,0),MATCH(Table1[[#This Row],[Complexidade]],Auxiliar!$D$4:$F$4,0))</f>
        <v>2</v>
      </c>
      <c r="P333" s="2"/>
      <c r="Q333" s="2"/>
      <c r="R333" s="151">
        <v>45616</v>
      </c>
      <c r="S333" s="151"/>
      <c r="T333" s="151"/>
      <c r="U333" s="151"/>
      <c r="V333" s="151">
        <v>45639</v>
      </c>
      <c r="W333" s="2">
        <f>VLOOKUP(Table1[[#This Row],[Status]],Auxiliar!$B$16:$D$24,3,0)*Table1[[#This Row],[Estimação (horas)]]</f>
        <v>2</v>
      </c>
      <c r="X333" s="166">
        <f>+VLOOKUP(CONCATENATE(Table1[[#This Row],[Tabela]],Table1[[#This Row],[Campo]]),'2. Status Detalhe Campos FY24'!A:J,9,FALSE)</f>
        <v>0</v>
      </c>
    </row>
    <row r="334" spans="2:24" ht="17.850000000000001" hidden="1" customHeight="1">
      <c r="B334" s="2" t="s">
        <v>26</v>
      </c>
      <c r="C334" s="2" t="s">
        <v>54</v>
      </c>
      <c r="D334" s="2" t="s">
        <v>124</v>
      </c>
      <c r="E334" s="2" t="s">
        <v>38</v>
      </c>
      <c r="F334" s="2" t="s">
        <v>123</v>
      </c>
      <c r="G334" s="2" t="s">
        <v>160</v>
      </c>
      <c r="H334" s="56" t="str">
        <f>Table1[[#This Row],[Tabela]]&amp;Table1[[#This Row],[Campo]]</f>
        <v>PROPERTY_ENERGY_CERTIFICATEREN_ENERGY_PRODUCED_VALUE</v>
      </c>
      <c r="I334" s="2" t="s">
        <v>612</v>
      </c>
      <c r="J334" s="42">
        <f>VLOOKUP(Table1[[#This Row],[Status]],Auxiliar!$B$16:$C$24,2,0)</f>
        <v>1</v>
      </c>
      <c r="K334" s="2" t="s">
        <v>1172</v>
      </c>
      <c r="L334" s="28" t="s">
        <v>1169</v>
      </c>
      <c r="M334" s="20" t="s">
        <v>1178</v>
      </c>
      <c r="N334" s="47">
        <v>45612</v>
      </c>
      <c r="O334" s="20">
        <f>INDEX(Auxiliar!$D$5:$F$13,MATCH(Table1[[#This Row],[Tipologia_Testes]],Auxiliar!$B$5:$B$13,0),MATCH(Table1[[#This Row],[Complexidade]],Auxiliar!$D$4:$F$4,0))</f>
        <v>2</v>
      </c>
      <c r="P334" s="2"/>
      <c r="Q334" s="2"/>
      <c r="R334" s="151">
        <v>45616</v>
      </c>
      <c r="S334" s="151"/>
      <c r="T334" s="151"/>
      <c r="U334" s="151"/>
      <c r="V334" s="151">
        <v>45639</v>
      </c>
      <c r="W334" s="2">
        <f>VLOOKUP(Table1[[#This Row],[Status]],Auxiliar!$B$16:$D$24,3,0)*Table1[[#This Row],[Estimação (horas)]]</f>
        <v>2</v>
      </c>
      <c r="X334" s="166">
        <f>+VLOOKUP(CONCATENATE(Table1[[#This Row],[Tabela]],Table1[[#This Row],[Campo]]),'2. Status Detalhe Campos FY24'!A:J,9,FALSE)</f>
        <v>0</v>
      </c>
    </row>
    <row r="335" spans="2:24" ht="17.850000000000001" hidden="1" customHeight="1">
      <c r="B335" s="2" t="s">
        <v>26</v>
      </c>
      <c r="C335" s="2" t="s">
        <v>54</v>
      </c>
      <c r="D335" s="2" t="s">
        <v>124</v>
      </c>
      <c r="E335" s="2" t="s">
        <v>38</v>
      </c>
      <c r="F335" s="2" t="s">
        <v>123</v>
      </c>
      <c r="G335" s="2" t="s">
        <v>160</v>
      </c>
      <c r="H335" s="56" t="str">
        <f>Table1[[#This Row],[Tabela]]&amp;Table1[[#This Row],[Campo]]</f>
        <v>PROPERTY_ENERGY_CERTIFICATEREN_ENERGY_PRODUCED_VALUE</v>
      </c>
      <c r="I335" s="2" t="s">
        <v>612</v>
      </c>
      <c r="J335" s="42">
        <f>VLOOKUP(Table1[[#This Row],[Status]],Auxiliar!$B$16:$C$24,2,0)</f>
        <v>1</v>
      </c>
      <c r="K335" s="2" t="s">
        <v>1174</v>
      </c>
      <c r="L335" s="28" t="s">
        <v>1169</v>
      </c>
      <c r="M335" s="20" t="s">
        <v>1178</v>
      </c>
      <c r="N335" s="47">
        <v>45612</v>
      </c>
      <c r="O335" s="20">
        <f>INDEX(Auxiliar!$D$5:$F$13,MATCH(Table1[[#This Row],[Tipologia_Testes]],Auxiliar!$B$5:$B$13,0),MATCH(Table1[[#This Row],[Complexidade]],Auxiliar!$D$4:$F$4,0))</f>
        <v>0.1</v>
      </c>
      <c r="P335" s="2"/>
      <c r="Q335" s="2"/>
      <c r="R335" s="151">
        <v>45616</v>
      </c>
      <c r="S335" s="151"/>
      <c r="T335" s="151"/>
      <c r="U335" s="151"/>
      <c r="V335" s="151">
        <v>45639</v>
      </c>
      <c r="W335" s="2">
        <f>VLOOKUP(Table1[[#This Row],[Status]],Auxiliar!$B$16:$D$24,3,0)*Table1[[#This Row],[Estimação (horas)]]</f>
        <v>0.1</v>
      </c>
      <c r="X335" s="166">
        <f>+VLOOKUP(CONCATENATE(Table1[[#This Row],[Tabela]],Table1[[#This Row],[Campo]]),'2. Status Detalhe Campos FY24'!A:J,9,FALSE)</f>
        <v>0</v>
      </c>
    </row>
    <row r="336" spans="2:24" ht="17.850000000000001" hidden="1" customHeight="1">
      <c r="B336" s="2" t="s">
        <v>26</v>
      </c>
      <c r="C336" s="2" t="s">
        <v>54</v>
      </c>
      <c r="D336" s="2" t="s">
        <v>124</v>
      </c>
      <c r="E336" s="2" t="s">
        <v>38</v>
      </c>
      <c r="F336" s="2" t="s">
        <v>123</v>
      </c>
      <c r="G336" s="2" t="s">
        <v>161</v>
      </c>
      <c r="H336" s="56" t="str">
        <f>Table1[[#This Row],[Tabela]]&amp;Table1[[#This Row],[Campo]]</f>
        <v>PROPERTY_ENERGY_CERTIFICATEUSEFUL_ENERGY_DOM_HOTWATER_VALUE</v>
      </c>
      <c r="I336" s="2" t="s">
        <v>612</v>
      </c>
      <c r="J336" s="42">
        <f>VLOOKUP(Table1[[#This Row],[Status]],Auxiliar!$B$16:$C$24,2,0)</f>
        <v>1</v>
      </c>
      <c r="K336" s="2" t="s">
        <v>1171</v>
      </c>
      <c r="L336" s="28" t="s">
        <v>1169</v>
      </c>
      <c r="M336" s="20" t="s">
        <v>1178</v>
      </c>
      <c r="N336" s="47">
        <v>45485</v>
      </c>
      <c r="O336" s="20">
        <f>INDEX(Auxiliar!$D$5:$F$13,MATCH(Table1[[#This Row],[Tipologia_Testes]],Auxiliar!$B$5:$B$13,0),MATCH(Table1[[#This Row],[Complexidade]],Auxiliar!$D$4:$F$4,0))</f>
        <v>2</v>
      </c>
      <c r="P336" s="2" t="s">
        <v>1195</v>
      </c>
      <c r="Q336" s="2"/>
      <c r="R336" s="151">
        <v>45261</v>
      </c>
      <c r="S336" s="151"/>
      <c r="T336" s="151"/>
      <c r="U336" s="151"/>
      <c r="V336" s="151"/>
      <c r="W336" s="2">
        <f>VLOOKUP(Table1[[#This Row],[Status]],Auxiliar!$B$16:$D$24,3,0)*Table1[[#This Row],[Estimação (horas)]]</f>
        <v>2</v>
      </c>
      <c r="X336" s="166">
        <f>+VLOOKUP(CONCATENATE(Table1[[#This Row],[Tabela]],Table1[[#This Row],[Campo]]),'2. Status Detalhe Campos FY24'!A:J,9,FALSE)</f>
        <v>0</v>
      </c>
    </row>
    <row r="337" spans="2:24" ht="17.850000000000001" hidden="1" customHeight="1">
      <c r="B337" s="2" t="s">
        <v>26</v>
      </c>
      <c r="C337" s="2" t="s">
        <v>54</v>
      </c>
      <c r="D337" s="2" t="s">
        <v>124</v>
      </c>
      <c r="E337" s="2" t="s">
        <v>38</v>
      </c>
      <c r="F337" s="2" t="s">
        <v>123</v>
      </c>
      <c r="G337" s="2" t="s">
        <v>161</v>
      </c>
      <c r="H337" s="56" t="str">
        <f>Table1[[#This Row],[Tabela]]&amp;Table1[[#This Row],[Campo]]</f>
        <v>PROPERTY_ENERGY_CERTIFICATEUSEFUL_ENERGY_DOM_HOTWATER_VALUE</v>
      </c>
      <c r="I337" s="2" t="s">
        <v>612</v>
      </c>
      <c r="J337" s="42">
        <f>VLOOKUP(Table1[[#This Row],[Status]],Auxiliar!$B$16:$C$24,2,0)</f>
        <v>1</v>
      </c>
      <c r="K337" s="2" t="s">
        <v>1172</v>
      </c>
      <c r="L337" s="28" t="s">
        <v>1169</v>
      </c>
      <c r="M337" s="20" t="s">
        <v>1178</v>
      </c>
      <c r="N337" s="47">
        <v>45485</v>
      </c>
      <c r="O337" s="20">
        <f>INDEX(Auxiliar!$D$5:$F$13,MATCH(Table1[[#This Row],[Tipologia_Testes]],Auxiliar!$B$5:$B$13,0),MATCH(Table1[[#This Row],[Complexidade]],Auxiliar!$D$4:$F$4,0))</f>
        <v>2</v>
      </c>
      <c r="P337" s="2" t="s">
        <v>1195</v>
      </c>
      <c r="Q337" s="2"/>
      <c r="R337" s="151">
        <v>45261</v>
      </c>
      <c r="S337" s="151"/>
      <c r="T337" s="151"/>
      <c r="U337" s="151"/>
      <c r="V337" s="151"/>
      <c r="W337" s="2">
        <f>VLOOKUP(Table1[[#This Row],[Status]],Auxiliar!$B$16:$D$24,3,0)*Table1[[#This Row],[Estimação (horas)]]</f>
        <v>2</v>
      </c>
      <c r="X337" s="166">
        <f>+VLOOKUP(CONCATENATE(Table1[[#This Row],[Tabela]],Table1[[#This Row],[Campo]]),'2. Status Detalhe Campos FY24'!A:J,9,FALSE)</f>
        <v>0</v>
      </c>
    </row>
    <row r="338" spans="2:24" ht="17.850000000000001" hidden="1" customHeight="1">
      <c r="B338" s="2" t="s">
        <v>26</v>
      </c>
      <c r="C338" s="2" t="s">
        <v>54</v>
      </c>
      <c r="D338" s="2" t="s">
        <v>124</v>
      </c>
      <c r="E338" s="2" t="s">
        <v>38</v>
      </c>
      <c r="F338" s="2" t="s">
        <v>123</v>
      </c>
      <c r="G338" s="2" t="s">
        <v>161</v>
      </c>
      <c r="H338" s="56" t="str">
        <f>Table1[[#This Row],[Tabela]]&amp;Table1[[#This Row],[Campo]]</f>
        <v>PROPERTY_ENERGY_CERTIFICATEUSEFUL_ENERGY_DOM_HOTWATER_VALUE</v>
      </c>
      <c r="I338" s="2" t="s">
        <v>612</v>
      </c>
      <c r="J338" s="42">
        <f>VLOOKUP(Table1[[#This Row],[Status]],Auxiliar!$B$16:$C$24,2,0)</f>
        <v>1</v>
      </c>
      <c r="K338" s="2" t="s">
        <v>1174</v>
      </c>
      <c r="L338" s="28" t="s">
        <v>1169</v>
      </c>
      <c r="M338" s="20" t="s">
        <v>1178</v>
      </c>
      <c r="N338" s="47">
        <v>45485</v>
      </c>
      <c r="O338" s="20">
        <f>INDEX(Auxiliar!$D$5:$F$13,MATCH(Table1[[#This Row],[Tipologia_Testes]],Auxiliar!$B$5:$B$13,0),MATCH(Table1[[#This Row],[Complexidade]],Auxiliar!$D$4:$F$4,0))</f>
        <v>0.1</v>
      </c>
      <c r="P338" s="2" t="s">
        <v>1195</v>
      </c>
      <c r="Q338" s="2"/>
      <c r="R338" s="151">
        <v>45261</v>
      </c>
      <c r="S338" s="151"/>
      <c r="T338" s="151"/>
      <c r="U338" s="151"/>
      <c r="V338" s="151"/>
      <c r="W338" s="2">
        <f>VLOOKUP(Table1[[#This Row],[Status]],Auxiliar!$B$16:$D$24,3,0)*Table1[[#This Row],[Estimação (horas)]]</f>
        <v>0.1</v>
      </c>
      <c r="X338" s="166">
        <f>+VLOOKUP(CONCATENATE(Table1[[#This Row],[Tabela]],Table1[[#This Row],[Campo]]),'2. Status Detalhe Campos FY24'!A:J,9,FALSE)</f>
        <v>0</v>
      </c>
    </row>
    <row r="339" spans="2:24" ht="17.850000000000001" hidden="1" customHeight="1">
      <c r="B339" s="2" t="s">
        <v>26</v>
      </c>
      <c r="C339" s="2" t="s">
        <v>54</v>
      </c>
      <c r="D339" s="2" t="s">
        <v>124</v>
      </c>
      <c r="E339" s="2" t="s">
        <v>38</v>
      </c>
      <c r="F339" s="2" t="s">
        <v>123</v>
      </c>
      <c r="G339" s="2" t="s">
        <v>162</v>
      </c>
      <c r="H339" s="56" t="str">
        <f>Table1[[#This Row],[Tabela]]&amp;Table1[[#This Row],[Campo]]</f>
        <v>PROPERTY_ENERGY_CERTIFICATEUSEFUL_ENERGY_COOLING_VALUE</v>
      </c>
      <c r="I339" s="2" t="s">
        <v>612</v>
      </c>
      <c r="J339" s="42">
        <f>VLOOKUP(Table1[[#This Row],[Status]],Auxiliar!$B$16:$C$24,2,0)</f>
        <v>1</v>
      </c>
      <c r="K339" s="2" t="s">
        <v>1171</v>
      </c>
      <c r="L339" s="28" t="s">
        <v>1169</v>
      </c>
      <c r="M339" s="20" t="s">
        <v>1178</v>
      </c>
      <c r="N339" s="47">
        <v>45485</v>
      </c>
      <c r="O339" s="20">
        <f>INDEX(Auxiliar!$D$5:$F$13,MATCH(Table1[[#This Row],[Tipologia_Testes]],Auxiliar!$B$5:$B$13,0),MATCH(Table1[[#This Row],[Complexidade]],Auxiliar!$D$4:$F$4,0))</f>
        <v>2</v>
      </c>
      <c r="P339" s="2" t="s">
        <v>1195</v>
      </c>
      <c r="Q339" s="2"/>
      <c r="R339" s="151">
        <v>45261</v>
      </c>
      <c r="S339" s="151"/>
      <c r="T339" s="151"/>
      <c r="U339" s="151"/>
      <c r="V339" s="151"/>
      <c r="W339" s="2">
        <f>VLOOKUP(Table1[[#This Row],[Status]],Auxiliar!$B$16:$D$24,3,0)*Table1[[#This Row],[Estimação (horas)]]</f>
        <v>2</v>
      </c>
      <c r="X339" s="166">
        <f>+VLOOKUP(CONCATENATE(Table1[[#This Row],[Tabela]],Table1[[#This Row],[Campo]]),'2. Status Detalhe Campos FY24'!A:J,9,FALSE)</f>
        <v>0</v>
      </c>
    </row>
    <row r="340" spans="2:24" ht="17.850000000000001" hidden="1" customHeight="1">
      <c r="B340" s="2" t="s">
        <v>26</v>
      </c>
      <c r="C340" s="2" t="s">
        <v>54</v>
      </c>
      <c r="D340" s="2" t="s">
        <v>124</v>
      </c>
      <c r="E340" s="2" t="s">
        <v>38</v>
      </c>
      <c r="F340" s="2" t="s">
        <v>123</v>
      </c>
      <c r="G340" s="2" t="s">
        <v>162</v>
      </c>
      <c r="H340" s="56" t="str">
        <f>Table1[[#This Row],[Tabela]]&amp;Table1[[#This Row],[Campo]]</f>
        <v>PROPERTY_ENERGY_CERTIFICATEUSEFUL_ENERGY_COOLING_VALUE</v>
      </c>
      <c r="I340" s="2" t="s">
        <v>612</v>
      </c>
      <c r="J340" s="42">
        <f>VLOOKUP(Table1[[#This Row],[Status]],Auxiliar!$B$16:$C$24,2,0)</f>
        <v>1</v>
      </c>
      <c r="K340" s="2" t="s">
        <v>1172</v>
      </c>
      <c r="L340" s="28" t="s">
        <v>1169</v>
      </c>
      <c r="M340" s="20" t="s">
        <v>1178</v>
      </c>
      <c r="N340" s="47">
        <v>45485</v>
      </c>
      <c r="O340" s="20">
        <f>INDEX(Auxiliar!$D$5:$F$13,MATCH(Table1[[#This Row],[Tipologia_Testes]],Auxiliar!$B$5:$B$13,0),MATCH(Table1[[#This Row],[Complexidade]],Auxiliar!$D$4:$F$4,0))</f>
        <v>2</v>
      </c>
      <c r="P340" s="2" t="s">
        <v>1195</v>
      </c>
      <c r="Q340" s="2"/>
      <c r="R340" s="151">
        <v>45261</v>
      </c>
      <c r="S340" s="151"/>
      <c r="T340" s="151"/>
      <c r="U340" s="151"/>
      <c r="V340" s="151"/>
      <c r="W340" s="2">
        <f>VLOOKUP(Table1[[#This Row],[Status]],Auxiliar!$B$16:$D$24,3,0)*Table1[[#This Row],[Estimação (horas)]]</f>
        <v>2</v>
      </c>
      <c r="X340" s="166">
        <f>+VLOOKUP(CONCATENATE(Table1[[#This Row],[Tabela]],Table1[[#This Row],[Campo]]),'2. Status Detalhe Campos FY24'!A:J,9,FALSE)</f>
        <v>0</v>
      </c>
    </row>
    <row r="341" spans="2:24" ht="17.850000000000001" hidden="1" customHeight="1">
      <c r="B341" s="2" t="s">
        <v>26</v>
      </c>
      <c r="C341" s="2" t="s">
        <v>54</v>
      </c>
      <c r="D341" s="2" t="s">
        <v>124</v>
      </c>
      <c r="E341" s="2" t="s">
        <v>38</v>
      </c>
      <c r="F341" s="2" t="s">
        <v>123</v>
      </c>
      <c r="G341" s="2" t="s">
        <v>162</v>
      </c>
      <c r="H341" s="56" t="str">
        <f>Table1[[#This Row],[Tabela]]&amp;Table1[[#This Row],[Campo]]</f>
        <v>PROPERTY_ENERGY_CERTIFICATEUSEFUL_ENERGY_COOLING_VALUE</v>
      </c>
      <c r="I341" s="2" t="s">
        <v>612</v>
      </c>
      <c r="J341" s="42">
        <f>VLOOKUP(Table1[[#This Row],[Status]],Auxiliar!$B$16:$C$24,2,0)</f>
        <v>1</v>
      </c>
      <c r="K341" s="2" t="s">
        <v>1174</v>
      </c>
      <c r="L341" s="28" t="s">
        <v>1169</v>
      </c>
      <c r="M341" s="20" t="s">
        <v>1178</v>
      </c>
      <c r="N341" s="47">
        <v>45485</v>
      </c>
      <c r="O341" s="20">
        <f>INDEX(Auxiliar!$D$5:$F$13,MATCH(Table1[[#This Row],[Tipologia_Testes]],Auxiliar!$B$5:$B$13,0),MATCH(Table1[[#This Row],[Complexidade]],Auxiliar!$D$4:$F$4,0))</f>
        <v>0.1</v>
      </c>
      <c r="P341" s="2" t="s">
        <v>1195</v>
      </c>
      <c r="Q341" s="2"/>
      <c r="R341" s="151">
        <v>45261</v>
      </c>
      <c r="S341" s="151"/>
      <c r="T341" s="151"/>
      <c r="U341" s="151"/>
      <c r="V341" s="151"/>
      <c r="W341" s="2">
        <f>VLOOKUP(Table1[[#This Row],[Status]],Auxiliar!$B$16:$D$24,3,0)*Table1[[#This Row],[Estimação (horas)]]</f>
        <v>0.1</v>
      </c>
      <c r="X341" s="166">
        <f>+VLOOKUP(CONCATENATE(Table1[[#This Row],[Tabela]],Table1[[#This Row],[Campo]]),'2. Status Detalhe Campos FY24'!A:J,9,FALSE)</f>
        <v>0</v>
      </c>
    </row>
    <row r="342" spans="2:24" ht="17.850000000000001" hidden="1" customHeight="1">
      <c r="B342" s="2" t="s">
        <v>26</v>
      </c>
      <c r="C342" s="2" t="s">
        <v>54</v>
      </c>
      <c r="D342" s="2" t="s">
        <v>124</v>
      </c>
      <c r="E342" s="2" t="s">
        <v>38</v>
      </c>
      <c r="F342" s="2" t="s">
        <v>123</v>
      </c>
      <c r="G342" s="2" t="s">
        <v>163</v>
      </c>
      <c r="H342" s="56" t="str">
        <f>Table1[[#This Row],[Tabela]]&amp;Table1[[#This Row],[Campo]]</f>
        <v>PROPERTY_ENERGY_CERTIFICATETEMPERATURE_DAY_VALUE</v>
      </c>
      <c r="I342" s="2" t="s">
        <v>612</v>
      </c>
      <c r="J342" s="42">
        <f>VLOOKUP(Table1[[#This Row],[Status]],Auxiliar!$B$16:$C$24,2,0)</f>
        <v>1</v>
      </c>
      <c r="K342" s="2" t="s">
        <v>1171</v>
      </c>
      <c r="L342" s="28" t="s">
        <v>1169</v>
      </c>
      <c r="M342" s="20" t="s">
        <v>1178</v>
      </c>
      <c r="N342" s="47">
        <v>45485</v>
      </c>
      <c r="O342" s="20">
        <f>INDEX(Auxiliar!$D$5:$F$13,MATCH(Table1[[#This Row],[Tipologia_Testes]],Auxiliar!$B$5:$B$13,0),MATCH(Table1[[#This Row],[Complexidade]],Auxiliar!$D$4:$F$4,0))</f>
        <v>2</v>
      </c>
      <c r="P342" s="2" t="s">
        <v>1195</v>
      </c>
      <c r="Q342" s="2"/>
      <c r="R342" s="151">
        <v>45261</v>
      </c>
      <c r="S342" s="151"/>
      <c r="T342" s="151"/>
      <c r="U342" s="151"/>
      <c r="V342" s="151"/>
      <c r="W342" s="2">
        <f>VLOOKUP(Table1[[#This Row],[Status]],Auxiliar!$B$16:$D$24,3,0)*Table1[[#This Row],[Estimação (horas)]]</f>
        <v>2</v>
      </c>
      <c r="X342" s="166">
        <f>+VLOOKUP(CONCATENATE(Table1[[#This Row],[Tabela]],Table1[[#This Row],[Campo]]),'2. Status Detalhe Campos FY24'!A:J,9,FALSE)</f>
        <v>0</v>
      </c>
    </row>
    <row r="343" spans="2:24" ht="17.850000000000001" hidden="1" customHeight="1">
      <c r="B343" s="2" t="s">
        <v>26</v>
      </c>
      <c r="C343" s="2" t="s">
        <v>54</v>
      </c>
      <c r="D343" s="2" t="s">
        <v>124</v>
      </c>
      <c r="E343" s="2" t="s">
        <v>38</v>
      </c>
      <c r="F343" s="2" t="s">
        <v>123</v>
      </c>
      <c r="G343" s="2" t="s">
        <v>163</v>
      </c>
      <c r="H343" s="56" t="str">
        <f>Table1[[#This Row],[Tabela]]&amp;Table1[[#This Row],[Campo]]</f>
        <v>PROPERTY_ENERGY_CERTIFICATETEMPERATURE_DAY_VALUE</v>
      </c>
      <c r="I343" s="2" t="s">
        <v>612</v>
      </c>
      <c r="J343" s="42">
        <f>VLOOKUP(Table1[[#This Row],[Status]],Auxiliar!$B$16:$C$24,2,0)</f>
        <v>1</v>
      </c>
      <c r="K343" s="2" t="s">
        <v>1172</v>
      </c>
      <c r="L343" s="28" t="s">
        <v>1169</v>
      </c>
      <c r="M343" s="20" t="s">
        <v>1178</v>
      </c>
      <c r="N343" s="47">
        <v>45485</v>
      </c>
      <c r="O343" s="20">
        <f>INDEX(Auxiliar!$D$5:$F$13,MATCH(Table1[[#This Row],[Tipologia_Testes]],Auxiliar!$B$5:$B$13,0),MATCH(Table1[[#This Row],[Complexidade]],Auxiliar!$D$4:$F$4,0))</f>
        <v>2</v>
      </c>
      <c r="P343" s="2" t="s">
        <v>1195</v>
      </c>
      <c r="Q343" s="2"/>
      <c r="R343" s="151">
        <v>45261</v>
      </c>
      <c r="S343" s="151"/>
      <c r="T343" s="151"/>
      <c r="U343" s="151"/>
      <c r="V343" s="151"/>
      <c r="W343" s="2">
        <f>VLOOKUP(Table1[[#This Row],[Status]],Auxiliar!$B$16:$D$24,3,0)*Table1[[#This Row],[Estimação (horas)]]</f>
        <v>2</v>
      </c>
      <c r="X343" s="166">
        <f>+VLOOKUP(CONCATENATE(Table1[[#This Row],[Tabela]],Table1[[#This Row],[Campo]]),'2. Status Detalhe Campos FY24'!A:J,9,FALSE)</f>
        <v>0</v>
      </c>
    </row>
    <row r="344" spans="2:24" ht="17.850000000000001" hidden="1" customHeight="1">
      <c r="B344" s="2" t="s">
        <v>26</v>
      </c>
      <c r="C344" s="2" t="s">
        <v>54</v>
      </c>
      <c r="D344" s="2" t="s">
        <v>124</v>
      </c>
      <c r="E344" s="2" t="s">
        <v>38</v>
      </c>
      <c r="F344" s="2" t="s">
        <v>123</v>
      </c>
      <c r="G344" s="2" t="s">
        <v>163</v>
      </c>
      <c r="H344" s="56" t="str">
        <f>Table1[[#This Row],[Tabela]]&amp;Table1[[#This Row],[Campo]]</f>
        <v>PROPERTY_ENERGY_CERTIFICATETEMPERATURE_DAY_VALUE</v>
      </c>
      <c r="I344" s="2" t="s">
        <v>612</v>
      </c>
      <c r="J344" s="42">
        <f>VLOOKUP(Table1[[#This Row],[Status]],Auxiliar!$B$16:$C$24,2,0)</f>
        <v>1</v>
      </c>
      <c r="K344" s="2" t="s">
        <v>1174</v>
      </c>
      <c r="L344" s="28" t="s">
        <v>1169</v>
      </c>
      <c r="M344" s="20" t="s">
        <v>1178</v>
      </c>
      <c r="N344" s="47">
        <v>45485</v>
      </c>
      <c r="O344" s="20">
        <f>INDEX(Auxiliar!$D$5:$F$13,MATCH(Table1[[#This Row],[Tipologia_Testes]],Auxiliar!$B$5:$B$13,0),MATCH(Table1[[#This Row],[Complexidade]],Auxiliar!$D$4:$F$4,0))</f>
        <v>0.1</v>
      </c>
      <c r="P344" s="2" t="s">
        <v>1195</v>
      </c>
      <c r="Q344" s="2"/>
      <c r="R344" s="151">
        <v>45261</v>
      </c>
      <c r="S344" s="151"/>
      <c r="T344" s="151"/>
      <c r="U344" s="151"/>
      <c r="V344" s="151"/>
      <c r="W344" s="2">
        <f>VLOOKUP(Table1[[#This Row],[Status]],Auxiliar!$B$16:$D$24,3,0)*Table1[[#This Row],[Estimação (horas)]]</f>
        <v>0.1</v>
      </c>
      <c r="X344" s="166">
        <f>+VLOOKUP(CONCATENATE(Table1[[#This Row],[Tabela]],Table1[[#This Row],[Campo]]),'2. Status Detalhe Campos FY24'!A:J,9,FALSE)</f>
        <v>0</v>
      </c>
    </row>
    <row r="345" spans="2:24" ht="17.850000000000001" hidden="1" customHeight="1">
      <c r="B345" s="2" t="s">
        <v>26</v>
      </c>
      <c r="C345" s="2" t="s">
        <v>54</v>
      </c>
      <c r="D345" s="2" t="s">
        <v>124</v>
      </c>
      <c r="E345" s="2" t="s">
        <v>38</v>
      </c>
      <c r="F345" s="2" t="s">
        <v>123</v>
      </c>
      <c r="G345" s="2" t="s">
        <v>164</v>
      </c>
      <c r="H345" s="56" t="str">
        <f>Table1[[#This Row],[Tabela]]&amp;Table1[[#This Row],[Campo]]</f>
        <v>PROPERTY_ENERGY_CERTIFICATEPRIMARY_ENERGY_REQ_VALUE</v>
      </c>
      <c r="I345" s="2" t="s">
        <v>612</v>
      </c>
      <c r="J345" s="42">
        <f>VLOOKUP(Table1[[#This Row],[Status]],Auxiliar!$B$16:$C$24,2,0)</f>
        <v>1</v>
      </c>
      <c r="K345" s="2" t="s">
        <v>1171</v>
      </c>
      <c r="L345" s="28" t="s">
        <v>1169</v>
      </c>
      <c r="M345" s="20" t="s">
        <v>1178</v>
      </c>
      <c r="N345" s="47">
        <v>45612</v>
      </c>
      <c r="O345" s="20">
        <f>INDEX(Auxiliar!$D$5:$F$13,MATCH(Table1[[#This Row],[Tipologia_Testes]],Auxiliar!$B$5:$B$13,0),MATCH(Table1[[#This Row],[Complexidade]],Auxiliar!$D$4:$F$4,0))</f>
        <v>2</v>
      </c>
      <c r="P345" s="2"/>
      <c r="Q345" s="2"/>
      <c r="R345" s="151">
        <v>45616</v>
      </c>
      <c r="S345" s="151"/>
      <c r="T345" s="151"/>
      <c r="U345" s="151"/>
      <c r="V345" s="151">
        <v>45639</v>
      </c>
      <c r="W345" s="2">
        <f>VLOOKUP(Table1[[#This Row],[Status]],Auxiliar!$B$16:$D$24,3,0)*Table1[[#This Row],[Estimação (horas)]]</f>
        <v>2</v>
      </c>
      <c r="X345" s="166">
        <f>+VLOOKUP(CONCATENATE(Table1[[#This Row],[Tabela]],Table1[[#This Row],[Campo]]),'2. Status Detalhe Campos FY24'!A:J,9,FALSE)</f>
        <v>0</v>
      </c>
    </row>
    <row r="346" spans="2:24" ht="17.850000000000001" hidden="1" customHeight="1">
      <c r="B346" s="2" t="s">
        <v>26</v>
      </c>
      <c r="C346" s="2" t="s">
        <v>54</v>
      </c>
      <c r="D346" s="2" t="s">
        <v>124</v>
      </c>
      <c r="E346" s="2" t="s">
        <v>38</v>
      </c>
      <c r="F346" s="2" t="s">
        <v>123</v>
      </c>
      <c r="G346" s="2" t="s">
        <v>164</v>
      </c>
      <c r="H346" s="56" t="str">
        <f>Table1[[#This Row],[Tabela]]&amp;Table1[[#This Row],[Campo]]</f>
        <v>PROPERTY_ENERGY_CERTIFICATEPRIMARY_ENERGY_REQ_VALUE</v>
      </c>
      <c r="I346" s="2" t="s">
        <v>612</v>
      </c>
      <c r="J346" s="42">
        <f>VLOOKUP(Table1[[#This Row],[Status]],Auxiliar!$B$16:$C$24,2,0)</f>
        <v>1</v>
      </c>
      <c r="K346" s="2" t="s">
        <v>1172</v>
      </c>
      <c r="L346" s="28" t="s">
        <v>1169</v>
      </c>
      <c r="M346" s="20" t="s">
        <v>1178</v>
      </c>
      <c r="N346" s="47">
        <v>45612</v>
      </c>
      <c r="O346" s="20">
        <f>INDEX(Auxiliar!$D$5:$F$13,MATCH(Table1[[#This Row],[Tipologia_Testes]],Auxiliar!$B$5:$B$13,0),MATCH(Table1[[#This Row],[Complexidade]],Auxiliar!$D$4:$F$4,0))</f>
        <v>2</v>
      </c>
      <c r="P346" s="2"/>
      <c r="Q346" s="2"/>
      <c r="R346" s="151">
        <v>45616</v>
      </c>
      <c r="S346" s="151"/>
      <c r="T346" s="151"/>
      <c r="U346" s="151"/>
      <c r="V346" s="151">
        <v>45639</v>
      </c>
      <c r="W346" s="2">
        <f>VLOOKUP(Table1[[#This Row],[Status]],Auxiliar!$B$16:$D$24,3,0)*Table1[[#This Row],[Estimação (horas)]]</f>
        <v>2</v>
      </c>
      <c r="X346" s="166">
        <f>+VLOOKUP(CONCATENATE(Table1[[#This Row],[Tabela]],Table1[[#This Row],[Campo]]),'2. Status Detalhe Campos FY24'!A:J,9,FALSE)</f>
        <v>0</v>
      </c>
    </row>
    <row r="347" spans="2:24" ht="17.850000000000001" hidden="1" customHeight="1">
      <c r="B347" s="2" t="s">
        <v>26</v>
      </c>
      <c r="C347" s="2" t="s">
        <v>54</v>
      </c>
      <c r="D347" s="2" t="s">
        <v>124</v>
      </c>
      <c r="E347" s="2" t="s">
        <v>38</v>
      </c>
      <c r="F347" s="2" t="s">
        <v>123</v>
      </c>
      <c r="G347" s="2" t="s">
        <v>164</v>
      </c>
      <c r="H347" s="56" t="str">
        <f>Table1[[#This Row],[Tabela]]&amp;Table1[[#This Row],[Campo]]</f>
        <v>PROPERTY_ENERGY_CERTIFICATEPRIMARY_ENERGY_REQ_VALUE</v>
      </c>
      <c r="I347" s="2" t="s">
        <v>612</v>
      </c>
      <c r="J347" s="42">
        <f>VLOOKUP(Table1[[#This Row],[Status]],Auxiliar!$B$16:$C$24,2,0)</f>
        <v>1</v>
      </c>
      <c r="K347" s="2" t="s">
        <v>1174</v>
      </c>
      <c r="L347" s="28" t="s">
        <v>1169</v>
      </c>
      <c r="M347" s="20" t="s">
        <v>1178</v>
      </c>
      <c r="N347" s="47">
        <v>45612</v>
      </c>
      <c r="O347" s="20">
        <f>INDEX(Auxiliar!$D$5:$F$13,MATCH(Table1[[#This Row],[Tipologia_Testes]],Auxiliar!$B$5:$B$13,0),MATCH(Table1[[#This Row],[Complexidade]],Auxiliar!$D$4:$F$4,0))</f>
        <v>0.1</v>
      </c>
      <c r="P347" s="2"/>
      <c r="Q347" s="2"/>
      <c r="R347" s="151">
        <v>45616</v>
      </c>
      <c r="S347" s="151"/>
      <c r="T347" s="151"/>
      <c r="U347" s="151"/>
      <c r="V347" s="151">
        <v>45639</v>
      </c>
      <c r="W347" s="2">
        <f>VLOOKUP(Table1[[#This Row],[Status]],Auxiliar!$B$16:$D$24,3,0)*Table1[[#This Row],[Estimação (horas)]]</f>
        <v>0.1</v>
      </c>
      <c r="X347" s="166">
        <f>+VLOOKUP(CONCATENATE(Table1[[#This Row],[Tabela]],Table1[[#This Row],[Campo]]),'2. Status Detalhe Campos FY24'!A:J,9,FALSE)</f>
        <v>0</v>
      </c>
    </row>
    <row r="348" spans="2:24" ht="17.850000000000001" hidden="1" customHeight="1">
      <c r="B348" s="2" t="s">
        <v>26</v>
      </c>
      <c r="C348" s="2" t="s">
        <v>54</v>
      </c>
      <c r="D348" s="2" t="s">
        <v>124</v>
      </c>
      <c r="E348" s="2" t="s">
        <v>38</v>
      </c>
      <c r="F348" s="2" t="s">
        <v>123</v>
      </c>
      <c r="G348" s="2" t="s">
        <v>165</v>
      </c>
      <c r="H348" s="56" t="str">
        <f>Table1[[#This Row],[Tabela]]&amp;Table1[[#This Row],[Campo]]</f>
        <v>PROPERTY_ENERGY_CERTIFICATEUSEFUL_ENERGY_HEATING_REQ_VALUE</v>
      </c>
      <c r="I348" s="2" t="s">
        <v>612</v>
      </c>
      <c r="J348" s="42">
        <f>VLOOKUP(Table1[[#This Row],[Status]],Auxiliar!$B$16:$C$24,2,0)</f>
        <v>1</v>
      </c>
      <c r="K348" s="2" t="s">
        <v>1171</v>
      </c>
      <c r="L348" s="28" t="s">
        <v>1169</v>
      </c>
      <c r="M348" s="20" t="s">
        <v>1178</v>
      </c>
      <c r="N348" s="47">
        <v>45485</v>
      </c>
      <c r="O348" s="20">
        <f>INDEX(Auxiliar!$D$5:$F$13,MATCH(Table1[[#This Row],[Tipologia_Testes]],Auxiliar!$B$5:$B$13,0),MATCH(Table1[[#This Row],[Complexidade]],Auxiliar!$D$4:$F$4,0))</f>
        <v>2</v>
      </c>
      <c r="P348" s="2" t="s">
        <v>1195</v>
      </c>
      <c r="Q348" s="2"/>
      <c r="R348" s="151">
        <v>45261</v>
      </c>
      <c r="S348" s="151"/>
      <c r="T348" s="151"/>
      <c r="U348" s="151"/>
      <c r="V348" s="151"/>
      <c r="W348" s="2">
        <f>VLOOKUP(Table1[[#This Row],[Status]],Auxiliar!$B$16:$D$24,3,0)*Table1[[#This Row],[Estimação (horas)]]</f>
        <v>2</v>
      </c>
      <c r="X348" s="166">
        <f>+VLOOKUP(CONCATENATE(Table1[[#This Row],[Tabela]],Table1[[#This Row],[Campo]]),'2. Status Detalhe Campos FY24'!A:J,9,FALSE)</f>
        <v>0</v>
      </c>
    </row>
    <row r="349" spans="2:24" ht="17.850000000000001" hidden="1" customHeight="1">
      <c r="B349" s="2" t="s">
        <v>26</v>
      </c>
      <c r="C349" s="2" t="s">
        <v>54</v>
      </c>
      <c r="D349" s="2" t="s">
        <v>124</v>
      </c>
      <c r="E349" s="2" t="s">
        <v>38</v>
      </c>
      <c r="F349" s="2" t="s">
        <v>123</v>
      </c>
      <c r="G349" s="2" t="s">
        <v>165</v>
      </c>
      <c r="H349" s="56" t="str">
        <f>Table1[[#This Row],[Tabela]]&amp;Table1[[#This Row],[Campo]]</f>
        <v>PROPERTY_ENERGY_CERTIFICATEUSEFUL_ENERGY_HEATING_REQ_VALUE</v>
      </c>
      <c r="I349" s="2" t="s">
        <v>612</v>
      </c>
      <c r="J349" s="42">
        <f>VLOOKUP(Table1[[#This Row],[Status]],Auxiliar!$B$16:$C$24,2,0)</f>
        <v>1</v>
      </c>
      <c r="K349" s="2" t="s">
        <v>1172</v>
      </c>
      <c r="L349" s="28" t="s">
        <v>1169</v>
      </c>
      <c r="M349" s="20" t="s">
        <v>1178</v>
      </c>
      <c r="N349" s="47">
        <v>45485</v>
      </c>
      <c r="O349" s="20">
        <f>INDEX(Auxiliar!$D$5:$F$13,MATCH(Table1[[#This Row],[Tipologia_Testes]],Auxiliar!$B$5:$B$13,0),MATCH(Table1[[#This Row],[Complexidade]],Auxiliar!$D$4:$F$4,0))</f>
        <v>2</v>
      </c>
      <c r="P349" s="2" t="s">
        <v>1195</v>
      </c>
      <c r="Q349" s="2"/>
      <c r="R349" s="151">
        <v>45261</v>
      </c>
      <c r="S349" s="151"/>
      <c r="T349" s="151"/>
      <c r="U349" s="151"/>
      <c r="V349" s="151"/>
      <c r="W349" s="2">
        <f>VLOOKUP(Table1[[#This Row],[Status]],Auxiliar!$B$16:$D$24,3,0)*Table1[[#This Row],[Estimação (horas)]]</f>
        <v>2</v>
      </c>
      <c r="X349" s="166">
        <f>+VLOOKUP(CONCATENATE(Table1[[#This Row],[Tabela]],Table1[[#This Row],[Campo]]),'2. Status Detalhe Campos FY24'!A:J,9,FALSE)</f>
        <v>0</v>
      </c>
    </row>
    <row r="350" spans="2:24" ht="17.850000000000001" hidden="1" customHeight="1">
      <c r="B350" s="2" t="s">
        <v>26</v>
      </c>
      <c r="C350" s="2" t="s">
        <v>54</v>
      </c>
      <c r="D350" s="2" t="s">
        <v>124</v>
      </c>
      <c r="E350" s="2" t="s">
        <v>38</v>
      </c>
      <c r="F350" s="2" t="s">
        <v>123</v>
      </c>
      <c r="G350" s="2" t="s">
        <v>165</v>
      </c>
      <c r="H350" s="56" t="str">
        <f>Table1[[#This Row],[Tabela]]&amp;Table1[[#This Row],[Campo]]</f>
        <v>PROPERTY_ENERGY_CERTIFICATEUSEFUL_ENERGY_HEATING_REQ_VALUE</v>
      </c>
      <c r="I350" s="2" t="s">
        <v>612</v>
      </c>
      <c r="J350" s="42">
        <f>VLOOKUP(Table1[[#This Row],[Status]],Auxiliar!$B$16:$C$24,2,0)</f>
        <v>1</v>
      </c>
      <c r="K350" s="2" t="s">
        <v>1174</v>
      </c>
      <c r="L350" s="28" t="s">
        <v>1169</v>
      </c>
      <c r="M350" s="20" t="s">
        <v>1178</v>
      </c>
      <c r="N350" s="47">
        <v>45485</v>
      </c>
      <c r="O350" s="20">
        <f>INDEX(Auxiliar!$D$5:$F$13,MATCH(Table1[[#This Row],[Tipologia_Testes]],Auxiliar!$B$5:$B$13,0),MATCH(Table1[[#This Row],[Complexidade]],Auxiliar!$D$4:$F$4,0))</f>
        <v>0.1</v>
      </c>
      <c r="P350" s="2" t="s">
        <v>1195</v>
      </c>
      <c r="Q350" s="2"/>
      <c r="R350" s="151">
        <v>45261</v>
      </c>
      <c r="S350" s="151"/>
      <c r="T350" s="151"/>
      <c r="U350" s="151"/>
      <c r="V350" s="151"/>
      <c r="W350" s="2">
        <f>VLOOKUP(Table1[[#This Row],[Status]],Auxiliar!$B$16:$D$24,3,0)*Table1[[#This Row],[Estimação (horas)]]</f>
        <v>0.1</v>
      </c>
      <c r="X350" s="166">
        <f>+VLOOKUP(CONCATENATE(Table1[[#This Row],[Tabela]],Table1[[#This Row],[Campo]]),'2. Status Detalhe Campos FY24'!A:J,9,FALSE)</f>
        <v>0</v>
      </c>
    </row>
    <row r="351" spans="2:24" ht="17.850000000000001" hidden="1" customHeight="1">
      <c r="B351" s="2" t="s">
        <v>26</v>
      </c>
      <c r="C351" s="2" t="s">
        <v>54</v>
      </c>
      <c r="D351" s="2" t="s">
        <v>124</v>
      </c>
      <c r="E351" s="2" t="s">
        <v>38</v>
      </c>
      <c r="F351" s="2" t="s">
        <v>123</v>
      </c>
      <c r="G351" s="2" t="s">
        <v>166</v>
      </c>
      <c r="H351" s="56" t="str">
        <f>Table1[[#This Row],[Tabela]]&amp;Table1[[#This Row],[Campo]]</f>
        <v>PROPERTY_ENERGY_CERTIFICATEPNL_WINTER_WALLS_DOORS_VALUE</v>
      </c>
      <c r="I351" s="2" t="s">
        <v>612</v>
      </c>
      <c r="J351" s="42">
        <f>VLOOKUP(Table1[[#This Row],[Status]],Auxiliar!$B$16:$C$24,2,0)</f>
        <v>1</v>
      </c>
      <c r="K351" s="2" t="s">
        <v>1171</v>
      </c>
      <c r="L351" s="28" t="s">
        <v>1169</v>
      </c>
      <c r="M351" s="20" t="s">
        <v>1178</v>
      </c>
      <c r="N351" s="47">
        <v>45485</v>
      </c>
      <c r="O351" s="20">
        <f>INDEX(Auxiliar!$D$5:$F$13,MATCH(Table1[[#This Row],[Tipologia_Testes]],Auxiliar!$B$5:$B$13,0),MATCH(Table1[[#This Row],[Complexidade]],Auxiliar!$D$4:$F$4,0))</f>
        <v>2</v>
      </c>
      <c r="P351" s="2" t="s">
        <v>1195</v>
      </c>
      <c r="Q351" s="2"/>
      <c r="R351" s="151">
        <v>45261</v>
      </c>
      <c r="S351" s="151"/>
      <c r="T351" s="151"/>
      <c r="U351" s="151"/>
      <c r="V351" s="151"/>
      <c r="W351" s="2">
        <f>VLOOKUP(Table1[[#This Row],[Status]],Auxiliar!$B$16:$D$24,3,0)*Table1[[#This Row],[Estimação (horas)]]</f>
        <v>2</v>
      </c>
      <c r="X351" s="166">
        <f>+VLOOKUP(CONCATENATE(Table1[[#This Row],[Tabela]],Table1[[#This Row],[Campo]]),'2. Status Detalhe Campos FY24'!A:J,9,FALSE)</f>
        <v>0</v>
      </c>
    </row>
    <row r="352" spans="2:24" ht="17.850000000000001" hidden="1" customHeight="1">
      <c r="B352" s="2" t="s">
        <v>26</v>
      </c>
      <c r="C352" s="2" t="s">
        <v>54</v>
      </c>
      <c r="D352" s="2" t="s">
        <v>124</v>
      </c>
      <c r="E352" s="2" t="s">
        <v>38</v>
      </c>
      <c r="F352" s="2" t="s">
        <v>123</v>
      </c>
      <c r="G352" s="2" t="s">
        <v>166</v>
      </c>
      <c r="H352" s="56" t="str">
        <f>Table1[[#This Row],[Tabela]]&amp;Table1[[#This Row],[Campo]]</f>
        <v>PROPERTY_ENERGY_CERTIFICATEPNL_WINTER_WALLS_DOORS_VALUE</v>
      </c>
      <c r="I352" s="2" t="s">
        <v>612</v>
      </c>
      <c r="J352" s="42">
        <f>VLOOKUP(Table1[[#This Row],[Status]],Auxiliar!$B$16:$C$24,2,0)</f>
        <v>1</v>
      </c>
      <c r="K352" s="2" t="s">
        <v>1172</v>
      </c>
      <c r="L352" s="28" t="s">
        <v>1169</v>
      </c>
      <c r="M352" s="20" t="s">
        <v>1178</v>
      </c>
      <c r="N352" s="47">
        <v>45485</v>
      </c>
      <c r="O352" s="20">
        <f>INDEX(Auxiliar!$D$5:$F$13,MATCH(Table1[[#This Row],[Tipologia_Testes]],Auxiliar!$B$5:$B$13,0),MATCH(Table1[[#This Row],[Complexidade]],Auxiliar!$D$4:$F$4,0))</f>
        <v>2</v>
      </c>
      <c r="P352" s="2" t="s">
        <v>1195</v>
      </c>
      <c r="Q352" s="2"/>
      <c r="R352" s="151">
        <v>45261</v>
      </c>
      <c r="S352" s="151"/>
      <c r="T352" s="151"/>
      <c r="U352" s="151"/>
      <c r="V352" s="151"/>
      <c r="W352" s="2">
        <f>VLOOKUP(Table1[[#This Row],[Status]],Auxiliar!$B$16:$D$24,3,0)*Table1[[#This Row],[Estimação (horas)]]</f>
        <v>2</v>
      </c>
      <c r="X352" s="166">
        <f>+VLOOKUP(CONCATENATE(Table1[[#This Row],[Tabela]],Table1[[#This Row],[Campo]]),'2. Status Detalhe Campos FY24'!A:J,9,FALSE)</f>
        <v>0</v>
      </c>
    </row>
    <row r="353" spans="2:24" ht="17.850000000000001" hidden="1" customHeight="1">
      <c r="B353" s="2" t="s">
        <v>26</v>
      </c>
      <c r="C353" s="2" t="s">
        <v>54</v>
      </c>
      <c r="D353" s="2" t="s">
        <v>124</v>
      </c>
      <c r="E353" s="2" t="s">
        <v>38</v>
      </c>
      <c r="F353" s="2" t="s">
        <v>123</v>
      </c>
      <c r="G353" s="2" t="s">
        <v>166</v>
      </c>
      <c r="H353" s="56" t="str">
        <f>Table1[[#This Row],[Tabela]]&amp;Table1[[#This Row],[Campo]]</f>
        <v>PROPERTY_ENERGY_CERTIFICATEPNL_WINTER_WALLS_DOORS_VALUE</v>
      </c>
      <c r="I353" s="2" t="s">
        <v>612</v>
      </c>
      <c r="J353" s="42">
        <f>VLOOKUP(Table1[[#This Row],[Status]],Auxiliar!$B$16:$C$24,2,0)</f>
        <v>1</v>
      </c>
      <c r="K353" s="2" t="s">
        <v>1174</v>
      </c>
      <c r="L353" s="28" t="s">
        <v>1169</v>
      </c>
      <c r="M353" s="20" t="s">
        <v>1178</v>
      </c>
      <c r="N353" s="47">
        <v>45485</v>
      </c>
      <c r="O353" s="20">
        <f>INDEX(Auxiliar!$D$5:$F$13,MATCH(Table1[[#This Row],[Tipologia_Testes]],Auxiliar!$B$5:$B$13,0),MATCH(Table1[[#This Row],[Complexidade]],Auxiliar!$D$4:$F$4,0))</f>
        <v>0.1</v>
      </c>
      <c r="P353" s="2" t="s">
        <v>1195</v>
      </c>
      <c r="Q353" s="2"/>
      <c r="R353" s="151">
        <v>45261</v>
      </c>
      <c r="S353" s="151"/>
      <c r="T353" s="151"/>
      <c r="U353" s="151"/>
      <c r="V353" s="151"/>
      <c r="W353" s="2">
        <f>VLOOKUP(Table1[[#This Row],[Status]],Auxiliar!$B$16:$D$24,3,0)*Table1[[#This Row],[Estimação (horas)]]</f>
        <v>0.1</v>
      </c>
      <c r="X353" s="166">
        <f>+VLOOKUP(CONCATENATE(Table1[[#This Row],[Tabela]],Table1[[#This Row],[Campo]]),'2. Status Detalhe Campos FY24'!A:J,9,FALSE)</f>
        <v>0</v>
      </c>
    </row>
    <row r="354" spans="2:24" ht="17.850000000000001" hidden="1" customHeight="1">
      <c r="B354" s="2" t="s">
        <v>26</v>
      </c>
      <c r="C354" s="2" t="s">
        <v>54</v>
      </c>
      <c r="D354" s="2" t="s">
        <v>124</v>
      </c>
      <c r="E354" s="2" t="s">
        <v>38</v>
      </c>
      <c r="F354" s="2" t="s">
        <v>123</v>
      </c>
      <c r="G354" s="2" t="s">
        <v>167</v>
      </c>
      <c r="H354" s="56" t="str">
        <f>Table1[[#This Row],[Tabela]]&amp;Table1[[#This Row],[Campo]]</f>
        <v>PROPERTY_ENERGY_CERTIFICATEPNL_WINTER_FLOORS_VALUE</v>
      </c>
      <c r="I354" s="2" t="s">
        <v>612</v>
      </c>
      <c r="J354" s="42">
        <f>VLOOKUP(Table1[[#This Row],[Status]],Auxiliar!$B$16:$C$24,2,0)</f>
        <v>1</v>
      </c>
      <c r="K354" s="2" t="s">
        <v>1171</v>
      </c>
      <c r="L354" s="28" t="s">
        <v>1169</v>
      </c>
      <c r="M354" s="20" t="s">
        <v>1178</v>
      </c>
      <c r="N354" s="47">
        <v>45485</v>
      </c>
      <c r="O354" s="20">
        <f>INDEX(Auxiliar!$D$5:$F$13,MATCH(Table1[[#This Row],[Tipologia_Testes]],Auxiliar!$B$5:$B$13,0),MATCH(Table1[[#This Row],[Complexidade]],Auxiliar!$D$4:$F$4,0))</f>
        <v>2</v>
      </c>
      <c r="P354" s="2" t="s">
        <v>1195</v>
      </c>
      <c r="Q354" s="2"/>
      <c r="R354" s="151">
        <v>45261</v>
      </c>
      <c r="S354" s="151"/>
      <c r="T354" s="151"/>
      <c r="U354" s="151"/>
      <c r="V354" s="151"/>
      <c r="W354" s="2">
        <f>VLOOKUP(Table1[[#This Row],[Status]],Auxiliar!$B$16:$D$24,3,0)*Table1[[#This Row],[Estimação (horas)]]</f>
        <v>2</v>
      </c>
      <c r="X354" s="166">
        <f>+VLOOKUP(CONCATENATE(Table1[[#This Row],[Tabela]],Table1[[#This Row],[Campo]]),'2. Status Detalhe Campos FY24'!A:J,9,FALSE)</f>
        <v>0</v>
      </c>
    </row>
    <row r="355" spans="2:24" ht="17.850000000000001" hidden="1" customHeight="1">
      <c r="B355" s="2" t="s">
        <v>26</v>
      </c>
      <c r="C355" s="2" t="s">
        <v>54</v>
      </c>
      <c r="D355" s="2" t="s">
        <v>124</v>
      </c>
      <c r="E355" s="2" t="s">
        <v>38</v>
      </c>
      <c r="F355" s="2" t="s">
        <v>123</v>
      </c>
      <c r="G355" s="2" t="s">
        <v>167</v>
      </c>
      <c r="H355" s="56" t="str">
        <f>Table1[[#This Row],[Tabela]]&amp;Table1[[#This Row],[Campo]]</f>
        <v>PROPERTY_ENERGY_CERTIFICATEPNL_WINTER_FLOORS_VALUE</v>
      </c>
      <c r="I355" s="2" t="s">
        <v>612</v>
      </c>
      <c r="J355" s="42">
        <f>VLOOKUP(Table1[[#This Row],[Status]],Auxiliar!$B$16:$C$24,2,0)</f>
        <v>1</v>
      </c>
      <c r="K355" s="2" t="s">
        <v>1172</v>
      </c>
      <c r="L355" s="28" t="s">
        <v>1169</v>
      </c>
      <c r="M355" s="20" t="s">
        <v>1178</v>
      </c>
      <c r="N355" s="47">
        <v>45485</v>
      </c>
      <c r="O355" s="20">
        <f>INDEX(Auxiliar!$D$5:$F$13,MATCH(Table1[[#This Row],[Tipologia_Testes]],Auxiliar!$B$5:$B$13,0),MATCH(Table1[[#This Row],[Complexidade]],Auxiliar!$D$4:$F$4,0))</f>
        <v>2</v>
      </c>
      <c r="P355" s="2" t="s">
        <v>1195</v>
      </c>
      <c r="Q355" s="2"/>
      <c r="R355" s="151">
        <v>45261</v>
      </c>
      <c r="S355" s="151"/>
      <c r="T355" s="151"/>
      <c r="U355" s="151"/>
      <c r="V355" s="151"/>
      <c r="W355" s="2">
        <f>VLOOKUP(Table1[[#This Row],[Status]],Auxiliar!$B$16:$D$24,3,0)*Table1[[#This Row],[Estimação (horas)]]</f>
        <v>2</v>
      </c>
      <c r="X355" s="166">
        <f>+VLOOKUP(CONCATENATE(Table1[[#This Row],[Tabela]],Table1[[#This Row],[Campo]]),'2. Status Detalhe Campos FY24'!A:J,9,FALSE)</f>
        <v>0</v>
      </c>
    </row>
    <row r="356" spans="2:24" ht="17.850000000000001" hidden="1" customHeight="1">
      <c r="B356" s="2" t="s">
        <v>26</v>
      </c>
      <c r="C356" s="2" t="s">
        <v>54</v>
      </c>
      <c r="D356" s="2" t="s">
        <v>124</v>
      </c>
      <c r="E356" s="2" t="s">
        <v>38</v>
      </c>
      <c r="F356" s="2" t="s">
        <v>123</v>
      </c>
      <c r="G356" s="2" t="s">
        <v>167</v>
      </c>
      <c r="H356" s="56" t="str">
        <f>Table1[[#This Row],[Tabela]]&amp;Table1[[#This Row],[Campo]]</f>
        <v>PROPERTY_ENERGY_CERTIFICATEPNL_WINTER_FLOORS_VALUE</v>
      </c>
      <c r="I356" s="2" t="s">
        <v>612</v>
      </c>
      <c r="J356" s="42">
        <f>VLOOKUP(Table1[[#This Row],[Status]],Auxiliar!$B$16:$C$24,2,0)</f>
        <v>1</v>
      </c>
      <c r="K356" s="2" t="s">
        <v>1174</v>
      </c>
      <c r="L356" s="28" t="s">
        <v>1169</v>
      </c>
      <c r="M356" s="20" t="s">
        <v>1178</v>
      </c>
      <c r="N356" s="47">
        <v>45485</v>
      </c>
      <c r="O356" s="20">
        <f>INDEX(Auxiliar!$D$5:$F$13,MATCH(Table1[[#This Row],[Tipologia_Testes]],Auxiliar!$B$5:$B$13,0),MATCH(Table1[[#This Row],[Complexidade]],Auxiliar!$D$4:$F$4,0))</f>
        <v>0.1</v>
      </c>
      <c r="P356" s="2" t="s">
        <v>1195</v>
      </c>
      <c r="Q356" s="2"/>
      <c r="R356" s="151">
        <v>45261</v>
      </c>
      <c r="S356" s="151"/>
      <c r="T356" s="151"/>
      <c r="U356" s="151"/>
      <c r="V356" s="151"/>
      <c r="W356" s="2">
        <f>VLOOKUP(Table1[[#This Row],[Status]],Auxiliar!$B$16:$D$24,3,0)*Table1[[#This Row],[Estimação (horas)]]</f>
        <v>0.1</v>
      </c>
      <c r="X356" s="166">
        <f>+VLOOKUP(CONCATENATE(Table1[[#This Row],[Tabela]],Table1[[#This Row],[Campo]]),'2. Status Detalhe Campos FY24'!A:J,9,FALSE)</f>
        <v>0</v>
      </c>
    </row>
    <row r="357" spans="2:24" ht="17.850000000000001" hidden="1" customHeight="1">
      <c r="B357" s="2" t="s">
        <v>26</v>
      </c>
      <c r="C357" s="2" t="s">
        <v>54</v>
      </c>
      <c r="D357" s="2" t="s">
        <v>124</v>
      </c>
      <c r="E357" s="2" t="s">
        <v>38</v>
      </c>
      <c r="F357" s="2" t="s">
        <v>123</v>
      </c>
      <c r="G357" s="2" t="s">
        <v>168</v>
      </c>
      <c r="H357" s="56" t="str">
        <f>Table1[[#This Row],[Tabela]]&amp;Table1[[#This Row],[Campo]]</f>
        <v>PROPERTY_ENERGY_CERTIFICATEPNL_WINTER_ROOF_VALUE</v>
      </c>
      <c r="I357" s="2" t="s">
        <v>612</v>
      </c>
      <c r="J357" s="42">
        <f>VLOOKUP(Table1[[#This Row],[Status]],Auxiliar!$B$16:$C$24,2,0)</f>
        <v>1</v>
      </c>
      <c r="K357" s="2" t="s">
        <v>1171</v>
      </c>
      <c r="L357" s="28" t="s">
        <v>1169</v>
      </c>
      <c r="M357" s="20" t="s">
        <v>1178</v>
      </c>
      <c r="N357" s="47">
        <v>45485</v>
      </c>
      <c r="O357" s="20">
        <f>INDEX(Auxiliar!$D$5:$F$13,MATCH(Table1[[#This Row],[Tipologia_Testes]],Auxiliar!$B$5:$B$13,0),MATCH(Table1[[#This Row],[Complexidade]],Auxiliar!$D$4:$F$4,0))</f>
        <v>2</v>
      </c>
      <c r="P357" s="2" t="s">
        <v>1195</v>
      </c>
      <c r="Q357" s="2"/>
      <c r="R357" s="151">
        <v>45261</v>
      </c>
      <c r="S357" s="151"/>
      <c r="T357" s="151"/>
      <c r="U357" s="151"/>
      <c r="V357" s="151"/>
      <c r="W357" s="2">
        <f>VLOOKUP(Table1[[#This Row],[Status]],Auxiliar!$B$16:$D$24,3,0)*Table1[[#This Row],[Estimação (horas)]]</f>
        <v>2</v>
      </c>
      <c r="X357" s="166">
        <f>+VLOOKUP(CONCATENATE(Table1[[#This Row],[Tabela]],Table1[[#This Row],[Campo]]),'2. Status Detalhe Campos FY24'!A:J,9,FALSE)</f>
        <v>0</v>
      </c>
    </row>
    <row r="358" spans="2:24" ht="17.850000000000001" hidden="1" customHeight="1">
      <c r="B358" s="2" t="s">
        <v>26</v>
      </c>
      <c r="C358" s="2" t="s">
        <v>54</v>
      </c>
      <c r="D358" s="2" t="s">
        <v>124</v>
      </c>
      <c r="E358" s="2" t="s">
        <v>38</v>
      </c>
      <c r="F358" s="2" t="s">
        <v>123</v>
      </c>
      <c r="G358" s="2" t="s">
        <v>168</v>
      </c>
      <c r="H358" s="56" t="str">
        <f>Table1[[#This Row],[Tabela]]&amp;Table1[[#This Row],[Campo]]</f>
        <v>PROPERTY_ENERGY_CERTIFICATEPNL_WINTER_ROOF_VALUE</v>
      </c>
      <c r="I358" s="2" t="s">
        <v>612</v>
      </c>
      <c r="J358" s="42">
        <f>VLOOKUP(Table1[[#This Row],[Status]],Auxiliar!$B$16:$C$24,2,0)</f>
        <v>1</v>
      </c>
      <c r="K358" s="2" t="s">
        <v>1172</v>
      </c>
      <c r="L358" s="28" t="s">
        <v>1169</v>
      </c>
      <c r="M358" s="20" t="s">
        <v>1178</v>
      </c>
      <c r="N358" s="47">
        <v>45485</v>
      </c>
      <c r="O358" s="20">
        <f>INDEX(Auxiliar!$D$5:$F$13,MATCH(Table1[[#This Row],[Tipologia_Testes]],Auxiliar!$B$5:$B$13,0),MATCH(Table1[[#This Row],[Complexidade]],Auxiliar!$D$4:$F$4,0))</f>
        <v>2</v>
      </c>
      <c r="P358" s="2" t="s">
        <v>1195</v>
      </c>
      <c r="Q358" s="2"/>
      <c r="R358" s="151">
        <v>45261</v>
      </c>
      <c r="S358" s="151"/>
      <c r="T358" s="151"/>
      <c r="U358" s="151"/>
      <c r="V358" s="151"/>
      <c r="W358" s="2">
        <f>VLOOKUP(Table1[[#This Row],[Status]],Auxiliar!$B$16:$D$24,3,0)*Table1[[#This Row],[Estimação (horas)]]</f>
        <v>2</v>
      </c>
      <c r="X358" s="166">
        <f>+VLOOKUP(CONCATENATE(Table1[[#This Row],[Tabela]],Table1[[#This Row],[Campo]]),'2. Status Detalhe Campos FY24'!A:J,9,FALSE)</f>
        <v>0</v>
      </c>
    </row>
    <row r="359" spans="2:24" ht="17.850000000000001" hidden="1" customHeight="1">
      <c r="B359" s="2" t="s">
        <v>26</v>
      </c>
      <c r="C359" s="2" t="s">
        <v>54</v>
      </c>
      <c r="D359" s="2" t="s">
        <v>124</v>
      </c>
      <c r="E359" s="2" t="s">
        <v>38</v>
      </c>
      <c r="F359" s="2" t="s">
        <v>123</v>
      </c>
      <c r="G359" s="2" t="s">
        <v>168</v>
      </c>
      <c r="H359" s="56" t="str">
        <f>Table1[[#This Row],[Tabela]]&amp;Table1[[#This Row],[Campo]]</f>
        <v>PROPERTY_ENERGY_CERTIFICATEPNL_WINTER_ROOF_VALUE</v>
      </c>
      <c r="I359" s="2" t="s">
        <v>612</v>
      </c>
      <c r="J359" s="42">
        <f>VLOOKUP(Table1[[#This Row],[Status]],Auxiliar!$B$16:$C$24,2,0)</f>
        <v>1</v>
      </c>
      <c r="K359" s="2" t="s">
        <v>1174</v>
      </c>
      <c r="L359" s="28" t="s">
        <v>1169</v>
      </c>
      <c r="M359" s="20" t="s">
        <v>1178</v>
      </c>
      <c r="N359" s="47">
        <v>45485</v>
      </c>
      <c r="O359" s="20">
        <f>INDEX(Auxiliar!$D$5:$F$13,MATCH(Table1[[#This Row],[Tipologia_Testes]],Auxiliar!$B$5:$B$13,0),MATCH(Table1[[#This Row],[Complexidade]],Auxiliar!$D$4:$F$4,0))</f>
        <v>0.1</v>
      </c>
      <c r="P359" s="2" t="s">
        <v>1195</v>
      </c>
      <c r="Q359" s="2"/>
      <c r="R359" s="151">
        <v>45261</v>
      </c>
      <c r="S359" s="151"/>
      <c r="T359" s="151"/>
      <c r="U359" s="151"/>
      <c r="V359" s="151"/>
      <c r="W359" s="2">
        <f>VLOOKUP(Table1[[#This Row],[Status]],Auxiliar!$B$16:$D$24,3,0)*Table1[[#This Row],[Estimação (horas)]]</f>
        <v>0.1</v>
      </c>
      <c r="X359" s="166">
        <f>+VLOOKUP(CONCATENATE(Table1[[#This Row],[Tabela]],Table1[[#This Row],[Campo]]),'2. Status Detalhe Campos FY24'!A:J,9,FALSE)</f>
        <v>0</v>
      </c>
    </row>
    <row r="360" spans="2:24" ht="17.850000000000001" hidden="1" customHeight="1">
      <c r="B360" s="2" t="s">
        <v>26</v>
      </c>
      <c r="C360" s="2" t="s">
        <v>54</v>
      </c>
      <c r="D360" s="2" t="s">
        <v>124</v>
      </c>
      <c r="E360" s="2" t="s">
        <v>38</v>
      </c>
      <c r="F360" s="2" t="s">
        <v>123</v>
      </c>
      <c r="G360" s="2" t="s">
        <v>169</v>
      </c>
      <c r="H360" s="56" t="str">
        <f>Table1[[#This Row],[Tabela]]&amp;Table1[[#This Row],[Campo]]</f>
        <v>PROPERTY_ENERGY_CERTIFICATEPNL_WINTER_WINDOWS_VALUE</v>
      </c>
      <c r="I360" s="2" t="s">
        <v>612</v>
      </c>
      <c r="J360" s="42">
        <f>VLOOKUP(Table1[[#This Row],[Status]],Auxiliar!$B$16:$C$24,2,0)</f>
        <v>1</v>
      </c>
      <c r="K360" s="2" t="s">
        <v>1171</v>
      </c>
      <c r="L360" s="28" t="s">
        <v>1169</v>
      </c>
      <c r="M360" s="20" t="s">
        <v>1178</v>
      </c>
      <c r="N360" s="47">
        <v>45485</v>
      </c>
      <c r="O360" s="20">
        <f>INDEX(Auxiliar!$D$5:$F$13,MATCH(Table1[[#This Row],[Tipologia_Testes]],Auxiliar!$B$5:$B$13,0),MATCH(Table1[[#This Row],[Complexidade]],Auxiliar!$D$4:$F$4,0))</f>
        <v>2</v>
      </c>
      <c r="P360" s="2" t="s">
        <v>1195</v>
      </c>
      <c r="Q360" s="2"/>
      <c r="R360" s="151">
        <v>45261</v>
      </c>
      <c r="S360" s="151"/>
      <c r="T360" s="151"/>
      <c r="U360" s="151"/>
      <c r="V360" s="151"/>
      <c r="W360" s="2">
        <f>VLOOKUP(Table1[[#This Row],[Status]],Auxiliar!$B$16:$D$24,3,0)*Table1[[#This Row],[Estimação (horas)]]</f>
        <v>2</v>
      </c>
      <c r="X360" s="166">
        <f>+VLOOKUP(CONCATENATE(Table1[[#This Row],[Tabela]],Table1[[#This Row],[Campo]]),'2. Status Detalhe Campos FY24'!A:J,9,FALSE)</f>
        <v>0</v>
      </c>
    </row>
    <row r="361" spans="2:24" ht="17.850000000000001" hidden="1" customHeight="1">
      <c r="B361" s="2" t="s">
        <v>26</v>
      </c>
      <c r="C361" s="2" t="s">
        <v>54</v>
      </c>
      <c r="D361" s="2" t="s">
        <v>124</v>
      </c>
      <c r="E361" s="2" t="s">
        <v>38</v>
      </c>
      <c r="F361" s="2" t="s">
        <v>123</v>
      </c>
      <c r="G361" s="2" t="s">
        <v>169</v>
      </c>
      <c r="H361" s="56" t="str">
        <f>Table1[[#This Row],[Tabela]]&amp;Table1[[#This Row],[Campo]]</f>
        <v>PROPERTY_ENERGY_CERTIFICATEPNL_WINTER_WINDOWS_VALUE</v>
      </c>
      <c r="I361" s="2" t="s">
        <v>612</v>
      </c>
      <c r="J361" s="42">
        <f>VLOOKUP(Table1[[#This Row],[Status]],Auxiliar!$B$16:$C$24,2,0)</f>
        <v>1</v>
      </c>
      <c r="K361" s="2" t="s">
        <v>1172</v>
      </c>
      <c r="L361" s="28" t="s">
        <v>1169</v>
      </c>
      <c r="M361" s="20" t="s">
        <v>1178</v>
      </c>
      <c r="N361" s="47">
        <v>45485</v>
      </c>
      <c r="O361" s="20">
        <f>INDEX(Auxiliar!$D$5:$F$13,MATCH(Table1[[#This Row],[Tipologia_Testes]],Auxiliar!$B$5:$B$13,0),MATCH(Table1[[#This Row],[Complexidade]],Auxiliar!$D$4:$F$4,0))</f>
        <v>2</v>
      </c>
      <c r="P361" s="2" t="s">
        <v>1195</v>
      </c>
      <c r="Q361" s="2"/>
      <c r="R361" s="151">
        <v>45261</v>
      </c>
      <c r="S361" s="151"/>
      <c r="T361" s="151"/>
      <c r="U361" s="151"/>
      <c r="V361" s="151"/>
      <c r="W361" s="2">
        <f>VLOOKUP(Table1[[#This Row],[Status]],Auxiliar!$B$16:$D$24,3,0)*Table1[[#This Row],[Estimação (horas)]]</f>
        <v>2</v>
      </c>
      <c r="X361" s="166">
        <f>+VLOOKUP(CONCATENATE(Table1[[#This Row],[Tabela]],Table1[[#This Row],[Campo]]),'2. Status Detalhe Campos FY24'!A:J,9,FALSE)</f>
        <v>0</v>
      </c>
    </row>
    <row r="362" spans="2:24" ht="17.850000000000001" hidden="1" customHeight="1">
      <c r="B362" s="2" t="s">
        <v>26</v>
      </c>
      <c r="C362" s="2" t="s">
        <v>54</v>
      </c>
      <c r="D362" s="2" t="s">
        <v>124</v>
      </c>
      <c r="E362" s="2" t="s">
        <v>38</v>
      </c>
      <c r="F362" s="2" t="s">
        <v>123</v>
      </c>
      <c r="G362" s="2" t="s">
        <v>169</v>
      </c>
      <c r="H362" s="56" t="str">
        <f>Table1[[#This Row],[Tabela]]&amp;Table1[[#This Row],[Campo]]</f>
        <v>PROPERTY_ENERGY_CERTIFICATEPNL_WINTER_WINDOWS_VALUE</v>
      </c>
      <c r="I362" s="2" t="s">
        <v>612</v>
      </c>
      <c r="J362" s="42">
        <f>VLOOKUP(Table1[[#This Row],[Status]],Auxiliar!$B$16:$C$24,2,0)</f>
        <v>1</v>
      </c>
      <c r="K362" s="2" t="s">
        <v>1174</v>
      </c>
      <c r="L362" s="28" t="s">
        <v>1169</v>
      </c>
      <c r="M362" s="20" t="s">
        <v>1178</v>
      </c>
      <c r="N362" s="47">
        <v>45485</v>
      </c>
      <c r="O362" s="20">
        <f>INDEX(Auxiliar!$D$5:$F$13,MATCH(Table1[[#This Row],[Tipologia_Testes]],Auxiliar!$B$5:$B$13,0),MATCH(Table1[[#This Row],[Complexidade]],Auxiliar!$D$4:$F$4,0))</f>
        <v>0.1</v>
      </c>
      <c r="P362" s="2" t="s">
        <v>1195</v>
      </c>
      <c r="Q362" s="2"/>
      <c r="R362" s="151">
        <v>45261</v>
      </c>
      <c r="S362" s="151"/>
      <c r="T362" s="151"/>
      <c r="U362" s="151"/>
      <c r="V362" s="151"/>
      <c r="W362" s="2">
        <f>VLOOKUP(Table1[[#This Row],[Status]],Auxiliar!$B$16:$D$24,3,0)*Table1[[#This Row],[Estimação (horas)]]</f>
        <v>0.1</v>
      </c>
      <c r="X362" s="166">
        <f>+VLOOKUP(CONCATENATE(Table1[[#This Row],[Tabela]],Table1[[#This Row],[Campo]]),'2. Status Detalhe Campos FY24'!A:J,9,FALSE)</f>
        <v>0</v>
      </c>
    </row>
    <row r="363" spans="2:24" ht="17.850000000000001" hidden="1" customHeight="1">
      <c r="B363" s="2" t="s">
        <v>26</v>
      </c>
      <c r="C363" s="2" t="s">
        <v>54</v>
      </c>
      <c r="D363" s="2" t="s">
        <v>124</v>
      </c>
      <c r="E363" s="2" t="s">
        <v>38</v>
      </c>
      <c r="F363" s="2" t="s">
        <v>123</v>
      </c>
      <c r="G363" s="2" t="s">
        <v>170</v>
      </c>
      <c r="H363" s="56" t="str">
        <f>Table1[[#This Row],[Tabela]]&amp;Table1[[#This Row],[Campo]]</f>
        <v>PROPERTY_ENERGY_CERTIFICATEPNL_WINTER_REF_VALUE</v>
      </c>
      <c r="I363" s="2" t="s">
        <v>612</v>
      </c>
      <c r="J363" s="42">
        <f>VLOOKUP(Table1[[#This Row],[Status]],Auxiliar!$B$16:$C$24,2,0)</f>
        <v>1</v>
      </c>
      <c r="K363" s="2" t="s">
        <v>1171</v>
      </c>
      <c r="L363" s="28" t="s">
        <v>1169</v>
      </c>
      <c r="M363" s="20" t="s">
        <v>1178</v>
      </c>
      <c r="N363" s="47">
        <v>45485</v>
      </c>
      <c r="O363" s="20">
        <f>INDEX(Auxiliar!$D$5:$F$13,MATCH(Table1[[#This Row],[Tipologia_Testes]],Auxiliar!$B$5:$B$13,0),MATCH(Table1[[#This Row],[Complexidade]],Auxiliar!$D$4:$F$4,0))</f>
        <v>2</v>
      </c>
      <c r="P363" s="2" t="s">
        <v>1195</v>
      </c>
      <c r="Q363" s="2"/>
      <c r="R363" s="151">
        <v>45261</v>
      </c>
      <c r="S363" s="151"/>
      <c r="T363" s="151"/>
      <c r="U363" s="151"/>
      <c r="V363" s="151"/>
      <c r="W363" s="2">
        <f>VLOOKUP(Table1[[#This Row],[Status]],Auxiliar!$B$16:$D$24,3,0)*Table1[[#This Row],[Estimação (horas)]]</f>
        <v>2</v>
      </c>
      <c r="X363" s="166">
        <f>+VLOOKUP(CONCATENATE(Table1[[#This Row],[Tabela]],Table1[[#This Row],[Campo]]),'2. Status Detalhe Campos FY24'!A:J,9,FALSE)</f>
        <v>0</v>
      </c>
    </row>
    <row r="364" spans="2:24" ht="17.850000000000001" hidden="1" customHeight="1">
      <c r="B364" s="2" t="s">
        <v>26</v>
      </c>
      <c r="C364" s="2" t="s">
        <v>54</v>
      </c>
      <c r="D364" s="2" t="s">
        <v>124</v>
      </c>
      <c r="E364" s="2" t="s">
        <v>38</v>
      </c>
      <c r="F364" s="2" t="s">
        <v>123</v>
      </c>
      <c r="G364" s="2" t="s">
        <v>170</v>
      </c>
      <c r="H364" s="56" t="str">
        <f>Table1[[#This Row],[Tabela]]&amp;Table1[[#This Row],[Campo]]</f>
        <v>PROPERTY_ENERGY_CERTIFICATEPNL_WINTER_REF_VALUE</v>
      </c>
      <c r="I364" s="2" t="s">
        <v>612</v>
      </c>
      <c r="J364" s="42">
        <f>VLOOKUP(Table1[[#This Row],[Status]],Auxiliar!$B$16:$C$24,2,0)</f>
        <v>1</v>
      </c>
      <c r="K364" s="2" t="s">
        <v>1172</v>
      </c>
      <c r="L364" s="28" t="s">
        <v>1169</v>
      </c>
      <c r="M364" s="20" t="s">
        <v>1178</v>
      </c>
      <c r="N364" s="47">
        <v>45485</v>
      </c>
      <c r="O364" s="20">
        <f>INDEX(Auxiliar!$D$5:$F$13,MATCH(Table1[[#This Row],[Tipologia_Testes]],Auxiliar!$B$5:$B$13,0),MATCH(Table1[[#This Row],[Complexidade]],Auxiliar!$D$4:$F$4,0))</f>
        <v>2</v>
      </c>
      <c r="P364" s="2" t="s">
        <v>1195</v>
      </c>
      <c r="Q364" s="2"/>
      <c r="R364" s="151">
        <v>45261</v>
      </c>
      <c r="S364" s="151"/>
      <c r="T364" s="151"/>
      <c r="U364" s="151"/>
      <c r="V364" s="151"/>
      <c r="W364" s="2">
        <f>VLOOKUP(Table1[[#This Row],[Status]],Auxiliar!$B$16:$D$24,3,0)*Table1[[#This Row],[Estimação (horas)]]</f>
        <v>2</v>
      </c>
      <c r="X364" s="166">
        <f>+VLOOKUP(CONCATENATE(Table1[[#This Row],[Tabela]],Table1[[#This Row],[Campo]]),'2. Status Detalhe Campos FY24'!A:J,9,FALSE)</f>
        <v>0</v>
      </c>
    </row>
    <row r="365" spans="2:24" ht="17.850000000000001" hidden="1" customHeight="1">
      <c r="B365" s="2" t="s">
        <v>26</v>
      </c>
      <c r="C365" s="2" t="s">
        <v>54</v>
      </c>
      <c r="D365" s="2" t="s">
        <v>124</v>
      </c>
      <c r="E365" s="2" t="s">
        <v>38</v>
      </c>
      <c r="F365" s="2" t="s">
        <v>123</v>
      </c>
      <c r="G365" s="2" t="s">
        <v>170</v>
      </c>
      <c r="H365" s="56" t="str">
        <f>Table1[[#This Row],[Tabela]]&amp;Table1[[#This Row],[Campo]]</f>
        <v>PROPERTY_ENERGY_CERTIFICATEPNL_WINTER_REF_VALUE</v>
      </c>
      <c r="I365" s="2" t="s">
        <v>612</v>
      </c>
      <c r="J365" s="42">
        <f>VLOOKUP(Table1[[#This Row],[Status]],Auxiliar!$B$16:$C$24,2,0)</f>
        <v>1</v>
      </c>
      <c r="K365" s="2" t="s">
        <v>1174</v>
      </c>
      <c r="L365" s="28" t="s">
        <v>1169</v>
      </c>
      <c r="M365" s="20" t="s">
        <v>1178</v>
      </c>
      <c r="N365" s="47">
        <v>45485</v>
      </c>
      <c r="O365" s="20">
        <f>INDEX(Auxiliar!$D$5:$F$13,MATCH(Table1[[#This Row],[Tipologia_Testes]],Auxiliar!$B$5:$B$13,0),MATCH(Table1[[#This Row],[Complexidade]],Auxiliar!$D$4:$F$4,0))</f>
        <v>0.1</v>
      </c>
      <c r="P365" s="2" t="s">
        <v>1195</v>
      </c>
      <c r="Q365" s="2"/>
      <c r="R365" s="151">
        <v>45261</v>
      </c>
      <c r="S365" s="151"/>
      <c r="T365" s="151"/>
      <c r="U365" s="151"/>
      <c r="V365" s="151"/>
      <c r="W365" s="2">
        <f>VLOOKUP(Table1[[#This Row],[Status]],Auxiliar!$B$16:$D$24,3,0)*Table1[[#This Row],[Estimação (horas)]]</f>
        <v>0.1</v>
      </c>
      <c r="X365" s="166">
        <f>+VLOOKUP(CONCATENATE(Table1[[#This Row],[Tabela]],Table1[[#This Row],[Campo]]),'2. Status Detalhe Campos FY24'!A:J,9,FALSE)</f>
        <v>0</v>
      </c>
    </row>
    <row r="366" spans="2:24" ht="17.850000000000001" hidden="1" customHeight="1">
      <c r="B366" s="2" t="s">
        <v>26</v>
      </c>
      <c r="C366" s="2" t="s">
        <v>54</v>
      </c>
      <c r="D366" s="2" t="s">
        <v>124</v>
      </c>
      <c r="E366" s="2" t="s">
        <v>38</v>
      </c>
      <c r="F366" s="2" t="s">
        <v>123</v>
      </c>
      <c r="G366" s="2" t="s">
        <v>171</v>
      </c>
      <c r="H366" s="56" t="str">
        <f>Table1[[#This Row],[Tabela]]&amp;Table1[[#This Row],[Campo]]</f>
        <v>PROPERTY_ENERGY_CERTIFICATEPNL_WINTER_FANS_VALUE</v>
      </c>
      <c r="I366" s="2" t="s">
        <v>612</v>
      </c>
      <c r="J366" s="42">
        <f>VLOOKUP(Table1[[#This Row],[Status]],Auxiliar!$B$16:$C$24,2,0)</f>
        <v>1</v>
      </c>
      <c r="K366" s="2" t="s">
        <v>1171</v>
      </c>
      <c r="L366" s="28" t="s">
        <v>1169</v>
      </c>
      <c r="M366" s="20" t="s">
        <v>1178</v>
      </c>
      <c r="N366" s="47">
        <v>45485</v>
      </c>
      <c r="O366" s="20">
        <f>INDEX(Auxiliar!$D$5:$F$13,MATCH(Table1[[#This Row],[Tipologia_Testes]],Auxiliar!$B$5:$B$13,0),MATCH(Table1[[#This Row],[Complexidade]],Auxiliar!$D$4:$F$4,0))</f>
        <v>2</v>
      </c>
      <c r="P366" s="2" t="s">
        <v>1195</v>
      </c>
      <c r="Q366" s="2"/>
      <c r="R366" s="151">
        <v>45261</v>
      </c>
      <c r="S366" s="151"/>
      <c r="T366" s="151"/>
      <c r="U366" s="151"/>
      <c r="V366" s="151"/>
      <c r="W366" s="2">
        <f>VLOOKUP(Table1[[#This Row],[Status]],Auxiliar!$B$16:$D$24,3,0)*Table1[[#This Row],[Estimação (horas)]]</f>
        <v>2</v>
      </c>
      <c r="X366" s="166">
        <f>+VLOOKUP(CONCATENATE(Table1[[#This Row],[Tabela]],Table1[[#This Row],[Campo]]),'2. Status Detalhe Campos FY24'!A:J,9,FALSE)</f>
        <v>0</v>
      </c>
    </row>
    <row r="367" spans="2:24" ht="17.850000000000001" hidden="1" customHeight="1">
      <c r="B367" s="2" t="s">
        <v>26</v>
      </c>
      <c r="C367" s="2" t="s">
        <v>54</v>
      </c>
      <c r="D367" s="2" t="s">
        <v>124</v>
      </c>
      <c r="E367" s="2" t="s">
        <v>38</v>
      </c>
      <c r="F367" s="2" t="s">
        <v>123</v>
      </c>
      <c r="G367" s="2" t="s">
        <v>171</v>
      </c>
      <c r="H367" s="56" t="str">
        <f>Table1[[#This Row],[Tabela]]&amp;Table1[[#This Row],[Campo]]</f>
        <v>PROPERTY_ENERGY_CERTIFICATEPNL_WINTER_FANS_VALUE</v>
      </c>
      <c r="I367" s="2" t="s">
        <v>612</v>
      </c>
      <c r="J367" s="42">
        <f>VLOOKUP(Table1[[#This Row],[Status]],Auxiliar!$B$16:$C$24,2,0)</f>
        <v>1</v>
      </c>
      <c r="K367" s="2" t="s">
        <v>1172</v>
      </c>
      <c r="L367" s="28" t="s">
        <v>1169</v>
      </c>
      <c r="M367" s="20" t="s">
        <v>1178</v>
      </c>
      <c r="N367" s="47">
        <v>45485</v>
      </c>
      <c r="O367" s="20">
        <f>INDEX(Auxiliar!$D$5:$F$13,MATCH(Table1[[#This Row],[Tipologia_Testes]],Auxiliar!$B$5:$B$13,0),MATCH(Table1[[#This Row],[Complexidade]],Auxiliar!$D$4:$F$4,0))</f>
        <v>2</v>
      </c>
      <c r="P367" s="2" t="s">
        <v>1195</v>
      </c>
      <c r="Q367" s="2"/>
      <c r="R367" s="151">
        <v>45261</v>
      </c>
      <c r="S367" s="151"/>
      <c r="T367" s="151"/>
      <c r="U367" s="151"/>
      <c r="V367" s="151"/>
      <c r="W367" s="2">
        <f>VLOOKUP(Table1[[#This Row],[Status]],Auxiliar!$B$16:$D$24,3,0)*Table1[[#This Row],[Estimação (horas)]]</f>
        <v>2</v>
      </c>
      <c r="X367" s="166">
        <f>+VLOOKUP(CONCATENATE(Table1[[#This Row],[Tabela]],Table1[[#This Row],[Campo]]),'2. Status Detalhe Campos FY24'!A:J,9,FALSE)</f>
        <v>0</v>
      </c>
    </row>
    <row r="368" spans="2:24" ht="17.850000000000001" hidden="1" customHeight="1">
      <c r="B368" s="2" t="s">
        <v>26</v>
      </c>
      <c r="C368" s="2" t="s">
        <v>54</v>
      </c>
      <c r="D368" s="2" t="s">
        <v>124</v>
      </c>
      <c r="E368" s="2" t="s">
        <v>38</v>
      </c>
      <c r="F368" s="2" t="s">
        <v>123</v>
      </c>
      <c r="G368" s="2" t="s">
        <v>171</v>
      </c>
      <c r="H368" s="56" t="str">
        <f>Table1[[#This Row],[Tabela]]&amp;Table1[[#This Row],[Campo]]</f>
        <v>PROPERTY_ENERGY_CERTIFICATEPNL_WINTER_FANS_VALUE</v>
      </c>
      <c r="I368" s="2" t="s">
        <v>612</v>
      </c>
      <c r="J368" s="42">
        <f>VLOOKUP(Table1[[#This Row],[Status]],Auxiliar!$B$16:$C$24,2,0)</f>
        <v>1</v>
      </c>
      <c r="K368" s="2" t="s">
        <v>1174</v>
      </c>
      <c r="L368" s="28" t="s">
        <v>1169</v>
      </c>
      <c r="M368" s="20" t="s">
        <v>1178</v>
      </c>
      <c r="N368" s="47">
        <v>45485</v>
      </c>
      <c r="O368" s="20">
        <f>INDEX(Auxiliar!$D$5:$F$13,MATCH(Table1[[#This Row],[Tipologia_Testes]],Auxiliar!$B$5:$B$13,0),MATCH(Table1[[#This Row],[Complexidade]],Auxiliar!$D$4:$F$4,0))</f>
        <v>0.1</v>
      </c>
      <c r="P368" s="2" t="s">
        <v>1195</v>
      </c>
      <c r="Q368" s="2"/>
      <c r="R368" s="151">
        <v>45261</v>
      </c>
      <c r="S368" s="151"/>
      <c r="T368" s="151"/>
      <c r="U368" s="151"/>
      <c r="V368" s="151"/>
      <c r="W368" s="2">
        <f>VLOOKUP(Table1[[#This Row],[Status]],Auxiliar!$B$16:$D$24,3,0)*Table1[[#This Row],[Estimação (horas)]]</f>
        <v>0.1</v>
      </c>
      <c r="X368" s="166">
        <f>+VLOOKUP(CONCATENATE(Table1[[#This Row],[Tabela]],Table1[[#This Row],[Campo]]),'2. Status Detalhe Campos FY24'!A:J,9,FALSE)</f>
        <v>0</v>
      </c>
    </row>
    <row r="369" spans="2:24" ht="17.850000000000001" hidden="1" customHeight="1">
      <c r="B369" s="2" t="s">
        <v>26</v>
      </c>
      <c r="C369" s="2" t="s">
        <v>54</v>
      </c>
      <c r="D369" s="2" t="s">
        <v>124</v>
      </c>
      <c r="E369" s="2" t="s">
        <v>38</v>
      </c>
      <c r="F369" s="2" t="s">
        <v>123</v>
      </c>
      <c r="G369" s="2" t="s">
        <v>172</v>
      </c>
      <c r="H369" s="56" t="str">
        <f>Table1[[#This Row],[Tabela]]&amp;Table1[[#This Row],[Campo]]</f>
        <v>PROPERTY_ENERGY_CERTIFICATEPNL_SUMMER_ROOF_VALUE</v>
      </c>
      <c r="I369" s="2" t="s">
        <v>612</v>
      </c>
      <c r="J369" s="42">
        <f>VLOOKUP(Table1[[#This Row],[Status]],Auxiliar!$B$16:$C$24,2,0)</f>
        <v>1</v>
      </c>
      <c r="K369" s="2" t="s">
        <v>1171</v>
      </c>
      <c r="L369" s="28" t="s">
        <v>1169</v>
      </c>
      <c r="M369" s="20" t="s">
        <v>1178</v>
      </c>
      <c r="N369" s="47">
        <v>45485</v>
      </c>
      <c r="O369" s="20">
        <f>INDEX(Auxiliar!$D$5:$F$13,MATCH(Table1[[#This Row],[Tipologia_Testes]],Auxiliar!$B$5:$B$13,0),MATCH(Table1[[#This Row],[Complexidade]],Auxiliar!$D$4:$F$4,0))</f>
        <v>2</v>
      </c>
      <c r="P369" s="2" t="s">
        <v>1195</v>
      </c>
      <c r="Q369" s="2"/>
      <c r="R369" s="151">
        <v>45261</v>
      </c>
      <c r="S369" s="151"/>
      <c r="T369" s="151"/>
      <c r="U369" s="151"/>
      <c r="V369" s="151"/>
      <c r="W369" s="2">
        <f>VLOOKUP(Table1[[#This Row],[Status]],Auxiliar!$B$16:$D$24,3,0)*Table1[[#This Row],[Estimação (horas)]]</f>
        <v>2</v>
      </c>
      <c r="X369" s="166">
        <f>+VLOOKUP(CONCATENATE(Table1[[#This Row],[Tabela]],Table1[[#This Row],[Campo]]),'2. Status Detalhe Campos FY24'!A:J,9,FALSE)</f>
        <v>0</v>
      </c>
    </row>
    <row r="370" spans="2:24" ht="17.850000000000001" hidden="1" customHeight="1">
      <c r="B370" s="2" t="s">
        <v>26</v>
      </c>
      <c r="C370" s="2" t="s">
        <v>54</v>
      </c>
      <c r="D370" s="2" t="s">
        <v>124</v>
      </c>
      <c r="E370" s="2" t="s">
        <v>38</v>
      </c>
      <c r="F370" s="2" t="s">
        <v>123</v>
      </c>
      <c r="G370" s="2" t="s">
        <v>172</v>
      </c>
      <c r="H370" s="56" t="str">
        <f>Table1[[#This Row],[Tabela]]&amp;Table1[[#This Row],[Campo]]</f>
        <v>PROPERTY_ENERGY_CERTIFICATEPNL_SUMMER_ROOF_VALUE</v>
      </c>
      <c r="I370" s="2" t="s">
        <v>612</v>
      </c>
      <c r="J370" s="42">
        <f>VLOOKUP(Table1[[#This Row],[Status]],Auxiliar!$B$16:$C$24,2,0)</f>
        <v>1</v>
      </c>
      <c r="K370" s="2" t="s">
        <v>1172</v>
      </c>
      <c r="L370" s="28" t="s">
        <v>1169</v>
      </c>
      <c r="M370" s="20" t="s">
        <v>1178</v>
      </c>
      <c r="N370" s="47">
        <v>45485</v>
      </c>
      <c r="O370" s="20">
        <f>INDEX(Auxiliar!$D$5:$F$13,MATCH(Table1[[#This Row],[Tipologia_Testes]],Auxiliar!$B$5:$B$13,0),MATCH(Table1[[#This Row],[Complexidade]],Auxiliar!$D$4:$F$4,0))</f>
        <v>2</v>
      </c>
      <c r="P370" s="2" t="s">
        <v>1195</v>
      </c>
      <c r="Q370" s="2"/>
      <c r="R370" s="151">
        <v>45261</v>
      </c>
      <c r="S370" s="151"/>
      <c r="T370" s="151"/>
      <c r="U370" s="151"/>
      <c r="V370" s="151"/>
      <c r="W370" s="2">
        <f>VLOOKUP(Table1[[#This Row],[Status]],Auxiliar!$B$16:$D$24,3,0)*Table1[[#This Row],[Estimação (horas)]]</f>
        <v>2</v>
      </c>
      <c r="X370" s="166">
        <f>+VLOOKUP(CONCATENATE(Table1[[#This Row],[Tabela]],Table1[[#This Row],[Campo]]),'2. Status Detalhe Campos FY24'!A:J,9,FALSE)</f>
        <v>0</v>
      </c>
    </row>
    <row r="371" spans="2:24" ht="17.850000000000001" hidden="1" customHeight="1">
      <c r="B371" s="2" t="s">
        <v>26</v>
      </c>
      <c r="C371" s="2" t="s">
        <v>54</v>
      </c>
      <c r="D371" s="2" t="s">
        <v>124</v>
      </c>
      <c r="E371" s="2" t="s">
        <v>38</v>
      </c>
      <c r="F371" s="2" t="s">
        <v>123</v>
      </c>
      <c r="G371" s="2" t="s">
        <v>172</v>
      </c>
      <c r="H371" s="56" t="str">
        <f>Table1[[#This Row],[Tabela]]&amp;Table1[[#This Row],[Campo]]</f>
        <v>PROPERTY_ENERGY_CERTIFICATEPNL_SUMMER_ROOF_VALUE</v>
      </c>
      <c r="I371" s="2" t="s">
        <v>612</v>
      </c>
      <c r="J371" s="42">
        <f>VLOOKUP(Table1[[#This Row],[Status]],Auxiliar!$B$16:$C$24,2,0)</f>
        <v>1</v>
      </c>
      <c r="K371" s="2" t="s">
        <v>1174</v>
      </c>
      <c r="L371" s="28" t="s">
        <v>1169</v>
      </c>
      <c r="M371" s="20" t="s">
        <v>1178</v>
      </c>
      <c r="N371" s="47">
        <v>45485</v>
      </c>
      <c r="O371" s="20">
        <f>INDEX(Auxiliar!$D$5:$F$13,MATCH(Table1[[#This Row],[Tipologia_Testes]],Auxiliar!$B$5:$B$13,0),MATCH(Table1[[#This Row],[Complexidade]],Auxiliar!$D$4:$F$4,0))</f>
        <v>0.1</v>
      </c>
      <c r="P371" s="2" t="s">
        <v>1195</v>
      </c>
      <c r="Q371" s="2"/>
      <c r="R371" s="151">
        <v>45261</v>
      </c>
      <c r="S371" s="151"/>
      <c r="T371" s="151"/>
      <c r="U371" s="151"/>
      <c r="V371" s="151"/>
      <c r="W371" s="2">
        <f>VLOOKUP(Table1[[#This Row],[Status]],Auxiliar!$B$16:$D$24,3,0)*Table1[[#This Row],[Estimação (horas)]]</f>
        <v>0.1</v>
      </c>
      <c r="X371" s="166">
        <f>+VLOOKUP(CONCATENATE(Table1[[#This Row],[Tabela]],Table1[[#This Row],[Campo]]),'2. Status Detalhe Campos FY24'!A:J,9,FALSE)</f>
        <v>0</v>
      </c>
    </row>
    <row r="372" spans="2:24" ht="17.850000000000001" hidden="1" customHeight="1">
      <c r="B372" s="2" t="s">
        <v>26</v>
      </c>
      <c r="C372" s="2" t="s">
        <v>54</v>
      </c>
      <c r="D372" s="2" t="s">
        <v>124</v>
      </c>
      <c r="E372" s="2" t="s">
        <v>38</v>
      </c>
      <c r="F372" s="2" t="s">
        <v>123</v>
      </c>
      <c r="G372" s="2" t="s">
        <v>173</v>
      </c>
      <c r="H372" s="56" t="str">
        <f>Table1[[#This Row],[Tabela]]&amp;Table1[[#This Row],[Campo]]</f>
        <v>PROPERTY_ENERGY_CERTIFICATEPNL_SUMMER_WINDOWS_VALUE</v>
      </c>
      <c r="I372" s="2" t="s">
        <v>612</v>
      </c>
      <c r="J372" s="42">
        <f>VLOOKUP(Table1[[#This Row],[Status]],Auxiliar!$B$16:$C$24,2,0)</f>
        <v>1</v>
      </c>
      <c r="K372" s="2" t="s">
        <v>1171</v>
      </c>
      <c r="L372" s="28" t="s">
        <v>1169</v>
      </c>
      <c r="M372" s="20" t="s">
        <v>1178</v>
      </c>
      <c r="N372" s="47">
        <v>45485</v>
      </c>
      <c r="O372" s="20">
        <f>INDEX(Auxiliar!$D$5:$F$13,MATCH(Table1[[#This Row],[Tipologia_Testes]],Auxiliar!$B$5:$B$13,0),MATCH(Table1[[#This Row],[Complexidade]],Auxiliar!$D$4:$F$4,0))</f>
        <v>2</v>
      </c>
      <c r="P372" s="2" t="s">
        <v>1195</v>
      </c>
      <c r="Q372" s="2"/>
      <c r="R372" s="151">
        <v>45261</v>
      </c>
      <c r="S372" s="151"/>
      <c r="T372" s="151"/>
      <c r="U372" s="151"/>
      <c r="V372" s="151"/>
      <c r="W372" s="2">
        <f>VLOOKUP(Table1[[#This Row],[Status]],Auxiliar!$B$16:$D$24,3,0)*Table1[[#This Row],[Estimação (horas)]]</f>
        <v>2</v>
      </c>
      <c r="X372" s="166">
        <f>+VLOOKUP(CONCATENATE(Table1[[#This Row],[Tabela]],Table1[[#This Row],[Campo]]),'2. Status Detalhe Campos FY24'!A:J,9,FALSE)</f>
        <v>0</v>
      </c>
    </row>
    <row r="373" spans="2:24" ht="17.850000000000001" hidden="1" customHeight="1">
      <c r="B373" s="2" t="s">
        <v>26</v>
      </c>
      <c r="C373" s="2" t="s">
        <v>54</v>
      </c>
      <c r="D373" s="2" t="s">
        <v>124</v>
      </c>
      <c r="E373" s="2" t="s">
        <v>38</v>
      </c>
      <c r="F373" s="2" t="s">
        <v>123</v>
      </c>
      <c r="G373" s="2" t="s">
        <v>173</v>
      </c>
      <c r="H373" s="56" t="str">
        <f>Table1[[#This Row],[Tabela]]&amp;Table1[[#This Row],[Campo]]</f>
        <v>PROPERTY_ENERGY_CERTIFICATEPNL_SUMMER_WINDOWS_VALUE</v>
      </c>
      <c r="I373" s="2" t="s">
        <v>612</v>
      </c>
      <c r="J373" s="42">
        <f>VLOOKUP(Table1[[#This Row],[Status]],Auxiliar!$B$16:$C$24,2,0)</f>
        <v>1</v>
      </c>
      <c r="K373" s="2" t="s">
        <v>1172</v>
      </c>
      <c r="L373" s="28" t="s">
        <v>1169</v>
      </c>
      <c r="M373" s="20" t="s">
        <v>1178</v>
      </c>
      <c r="N373" s="47">
        <v>45485</v>
      </c>
      <c r="O373" s="20">
        <f>INDEX(Auxiliar!$D$5:$F$13,MATCH(Table1[[#This Row],[Tipologia_Testes]],Auxiliar!$B$5:$B$13,0),MATCH(Table1[[#This Row],[Complexidade]],Auxiliar!$D$4:$F$4,0))</f>
        <v>2</v>
      </c>
      <c r="P373" s="2" t="s">
        <v>1195</v>
      </c>
      <c r="Q373" s="2"/>
      <c r="R373" s="151">
        <v>45261</v>
      </c>
      <c r="S373" s="151"/>
      <c r="T373" s="151"/>
      <c r="U373" s="151"/>
      <c r="V373" s="151"/>
      <c r="W373" s="2">
        <f>VLOOKUP(Table1[[#This Row],[Status]],Auxiliar!$B$16:$D$24,3,0)*Table1[[#This Row],[Estimação (horas)]]</f>
        <v>2</v>
      </c>
      <c r="X373" s="166">
        <f>+VLOOKUP(CONCATENATE(Table1[[#This Row],[Tabela]],Table1[[#This Row],[Campo]]),'2. Status Detalhe Campos FY24'!A:J,9,FALSE)</f>
        <v>0</v>
      </c>
    </row>
    <row r="374" spans="2:24" ht="17.850000000000001" hidden="1" customHeight="1">
      <c r="B374" s="2" t="s">
        <v>26</v>
      </c>
      <c r="C374" s="2" t="s">
        <v>54</v>
      </c>
      <c r="D374" s="2" t="s">
        <v>124</v>
      </c>
      <c r="E374" s="2" t="s">
        <v>38</v>
      </c>
      <c r="F374" s="2" t="s">
        <v>123</v>
      </c>
      <c r="G374" s="2" t="s">
        <v>173</v>
      </c>
      <c r="H374" s="56" t="str">
        <f>Table1[[#This Row],[Tabela]]&amp;Table1[[#This Row],[Campo]]</f>
        <v>PROPERTY_ENERGY_CERTIFICATEPNL_SUMMER_WINDOWS_VALUE</v>
      </c>
      <c r="I374" s="2" t="s">
        <v>612</v>
      </c>
      <c r="J374" s="42">
        <f>VLOOKUP(Table1[[#This Row],[Status]],Auxiliar!$B$16:$C$24,2,0)</f>
        <v>1</v>
      </c>
      <c r="K374" s="2" t="s">
        <v>1174</v>
      </c>
      <c r="L374" s="28" t="s">
        <v>1169</v>
      </c>
      <c r="M374" s="20" t="s">
        <v>1178</v>
      </c>
      <c r="N374" s="47">
        <v>45485</v>
      </c>
      <c r="O374" s="20">
        <f>INDEX(Auxiliar!$D$5:$F$13,MATCH(Table1[[#This Row],[Tipologia_Testes]],Auxiliar!$B$5:$B$13,0),MATCH(Table1[[#This Row],[Complexidade]],Auxiliar!$D$4:$F$4,0))</f>
        <v>0.1</v>
      </c>
      <c r="P374" s="2" t="s">
        <v>1195</v>
      </c>
      <c r="Q374" s="2"/>
      <c r="R374" s="151">
        <v>45261</v>
      </c>
      <c r="S374" s="151"/>
      <c r="T374" s="151"/>
      <c r="U374" s="151"/>
      <c r="V374" s="151"/>
      <c r="W374" s="2">
        <f>VLOOKUP(Table1[[#This Row],[Status]],Auxiliar!$B$16:$D$24,3,0)*Table1[[#This Row],[Estimação (horas)]]</f>
        <v>0.1</v>
      </c>
      <c r="X374" s="166">
        <f>+VLOOKUP(CONCATENATE(Table1[[#This Row],[Tabela]],Table1[[#This Row],[Campo]]),'2. Status Detalhe Campos FY24'!A:J,9,FALSE)</f>
        <v>0</v>
      </c>
    </row>
    <row r="375" spans="2:24" ht="17.850000000000001" hidden="1" customHeight="1">
      <c r="B375" s="2" t="s">
        <v>26</v>
      </c>
      <c r="C375" s="2" t="s">
        <v>54</v>
      </c>
      <c r="D375" s="2" t="s">
        <v>124</v>
      </c>
      <c r="E375" s="2" t="s">
        <v>38</v>
      </c>
      <c r="F375" s="2" t="s">
        <v>123</v>
      </c>
      <c r="G375" s="2" t="s">
        <v>174</v>
      </c>
      <c r="H375" s="56" t="str">
        <f>Table1[[#This Row],[Tabela]]&amp;Table1[[#This Row],[Campo]]</f>
        <v>PROPERTY_ENERGY_CERTIFICATEPNL_SUMMER_WALLS_DOORS_VALUE</v>
      </c>
      <c r="I375" s="2" t="s">
        <v>612</v>
      </c>
      <c r="J375" s="42">
        <f>VLOOKUP(Table1[[#This Row],[Status]],Auxiliar!$B$16:$C$24,2,0)</f>
        <v>1</v>
      </c>
      <c r="K375" s="2" t="s">
        <v>1171</v>
      </c>
      <c r="L375" s="28" t="s">
        <v>1169</v>
      </c>
      <c r="M375" s="20" t="s">
        <v>1178</v>
      </c>
      <c r="N375" s="47">
        <v>45485</v>
      </c>
      <c r="O375" s="20">
        <f>INDEX(Auxiliar!$D$5:$F$13,MATCH(Table1[[#This Row],[Tipologia_Testes]],Auxiliar!$B$5:$B$13,0),MATCH(Table1[[#This Row],[Complexidade]],Auxiliar!$D$4:$F$4,0))</f>
        <v>2</v>
      </c>
      <c r="P375" s="2" t="s">
        <v>1195</v>
      </c>
      <c r="Q375" s="2"/>
      <c r="R375" s="151">
        <v>45261</v>
      </c>
      <c r="S375" s="151"/>
      <c r="T375" s="151"/>
      <c r="U375" s="151"/>
      <c r="V375" s="151"/>
      <c r="W375" s="2">
        <f>VLOOKUP(Table1[[#This Row],[Status]],Auxiliar!$B$16:$D$24,3,0)*Table1[[#This Row],[Estimação (horas)]]</f>
        <v>2</v>
      </c>
      <c r="X375" s="166">
        <f>+VLOOKUP(CONCATENATE(Table1[[#This Row],[Tabela]],Table1[[#This Row],[Campo]]),'2. Status Detalhe Campos FY24'!A:J,9,FALSE)</f>
        <v>0</v>
      </c>
    </row>
    <row r="376" spans="2:24" ht="17.850000000000001" hidden="1" customHeight="1">
      <c r="B376" s="2" t="s">
        <v>26</v>
      </c>
      <c r="C376" s="2" t="s">
        <v>54</v>
      </c>
      <c r="D376" s="2" t="s">
        <v>124</v>
      </c>
      <c r="E376" s="2" t="s">
        <v>38</v>
      </c>
      <c r="F376" s="2" t="s">
        <v>123</v>
      </c>
      <c r="G376" s="2" t="s">
        <v>174</v>
      </c>
      <c r="H376" s="56" t="str">
        <f>Table1[[#This Row],[Tabela]]&amp;Table1[[#This Row],[Campo]]</f>
        <v>PROPERTY_ENERGY_CERTIFICATEPNL_SUMMER_WALLS_DOORS_VALUE</v>
      </c>
      <c r="I376" s="2" t="s">
        <v>612</v>
      </c>
      <c r="J376" s="42">
        <f>VLOOKUP(Table1[[#This Row],[Status]],Auxiliar!$B$16:$C$24,2,0)</f>
        <v>1</v>
      </c>
      <c r="K376" s="2" t="s">
        <v>1172</v>
      </c>
      <c r="L376" s="28" t="s">
        <v>1169</v>
      </c>
      <c r="M376" s="20" t="s">
        <v>1178</v>
      </c>
      <c r="N376" s="47">
        <v>45485</v>
      </c>
      <c r="O376" s="20">
        <f>INDEX(Auxiliar!$D$5:$F$13,MATCH(Table1[[#This Row],[Tipologia_Testes]],Auxiliar!$B$5:$B$13,0),MATCH(Table1[[#This Row],[Complexidade]],Auxiliar!$D$4:$F$4,0))</f>
        <v>2</v>
      </c>
      <c r="P376" s="2" t="s">
        <v>1195</v>
      </c>
      <c r="Q376" s="2"/>
      <c r="R376" s="151">
        <v>45261</v>
      </c>
      <c r="S376" s="151"/>
      <c r="T376" s="151"/>
      <c r="U376" s="151"/>
      <c r="V376" s="151"/>
      <c r="W376" s="2">
        <f>VLOOKUP(Table1[[#This Row],[Status]],Auxiliar!$B$16:$D$24,3,0)*Table1[[#This Row],[Estimação (horas)]]</f>
        <v>2</v>
      </c>
      <c r="X376" s="166">
        <f>+VLOOKUP(CONCATENATE(Table1[[#This Row],[Tabela]],Table1[[#This Row],[Campo]]),'2. Status Detalhe Campos FY24'!A:J,9,FALSE)</f>
        <v>0</v>
      </c>
    </row>
    <row r="377" spans="2:24" ht="17.850000000000001" hidden="1" customHeight="1">
      <c r="B377" s="2" t="s">
        <v>26</v>
      </c>
      <c r="C377" s="2" t="s">
        <v>54</v>
      </c>
      <c r="D377" s="2" t="s">
        <v>124</v>
      </c>
      <c r="E377" s="2" t="s">
        <v>38</v>
      </c>
      <c r="F377" s="2" t="s">
        <v>123</v>
      </c>
      <c r="G377" s="2" t="s">
        <v>174</v>
      </c>
      <c r="H377" s="56" t="str">
        <f>Table1[[#This Row],[Tabela]]&amp;Table1[[#This Row],[Campo]]</f>
        <v>PROPERTY_ENERGY_CERTIFICATEPNL_SUMMER_WALLS_DOORS_VALUE</v>
      </c>
      <c r="I377" s="2" t="s">
        <v>612</v>
      </c>
      <c r="J377" s="42">
        <f>VLOOKUP(Table1[[#This Row],[Status]],Auxiliar!$B$16:$C$24,2,0)</f>
        <v>1</v>
      </c>
      <c r="K377" s="2" t="s">
        <v>1174</v>
      </c>
      <c r="L377" s="28" t="s">
        <v>1169</v>
      </c>
      <c r="M377" s="20" t="s">
        <v>1178</v>
      </c>
      <c r="N377" s="47">
        <v>45485</v>
      </c>
      <c r="O377" s="20">
        <f>INDEX(Auxiliar!$D$5:$F$13,MATCH(Table1[[#This Row],[Tipologia_Testes]],Auxiliar!$B$5:$B$13,0),MATCH(Table1[[#This Row],[Complexidade]],Auxiliar!$D$4:$F$4,0))</f>
        <v>0.1</v>
      </c>
      <c r="P377" s="2" t="s">
        <v>1195</v>
      </c>
      <c r="Q377" s="2"/>
      <c r="R377" s="151">
        <v>45261</v>
      </c>
      <c r="S377" s="151"/>
      <c r="T377" s="151"/>
      <c r="U377" s="151"/>
      <c r="V377" s="151"/>
      <c r="W377" s="2">
        <f>VLOOKUP(Table1[[#This Row],[Status]],Auxiliar!$B$16:$D$24,3,0)*Table1[[#This Row],[Estimação (horas)]]</f>
        <v>0.1</v>
      </c>
      <c r="X377" s="166">
        <f>+VLOOKUP(CONCATENATE(Table1[[#This Row],[Tabela]],Table1[[#This Row],[Campo]]),'2. Status Detalhe Campos FY24'!A:J,9,FALSE)</f>
        <v>0</v>
      </c>
    </row>
    <row r="378" spans="2:24" ht="17.850000000000001" hidden="1" customHeight="1">
      <c r="B378" s="2" t="s">
        <v>26</v>
      </c>
      <c r="C378" s="2" t="s">
        <v>54</v>
      </c>
      <c r="D378" s="2" t="s">
        <v>124</v>
      </c>
      <c r="E378" s="2" t="s">
        <v>38</v>
      </c>
      <c r="F378" s="2" t="s">
        <v>123</v>
      </c>
      <c r="G378" s="2" t="s">
        <v>175</v>
      </c>
      <c r="H378" s="56" t="str">
        <f>Table1[[#This Row],[Tabela]]&amp;Table1[[#This Row],[Campo]]</f>
        <v>PROPERTY_ENERGY_CERTIFICATEPNL_SUMMER_REF_VALUE</v>
      </c>
      <c r="I378" s="2" t="s">
        <v>612</v>
      </c>
      <c r="J378" s="42">
        <f>VLOOKUP(Table1[[#This Row],[Status]],Auxiliar!$B$16:$C$24,2,0)</f>
        <v>1</v>
      </c>
      <c r="K378" s="2" t="s">
        <v>1171</v>
      </c>
      <c r="L378" s="28" t="s">
        <v>1169</v>
      </c>
      <c r="M378" s="20" t="s">
        <v>1178</v>
      </c>
      <c r="N378" s="47">
        <v>45485</v>
      </c>
      <c r="O378" s="20">
        <f>INDEX(Auxiliar!$D$5:$F$13,MATCH(Table1[[#This Row],[Tipologia_Testes]],Auxiliar!$B$5:$B$13,0),MATCH(Table1[[#This Row],[Complexidade]],Auxiliar!$D$4:$F$4,0))</f>
        <v>2</v>
      </c>
      <c r="P378" s="2" t="s">
        <v>1195</v>
      </c>
      <c r="Q378" s="2"/>
      <c r="R378" s="151">
        <v>45261</v>
      </c>
      <c r="S378" s="151"/>
      <c r="T378" s="151"/>
      <c r="U378" s="151"/>
      <c r="V378" s="151"/>
      <c r="W378" s="2">
        <f>VLOOKUP(Table1[[#This Row],[Status]],Auxiliar!$B$16:$D$24,3,0)*Table1[[#This Row],[Estimação (horas)]]</f>
        <v>2</v>
      </c>
      <c r="X378" s="166">
        <f>+VLOOKUP(CONCATENATE(Table1[[#This Row],[Tabela]],Table1[[#This Row],[Campo]]),'2. Status Detalhe Campos FY24'!A:J,9,FALSE)</f>
        <v>0</v>
      </c>
    </row>
    <row r="379" spans="2:24" ht="17.850000000000001" hidden="1" customHeight="1">
      <c r="B379" s="2" t="s">
        <v>26</v>
      </c>
      <c r="C379" s="2" t="s">
        <v>54</v>
      </c>
      <c r="D379" s="2" t="s">
        <v>124</v>
      </c>
      <c r="E379" s="2" t="s">
        <v>38</v>
      </c>
      <c r="F379" s="2" t="s">
        <v>123</v>
      </c>
      <c r="G379" s="2" t="s">
        <v>175</v>
      </c>
      <c r="H379" s="56" t="str">
        <f>Table1[[#This Row],[Tabela]]&amp;Table1[[#This Row],[Campo]]</f>
        <v>PROPERTY_ENERGY_CERTIFICATEPNL_SUMMER_REF_VALUE</v>
      </c>
      <c r="I379" s="2" t="s">
        <v>612</v>
      </c>
      <c r="J379" s="42">
        <f>VLOOKUP(Table1[[#This Row],[Status]],Auxiliar!$B$16:$C$24,2,0)</f>
        <v>1</v>
      </c>
      <c r="K379" s="2" t="s">
        <v>1172</v>
      </c>
      <c r="L379" s="28" t="s">
        <v>1169</v>
      </c>
      <c r="M379" s="20" t="s">
        <v>1178</v>
      </c>
      <c r="N379" s="47">
        <v>45485</v>
      </c>
      <c r="O379" s="20">
        <f>INDEX(Auxiliar!$D$5:$F$13,MATCH(Table1[[#This Row],[Tipologia_Testes]],Auxiliar!$B$5:$B$13,0),MATCH(Table1[[#This Row],[Complexidade]],Auxiliar!$D$4:$F$4,0))</f>
        <v>2</v>
      </c>
      <c r="P379" s="2" t="s">
        <v>1195</v>
      </c>
      <c r="Q379" s="2"/>
      <c r="R379" s="151">
        <v>45261</v>
      </c>
      <c r="S379" s="151"/>
      <c r="T379" s="151"/>
      <c r="U379" s="151"/>
      <c r="V379" s="151"/>
      <c r="W379" s="2">
        <f>VLOOKUP(Table1[[#This Row],[Status]],Auxiliar!$B$16:$D$24,3,0)*Table1[[#This Row],[Estimação (horas)]]</f>
        <v>2</v>
      </c>
      <c r="X379" s="166">
        <f>+VLOOKUP(CONCATENATE(Table1[[#This Row],[Tabela]],Table1[[#This Row],[Campo]]),'2. Status Detalhe Campos FY24'!A:J,9,FALSE)</f>
        <v>0</v>
      </c>
    </row>
    <row r="380" spans="2:24" ht="17.850000000000001" hidden="1" customHeight="1">
      <c r="B380" s="2" t="s">
        <v>26</v>
      </c>
      <c r="C380" s="2" t="s">
        <v>54</v>
      </c>
      <c r="D380" s="2" t="s">
        <v>124</v>
      </c>
      <c r="E380" s="2" t="s">
        <v>38</v>
      </c>
      <c r="F380" s="2" t="s">
        <v>123</v>
      </c>
      <c r="G380" s="2" t="s">
        <v>175</v>
      </c>
      <c r="H380" s="56" t="str">
        <f>Table1[[#This Row],[Tabela]]&amp;Table1[[#This Row],[Campo]]</f>
        <v>PROPERTY_ENERGY_CERTIFICATEPNL_SUMMER_REF_VALUE</v>
      </c>
      <c r="I380" s="2" t="s">
        <v>612</v>
      </c>
      <c r="J380" s="42">
        <f>VLOOKUP(Table1[[#This Row],[Status]],Auxiliar!$B$16:$C$24,2,0)</f>
        <v>1</v>
      </c>
      <c r="K380" s="2" t="s">
        <v>1174</v>
      </c>
      <c r="L380" s="28" t="s">
        <v>1169</v>
      </c>
      <c r="M380" s="20" t="s">
        <v>1178</v>
      </c>
      <c r="N380" s="47">
        <v>45485</v>
      </c>
      <c r="O380" s="20">
        <f>INDEX(Auxiliar!$D$5:$F$13,MATCH(Table1[[#This Row],[Tipologia_Testes]],Auxiliar!$B$5:$B$13,0),MATCH(Table1[[#This Row],[Complexidade]],Auxiliar!$D$4:$F$4,0))</f>
        <v>0.1</v>
      </c>
      <c r="P380" s="2" t="s">
        <v>1195</v>
      </c>
      <c r="Q380" s="2"/>
      <c r="R380" s="151">
        <v>45261</v>
      </c>
      <c r="S380" s="151"/>
      <c r="T380" s="151"/>
      <c r="U380" s="151"/>
      <c r="V380" s="151"/>
      <c r="W380" s="2">
        <f>VLOOKUP(Table1[[#This Row],[Status]],Auxiliar!$B$16:$D$24,3,0)*Table1[[#This Row],[Estimação (horas)]]</f>
        <v>0.1</v>
      </c>
      <c r="X380" s="166">
        <f>+VLOOKUP(CONCATENATE(Table1[[#This Row],[Tabela]],Table1[[#This Row],[Campo]]),'2. Status Detalhe Campos FY24'!A:J,9,FALSE)</f>
        <v>0</v>
      </c>
    </row>
    <row r="381" spans="2:24" ht="17.850000000000001" hidden="1" customHeight="1">
      <c r="B381" s="2" t="s">
        <v>26</v>
      </c>
      <c r="C381" s="2" t="s">
        <v>54</v>
      </c>
      <c r="D381" s="2" t="s">
        <v>124</v>
      </c>
      <c r="E381" s="2" t="s">
        <v>38</v>
      </c>
      <c r="F381" s="2" t="s">
        <v>123</v>
      </c>
      <c r="G381" s="2" t="s">
        <v>176</v>
      </c>
      <c r="H381" s="56" t="str">
        <f>Table1[[#This Row],[Tabela]]&amp;Table1[[#This Row],[Campo]]</f>
        <v>PROPERTY_ENERGY_CERTIFICATEINVOICE_RED_ANNUAL_ESTMTD_VALUE</v>
      </c>
      <c r="I381" s="2" t="s">
        <v>612</v>
      </c>
      <c r="J381" s="42">
        <f>VLOOKUP(Table1[[#This Row],[Status]],Auxiliar!$B$16:$C$24,2,0)</f>
        <v>1</v>
      </c>
      <c r="K381" s="2" t="s">
        <v>1171</v>
      </c>
      <c r="L381" s="28" t="s">
        <v>1169</v>
      </c>
      <c r="M381" s="20" t="s">
        <v>1178</v>
      </c>
      <c r="N381" s="47">
        <v>45485</v>
      </c>
      <c r="O381" s="20">
        <f>INDEX(Auxiliar!$D$5:$F$13,MATCH(Table1[[#This Row],[Tipologia_Testes]],Auxiliar!$B$5:$B$13,0),MATCH(Table1[[#This Row],[Complexidade]],Auxiliar!$D$4:$F$4,0))</f>
        <v>2</v>
      </c>
      <c r="P381" s="2" t="s">
        <v>1195</v>
      </c>
      <c r="Q381" s="2"/>
      <c r="R381" s="151">
        <v>45261</v>
      </c>
      <c r="S381" s="151"/>
      <c r="T381" s="151"/>
      <c r="U381" s="151"/>
      <c r="V381" s="151"/>
      <c r="W381" s="2">
        <f>VLOOKUP(Table1[[#This Row],[Status]],Auxiliar!$B$16:$D$24,3,0)*Table1[[#This Row],[Estimação (horas)]]</f>
        <v>2</v>
      </c>
      <c r="X381" s="166">
        <f>+VLOOKUP(CONCATENATE(Table1[[#This Row],[Tabela]],Table1[[#This Row],[Campo]]),'2. Status Detalhe Campos FY24'!A:J,9,FALSE)</f>
        <v>0</v>
      </c>
    </row>
    <row r="382" spans="2:24" ht="17.850000000000001" hidden="1" customHeight="1">
      <c r="B382" s="2" t="s">
        <v>26</v>
      </c>
      <c r="C382" s="2" t="s">
        <v>54</v>
      </c>
      <c r="D382" s="2" t="s">
        <v>124</v>
      </c>
      <c r="E382" s="2" t="s">
        <v>38</v>
      </c>
      <c r="F382" s="2" t="s">
        <v>123</v>
      </c>
      <c r="G382" s="2" t="s">
        <v>176</v>
      </c>
      <c r="H382" s="56" t="str">
        <f>Table1[[#This Row],[Tabela]]&amp;Table1[[#This Row],[Campo]]</f>
        <v>PROPERTY_ENERGY_CERTIFICATEINVOICE_RED_ANNUAL_ESTMTD_VALUE</v>
      </c>
      <c r="I382" s="2" t="s">
        <v>612</v>
      </c>
      <c r="J382" s="42">
        <f>VLOOKUP(Table1[[#This Row],[Status]],Auxiliar!$B$16:$C$24,2,0)</f>
        <v>1</v>
      </c>
      <c r="K382" s="2" t="s">
        <v>1172</v>
      </c>
      <c r="L382" s="28" t="s">
        <v>1169</v>
      </c>
      <c r="M382" s="20" t="s">
        <v>1178</v>
      </c>
      <c r="N382" s="47">
        <v>45485</v>
      </c>
      <c r="O382" s="20">
        <f>INDEX(Auxiliar!$D$5:$F$13,MATCH(Table1[[#This Row],[Tipologia_Testes]],Auxiliar!$B$5:$B$13,0),MATCH(Table1[[#This Row],[Complexidade]],Auxiliar!$D$4:$F$4,0))</f>
        <v>2</v>
      </c>
      <c r="P382" s="2" t="s">
        <v>1195</v>
      </c>
      <c r="Q382" s="2"/>
      <c r="R382" s="151">
        <v>45261</v>
      </c>
      <c r="S382" s="151"/>
      <c r="T382" s="151"/>
      <c r="U382" s="151"/>
      <c r="V382" s="151"/>
      <c r="W382" s="2">
        <f>VLOOKUP(Table1[[#This Row],[Status]],Auxiliar!$B$16:$D$24,3,0)*Table1[[#This Row],[Estimação (horas)]]</f>
        <v>2</v>
      </c>
      <c r="X382" s="166">
        <f>+VLOOKUP(CONCATENATE(Table1[[#This Row],[Tabela]],Table1[[#This Row],[Campo]]),'2. Status Detalhe Campos FY24'!A:J,9,FALSE)</f>
        <v>0</v>
      </c>
    </row>
    <row r="383" spans="2:24" ht="17.850000000000001" hidden="1" customHeight="1">
      <c r="B383" s="2" t="s">
        <v>26</v>
      </c>
      <c r="C383" s="2" t="s">
        <v>54</v>
      </c>
      <c r="D383" s="2" t="s">
        <v>124</v>
      </c>
      <c r="E383" s="2" t="s">
        <v>38</v>
      </c>
      <c r="F383" s="2" t="s">
        <v>123</v>
      </c>
      <c r="G383" s="2" t="s">
        <v>176</v>
      </c>
      <c r="H383" s="56" t="str">
        <f>Table1[[#This Row],[Tabela]]&amp;Table1[[#This Row],[Campo]]</f>
        <v>PROPERTY_ENERGY_CERTIFICATEINVOICE_RED_ANNUAL_ESTMTD_VALUE</v>
      </c>
      <c r="I383" s="2" t="s">
        <v>612</v>
      </c>
      <c r="J383" s="42">
        <f>VLOOKUP(Table1[[#This Row],[Status]],Auxiliar!$B$16:$C$24,2,0)</f>
        <v>1</v>
      </c>
      <c r="K383" s="2" t="s">
        <v>1174</v>
      </c>
      <c r="L383" s="28" t="s">
        <v>1169</v>
      </c>
      <c r="M383" s="20" t="s">
        <v>1178</v>
      </c>
      <c r="N383" s="47">
        <v>45485</v>
      </c>
      <c r="O383" s="20">
        <f>INDEX(Auxiliar!$D$5:$F$13,MATCH(Table1[[#This Row],[Tipologia_Testes]],Auxiliar!$B$5:$B$13,0),MATCH(Table1[[#This Row],[Complexidade]],Auxiliar!$D$4:$F$4,0))</f>
        <v>0.1</v>
      </c>
      <c r="P383" s="2" t="s">
        <v>1195</v>
      </c>
      <c r="Q383" s="2"/>
      <c r="R383" s="151">
        <v>45261</v>
      </c>
      <c r="S383" s="151"/>
      <c r="T383" s="151"/>
      <c r="U383" s="151"/>
      <c r="V383" s="151"/>
      <c r="W383" s="2">
        <f>VLOOKUP(Table1[[#This Row],[Status]],Auxiliar!$B$16:$D$24,3,0)*Table1[[#This Row],[Estimação (horas)]]</f>
        <v>0.1</v>
      </c>
      <c r="X383" s="166">
        <f>+VLOOKUP(CONCATENATE(Table1[[#This Row],[Tabela]],Table1[[#This Row],[Campo]]),'2. Status Detalhe Campos FY24'!A:J,9,FALSE)</f>
        <v>0</v>
      </c>
    </row>
    <row r="384" spans="2:24" ht="17.850000000000001" hidden="1" customHeight="1">
      <c r="B384" s="2" t="s">
        <v>26</v>
      </c>
      <c r="C384" s="2" t="s">
        <v>54</v>
      </c>
      <c r="D384" s="2" t="s">
        <v>124</v>
      </c>
      <c r="E384" s="2" t="s">
        <v>38</v>
      </c>
      <c r="F384" s="2" t="s">
        <v>123</v>
      </c>
      <c r="G384" s="2" t="s">
        <v>177</v>
      </c>
      <c r="H384" s="56" t="str">
        <f>Table1[[#This Row],[Tabela]]&amp;Table1[[#This Row],[Campo]]</f>
        <v>PROPERTY_ENERGY_CERTIFICATETEMPERATURE_OUTDOOR_AVG_VALUE</v>
      </c>
      <c r="I384" s="2" t="s">
        <v>612</v>
      </c>
      <c r="J384" s="42">
        <f>VLOOKUP(Table1[[#This Row],[Status]],Auxiliar!$B$16:$C$24,2,0)</f>
        <v>1</v>
      </c>
      <c r="K384" s="2" t="s">
        <v>1171</v>
      </c>
      <c r="L384" s="28" t="s">
        <v>1169</v>
      </c>
      <c r="M384" s="20" t="s">
        <v>1178</v>
      </c>
      <c r="N384" s="47">
        <v>45485</v>
      </c>
      <c r="O384" s="20">
        <f>INDEX(Auxiliar!$D$5:$F$13,MATCH(Table1[[#This Row],[Tipologia_Testes]],Auxiliar!$B$5:$B$13,0),MATCH(Table1[[#This Row],[Complexidade]],Auxiliar!$D$4:$F$4,0))</f>
        <v>2</v>
      </c>
      <c r="P384" s="2" t="s">
        <v>1195</v>
      </c>
      <c r="Q384" s="2"/>
      <c r="R384" s="151">
        <v>45261</v>
      </c>
      <c r="S384" s="151"/>
      <c r="T384" s="151"/>
      <c r="U384" s="151"/>
      <c r="V384" s="151"/>
      <c r="W384" s="2">
        <f>VLOOKUP(Table1[[#This Row],[Status]],Auxiliar!$B$16:$D$24,3,0)*Table1[[#This Row],[Estimação (horas)]]</f>
        <v>2</v>
      </c>
      <c r="X384" s="166">
        <f>+VLOOKUP(CONCATENATE(Table1[[#This Row],[Tabela]],Table1[[#This Row],[Campo]]),'2. Status Detalhe Campos FY24'!A:J,9,FALSE)</f>
        <v>0</v>
      </c>
    </row>
    <row r="385" spans="2:24" ht="17.850000000000001" hidden="1" customHeight="1">
      <c r="B385" s="2" t="s">
        <v>26</v>
      </c>
      <c r="C385" s="2" t="s">
        <v>54</v>
      </c>
      <c r="D385" s="2" t="s">
        <v>124</v>
      </c>
      <c r="E385" s="2" t="s">
        <v>38</v>
      </c>
      <c r="F385" s="2" t="s">
        <v>123</v>
      </c>
      <c r="G385" s="2" t="s">
        <v>177</v>
      </c>
      <c r="H385" s="56" t="str">
        <f>Table1[[#This Row],[Tabela]]&amp;Table1[[#This Row],[Campo]]</f>
        <v>PROPERTY_ENERGY_CERTIFICATETEMPERATURE_OUTDOOR_AVG_VALUE</v>
      </c>
      <c r="I385" s="2" t="s">
        <v>612</v>
      </c>
      <c r="J385" s="42">
        <f>VLOOKUP(Table1[[#This Row],[Status]],Auxiliar!$B$16:$C$24,2,0)</f>
        <v>1</v>
      </c>
      <c r="K385" s="2" t="s">
        <v>1172</v>
      </c>
      <c r="L385" s="28" t="s">
        <v>1169</v>
      </c>
      <c r="M385" s="20" t="s">
        <v>1178</v>
      </c>
      <c r="N385" s="47">
        <v>45485</v>
      </c>
      <c r="O385" s="20">
        <f>INDEX(Auxiliar!$D$5:$F$13,MATCH(Table1[[#This Row],[Tipologia_Testes]],Auxiliar!$B$5:$B$13,0),MATCH(Table1[[#This Row],[Complexidade]],Auxiliar!$D$4:$F$4,0))</f>
        <v>2</v>
      </c>
      <c r="P385" s="2" t="s">
        <v>1195</v>
      </c>
      <c r="Q385" s="2"/>
      <c r="R385" s="151">
        <v>45261</v>
      </c>
      <c r="S385" s="151"/>
      <c r="T385" s="151"/>
      <c r="U385" s="151"/>
      <c r="V385" s="151"/>
      <c r="W385" s="2">
        <f>VLOOKUP(Table1[[#This Row],[Status]],Auxiliar!$B$16:$D$24,3,0)*Table1[[#This Row],[Estimação (horas)]]</f>
        <v>2</v>
      </c>
      <c r="X385" s="166">
        <f>+VLOOKUP(CONCATENATE(Table1[[#This Row],[Tabela]],Table1[[#This Row],[Campo]]),'2. Status Detalhe Campos FY24'!A:J,9,FALSE)</f>
        <v>0</v>
      </c>
    </row>
    <row r="386" spans="2:24" ht="17.850000000000001" hidden="1" customHeight="1">
      <c r="B386" s="2" t="s">
        <v>26</v>
      </c>
      <c r="C386" s="2" t="s">
        <v>54</v>
      </c>
      <c r="D386" s="2" t="s">
        <v>124</v>
      </c>
      <c r="E386" s="2" t="s">
        <v>38</v>
      </c>
      <c r="F386" s="2" t="s">
        <v>123</v>
      </c>
      <c r="G386" s="2" t="s">
        <v>177</v>
      </c>
      <c r="H386" s="56" t="str">
        <f>Table1[[#This Row],[Tabela]]&amp;Table1[[#This Row],[Campo]]</f>
        <v>PROPERTY_ENERGY_CERTIFICATETEMPERATURE_OUTDOOR_AVG_VALUE</v>
      </c>
      <c r="I386" s="2" t="s">
        <v>612</v>
      </c>
      <c r="J386" s="42">
        <f>VLOOKUP(Table1[[#This Row],[Status]],Auxiliar!$B$16:$C$24,2,0)</f>
        <v>1</v>
      </c>
      <c r="K386" s="2" t="s">
        <v>1174</v>
      </c>
      <c r="L386" s="28" t="s">
        <v>1169</v>
      </c>
      <c r="M386" s="20" t="s">
        <v>1178</v>
      </c>
      <c r="N386" s="47">
        <v>45485</v>
      </c>
      <c r="O386" s="20">
        <f>INDEX(Auxiliar!$D$5:$F$13,MATCH(Table1[[#This Row],[Tipologia_Testes]],Auxiliar!$B$5:$B$13,0),MATCH(Table1[[#This Row],[Complexidade]],Auxiliar!$D$4:$F$4,0))</f>
        <v>0.1</v>
      </c>
      <c r="P386" s="2" t="s">
        <v>1195</v>
      </c>
      <c r="Q386" s="2"/>
      <c r="R386" s="151">
        <v>45261</v>
      </c>
      <c r="S386" s="151"/>
      <c r="T386" s="151"/>
      <c r="U386" s="151"/>
      <c r="V386" s="151"/>
      <c r="W386" s="2">
        <f>VLOOKUP(Table1[[#This Row],[Status]],Auxiliar!$B$16:$D$24,3,0)*Table1[[#This Row],[Estimação (horas)]]</f>
        <v>0.1</v>
      </c>
      <c r="X386" s="166">
        <f>+VLOOKUP(CONCATENATE(Table1[[#This Row],[Tabela]],Table1[[#This Row],[Campo]]),'2. Status Detalhe Campos FY24'!A:J,9,FALSE)</f>
        <v>0</v>
      </c>
    </row>
    <row r="387" spans="2:24" ht="17.850000000000001" hidden="1" customHeight="1">
      <c r="B387" s="2" t="s">
        <v>26</v>
      </c>
      <c r="C387" s="2" t="s">
        <v>54</v>
      </c>
      <c r="D387" s="2" t="s">
        <v>124</v>
      </c>
      <c r="E387" s="2" t="s">
        <v>38</v>
      </c>
      <c r="F387" s="2" t="s">
        <v>123</v>
      </c>
      <c r="G387" s="2" t="s">
        <v>178</v>
      </c>
      <c r="H387" s="56" t="str">
        <f>Table1[[#This Row],[Tabela]]&amp;Table1[[#This Row],[Campo]]</f>
        <v>PROPERTY_ENERGY_CERTIFICATECLIMATE_ZONE_WINTER</v>
      </c>
      <c r="I387" s="2" t="s">
        <v>612</v>
      </c>
      <c r="J387" s="42">
        <f>VLOOKUP(Table1[[#This Row],[Status]],Auxiliar!$B$16:$C$24,2,0)</f>
        <v>1</v>
      </c>
      <c r="K387" s="2" t="s">
        <v>1171</v>
      </c>
      <c r="L387" s="28" t="s">
        <v>1169</v>
      </c>
      <c r="M387" s="20" t="s">
        <v>1178</v>
      </c>
      <c r="N387" s="47">
        <v>45485</v>
      </c>
      <c r="O387" s="20">
        <f>INDEX(Auxiliar!$D$5:$F$13,MATCH(Table1[[#This Row],[Tipologia_Testes]],Auxiliar!$B$5:$B$13,0),MATCH(Table1[[#This Row],[Complexidade]],Auxiliar!$D$4:$F$4,0))</f>
        <v>2</v>
      </c>
      <c r="P387" s="2" t="s">
        <v>1195</v>
      </c>
      <c r="Q387" s="2"/>
      <c r="R387" s="151">
        <v>45261</v>
      </c>
      <c r="S387" s="151"/>
      <c r="T387" s="151"/>
      <c r="U387" s="151"/>
      <c r="V387" s="151"/>
      <c r="W387" s="2">
        <f>VLOOKUP(Table1[[#This Row],[Status]],Auxiliar!$B$16:$D$24,3,0)*Table1[[#This Row],[Estimação (horas)]]</f>
        <v>2</v>
      </c>
      <c r="X387" s="166">
        <f>+VLOOKUP(CONCATENATE(Table1[[#This Row],[Tabela]],Table1[[#This Row],[Campo]]),'2. Status Detalhe Campos FY24'!A:J,9,FALSE)</f>
        <v>0</v>
      </c>
    </row>
    <row r="388" spans="2:24" ht="17.850000000000001" hidden="1" customHeight="1">
      <c r="B388" s="2" t="s">
        <v>26</v>
      </c>
      <c r="C388" s="2" t="s">
        <v>54</v>
      </c>
      <c r="D388" s="2" t="s">
        <v>124</v>
      </c>
      <c r="E388" s="2" t="s">
        <v>38</v>
      </c>
      <c r="F388" s="2" t="s">
        <v>123</v>
      </c>
      <c r="G388" s="2" t="s">
        <v>178</v>
      </c>
      <c r="H388" s="56" t="str">
        <f>Table1[[#This Row],[Tabela]]&amp;Table1[[#This Row],[Campo]]</f>
        <v>PROPERTY_ENERGY_CERTIFICATECLIMATE_ZONE_WINTER</v>
      </c>
      <c r="I388" s="2" t="s">
        <v>612</v>
      </c>
      <c r="J388" s="42">
        <f>VLOOKUP(Table1[[#This Row],[Status]],Auxiliar!$B$16:$C$24,2,0)</f>
        <v>1</v>
      </c>
      <c r="K388" s="2" t="s">
        <v>1172</v>
      </c>
      <c r="L388" s="28" t="s">
        <v>1169</v>
      </c>
      <c r="M388" s="20" t="s">
        <v>1178</v>
      </c>
      <c r="N388" s="47">
        <v>45485</v>
      </c>
      <c r="O388" s="20">
        <f>INDEX(Auxiliar!$D$5:$F$13,MATCH(Table1[[#This Row],[Tipologia_Testes]],Auxiliar!$B$5:$B$13,0),MATCH(Table1[[#This Row],[Complexidade]],Auxiliar!$D$4:$F$4,0))</f>
        <v>2</v>
      </c>
      <c r="P388" s="2" t="s">
        <v>1195</v>
      </c>
      <c r="Q388" s="2"/>
      <c r="R388" s="151">
        <v>45261</v>
      </c>
      <c r="S388" s="151"/>
      <c r="T388" s="151"/>
      <c r="U388" s="151"/>
      <c r="V388" s="151"/>
      <c r="W388" s="2">
        <f>VLOOKUP(Table1[[#This Row],[Status]],Auxiliar!$B$16:$D$24,3,0)*Table1[[#This Row],[Estimação (horas)]]</f>
        <v>2</v>
      </c>
      <c r="X388" s="166">
        <f>+VLOOKUP(CONCATENATE(Table1[[#This Row],[Tabela]],Table1[[#This Row],[Campo]]),'2. Status Detalhe Campos FY24'!A:J,9,FALSE)</f>
        <v>0</v>
      </c>
    </row>
    <row r="389" spans="2:24" ht="17.850000000000001" hidden="1" customHeight="1">
      <c r="B389" s="2" t="s">
        <v>26</v>
      </c>
      <c r="C389" s="2" t="s">
        <v>54</v>
      </c>
      <c r="D389" s="2" t="s">
        <v>124</v>
      </c>
      <c r="E389" s="2" t="s">
        <v>38</v>
      </c>
      <c r="F389" s="2" t="s">
        <v>123</v>
      </c>
      <c r="G389" s="2" t="s">
        <v>178</v>
      </c>
      <c r="H389" s="56" t="str">
        <f>Table1[[#This Row],[Tabela]]&amp;Table1[[#This Row],[Campo]]</f>
        <v>PROPERTY_ENERGY_CERTIFICATECLIMATE_ZONE_WINTER</v>
      </c>
      <c r="I389" s="2" t="s">
        <v>612</v>
      </c>
      <c r="J389" s="42">
        <f>VLOOKUP(Table1[[#This Row],[Status]],Auxiliar!$B$16:$C$24,2,0)</f>
        <v>1</v>
      </c>
      <c r="K389" s="2" t="s">
        <v>1174</v>
      </c>
      <c r="L389" s="28" t="s">
        <v>1169</v>
      </c>
      <c r="M389" s="20" t="s">
        <v>1178</v>
      </c>
      <c r="N389" s="47">
        <v>45485</v>
      </c>
      <c r="O389" s="20">
        <f>INDEX(Auxiliar!$D$5:$F$13,MATCH(Table1[[#This Row],[Tipologia_Testes]],Auxiliar!$B$5:$B$13,0),MATCH(Table1[[#This Row],[Complexidade]],Auxiliar!$D$4:$F$4,0))</f>
        <v>0.1</v>
      </c>
      <c r="P389" s="2" t="s">
        <v>1195</v>
      </c>
      <c r="Q389" s="2"/>
      <c r="R389" s="151">
        <v>45261</v>
      </c>
      <c r="S389" s="151"/>
      <c r="T389" s="151"/>
      <c r="U389" s="151"/>
      <c r="V389" s="151"/>
      <c r="W389" s="2">
        <f>VLOOKUP(Table1[[#This Row],[Status]],Auxiliar!$B$16:$D$24,3,0)*Table1[[#This Row],[Estimação (horas)]]</f>
        <v>0.1</v>
      </c>
      <c r="X389" s="166">
        <f>+VLOOKUP(CONCATENATE(Table1[[#This Row],[Tabela]],Table1[[#This Row],[Campo]]),'2. Status Detalhe Campos FY24'!A:J,9,FALSE)</f>
        <v>0</v>
      </c>
    </row>
    <row r="390" spans="2:24" ht="17.850000000000001" hidden="1" customHeight="1">
      <c r="B390" s="2" t="s">
        <v>26</v>
      </c>
      <c r="C390" s="2" t="s">
        <v>54</v>
      </c>
      <c r="D390" s="2" t="s">
        <v>124</v>
      </c>
      <c r="E390" s="2" t="s">
        <v>38</v>
      </c>
      <c r="F390" s="2" t="s">
        <v>123</v>
      </c>
      <c r="G390" s="2" t="s">
        <v>179</v>
      </c>
      <c r="H390" s="56" t="str">
        <f>Table1[[#This Row],[Tabela]]&amp;Table1[[#This Row],[Campo]]</f>
        <v>PROPERTY_ENERGY_CERTIFICATECLIMATE_ZONE_SUMMER</v>
      </c>
      <c r="I390" s="2" t="s">
        <v>612</v>
      </c>
      <c r="J390" s="42">
        <f>VLOOKUP(Table1[[#This Row],[Status]],Auxiliar!$B$16:$C$24,2,0)</f>
        <v>1</v>
      </c>
      <c r="K390" s="2" t="s">
        <v>1171</v>
      </c>
      <c r="L390" s="28" t="s">
        <v>1169</v>
      </c>
      <c r="M390" s="20" t="s">
        <v>1178</v>
      </c>
      <c r="N390" s="47">
        <v>45485</v>
      </c>
      <c r="O390" s="20">
        <f>INDEX(Auxiliar!$D$5:$F$13,MATCH(Table1[[#This Row],[Tipologia_Testes]],Auxiliar!$B$5:$B$13,0),MATCH(Table1[[#This Row],[Complexidade]],Auxiliar!$D$4:$F$4,0))</f>
        <v>2</v>
      </c>
      <c r="P390" s="2" t="s">
        <v>1195</v>
      </c>
      <c r="Q390" s="2"/>
      <c r="R390" s="151">
        <v>45261</v>
      </c>
      <c r="S390" s="151"/>
      <c r="T390" s="151"/>
      <c r="U390" s="151"/>
      <c r="V390" s="151"/>
      <c r="W390" s="2">
        <f>VLOOKUP(Table1[[#This Row],[Status]],Auxiliar!$B$16:$D$24,3,0)*Table1[[#This Row],[Estimação (horas)]]</f>
        <v>2</v>
      </c>
      <c r="X390" s="166">
        <f>+VLOOKUP(CONCATENATE(Table1[[#This Row],[Tabela]],Table1[[#This Row],[Campo]]),'2. Status Detalhe Campos FY24'!A:J,9,FALSE)</f>
        <v>0</v>
      </c>
    </row>
    <row r="391" spans="2:24" ht="17.850000000000001" hidden="1" customHeight="1">
      <c r="B391" s="2" t="s">
        <v>26</v>
      </c>
      <c r="C391" s="2" t="s">
        <v>54</v>
      </c>
      <c r="D391" s="2" t="s">
        <v>124</v>
      </c>
      <c r="E391" s="2" t="s">
        <v>38</v>
      </c>
      <c r="F391" s="2" t="s">
        <v>123</v>
      </c>
      <c r="G391" s="2" t="s">
        <v>179</v>
      </c>
      <c r="H391" s="56" t="str">
        <f>Table1[[#This Row],[Tabela]]&amp;Table1[[#This Row],[Campo]]</f>
        <v>PROPERTY_ENERGY_CERTIFICATECLIMATE_ZONE_SUMMER</v>
      </c>
      <c r="I391" s="2" t="s">
        <v>612</v>
      </c>
      <c r="J391" s="42">
        <f>VLOOKUP(Table1[[#This Row],[Status]],Auxiliar!$B$16:$C$24,2,0)</f>
        <v>1</v>
      </c>
      <c r="K391" s="2" t="s">
        <v>1172</v>
      </c>
      <c r="L391" s="28" t="s">
        <v>1169</v>
      </c>
      <c r="M391" s="20" t="s">
        <v>1178</v>
      </c>
      <c r="N391" s="47">
        <v>45485</v>
      </c>
      <c r="O391" s="20">
        <f>INDEX(Auxiliar!$D$5:$F$13,MATCH(Table1[[#This Row],[Tipologia_Testes]],Auxiliar!$B$5:$B$13,0),MATCH(Table1[[#This Row],[Complexidade]],Auxiliar!$D$4:$F$4,0))</f>
        <v>2</v>
      </c>
      <c r="P391" s="2" t="s">
        <v>1195</v>
      </c>
      <c r="Q391" s="2"/>
      <c r="R391" s="151"/>
      <c r="S391" s="151"/>
      <c r="T391" s="151"/>
      <c r="U391" s="151"/>
      <c r="V391" s="151"/>
      <c r="W391" s="2">
        <f>VLOOKUP(Table1[[#This Row],[Status]],Auxiliar!$B$16:$D$24,3,0)*Table1[[#This Row],[Estimação (horas)]]</f>
        <v>2</v>
      </c>
      <c r="X391" s="166">
        <f>+VLOOKUP(CONCATENATE(Table1[[#This Row],[Tabela]],Table1[[#This Row],[Campo]]),'2. Status Detalhe Campos FY24'!A:J,9,FALSE)</f>
        <v>0</v>
      </c>
    </row>
    <row r="392" spans="2:24" ht="17.850000000000001" hidden="1" customHeight="1">
      <c r="B392" s="2" t="s">
        <v>26</v>
      </c>
      <c r="C392" s="2" t="s">
        <v>54</v>
      </c>
      <c r="D392" s="2" t="s">
        <v>124</v>
      </c>
      <c r="E392" s="2" t="s">
        <v>38</v>
      </c>
      <c r="F392" s="2" t="s">
        <v>123</v>
      </c>
      <c r="G392" s="2" t="s">
        <v>179</v>
      </c>
      <c r="H392" s="56" t="str">
        <f>Table1[[#This Row],[Tabela]]&amp;Table1[[#This Row],[Campo]]</f>
        <v>PROPERTY_ENERGY_CERTIFICATECLIMATE_ZONE_SUMMER</v>
      </c>
      <c r="I392" s="2" t="s">
        <v>612</v>
      </c>
      <c r="J392" s="42">
        <f>VLOOKUP(Table1[[#This Row],[Status]],Auxiliar!$B$16:$C$24,2,0)</f>
        <v>1</v>
      </c>
      <c r="K392" s="2" t="s">
        <v>1174</v>
      </c>
      <c r="L392" s="28" t="s">
        <v>1169</v>
      </c>
      <c r="M392" s="20" t="s">
        <v>1178</v>
      </c>
      <c r="N392" s="47">
        <v>45485</v>
      </c>
      <c r="O392" s="20">
        <f>INDEX(Auxiliar!$D$5:$F$13,MATCH(Table1[[#This Row],[Tipologia_Testes]],Auxiliar!$B$5:$B$13,0),MATCH(Table1[[#This Row],[Complexidade]],Auxiliar!$D$4:$F$4,0))</f>
        <v>0.1</v>
      </c>
      <c r="P392" s="2" t="s">
        <v>1195</v>
      </c>
      <c r="Q392" s="2"/>
      <c r="R392" s="151"/>
      <c r="S392" s="151"/>
      <c r="T392" s="151"/>
      <c r="U392" s="151"/>
      <c r="V392" s="151"/>
      <c r="W392" s="2">
        <f>VLOOKUP(Table1[[#This Row],[Status]],Auxiliar!$B$16:$D$24,3,0)*Table1[[#This Row],[Estimação (horas)]]</f>
        <v>0.1</v>
      </c>
      <c r="X392" s="166">
        <f>+VLOOKUP(CONCATENATE(Table1[[#This Row],[Tabela]],Table1[[#This Row],[Campo]]),'2. Status Detalhe Campos FY24'!A:J,9,FALSE)</f>
        <v>0</v>
      </c>
    </row>
    <row r="393" spans="2:24" ht="17.850000000000001" hidden="1" customHeight="1">
      <c r="B393" s="2" t="s">
        <v>26</v>
      </c>
      <c r="C393" s="2" t="s">
        <v>54</v>
      </c>
      <c r="D393" s="2" t="s">
        <v>124</v>
      </c>
      <c r="E393" s="2" t="s">
        <v>38</v>
      </c>
      <c r="F393" s="2" t="s">
        <v>123</v>
      </c>
      <c r="G393" s="2" t="s">
        <v>97</v>
      </c>
      <c r="H393" s="56" t="str">
        <f>Table1[[#This Row],[Tabela]]&amp;Table1[[#This Row],[Campo]]</f>
        <v>PROPERTY_ENERGY_CERTIFICATENET_FLOOR_AREA</v>
      </c>
      <c r="I393" s="2" t="s">
        <v>612</v>
      </c>
      <c r="J393" s="42">
        <f>VLOOKUP(Table1[[#This Row],[Status]],Auxiliar!$B$16:$C$24,2,0)</f>
        <v>1</v>
      </c>
      <c r="K393" s="2" t="s">
        <v>1171</v>
      </c>
      <c r="L393" s="28" t="s">
        <v>1169</v>
      </c>
      <c r="M393" s="20" t="s">
        <v>1178</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166">
        <f>+VLOOKUP(CONCATENATE(Table1[[#This Row],[Tabela]],Table1[[#This Row],[Campo]]),'2. Status Detalhe Campos FY24'!A:J,9,FALSE)</f>
        <v>0</v>
      </c>
    </row>
    <row r="394" spans="2:24" ht="17.850000000000001" hidden="1" customHeight="1">
      <c r="B394" s="2" t="s">
        <v>26</v>
      </c>
      <c r="C394" s="2" t="s">
        <v>54</v>
      </c>
      <c r="D394" s="2" t="s">
        <v>124</v>
      </c>
      <c r="E394" s="2" t="s">
        <v>38</v>
      </c>
      <c r="F394" s="2" t="s">
        <v>123</v>
      </c>
      <c r="G394" s="2" t="s">
        <v>97</v>
      </c>
      <c r="H394" s="56" t="str">
        <f>Table1[[#This Row],[Tabela]]&amp;Table1[[#This Row],[Campo]]</f>
        <v>PROPERTY_ENERGY_CERTIFICATENET_FLOOR_AREA</v>
      </c>
      <c r="I394" s="2" t="s">
        <v>612</v>
      </c>
      <c r="J394" s="42">
        <f>VLOOKUP(Table1[[#This Row],[Status]],Auxiliar!$B$16:$C$24,2,0)</f>
        <v>1</v>
      </c>
      <c r="K394" s="2" t="s">
        <v>1172</v>
      </c>
      <c r="L394" s="28" t="s">
        <v>1169</v>
      </c>
      <c r="M394" s="20" t="s">
        <v>1178</v>
      </c>
      <c r="N394" s="47">
        <v>45612</v>
      </c>
      <c r="O394" s="20">
        <f>INDEX(Auxiliar!$D$5:$F$13,MATCH(Table1[[#This Row],[Tipologia_Testes]],Auxiliar!$B$5:$B$13,0),MATCH(Table1[[#This Row],[Complexidade]],Auxiliar!$D$4:$F$4,0))</f>
        <v>2</v>
      </c>
      <c r="P394" s="2"/>
      <c r="Q394" s="2"/>
      <c r="R394" s="151">
        <v>45616</v>
      </c>
      <c r="S394" s="151"/>
      <c r="T394" s="151"/>
      <c r="U394" s="151"/>
      <c r="V394" s="151">
        <v>45639</v>
      </c>
      <c r="W394" s="2">
        <f>VLOOKUP(Table1[[#This Row],[Status]],Auxiliar!$B$16:$D$24,3,0)*Table1[[#This Row],[Estimação (horas)]]</f>
        <v>2</v>
      </c>
      <c r="X394" s="166">
        <f>+VLOOKUP(CONCATENATE(Table1[[#This Row],[Tabela]],Table1[[#This Row],[Campo]]),'2. Status Detalhe Campos FY24'!A:J,9,FALSE)</f>
        <v>0</v>
      </c>
    </row>
    <row r="395" spans="2:24" ht="17.850000000000001" hidden="1" customHeight="1">
      <c r="B395" s="2" t="s">
        <v>26</v>
      </c>
      <c r="C395" s="2" t="s">
        <v>54</v>
      </c>
      <c r="D395" s="2" t="s">
        <v>124</v>
      </c>
      <c r="E395" s="2" t="s">
        <v>38</v>
      </c>
      <c r="F395" s="2" t="s">
        <v>123</v>
      </c>
      <c r="G395" s="2" t="s">
        <v>97</v>
      </c>
      <c r="H395" s="56" t="str">
        <f>Table1[[#This Row],[Tabela]]&amp;Table1[[#This Row],[Campo]]</f>
        <v>PROPERTY_ENERGY_CERTIFICATENET_FLOOR_AREA</v>
      </c>
      <c r="I395" s="2" t="s">
        <v>612</v>
      </c>
      <c r="J395" s="42">
        <f>VLOOKUP(Table1[[#This Row],[Status]],Auxiliar!$B$16:$C$24,2,0)</f>
        <v>1</v>
      </c>
      <c r="K395" s="2" t="s">
        <v>1174</v>
      </c>
      <c r="L395" s="28" t="s">
        <v>1169</v>
      </c>
      <c r="M395" s="20" t="s">
        <v>1178</v>
      </c>
      <c r="N395" s="47">
        <v>45612</v>
      </c>
      <c r="O395" s="20">
        <f>INDEX(Auxiliar!$D$5:$F$13,MATCH(Table1[[#This Row],[Tipologia_Testes]],Auxiliar!$B$5:$B$13,0),MATCH(Table1[[#This Row],[Complexidade]],Auxiliar!$D$4:$F$4,0))</f>
        <v>0.1</v>
      </c>
      <c r="P395" s="2"/>
      <c r="Q395" s="2"/>
      <c r="R395" s="151">
        <v>45616</v>
      </c>
      <c r="S395" s="151"/>
      <c r="T395" s="151"/>
      <c r="U395" s="151"/>
      <c r="V395" s="151">
        <v>45639</v>
      </c>
      <c r="W395" s="2">
        <f>VLOOKUP(Table1[[#This Row],[Status]],Auxiliar!$B$16:$D$24,3,0)*Table1[[#This Row],[Estimação (horas)]]</f>
        <v>0.1</v>
      </c>
      <c r="X395" s="166">
        <f>+VLOOKUP(CONCATENATE(Table1[[#This Row],[Tabela]],Table1[[#This Row],[Campo]]),'2. Status Detalhe Campos FY24'!A:J,9,FALSE)</f>
        <v>0</v>
      </c>
    </row>
    <row r="396" spans="2:24" ht="17.850000000000001" hidden="1" customHeight="1">
      <c r="B396" s="2" t="s">
        <v>26</v>
      </c>
      <c r="C396" s="2" t="s">
        <v>54</v>
      </c>
      <c r="D396" s="2" t="s">
        <v>124</v>
      </c>
      <c r="E396" s="2" t="s">
        <v>38</v>
      </c>
      <c r="F396" s="2" t="s">
        <v>123</v>
      </c>
      <c r="G396" s="2" t="s">
        <v>98</v>
      </c>
      <c r="H396" s="56" t="str">
        <f>Table1[[#This Row],[Tabela]]&amp;Table1[[#This Row],[Campo]]</f>
        <v>PROPERTY_ENERGY_CERTIFICATECADASTRAL_REGISTER_CODE</v>
      </c>
      <c r="I396" s="2" t="s">
        <v>612</v>
      </c>
      <c r="J396" s="42">
        <f>VLOOKUP(Table1[[#This Row],[Status]],Auxiliar!$B$16:$C$24,2,0)</f>
        <v>1</v>
      </c>
      <c r="K396" s="2" t="s">
        <v>1171</v>
      </c>
      <c r="L396" s="28" t="s">
        <v>1169</v>
      </c>
      <c r="M396" s="20" t="s">
        <v>1178</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166">
        <f>+VLOOKUP(CONCATENATE(Table1[[#This Row],[Tabela]],Table1[[#This Row],[Campo]]),'2. Status Detalhe Campos FY24'!A:J,9,FALSE)</f>
        <v>0</v>
      </c>
    </row>
    <row r="397" spans="2:24" ht="17.850000000000001" hidden="1" customHeight="1">
      <c r="B397" s="2" t="s">
        <v>26</v>
      </c>
      <c r="C397" s="2" t="s">
        <v>54</v>
      </c>
      <c r="D397" s="2" t="s">
        <v>124</v>
      </c>
      <c r="E397" s="2" t="s">
        <v>38</v>
      </c>
      <c r="F397" s="2" t="s">
        <v>123</v>
      </c>
      <c r="G397" s="2" t="s">
        <v>98</v>
      </c>
      <c r="H397" s="56" t="str">
        <f>Table1[[#This Row],[Tabela]]&amp;Table1[[#This Row],[Campo]]</f>
        <v>PROPERTY_ENERGY_CERTIFICATECADASTRAL_REGISTER_CODE</v>
      </c>
      <c r="I397" s="2" t="s">
        <v>612</v>
      </c>
      <c r="J397" s="42">
        <f>VLOOKUP(Table1[[#This Row],[Status]],Auxiliar!$B$16:$C$24,2,0)</f>
        <v>1</v>
      </c>
      <c r="K397" s="2" t="s">
        <v>1172</v>
      </c>
      <c r="L397" s="28" t="s">
        <v>1169</v>
      </c>
      <c r="M397" s="20" t="s">
        <v>1178</v>
      </c>
      <c r="N397" s="47">
        <v>45612</v>
      </c>
      <c r="O397" s="20">
        <f>INDEX(Auxiliar!$D$5:$F$13,MATCH(Table1[[#This Row],[Tipologia_Testes]],Auxiliar!$B$5:$B$13,0),MATCH(Table1[[#This Row],[Complexidade]],Auxiliar!$D$4:$F$4,0))</f>
        <v>2</v>
      </c>
      <c r="P397" s="2"/>
      <c r="Q397" s="2"/>
      <c r="R397" s="151">
        <v>45616</v>
      </c>
      <c r="S397" s="151"/>
      <c r="T397" s="151"/>
      <c r="U397" s="151"/>
      <c r="V397" s="151">
        <v>45639</v>
      </c>
      <c r="W397" s="2">
        <f>VLOOKUP(Table1[[#This Row],[Status]],Auxiliar!$B$16:$D$24,3,0)*Table1[[#This Row],[Estimação (horas)]]</f>
        <v>2</v>
      </c>
      <c r="X397" s="166">
        <f>+VLOOKUP(CONCATENATE(Table1[[#This Row],[Tabela]],Table1[[#This Row],[Campo]]),'2. Status Detalhe Campos FY24'!A:J,9,FALSE)</f>
        <v>0</v>
      </c>
    </row>
    <row r="398" spans="2:24" ht="17.850000000000001" hidden="1" customHeight="1">
      <c r="B398" s="2" t="s">
        <v>26</v>
      </c>
      <c r="C398" s="2" t="s">
        <v>54</v>
      </c>
      <c r="D398" s="2" t="s">
        <v>124</v>
      </c>
      <c r="E398" s="2" t="s">
        <v>38</v>
      </c>
      <c r="F398" s="2" t="s">
        <v>123</v>
      </c>
      <c r="G398" s="2" t="s">
        <v>98</v>
      </c>
      <c r="H398" s="56" t="str">
        <f>Table1[[#This Row],[Tabela]]&amp;Table1[[#This Row],[Campo]]</f>
        <v>PROPERTY_ENERGY_CERTIFICATECADASTRAL_REGISTER_CODE</v>
      </c>
      <c r="I398" s="2" t="s">
        <v>612</v>
      </c>
      <c r="J398" s="42">
        <f>VLOOKUP(Table1[[#This Row],[Status]],Auxiliar!$B$16:$C$24,2,0)</f>
        <v>1</v>
      </c>
      <c r="K398" s="2" t="s">
        <v>1174</v>
      </c>
      <c r="L398" s="28" t="s">
        <v>1169</v>
      </c>
      <c r="M398" s="20" t="s">
        <v>1178</v>
      </c>
      <c r="N398" s="47">
        <v>45612</v>
      </c>
      <c r="O398" s="20">
        <f>INDEX(Auxiliar!$D$5:$F$13,MATCH(Table1[[#This Row],[Tipologia_Testes]],Auxiliar!$B$5:$B$13,0),MATCH(Table1[[#This Row],[Complexidade]],Auxiliar!$D$4:$F$4,0))</f>
        <v>0.1</v>
      </c>
      <c r="P398" s="2"/>
      <c r="Q398" s="2"/>
      <c r="R398" s="151">
        <v>45616</v>
      </c>
      <c r="S398" s="151"/>
      <c r="T398" s="151"/>
      <c r="U398" s="151"/>
      <c r="V398" s="151">
        <v>45639</v>
      </c>
      <c r="W398" s="2">
        <f>VLOOKUP(Table1[[#This Row],[Status]],Auxiliar!$B$16:$D$24,3,0)*Table1[[#This Row],[Estimação (horas)]]</f>
        <v>0.1</v>
      </c>
      <c r="X398" s="166">
        <f>+VLOOKUP(CONCATENATE(Table1[[#This Row],[Tabela]],Table1[[#This Row],[Campo]]),'2. Status Detalhe Campos FY24'!A:J,9,FALSE)</f>
        <v>0</v>
      </c>
    </row>
    <row r="399" spans="2:24" ht="17.850000000000001" hidden="1" customHeight="1">
      <c r="B399" s="2" t="s">
        <v>26</v>
      </c>
      <c r="C399" s="2" t="s">
        <v>54</v>
      </c>
      <c r="D399" s="2" t="s">
        <v>124</v>
      </c>
      <c r="E399" s="2" t="s">
        <v>38</v>
      </c>
      <c r="F399" s="2" t="s">
        <v>123</v>
      </c>
      <c r="G399" s="2" t="s">
        <v>101</v>
      </c>
      <c r="H399" s="56" t="str">
        <f>Table1[[#This Row],[Tabela]]&amp;Table1[[#This Row],[Campo]]</f>
        <v>PROPERTY_ENERGY_CERTIFICATEDISTRICT_MUNICIP_PARISH_CODE</v>
      </c>
      <c r="I399" s="2" t="s">
        <v>612</v>
      </c>
      <c r="J399" s="42">
        <f>VLOOKUP(Table1[[#This Row],[Status]],Auxiliar!$B$16:$C$24,2,0)</f>
        <v>1</v>
      </c>
      <c r="K399" s="2" t="s">
        <v>1171</v>
      </c>
      <c r="L399" s="28" t="s">
        <v>1169</v>
      </c>
      <c r="M399" s="20" t="s">
        <v>1178</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166">
        <f>+VLOOKUP(CONCATENATE(Table1[[#This Row],[Tabela]],Table1[[#This Row],[Campo]]),'2. Status Detalhe Campos FY24'!A:J,9,FALSE)</f>
        <v>0</v>
      </c>
    </row>
    <row r="400" spans="2:24" ht="17.850000000000001" hidden="1" customHeight="1">
      <c r="B400" s="2" t="s">
        <v>26</v>
      </c>
      <c r="C400" s="2" t="s">
        <v>54</v>
      </c>
      <c r="D400" s="2" t="s">
        <v>124</v>
      </c>
      <c r="E400" s="2" t="s">
        <v>38</v>
      </c>
      <c r="F400" s="2" t="s">
        <v>123</v>
      </c>
      <c r="G400" s="2" t="s">
        <v>101</v>
      </c>
      <c r="H400" s="56" t="str">
        <f>Table1[[#This Row],[Tabela]]&amp;Table1[[#This Row],[Campo]]</f>
        <v>PROPERTY_ENERGY_CERTIFICATEDISTRICT_MUNICIP_PARISH_CODE</v>
      </c>
      <c r="I400" s="2" t="s">
        <v>612</v>
      </c>
      <c r="J400" s="42">
        <f>VLOOKUP(Table1[[#This Row],[Status]],Auxiliar!$B$16:$C$24,2,0)</f>
        <v>1</v>
      </c>
      <c r="K400" s="2" t="s">
        <v>1172</v>
      </c>
      <c r="L400" s="28" t="s">
        <v>1169</v>
      </c>
      <c r="M400" s="20" t="s">
        <v>1178</v>
      </c>
      <c r="N400" s="47">
        <v>45612</v>
      </c>
      <c r="O400" s="20">
        <f>INDEX(Auxiliar!$D$5:$F$13,MATCH(Table1[[#This Row],[Tipologia_Testes]],Auxiliar!$B$5:$B$13,0),MATCH(Table1[[#This Row],[Complexidade]],Auxiliar!$D$4:$F$4,0))</f>
        <v>2</v>
      </c>
      <c r="P400" s="2"/>
      <c r="Q400" s="2"/>
      <c r="R400" s="151">
        <v>45616</v>
      </c>
      <c r="S400" s="151"/>
      <c r="T400" s="151"/>
      <c r="U400" s="151"/>
      <c r="V400" s="151">
        <v>45639</v>
      </c>
      <c r="W400" s="2">
        <f>VLOOKUP(Table1[[#This Row],[Status]],Auxiliar!$B$16:$D$24,3,0)*Table1[[#This Row],[Estimação (horas)]]</f>
        <v>2</v>
      </c>
      <c r="X400" s="166">
        <f>+VLOOKUP(CONCATENATE(Table1[[#This Row],[Tabela]],Table1[[#This Row],[Campo]]),'2. Status Detalhe Campos FY24'!A:J,9,FALSE)</f>
        <v>0</v>
      </c>
    </row>
    <row r="401" spans="2:24" ht="17.850000000000001" hidden="1" customHeight="1">
      <c r="B401" s="2" t="s">
        <v>26</v>
      </c>
      <c r="C401" s="2" t="s">
        <v>54</v>
      </c>
      <c r="D401" s="2" t="s">
        <v>124</v>
      </c>
      <c r="E401" s="2" t="s">
        <v>38</v>
      </c>
      <c r="F401" s="2" t="s">
        <v>123</v>
      </c>
      <c r="G401" s="2" t="s">
        <v>101</v>
      </c>
      <c r="H401" s="56" t="str">
        <f>Table1[[#This Row],[Tabela]]&amp;Table1[[#This Row],[Campo]]</f>
        <v>PROPERTY_ENERGY_CERTIFICATEDISTRICT_MUNICIP_PARISH_CODE</v>
      </c>
      <c r="I401" s="2" t="s">
        <v>612</v>
      </c>
      <c r="J401" s="42">
        <f>VLOOKUP(Table1[[#This Row],[Status]],Auxiliar!$B$16:$C$24,2,0)</f>
        <v>1</v>
      </c>
      <c r="K401" s="2" t="s">
        <v>1174</v>
      </c>
      <c r="L401" s="28" t="s">
        <v>1169</v>
      </c>
      <c r="M401" s="20" t="s">
        <v>1178</v>
      </c>
      <c r="N401" s="47">
        <v>45612</v>
      </c>
      <c r="O401" s="20">
        <f>INDEX(Auxiliar!$D$5:$F$13,MATCH(Table1[[#This Row],[Tipologia_Testes]],Auxiliar!$B$5:$B$13,0),MATCH(Table1[[#This Row],[Complexidade]],Auxiliar!$D$4:$F$4,0))</f>
        <v>0.1</v>
      </c>
      <c r="P401" s="2"/>
      <c r="Q401" s="2"/>
      <c r="R401" s="151">
        <v>45616</v>
      </c>
      <c r="S401" s="151"/>
      <c r="T401" s="151"/>
      <c r="U401" s="151"/>
      <c r="V401" s="151">
        <v>45639</v>
      </c>
      <c r="W401" s="2">
        <f>VLOOKUP(Table1[[#This Row],[Status]],Auxiliar!$B$16:$D$24,3,0)*Table1[[#This Row],[Estimação (horas)]]</f>
        <v>0.1</v>
      </c>
      <c r="X401" s="166">
        <f>+VLOOKUP(CONCATENATE(Table1[[#This Row],[Tabela]],Table1[[#This Row],[Campo]]),'2. Status Detalhe Campos FY24'!A:J,9,FALSE)</f>
        <v>0</v>
      </c>
    </row>
    <row r="402" spans="2:24" ht="17.850000000000001" hidden="1" customHeight="1">
      <c r="B402" s="2" t="s">
        <v>26</v>
      </c>
      <c r="C402" s="2" t="s">
        <v>54</v>
      </c>
      <c r="D402" s="2" t="s">
        <v>124</v>
      </c>
      <c r="E402" s="2" t="s">
        <v>38</v>
      </c>
      <c r="F402" s="2" t="s">
        <v>123</v>
      </c>
      <c r="G402" s="2" t="s">
        <v>102</v>
      </c>
      <c r="H402" s="56" t="str">
        <f>Table1[[#This Row],[Tabela]]&amp;Table1[[#This Row],[Campo]]</f>
        <v>PROPERTY_ENERGY_CERTIFICATEPROPERTY_PURPOSE_CODE</v>
      </c>
      <c r="I402" s="2" t="s">
        <v>612</v>
      </c>
      <c r="J402" s="42">
        <f>VLOOKUP(Table1[[#This Row],[Status]],Auxiliar!$B$16:$C$24,2,0)</f>
        <v>1</v>
      </c>
      <c r="K402" s="2" t="s">
        <v>1171</v>
      </c>
      <c r="L402" s="28" t="s">
        <v>1169</v>
      </c>
      <c r="M402" s="20" t="s">
        <v>1178</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166">
        <f>+VLOOKUP(CONCATENATE(Table1[[#This Row],[Tabela]],Table1[[#This Row],[Campo]]),'2. Status Detalhe Campos FY24'!A:J,9,FALSE)</f>
        <v>0</v>
      </c>
    </row>
    <row r="403" spans="2:24" ht="17.850000000000001" hidden="1" customHeight="1">
      <c r="B403" s="2" t="s">
        <v>26</v>
      </c>
      <c r="C403" s="2" t="s">
        <v>54</v>
      </c>
      <c r="D403" s="2" t="s">
        <v>124</v>
      </c>
      <c r="E403" s="2" t="s">
        <v>38</v>
      </c>
      <c r="F403" s="2" t="s">
        <v>123</v>
      </c>
      <c r="G403" s="2" t="s">
        <v>102</v>
      </c>
      <c r="H403" s="56" t="str">
        <f>Table1[[#This Row],[Tabela]]&amp;Table1[[#This Row],[Campo]]</f>
        <v>PROPERTY_ENERGY_CERTIFICATEPROPERTY_PURPOSE_CODE</v>
      </c>
      <c r="I403" s="2" t="s">
        <v>612</v>
      </c>
      <c r="J403" s="42">
        <f>VLOOKUP(Table1[[#This Row],[Status]],Auxiliar!$B$16:$C$24,2,0)</f>
        <v>1</v>
      </c>
      <c r="K403" s="2" t="s">
        <v>1172</v>
      </c>
      <c r="L403" s="28" t="s">
        <v>1169</v>
      </c>
      <c r="M403" s="20" t="s">
        <v>1178</v>
      </c>
      <c r="N403" s="47">
        <v>45612</v>
      </c>
      <c r="O403" s="20">
        <f>INDEX(Auxiliar!$D$5:$F$13,MATCH(Table1[[#This Row],[Tipologia_Testes]],Auxiliar!$B$5:$B$13,0),MATCH(Table1[[#This Row],[Complexidade]],Auxiliar!$D$4:$F$4,0))</f>
        <v>2</v>
      </c>
      <c r="P403" s="2"/>
      <c r="Q403" s="2"/>
      <c r="R403" s="151">
        <v>45616</v>
      </c>
      <c r="S403" s="151"/>
      <c r="T403" s="151"/>
      <c r="U403" s="151"/>
      <c r="V403" s="151">
        <v>45639</v>
      </c>
      <c r="W403" s="2">
        <f>VLOOKUP(Table1[[#This Row],[Status]],Auxiliar!$B$16:$D$24,3,0)*Table1[[#This Row],[Estimação (horas)]]</f>
        <v>2</v>
      </c>
      <c r="X403" s="166">
        <f>+VLOOKUP(CONCATENATE(Table1[[#This Row],[Tabela]],Table1[[#This Row],[Campo]]),'2. Status Detalhe Campos FY24'!A:J,9,FALSE)</f>
        <v>0</v>
      </c>
    </row>
    <row r="404" spans="2:24" ht="17.850000000000001" hidden="1" customHeight="1">
      <c r="B404" s="2" t="s">
        <v>26</v>
      </c>
      <c r="C404" s="2" t="s">
        <v>54</v>
      </c>
      <c r="D404" s="2" t="s">
        <v>124</v>
      </c>
      <c r="E404" s="2" t="s">
        <v>38</v>
      </c>
      <c r="F404" s="2" t="s">
        <v>123</v>
      </c>
      <c r="G404" s="2" t="s">
        <v>102</v>
      </c>
      <c r="H404" s="56" t="str">
        <f>Table1[[#This Row],[Tabela]]&amp;Table1[[#This Row],[Campo]]</f>
        <v>PROPERTY_ENERGY_CERTIFICATEPROPERTY_PURPOSE_CODE</v>
      </c>
      <c r="I404" s="2" t="s">
        <v>612</v>
      </c>
      <c r="J404" s="42">
        <f>VLOOKUP(Table1[[#This Row],[Status]],Auxiliar!$B$16:$C$24,2,0)</f>
        <v>1</v>
      </c>
      <c r="K404" s="2" t="s">
        <v>1174</v>
      </c>
      <c r="L404" s="28" t="s">
        <v>1169</v>
      </c>
      <c r="M404" s="20" t="s">
        <v>1178</v>
      </c>
      <c r="N404" s="47">
        <v>45612</v>
      </c>
      <c r="O404" s="20">
        <f>INDEX(Auxiliar!$D$5:$F$13,MATCH(Table1[[#This Row],[Tipologia_Testes]],Auxiliar!$B$5:$B$13,0),MATCH(Table1[[#This Row],[Complexidade]],Auxiliar!$D$4:$F$4,0))</f>
        <v>0.1</v>
      </c>
      <c r="P404" s="2"/>
      <c r="Q404" s="2"/>
      <c r="R404" s="151">
        <v>45616</v>
      </c>
      <c r="S404" s="151"/>
      <c r="T404" s="151"/>
      <c r="U404" s="151"/>
      <c r="V404" s="151">
        <v>45639</v>
      </c>
      <c r="W404" s="2">
        <f>VLOOKUP(Table1[[#This Row],[Status]],Auxiliar!$B$16:$D$24,3,0)*Table1[[#This Row],[Estimação (horas)]]</f>
        <v>0.1</v>
      </c>
      <c r="X404" s="166">
        <f>+VLOOKUP(CONCATENATE(Table1[[#This Row],[Tabela]],Table1[[#This Row],[Campo]]),'2. Status Detalhe Campos FY24'!A:J,9,FALSE)</f>
        <v>0</v>
      </c>
    </row>
    <row r="405" spans="2:24" ht="17.850000000000001" hidden="1" customHeight="1">
      <c r="B405" s="2" t="s">
        <v>26</v>
      </c>
      <c r="C405" s="2" t="s">
        <v>54</v>
      </c>
      <c r="D405" s="2" t="s">
        <v>124</v>
      </c>
      <c r="E405" s="2" t="s">
        <v>38</v>
      </c>
      <c r="F405" s="2" t="s">
        <v>123</v>
      </c>
      <c r="G405" s="2" t="s">
        <v>104</v>
      </c>
      <c r="H405" s="56" t="str">
        <f>Table1[[#This Row],[Tabela]]&amp;Table1[[#This Row],[Campo]]</f>
        <v>PROPERTY_ENERGY_CERTIFICATEADDRESS_CODE</v>
      </c>
      <c r="I405" s="2" t="s">
        <v>612</v>
      </c>
      <c r="J405" s="42">
        <f>VLOOKUP(Table1[[#This Row],[Status]],Auxiliar!$B$16:$C$24,2,0)</f>
        <v>1</v>
      </c>
      <c r="K405" s="2" t="s">
        <v>1171</v>
      </c>
      <c r="L405" s="28" t="s">
        <v>1169</v>
      </c>
      <c r="M405" s="20" t="s">
        <v>1178</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166">
        <f>+VLOOKUP(CONCATENATE(Table1[[#This Row],[Tabela]],Table1[[#This Row],[Campo]]),'2. Status Detalhe Campos FY24'!A:J,9,FALSE)</f>
        <v>0</v>
      </c>
    </row>
    <row r="406" spans="2:24" ht="17.850000000000001" hidden="1" customHeight="1">
      <c r="B406" s="2" t="s">
        <v>26</v>
      </c>
      <c r="C406" s="2" t="s">
        <v>54</v>
      </c>
      <c r="D406" s="2" t="s">
        <v>124</v>
      </c>
      <c r="E406" s="2" t="s">
        <v>38</v>
      </c>
      <c r="F406" s="2" t="s">
        <v>123</v>
      </c>
      <c r="G406" s="2" t="s">
        <v>104</v>
      </c>
      <c r="H406" s="56" t="str">
        <f>Table1[[#This Row],[Tabela]]&amp;Table1[[#This Row],[Campo]]</f>
        <v>PROPERTY_ENERGY_CERTIFICATEADDRESS_CODE</v>
      </c>
      <c r="I406" s="2" t="s">
        <v>612</v>
      </c>
      <c r="J406" s="42">
        <f>VLOOKUP(Table1[[#This Row],[Status]],Auxiliar!$B$16:$C$24,2,0)</f>
        <v>1</v>
      </c>
      <c r="K406" s="2" t="s">
        <v>1172</v>
      </c>
      <c r="L406" s="28" t="s">
        <v>1169</v>
      </c>
      <c r="M406" s="20" t="s">
        <v>1178</v>
      </c>
      <c r="N406" s="47">
        <v>45612</v>
      </c>
      <c r="O406" s="20">
        <f>INDEX(Auxiliar!$D$5:$F$13,MATCH(Table1[[#This Row],[Tipologia_Testes]],Auxiliar!$B$5:$B$13,0),MATCH(Table1[[#This Row],[Complexidade]],Auxiliar!$D$4:$F$4,0))</f>
        <v>2</v>
      </c>
      <c r="P406" s="2"/>
      <c r="Q406" s="2"/>
      <c r="R406" s="151">
        <v>45616</v>
      </c>
      <c r="S406" s="151"/>
      <c r="T406" s="151"/>
      <c r="U406" s="151"/>
      <c r="V406" s="151">
        <v>45639</v>
      </c>
      <c r="W406" s="2">
        <f>VLOOKUP(Table1[[#This Row],[Status]],Auxiliar!$B$16:$D$24,3,0)*Table1[[#This Row],[Estimação (horas)]]</f>
        <v>2</v>
      </c>
      <c r="X406" s="166">
        <f>+VLOOKUP(CONCATENATE(Table1[[#This Row],[Tabela]],Table1[[#This Row],[Campo]]),'2. Status Detalhe Campos FY24'!A:J,9,FALSE)</f>
        <v>0</v>
      </c>
    </row>
    <row r="407" spans="2:24" ht="17.850000000000001" hidden="1" customHeight="1">
      <c r="B407" s="2" t="s">
        <v>26</v>
      </c>
      <c r="C407" s="2" t="s">
        <v>54</v>
      </c>
      <c r="D407" s="2" t="s">
        <v>124</v>
      </c>
      <c r="E407" s="2" t="s">
        <v>38</v>
      </c>
      <c r="F407" s="2" t="s">
        <v>123</v>
      </c>
      <c r="G407" s="2" t="s">
        <v>104</v>
      </c>
      <c r="H407" s="56" t="str">
        <f>Table1[[#This Row],[Tabela]]&amp;Table1[[#This Row],[Campo]]</f>
        <v>PROPERTY_ENERGY_CERTIFICATEADDRESS_CODE</v>
      </c>
      <c r="I407" s="2" t="s">
        <v>612</v>
      </c>
      <c r="J407" s="42">
        <f>VLOOKUP(Table1[[#This Row],[Status]],Auxiliar!$B$16:$C$24,2,0)</f>
        <v>1</v>
      </c>
      <c r="K407" s="2" t="s">
        <v>1174</v>
      </c>
      <c r="L407" s="28" t="s">
        <v>1169</v>
      </c>
      <c r="M407" s="20" t="s">
        <v>1178</v>
      </c>
      <c r="N407" s="47">
        <v>45612</v>
      </c>
      <c r="O407" s="20">
        <f>INDEX(Auxiliar!$D$5:$F$13,MATCH(Table1[[#This Row],[Tipologia_Testes]],Auxiliar!$B$5:$B$13,0),MATCH(Table1[[#This Row],[Complexidade]],Auxiliar!$D$4:$F$4,0))</f>
        <v>0.1</v>
      </c>
      <c r="P407" s="2"/>
      <c r="Q407" s="2"/>
      <c r="R407" s="151">
        <v>45616</v>
      </c>
      <c r="S407" s="151"/>
      <c r="T407" s="151"/>
      <c r="U407" s="151"/>
      <c r="V407" s="151">
        <v>45639</v>
      </c>
      <c r="W407" s="2">
        <f>VLOOKUP(Table1[[#This Row],[Status]],Auxiliar!$B$16:$D$24,3,0)*Table1[[#This Row],[Estimação (horas)]]</f>
        <v>0.1</v>
      </c>
      <c r="X407" s="166">
        <f>+VLOOKUP(CONCATENATE(Table1[[#This Row],[Tabela]],Table1[[#This Row],[Campo]]),'2. Status Detalhe Campos FY24'!A:J,9,FALSE)</f>
        <v>0</v>
      </c>
    </row>
    <row r="408" spans="2:24" ht="17.850000000000001" hidden="1" customHeight="1">
      <c r="B408" s="2" t="s">
        <v>26</v>
      </c>
      <c r="C408" s="2" t="s">
        <v>54</v>
      </c>
      <c r="D408" s="2" t="s">
        <v>124</v>
      </c>
      <c r="E408" s="2" t="s">
        <v>38</v>
      </c>
      <c r="F408" s="2" t="s">
        <v>123</v>
      </c>
      <c r="G408" s="2" t="s">
        <v>111</v>
      </c>
      <c r="H408" s="56" t="str">
        <f>Table1[[#This Row],[Tabela]]&amp;Table1[[#This Row],[Campo]]</f>
        <v>PROPERTY_ENERGY_CERTIFICATEFLOOR_NUMBER</v>
      </c>
      <c r="I408" s="2" t="s">
        <v>612</v>
      </c>
      <c r="J408" s="42">
        <f>VLOOKUP(Table1[[#This Row],[Status]],Auxiliar!$B$16:$C$24,2,0)</f>
        <v>1</v>
      </c>
      <c r="K408" s="2" t="s">
        <v>1171</v>
      </c>
      <c r="L408" s="28" t="s">
        <v>1169</v>
      </c>
      <c r="M408" s="20" t="s">
        <v>1178</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166">
        <f>+VLOOKUP(CONCATENATE(Table1[[#This Row],[Tabela]],Table1[[#This Row],[Campo]]),'2. Status Detalhe Campos FY24'!A:J,9,FALSE)</f>
        <v>0</v>
      </c>
    </row>
    <row r="409" spans="2:24" ht="17.850000000000001" hidden="1" customHeight="1">
      <c r="B409" s="2" t="s">
        <v>26</v>
      </c>
      <c r="C409" s="2" t="s">
        <v>54</v>
      </c>
      <c r="D409" s="2" t="s">
        <v>124</v>
      </c>
      <c r="E409" s="2" t="s">
        <v>38</v>
      </c>
      <c r="F409" s="2" t="s">
        <v>123</v>
      </c>
      <c r="G409" s="2" t="s">
        <v>111</v>
      </c>
      <c r="H409" s="56" t="str">
        <f>Table1[[#This Row],[Tabela]]&amp;Table1[[#This Row],[Campo]]</f>
        <v>PROPERTY_ENERGY_CERTIFICATEFLOOR_NUMBER</v>
      </c>
      <c r="I409" s="2" t="s">
        <v>612</v>
      </c>
      <c r="J409" s="42">
        <f>VLOOKUP(Table1[[#This Row],[Status]],Auxiliar!$B$16:$C$24,2,0)</f>
        <v>1</v>
      </c>
      <c r="K409" s="2" t="s">
        <v>1172</v>
      </c>
      <c r="L409" s="28" t="s">
        <v>1169</v>
      </c>
      <c r="M409" s="20" t="s">
        <v>1178</v>
      </c>
      <c r="N409" s="47">
        <v>45612</v>
      </c>
      <c r="O409" s="20">
        <f>INDEX(Auxiliar!$D$5:$F$13,MATCH(Table1[[#This Row],[Tipologia_Testes]],Auxiliar!$B$5:$B$13,0),MATCH(Table1[[#This Row],[Complexidade]],Auxiliar!$D$4:$F$4,0))</f>
        <v>2</v>
      </c>
      <c r="P409" s="2"/>
      <c r="Q409" s="2"/>
      <c r="R409" s="151">
        <v>45616</v>
      </c>
      <c r="S409" s="151"/>
      <c r="T409" s="151"/>
      <c r="U409" s="151"/>
      <c r="V409" s="151">
        <v>45639</v>
      </c>
      <c r="W409" s="2">
        <f>VLOOKUP(Table1[[#This Row],[Status]],Auxiliar!$B$16:$D$24,3,0)*Table1[[#This Row],[Estimação (horas)]]</f>
        <v>2</v>
      </c>
      <c r="X409" s="166">
        <f>+VLOOKUP(CONCATENATE(Table1[[#This Row],[Tabela]],Table1[[#This Row],[Campo]]),'2. Status Detalhe Campos FY24'!A:J,9,FALSE)</f>
        <v>0</v>
      </c>
    </row>
    <row r="410" spans="2:24" ht="17.850000000000001" hidden="1" customHeight="1">
      <c r="B410" s="2" t="s">
        <v>26</v>
      </c>
      <c r="C410" s="2" t="s">
        <v>54</v>
      </c>
      <c r="D410" s="2" t="s">
        <v>124</v>
      </c>
      <c r="E410" s="2" t="s">
        <v>38</v>
      </c>
      <c r="F410" s="2" t="s">
        <v>123</v>
      </c>
      <c r="G410" s="2" t="s">
        <v>111</v>
      </c>
      <c r="H410" s="56" t="str">
        <f>Table1[[#This Row],[Tabela]]&amp;Table1[[#This Row],[Campo]]</f>
        <v>PROPERTY_ENERGY_CERTIFICATEFLOOR_NUMBER</v>
      </c>
      <c r="I410" s="2" t="s">
        <v>612</v>
      </c>
      <c r="J410" s="42">
        <f>VLOOKUP(Table1[[#This Row],[Status]],Auxiliar!$B$16:$C$24,2,0)</f>
        <v>1</v>
      </c>
      <c r="K410" s="2" t="s">
        <v>1174</v>
      </c>
      <c r="L410" s="28" t="s">
        <v>1169</v>
      </c>
      <c r="M410" s="20" t="s">
        <v>1178</v>
      </c>
      <c r="N410" s="47">
        <v>45612</v>
      </c>
      <c r="O410" s="20">
        <f>INDEX(Auxiliar!$D$5:$F$13,MATCH(Table1[[#This Row],[Tipologia_Testes]],Auxiliar!$B$5:$B$13,0),MATCH(Table1[[#This Row],[Complexidade]],Auxiliar!$D$4:$F$4,0))</f>
        <v>0.1</v>
      </c>
      <c r="P410" s="2"/>
      <c r="Q410" s="2"/>
      <c r="R410" s="151">
        <v>45616</v>
      </c>
      <c r="S410" s="151"/>
      <c r="T410" s="151"/>
      <c r="U410" s="151"/>
      <c r="V410" s="151">
        <v>45639</v>
      </c>
      <c r="W410" s="2">
        <f>VLOOKUP(Table1[[#This Row],[Status]],Auxiliar!$B$16:$D$24,3,0)*Table1[[#This Row],[Estimação (horas)]]</f>
        <v>0.1</v>
      </c>
      <c r="X410" s="166">
        <f>+VLOOKUP(CONCATENATE(Table1[[#This Row],[Tabela]],Table1[[#This Row],[Campo]]),'2. Status Detalhe Campos FY24'!A:J,9,FALSE)</f>
        <v>0</v>
      </c>
    </row>
    <row r="411" spans="2:24" ht="17.850000000000001" hidden="1" customHeight="1">
      <c r="B411" s="2" t="s">
        <v>26</v>
      </c>
      <c r="C411" s="2" t="s">
        <v>54</v>
      </c>
      <c r="D411" s="2" t="s">
        <v>124</v>
      </c>
      <c r="E411" s="2" t="s">
        <v>38</v>
      </c>
      <c r="F411" s="2" t="s">
        <v>123</v>
      </c>
      <c r="G411" s="2" t="s">
        <v>112</v>
      </c>
      <c r="H411" s="56" t="str">
        <f>Table1[[#This Row],[Tabela]]&amp;Table1[[#This Row],[Campo]]</f>
        <v>PROPERTY_ENERGY_CERTIFICATELOCALITY</v>
      </c>
      <c r="I411" s="2" t="s">
        <v>612</v>
      </c>
      <c r="J411" s="42">
        <f>VLOOKUP(Table1[[#This Row],[Status]],Auxiliar!$B$16:$C$24,2,0)</f>
        <v>1</v>
      </c>
      <c r="K411" s="2" t="s">
        <v>1171</v>
      </c>
      <c r="L411" s="28" t="s">
        <v>1169</v>
      </c>
      <c r="M411" s="20" t="s">
        <v>1178</v>
      </c>
      <c r="N411" s="47">
        <v>45612</v>
      </c>
      <c r="O411" s="20">
        <f>INDEX(Auxiliar!$D$5:$F$13,MATCH(Table1[[#This Row],[Tipologia_Testes]],Auxiliar!$B$5:$B$13,0),MATCH(Table1[[#This Row],[Complexidade]],Auxiliar!$D$4:$F$4,0))</f>
        <v>2</v>
      </c>
      <c r="P411" s="2"/>
      <c r="Q411" s="2"/>
      <c r="R411" s="151">
        <v>45616</v>
      </c>
      <c r="S411" s="151"/>
      <c r="T411" s="151"/>
      <c r="U411" s="151"/>
      <c r="V411" s="151">
        <v>45639</v>
      </c>
      <c r="W411" s="2">
        <f>VLOOKUP(Table1[[#This Row],[Status]],Auxiliar!$B$16:$D$24,3,0)*Table1[[#This Row],[Estimação (horas)]]</f>
        <v>2</v>
      </c>
      <c r="X411" s="166">
        <f>+VLOOKUP(CONCATENATE(Table1[[#This Row],[Tabela]],Table1[[#This Row],[Campo]]),'2. Status Detalhe Campos FY24'!A:J,9,FALSE)</f>
        <v>0</v>
      </c>
    </row>
    <row r="412" spans="2:24" ht="17.850000000000001" hidden="1" customHeight="1">
      <c r="B412" s="2" t="s">
        <v>26</v>
      </c>
      <c r="C412" s="2" t="s">
        <v>54</v>
      </c>
      <c r="D412" s="2" t="s">
        <v>124</v>
      </c>
      <c r="E412" s="2" t="s">
        <v>38</v>
      </c>
      <c r="F412" s="2" t="s">
        <v>123</v>
      </c>
      <c r="G412" s="2" t="s">
        <v>112</v>
      </c>
      <c r="H412" s="56" t="str">
        <f>Table1[[#This Row],[Tabela]]&amp;Table1[[#This Row],[Campo]]</f>
        <v>PROPERTY_ENERGY_CERTIFICATELOCALITY</v>
      </c>
      <c r="I412" s="2" t="s">
        <v>612</v>
      </c>
      <c r="J412" s="42">
        <f>VLOOKUP(Table1[[#This Row],[Status]],Auxiliar!$B$16:$C$24,2,0)</f>
        <v>1</v>
      </c>
      <c r="K412" s="2" t="s">
        <v>1172</v>
      </c>
      <c r="L412" s="28" t="s">
        <v>1169</v>
      </c>
      <c r="M412" s="20" t="s">
        <v>1178</v>
      </c>
      <c r="N412" s="47">
        <v>45612</v>
      </c>
      <c r="O412" s="20">
        <f>INDEX(Auxiliar!$D$5:$F$13,MATCH(Table1[[#This Row],[Tipologia_Testes]],Auxiliar!$B$5:$B$13,0),MATCH(Table1[[#This Row],[Complexidade]],Auxiliar!$D$4:$F$4,0))</f>
        <v>2</v>
      </c>
      <c r="P412" s="2"/>
      <c r="Q412" s="2"/>
      <c r="R412" s="151">
        <v>45616</v>
      </c>
      <c r="S412" s="151"/>
      <c r="T412" s="151"/>
      <c r="U412" s="151"/>
      <c r="V412" s="151">
        <v>45639</v>
      </c>
      <c r="W412" s="2">
        <f>VLOOKUP(Table1[[#This Row],[Status]],Auxiliar!$B$16:$D$24,3,0)*Table1[[#This Row],[Estimação (horas)]]</f>
        <v>2</v>
      </c>
      <c r="X412" s="166">
        <f>+VLOOKUP(CONCATENATE(Table1[[#This Row],[Tabela]],Table1[[#This Row],[Campo]]),'2. Status Detalhe Campos FY24'!A:J,9,FALSE)</f>
        <v>0</v>
      </c>
    </row>
    <row r="413" spans="2:24" ht="17.850000000000001" hidden="1" customHeight="1">
      <c r="B413" s="2" t="s">
        <v>26</v>
      </c>
      <c r="C413" s="2" t="s">
        <v>54</v>
      </c>
      <c r="D413" s="2" t="s">
        <v>124</v>
      </c>
      <c r="E413" s="2" t="s">
        <v>38</v>
      </c>
      <c r="F413" s="2" t="s">
        <v>123</v>
      </c>
      <c r="G413" s="2" t="s">
        <v>112</v>
      </c>
      <c r="H413" s="56" t="str">
        <f>Table1[[#This Row],[Tabela]]&amp;Table1[[#This Row],[Campo]]</f>
        <v>PROPERTY_ENERGY_CERTIFICATELOCALITY</v>
      </c>
      <c r="I413" s="2" t="s">
        <v>612</v>
      </c>
      <c r="J413" s="42">
        <f>VLOOKUP(Table1[[#This Row],[Status]],Auxiliar!$B$16:$C$24,2,0)</f>
        <v>1</v>
      </c>
      <c r="K413" s="2" t="s">
        <v>1174</v>
      </c>
      <c r="L413" s="28" t="s">
        <v>1169</v>
      </c>
      <c r="M413" s="20" t="s">
        <v>1178</v>
      </c>
      <c r="N413" s="47">
        <v>45612</v>
      </c>
      <c r="O413" s="20">
        <f>INDEX(Auxiliar!$D$5:$F$13,MATCH(Table1[[#This Row],[Tipologia_Testes]],Auxiliar!$B$5:$B$13,0),MATCH(Table1[[#This Row],[Complexidade]],Auxiliar!$D$4:$F$4,0))</f>
        <v>0.1</v>
      </c>
      <c r="P413" s="2"/>
      <c r="Q413" s="2"/>
      <c r="R413" s="151">
        <v>45616</v>
      </c>
      <c r="S413" s="151"/>
      <c r="T413" s="151"/>
      <c r="U413" s="151"/>
      <c r="V413" s="151">
        <v>45639</v>
      </c>
      <c r="W413" s="2">
        <f>VLOOKUP(Table1[[#This Row],[Status]],Auxiliar!$B$16:$D$24,3,0)*Table1[[#This Row],[Estimação (horas)]]</f>
        <v>0.1</v>
      </c>
      <c r="X413" s="166">
        <f>+VLOOKUP(CONCATENATE(Table1[[#This Row],[Tabela]],Table1[[#This Row],[Campo]]),'2. Status Detalhe Campos FY24'!A:J,9,FALSE)</f>
        <v>0</v>
      </c>
    </row>
    <row r="414" spans="2:24" ht="17.850000000000001" hidden="1" customHeight="1">
      <c r="B414" s="2" t="s">
        <v>26</v>
      </c>
      <c r="C414" s="2" t="s">
        <v>54</v>
      </c>
      <c r="D414" s="2" t="s">
        <v>124</v>
      </c>
      <c r="E414" s="2" t="s">
        <v>38</v>
      </c>
      <c r="F414" s="2" t="s">
        <v>123</v>
      </c>
      <c r="G414" s="2" t="s">
        <v>1963</v>
      </c>
      <c r="H414" s="56" t="str">
        <f>Table1[[#This Row],[Tabela]]&amp;Table1[[#This Row],[Campo]]</f>
        <v>PROPERTY_ENERGY_CERTIFICATECURRENT_ENERGY_RATING_PERCENTAGE</v>
      </c>
      <c r="I414" s="2" t="s">
        <v>612</v>
      </c>
      <c r="J414" s="42">
        <f>VLOOKUP(Table1[[#This Row],[Status]],Auxiliar!$B$16:$C$24,2,0)</f>
        <v>1</v>
      </c>
      <c r="K414" s="2" t="s">
        <v>1171</v>
      </c>
      <c r="L414" s="28" t="s">
        <v>1169</v>
      </c>
      <c r="M414" s="20" t="s">
        <v>1178</v>
      </c>
      <c r="N414" s="47">
        <v>45695</v>
      </c>
      <c r="O414" s="20">
        <f>INDEX(Auxiliar!$D$5:$F$13,MATCH(Table1[[#This Row],[Tipologia_Testes]],Auxiliar!$B$5:$B$13,0),MATCH(Table1[[#This Row],[Complexidade]],Auxiliar!$D$4:$F$4,0))</f>
        <v>2</v>
      </c>
      <c r="P414" s="2"/>
      <c r="Q414" s="2"/>
      <c r="R414" s="151"/>
      <c r="S414" s="151"/>
      <c r="T414" s="151"/>
      <c r="U414" s="151"/>
      <c r="V414" s="151"/>
      <c r="W414" s="2">
        <f>VLOOKUP(Table1[[#This Row],[Status]],Auxiliar!$B$16:$D$24,3,0)*Table1[[#This Row],[Estimação (horas)]]</f>
        <v>2</v>
      </c>
      <c r="X414" s="166">
        <f>+VLOOKUP(CONCATENATE(Table1[[#This Row],[Tabela]],Table1[[#This Row],[Campo]]),'2. Status Detalhe Campos FY24'!A:J,9,FALSE)</f>
        <v>0</v>
      </c>
    </row>
    <row r="415" spans="2:24" ht="17.850000000000001" hidden="1" customHeight="1">
      <c r="B415" s="2" t="s">
        <v>26</v>
      </c>
      <c r="C415" s="2" t="s">
        <v>54</v>
      </c>
      <c r="D415" s="2" t="s">
        <v>124</v>
      </c>
      <c r="E415" s="2" t="s">
        <v>38</v>
      </c>
      <c r="F415" s="2" t="s">
        <v>123</v>
      </c>
      <c r="G415" s="2" t="s">
        <v>1963</v>
      </c>
      <c r="H415" s="56" t="str">
        <f>Table1[[#This Row],[Tabela]]&amp;Table1[[#This Row],[Campo]]</f>
        <v>PROPERTY_ENERGY_CERTIFICATECURRENT_ENERGY_RATING_PERCENTAGE</v>
      </c>
      <c r="I415" s="2" t="s">
        <v>612</v>
      </c>
      <c r="J415" s="42">
        <f>VLOOKUP(Table1[[#This Row],[Status]],Auxiliar!$B$16:$C$24,2,0)</f>
        <v>1</v>
      </c>
      <c r="K415" s="2" t="s">
        <v>1172</v>
      </c>
      <c r="L415" s="28" t="s">
        <v>1169</v>
      </c>
      <c r="M415" s="20" t="s">
        <v>1178</v>
      </c>
      <c r="N415" s="47">
        <v>45695</v>
      </c>
      <c r="O415" s="20">
        <f>INDEX(Auxiliar!$D$5:$F$13,MATCH(Table1[[#This Row],[Tipologia_Testes]],Auxiliar!$B$5:$B$13,0),MATCH(Table1[[#This Row],[Complexidade]],Auxiliar!$D$4:$F$4,0))</f>
        <v>2</v>
      </c>
      <c r="P415" s="2"/>
      <c r="Q415" s="2"/>
      <c r="R415" s="151"/>
      <c r="S415" s="151"/>
      <c r="T415" s="151"/>
      <c r="U415" s="151"/>
      <c r="V415" s="151"/>
      <c r="W415" s="2">
        <f>VLOOKUP(Table1[[#This Row],[Status]],Auxiliar!$B$16:$D$24,3,0)*Table1[[#This Row],[Estimação (horas)]]</f>
        <v>2</v>
      </c>
      <c r="X415" s="166">
        <f>+VLOOKUP(CONCATENATE(Table1[[#This Row],[Tabela]],Table1[[#This Row],[Campo]]),'2. Status Detalhe Campos FY24'!A:J,9,FALSE)</f>
        <v>0</v>
      </c>
    </row>
    <row r="416" spans="2:24" ht="17.850000000000001" hidden="1" customHeight="1">
      <c r="B416" s="2" t="s">
        <v>26</v>
      </c>
      <c r="C416" s="2" t="s">
        <v>54</v>
      </c>
      <c r="D416" s="2" t="s">
        <v>124</v>
      </c>
      <c r="E416" s="2" t="s">
        <v>38</v>
      </c>
      <c r="F416" s="2" t="s">
        <v>123</v>
      </c>
      <c r="G416" s="64" t="s">
        <v>2441</v>
      </c>
      <c r="H416" s="56" t="str">
        <f>Table1[[#This Row],[Tabela]]&amp;Table1[[#This Row],[Campo]]</f>
        <v>PROPERTY_ENERGY_CERTIFICATEGPS_LATITUDE</v>
      </c>
      <c r="I416" s="2" t="s">
        <v>612</v>
      </c>
      <c r="J416" s="42">
        <f>VLOOKUP(Table1[[#This Row],[Status]],Auxiliar!$B$16:$C$24,2,0)</f>
        <v>1</v>
      </c>
      <c r="K416" s="2" t="s">
        <v>1171</v>
      </c>
      <c r="L416" s="28" t="s">
        <v>1169</v>
      </c>
      <c r="M416" s="20" t="s">
        <v>1178</v>
      </c>
      <c r="N416" s="47">
        <v>45695</v>
      </c>
      <c r="O416" s="20">
        <f>INDEX(Auxiliar!$D$5:$F$11,MATCH(Table1[[#This Row],[Tipologia_Testes]],Auxiliar!$B$5:$B$11,0),MATCH(Table1[[#This Row],[Complexidade]],Auxiliar!$D$4:$F$4,0))</f>
        <v>2</v>
      </c>
      <c r="P416" s="2"/>
      <c r="Q416" s="2"/>
      <c r="R416" s="151"/>
      <c r="S416" s="151"/>
      <c r="T416" s="151"/>
      <c r="U416" s="151"/>
      <c r="V416" s="151"/>
      <c r="W416" s="2">
        <f>VLOOKUP(Table1[[#This Row],[Status]],Auxiliar!$B$16:$D$24,3,0)*Table1[[#This Row],[Estimação (horas)]]</f>
        <v>2</v>
      </c>
      <c r="X416" s="166">
        <f>+VLOOKUP(CONCATENATE(Table1[[#This Row],[Tabela]],Table1[[#This Row],[Campo]]),'2. Status Detalhe Campos FY24'!A:J,9,FALSE)</f>
        <v>0</v>
      </c>
    </row>
    <row r="417" spans="2:24" ht="17.850000000000001" hidden="1" customHeight="1">
      <c r="B417" s="2" t="s">
        <v>26</v>
      </c>
      <c r="C417" s="2" t="s">
        <v>54</v>
      </c>
      <c r="D417" s="2" t="s">
        <v>124</v>
      </c>
      <c r="E417" s="2" t="s">
        <v>38</v>
      </c>
      <c r="F417" s="2" t="s">
        <v>123</v>
      </c>
      <c r="G417" s="64" t="s">
        <v>2442</v>
      </c>
      <c r="H417" s="56" t="str">
        <f>Table1[[#This Row],[Tabela]]&amp;Table1[[#This Row],[Campo]]</f>
        <v>PROPERTY_ENERGY_CERTIFICATEGPS_LONGITUDE</v>
      </c>
      <c r="I417" s="2" t="s">
        <v>612</v>
      </c>
      <c r="J417" s="42">
        <f>VLOOKUP(Table1[[#This Row],[Status]],Auxiliar!$B$16:$C$24,2,0)</f>
        <v>1</v>
      </c>
      <c r="K417" s="2" t="s">
        <v>1171</v>
      </c>
      <c r="L417" s="28" t="s">
        <v>1169</v>
      </c>
      <c r="M417" s="20" t="s">
        <v>1178</v>
      </c>
      <c r="N417" s="47">
        <v>45695</v>
      </c>
      <c r="O417" s="20">
        <f>INDEX(Auxiliar!$D$5:$F$11,MATCH(Table1[[#This Row],[Tipologia_Testes]],Auxiliar!$B$5:$B$11,0),MATCH(Table1[[#This Row],[Complexidade]],Auxiliar!$D$4:$F$4,0))</f>
        <v>2</v>
      </c>
      <c r="P417" s="2"/>
      <c r="Q417" s="2"/>
      <c r="R417" s="151"/>
      <c r="S417" s="151"/>
      <c r="T417" s="151"/>
      <c r="U417" s="151"/>
      <c r="V417" s="151"/>
      <c r="W417" s="2">
        <f>VLOOKUP(Table1[[#This Row],[Status]],Auxiliar!$B$16:$D$24,3,0)*Table1[[#This Row],[Estimação (horas)]]</f>
        <v>2</v>
      </c>
      <c r="X417" s="166">
        <f>+VLOOKUP(CONCATENATE(Table1[[#This Row],[Tabela]],Table1[[#This Row],[Campo]]),'2. Status Detalhe Campos FY24'!A:J,9,FALSE)</f>
        <v>0</v>
      </c>
    </row>
    <row r="418" spans="2:24" ht="69.599999999999994" hidden="1" customHeight="1">
      <c r="B418" s="2" t="s">
        <v>26</v>
      </c>
      <c r="C418" s="2" t="s">
        <v>54</v>
      </c>
      <c r="D418" s="2" t="s">
        <v>124</v>
      </c>
      <c r="E418" s="2" t="s">
        <v>38</v>
      </c>
      <c r="F418" s="2" t="s">
        <v>123</v>
      </c>
      <c r="G418" s="2" t="s">
        <v>1963</v>
      </c>
      <c r="H418" s="56" t="str">
        <f>Table1[[#This Row],[Tabela]]&amp;Table1[[#This Row],[Campo]]</f>
        <v>PROPERTY_ENERGY_CERTIFICATECURRENT_ENERGY_RATING_PERCENTAGE</v>
      </c>
      <c r="I418" s="2" t="s">
        <v>612</v>
      </c>
      <c r="J418" s="42">
        <f>VLOOKUP(Table1[[#This Row],[Status]],Auxiliar!$B$16:$C$24,2,0)</f>
        <v>1</v>
      </c>
      <c r="K418" s="2" t="s">
        <v>1174</v>
      </c>
      <c r="L418" s="28" t="s">
        <v>1169</v>
      </c>
      <c r="M418" s="20" t="s">
        <v>1178</v>
      </c>
      <c r="N418" s="47">
        <v>45695</v>
      </c>
      <c r="O418" s="20">
        <f>INDEX(Auxiliar!$D$5:$F$13,MATCH(Table1[[#This Row],[Tipologia_Testes]],Auxiliar!$B$5:$B$13,0),MATCH(Table1[[#This Row],[Complexidade]],Auxiliar!$D$4:$F$4,0))</f>
        <v>0.1</v>
      </c>
      <c r="P418" s="2"/>
      <c r="Q418" s="2"/>
      <c r="R418" s="151"/>
      <c r="S418" s="151"/>
      <c r="T418" s="151"/>
      <c r="U418" s="151"/>
      <c r="V418" s="151"/>
      <c r="W418" s="2">
        <f>VLOOKUP(Table1[[#This Row],[Status]],Auxiliar!$B$16:$D$24,3,0)*Table1[[#This Row],[Estimação (horas)]]</f>
        <v>0.1</v>
      </c>
      <c r="X418" s="166">
        <f>+VLOOKUP(CONCATENATE(Table1[[#This Row],[Tabela]],Table1[[#This Row],[Campo]]),'2. Status Detalhe Campos FY24'!A:J,9,FALSE)</f>
        <v>0</v>
      </c>
    </row>
    <row r="419" spans="2:24" ht="17.850000000000001" hidden="1" customHeight="1">
      <c r="B419" s="2" t="s">
        <v>26</v>
      </c>
      <c r="C419" s="2" t="s">
        <v>54</v>
      </c>
      <c r="D419" s="2" t="s">
        <v>38</v>
      </c>
      <c r="E419" s="2" t="s">
        <v>38</v>
      </c>
      <c r="F419" s="2" t="s">
        <v>55</v>
      </c>
      <c r="G419" s="2" t="s">
        <v>38</v>
      </c>
      <c r="H419" s="56" t="str">
        <f>Table1[[#This Row],[Tabela]]&amp;Table1[[#This Row],[Campo]]</f>
        <v>PROCESSn.a.</v>
      </c>
      <c r="I419" s="2" t="s">
        <v>612</v>
      </c>
      <c r="J419" s="42">
        <f>VLOOKUP(Table1[[#This Row],[Status]],Auxiliar!$B$16:$C$24,2,0)</f>
        <v>1</v>
      </c>
      <c r="K419" s="2" t="s">
        <v>1168</v>
      </c>
      <c r="L419" s="28" t="s">
        <v>1169</v>
      </c>
      <c r="M419" s="20" t="s">
        <v>1170</v>
      </c>
      <c r="N419" s="47">
        <v>45512</v>
      </c>
      <c r="O419" s="20">
        <f>INDEX(Auxiliar!$D$5:$F$13,MATCH(Table1[[#This Row],[Tipologia_Testes]],Auxiliar!$B$5:$B$13,0),MATCH(Table1[[#This Row],[Complexidade]],Auxiliar!$D$4:$F$4,0))</f>
        <v>8</v>
      </c>
      <c r="P419" s="22" t="s">
        <v>1196</v>
      </c>
      <c r="Q419" s="2"/>
      <c r="R419" s="151">
        <v>45261</v>
      </c>
      <c r="S419" s="151"/>
      <c r="T419" s="151"/>
      <c r="U419" s="151"/>
      <c r="V419" s="151"/>
      <c r="W419" s="2">
        <f>VLOOKUP(Table1[[#This Row],[Status]],Auxiliar!$B$16:$D$24,3,0)*Table1[[#This Row],[Estimação (horas)]]</f>
        <v>8</v>
      </c>
      <c r="X419" s="166">
        <f>+VLOOKUP(CONCATENATE(Table1[[#This Row],[Tabela]],Table1[[#This Row],[Campo]]),'2. Status Detalhe Campos FY24'!A:J,9,FALSE)</f>
        <v>0</v>
      </c>
    </row>
    <row r="420" spans="2:24" ht="17.850000000000001" hidden="1" customHeight="1">
      <c r="B420" s="2" t="s">
        <v>26</v>
      </c>
      <c r="C420" s="2" t="s">
        <v>54</v>
      </c>
      <c r="D420" s="2" t="s">
        <v>38</v>
      </c>
      <c r="E420" s="2" t="s">
        <v>38</v>
      </c>
      <c r="F420" s="2" t="s">
        <v>55</v>
      </c>
      <c r="G420" s="2" t="s">
        <v>57</v>
      </c>
      <c r="H420" s="56" t="str">
        <f>Table1[[#This Row],[Tabela]]&amp;Table1[[#This Row],[Campo]]</f>
        <v>PROCESSPROCESS_BANK_ID</v>
      </c>
      <c r="I420" s="2" t="s">
        <v>612</v>
      </c>
      <c r="J420" s="42">
        <f>VLOOKUP(Table1[[#This Row],[Status]],Auxiliar!$B$16:$C$24,2,0)</f>
        <v>1</v>
      </c>
      <c r="K420" s="2" t="s">
        <v>1171</v>
      </c>
      <c r="L420" s="28" t="s">
        <v>1177</v>
      </c>
      <c r="M420" s="20" t="s">
        <v>1178</v>
      </c>
      <c r="N420" s="47">
        <v>45499</v>
      </c>
      <c r="O420" s="20">
        <f>INDEX(Auxiliar!$D$5:$F$13,MATCH(Table1[[#This Row],[Tipologia_Testes]],Auxiliar!$B$5:$B$13,0),MATCH(Table1[[#This Row],[Complexidade]],Auxiliar!$D$4:$F$4,0))</f>
        <v>2</v>
      </c>
      <c r="P420" s="2" t="s">
        <v>1191</v>
      </c>
      <c r="Q420" s="2" t="s">
        <v>1188</v>
      </c>
      <c r="R420" s="151">
        <v>45261</v>
      </c>
      <c r="S420" s="151">
        <v>45495</v>
      </c>
      <c r="T420" s="151"/>
      <c r="U420" s="151"/>
      <c r="V420" s="151"/>
      <c r="W420" s="2">
        <f>VLOOKUP(Table1[[#This Row],[Status]],Auxiliar!$B$16:$D$24,3,0)*Table1[[#This Row],[Estimação (horas)]]</f>
        <v>2</v>
      </c>
      <c r="X420" s="166">
        <f>+VLOOKUP(CONCATENATE(Table1[[#This Row],[Tabela]],Table1[[#This Row],[Campo]]),'2. Status Detalhe Campos FY24'!A:J,9,FALSE)</f>
        <v>0</v>
      </c>
    </row>
    <row r="421" spans="2:24" ht="17.850000000000001" hidden="1" customHeight="1">
      <c r="B421" s="2" t="s">
        <v>26</v>
      </c>
      <c r="C421" s="2" t="s">
        <v>54</v>
      </c>
      <c r="D421" s="2" t="s">
        <v>38</v>
      </c>
      <c r="E421" s="2" t="s">
        <v>38</v>
      </c>
      <c r="F421" s="2" t="s">
        <v>55</v>
      </c>
      <c r="G421" s="2" t="s">
        <v>57</v>
      </c>
      <c r="H421" s="56" t="str">
        <f>Table1[[#This Row],[Tabela]]&amp;Table1[[#This Row],[Campo]]</f>
        <v>PROCESSPROCESS_BANK_ID</v>
      </c>
      <c r="I421" s="2" t="s">
        <v>612</v>
      </c>
      <c r="J421" s="42">
        <f>VLOOKUP(Table1[[#This Row],[Status]],Auxiliar!$B$16:$C$24,2,0)</f>
        <v>1</v>
      </c>
      <c r="K421" s="2" t="s">
        <v>1172</v>
      </c>
      <c r="L421" s="28" t="s">
        <v>1177</v>
      </c>
      <c r="M421" s="20" t="s">
        <v>1178</v>
      </c>
      <c r="N421" s="47">
        <v>45499</v>
      </c>
      <c r="O421" s="20">
        <f>INDEX(Auxiliar!$D$5:$F$13,MATCH(Table1[[#This Row],[Tipologia_Testes]],Auxiliar!$B$5:$B$13,0),MATCH(Table1[[#This Row],[Complexidade]],Auxiliar!$D$4:$F$4,0))</f>
        <v>2</v>
      </c>
      <c r="P421" s="2" t="s">
        <v>1191</v>
      </c>
      <c r="Q421" s="2" t="s">
        <v>1188</v>
      </c>
      <c r="R421" s="151">
        <v>45261</v>
      </c>
      <c r="S421" s="151">
        <v>45495</v>
      </c>
      <c r="T421" s="151"/>
      <c r="U421" s="151"/>
      <c r="V421" s="151"/>
      <c r="W421" s="2">
        <f>VLOOKUP(Table1[[#This Row],[Status]],Auxiliar!$B$16:$D$24,3,0)*Table1[[#This Row],[Estimação (horas)]]</f>
        <v>2</v>
      </c>
      <c r="X421" s="166">
        <f>+VLOOKUP(CONCATENATE(Table1[[#This Row],[Tabela]],Table1[[#This Row],[Campo]]),'2. Status Detalhe Campos FY24'!A:J,9,FALSE)</f>
        <v>0</v>
      </c>
    </row>
    <row r="422" spans="2:24" ht="17.850000000000001" hidden="1" customHeight="1">
      <c r="B422" s="2" t="s">
        <v>26</v>
      </c>
      <c r="C422" s="2" t="s">
        <v>54</v>
      </c>
      <c r="D422" s="2" t="s">
        <v>38</v>
      </c>
      <c r="E422" s="2" t="s">
        <v>38</v>
      </c>
      <c r="F422" s="2" t="s">
        <v>55</v>
      </c>
      <c r="G422" s="2" t="s">
        <v>57</v>
      </c>
      <c r="H422" s="56" t="str">
        <f>Table1[[#This Row],[Tabela]]&amp;Table1[[#This Row],[Campo]]</f>
        <v>PROCESSPROCESS_BANK_ID</v>
      </c>
      <c r="I422" s="2" t="s">
        <v>612</v>
      </c>
      <c r="J422" s="42">
        <f>VLOOKUP(Table1[[#This Row],[Status]],Auxiliar!$B$16:$C$24,2,0)</f>
        <v>1</v>
      </c>
      <c r="K422" s="2" t="s">
        <v>1174</v>
      </c>
      <c r="L422" s="28" t="s">
        <v>1177</v>
      </c>
      <c r="M422" s="20" t="s">
        <v>1178</v>
      </c>
      <c r="N422" s="47">
        <v>45499</v>
      </c>
      <c r="O422" s="20">
        <f>INDEX(Auxiliar!$D$5:$F$13,MATCH(Table1[[#This Row],[Tipologia_Testes]],Auxiliar!$B$5:$B$13,0),MATCH(Table1[[#This Row],[Complexidade]],Auxiliar!$D$4:$F$4,0))</f>
        <v>0.1</v>
      </c>
      <c r="P422" s="2" t="s">
        <v>1191</v>
      </c>
      <c r="Q422" s="2" t="s">
        <v>1188</v>
      </c>
      <c r="R422" s="151">
        <v>45261</v>
      </c>
      <c r="S422" s="151">
        <v>45495</v>
      </c>
      <c r="T422" s="151"/>
      <c r="U422" s="151"/>
      <c r="V422" s="151"/>
      <c r="W422" s="2">
        <f>VLOOKUP(Table1[[#This Row],[Status]],Auxiliar!$B$16:$D$24,3,0)*Table1[[#This Row],[Estimação (horas)]]</f>
        <v>0.1</v>
      </c>
      <c r="X422" s="166">
        <f>+VLOOKUP(CONCATENATE(Table1[[#This Row],[Tabela]],Table1[[#This Row],[Campo]]),'2. Status Detalhe Campos FY24'!A:J,9,FALSE)</f>
        <v>0</v>
      </c>
    </row>
    <row r="423" spans="2:24" ht="17.850000000000001" hidden="1" customHeight="1">
      <c r="B423" s="2" t="s">
        <v>26</v>
      </c>
      <c r="C423" s="2" t="s">
        <v>54</v>
      </c>
      <c r="D423" s="2" t="s">
        <v>38</v>
      </c>
      <c r="E423" s="2" t="s">
        <v>38</v>
      </c>
      <c r="F423" s="2" t="s">
        <v>55</v>
      </c>
      <c r="G423" s="2" t="s">
        <v>58</v>
      </c>
      <c r="H423" s="56" t="str">
        <f>Table1[[#This Row],[Tabela]]&amp;Table1[[#This Row],[Campo]]</f>
        <v>PROCESSPROCESS_BRANCH_CODE</v>
      </c>
      <c r="I423" s="2" t="s">
        <v>612</v>
      </c>
      <c r="J423" s="42">
        <f>VLOOKUP(Table1[[#This Row],[Status]],Auxiliar!$B$16:$C$24,2,0)</f>
        <v>1</v>
      </c>
      <c r="K423" s="2" t="s">
        <v>1171</v>
      </c>
      <c r="L423" s="28" t="s">
        <v>1177</v>
      </c>
      <c r="M423" s="20" t="s">
        <v>1178</v>
      </c>
      <c r="N423" s="47">
        <v>45499</v>
      </c>
      <c r="O423" s="20">
        <f>INDEX(Auxiliar!$D$5:$F$13,MATCH(Table1[[#This Row],[Tipologia_Testes]],Auxiliar!$B$5:$B$13,0),MATCH(Table1[[#This Row],[Complexidade]],Auxiliar!$D$4:$F$4,0))</f>
        <v>2</v>
      </c>
      <c r="P423" s="2" t="s">
        <v>1191</v>
      </c>
      <c r="Q423" s="2" t="s">
        <v>1188</v>
      </c>
      <c r="R423" s="151">
        <v>45261</v>
      </c>
      <c r="S423" s="151">
        <v>45495</v>
      </c>
      <c r="T423" s="151"/>
      <c r="U423" s="151"/>
      <c r="V423" s="151"/>
      <c r="W423" s="2">
        <f>VLOOKUP(Table1[[#This Row],[Status]],Auxiliar!$B$16:$D$24,3,0)*Table1[[#This Row],[Estimação (horas)]]</f>
        <v>2</v>
      </c>
      <c r="X423" s="166">
        <f>+VLOOKUP(CONCATENATE(Table1[[#This Row],[Tabela]],Table1[[#This Row],[Campo]]),'2. Status Detalhe Campos FY24'!A:J,9,FALSE)</f>
        <v>0</v>
      </c>
    </row>
    <row r="424" spans="2:24" ht="17.850000000000001" hidden="1" customHeight="1">
      <c r="B424" s="2" t="s">
        <v>26</v>
      </c>
      <c r="C424" s="2" t="s">
        <v>54</v>
      </c>
      <c r="D424" s="2" t="s">
        <v>38</v>
      </c>
      <c r="E424" s="2" t="s">
        <v>38</v>
      </c>
      <c r="F424" s="2" t="s">
        <v>55</v>
      </c>
      <c r="G424" s="2" t="s">
        <v>58</v>
      </c>
      <c r="H424" s="56" t="str">
        <f>Table1[[#This Row],[Tabela]]&amp;Table1[[#This Row],[Campo]]</f>
        <v>PROCESSPROCESS_BRANCH_CODE</v>
      </c>
      <c r="I424" s="2" t="s">
        <v>612</v>
      </c>
      <c r="J424" s="42">
        <f>VLOOKUP(Table1[[#This Row],[Status]],Auxiliar!$B$16:$C$24,2,0)</f>
        <v>1</v>
      </c>
      <c r="K424" s="2" t="s">
        <v>1172</v>
      </c>
      <c r="L424" s="28" t="s">
        <v>1177</v>
      </c>
      <c r="M424" s="20" t="s">
        <v>1178</v>
      </c>
      <c r="N424" s="47">
        <v>45499</v>
      </c>
      <c r="O424" s="20">
        <f>INDEX(Auxiliar!$D$5:$F$13,MATCH(Table1[[#This Row],[Tipologia_Testes]],Auxiliar!$B$5:$B$13,0),MATCH(Table1[[#This Row],[Complexidade]],Auxiliar!$D$4:$F$4,0))</f>
        <v>2</v>
      </c>
      <c r="P424" s="2" t="s">
        <v>1191</v>
      </c>
      <c r="Q424" s="2" t="s">
        <v>1188</v>
      </c>
      <c r="R424" s="151">
        <v>45261</v>
      </c>
      <c r="S424" s="151">
        <v>45495</v>
      </c>
      <c r="T424" s="151"/>
      <c r="U424" s="151"/>
      <c r="V424" s="151"/>
      <c r="W424" s="2">
        <f>VLOOKUP(Table1[[#This Row],[Status]],Auxiliar!$B$16:$D$24,3,0)*Table1[[#This Row],[Estimação (horas)]]</f>
        <v>2</v>
      </c>
      <c r="X424" s="166">
        <f>+VLOOKUP(CONCATENATE(Table1[[#This Row],[Tabela]],Table1[[#This Row],[Campo]]),'2. Status Detalhe Campos FY24'!A:J,9,FALSE)</f>
        <v>0</v>
      </c>
    </row>
    <row r="425" spans="2:24" ht="17.850000000000001" hidden="1" customHeight="1">
      <c r="B425" s="2" t="s">
        <v>26</v>
      </c>
      <c r="C425" s="2" t="s">
        <v>54</v>
      </c>
      <c r="D425" s="2" t="s">
        <v>38</v>
      </c>
      <c r="E425" s="2" t="s">
        <v>38</v>
      </c>
      <c r="F425" s="2" t="s">
        <v>55</v>
      </c>
      <c r="G425" s="2" t="s">
        <v>58</v>
      </c>
      <c r="H425" s="56" t="str">
        <f>Table1[[#This Row],[Tabela]]&amp;Table1[[#This Row],[Campo]]</f>
        <v>PROCESSPROCESS_BRANCH_CODE</v>
      </c>
      <c r="I425" s="2" t="s">
        <v>612</v>
      </c>
      <c r="J425" s="42">
        <f>VLOOKUP(Table1[[#This Row],[Status]],Auxiliar!$B$16:$C$24,2,0)</f>
        <v>1</v>
      </c>
      <c r="K425" s="2" t="s">
        <v>1174</v>
      </c>
      <c r="L425" s="28" t="s">
        <v>1177</v>
      </c>
      <c r="M425" s="20" t="s">
        <v>1178</v>
      </c>
      <c r="N425" s="47">
        <v>45499</v>
      </c>
      <c r="O425" s="20">
        <f>INDEX(Auxiliar!$D$5:$F$13,MATCH(Table1[[#This Row],[Tipologia_Testes]],Auxiliar!$B$5:$B$13,0),MATCH(Table1[[#This Row],[Complexidade]],Auxiliar!$D$4:$F$4,0))</f>
        <v>0.1</v>
      </c>
      <c r="P425" s="2" t="s">
        <v>1191</v>
      </c>
      <c r="Q425" s="2" t="s">
        <v>1188</v>
      </c>
      <c r="R425" s="151">
        <v>45261</v>
      </c>
      <c r="S425" s="151">
        <v>45495</v>
      </c>
      <c r="T425" s="151"/>
      <c r="U425" s="151"/>
      <c r="V425" s="151"/>
      <c r="W425" s="2">
        <f>VLOOKUP(Table1[[#This Row],[Status]],Auxiliar!$B$16:$D$24,3,0)*Table1[[#This Row],[Estimação (horas)]]</f>
        <v>0.1</v>
      </c>
      <c r="X425" s="166">
        <f>+VLOOKUP(CONCATENATE(Table1[[#This Row],[Tabela]],Table1[[#This Row],[Campo]]),'2. Status Detalhe Campos FY24'!A:J,9,FALSE)</f>
        <v>0</v>
      </c>
    </row>
    <row r="426" spans="2:24" ht="17.850000000000001" hidden="1" customHeight="1">
      <c r="B426" s="2" t="s">
        <v>26</v>
      </c>
      <c r="C426" s="2" t="s">
        <v>54</v>
      </c>
      <c r="D426" s="2" t="s">
        <v>38</v>
      </c>
      <c r="E426" s="2" t="s">
        <v>38</v>
      </c>
      <c r="F426" s="2" t="s">
        <v>55</v>
      </c>
      <c r="G426" s="2" t="s">
        <v>59</v>
      </c>
      <c r="H426" s="56" t="str">
        <f>Table1[[#This Row],[Tabela]]&amp;Table1[[#This Row],[Campo]]</f>
        <v>PROCESSPROCESS_ACCOUNT_ID</v>
      </c>
      <c r="I426" s="2" t="s">
        <v>612</v>
      </c>
      <c r="J426" s="42">
        <f>VLOOKUP(Table1[[#This Row],[Status]],Auxiliar!$B$16:$C$24,2,0)</f>
        <v>1</v>
      </c>
      <c r="K426" s="2" t="s">
        <v>1171</v>
      </c>
      <c r="L426" s="28" t="s">
        <v>1177</v>
      </c>
      <c r="M426" s="20" t="s">
        <v>1178</v>
      </c>
      <c r="N426" s="47">
        <v>45499</v>
      </c>
      <c r="O426" s="20">
        <f>INDEX(Auxiliar!$D$5:$F$13,MATCH(Table1[[#This Row],[Tipologia_Testes]],Auxiliar!$B$5:$B$13,0),MATCH(Table1[[#This Row],[Complexidade]],Auxiliar!$D$4:$F$4,0))</f>
        <v>2</v>
      </c>
      <c r="P426" s="2" t="s">
        <v>1191</v>
      </c>
      <c r="Q426" s="2" t="s">
        <v>1188</v>
      </c>
      <c r="R426" s="151">
        <v>45261</v>
      </c>
      <c r="S426" s="151">
        <v>45495</v>
      </c>
      <c r="T426" s="151"/>
      <c r="U426" s="151"/>
      <c r="V426" s="151"/>
      <c r="W426" s="2">
        <f>VLOOKUP(Table1[[#This Row],[Status]],Auxiliar!$B$16:$D$24,3,0)*Table1[[#This Row],[Estimação (horas)]]</f>
        <v>2</v>
      </c>
      <c r="X426" s="166">
        <f>+VLOOKUP(CONCATENATE(Table1[[#This Row],[Tabela]],Table1[[#This Row],[Campo]]),'2. Status Detalhe Campos FY24'!A:J,9,FALSE)</f>
        <v>0</v>
      </c>
    </row>
    <row r="427" spans="2:24" ht="17.850000000000001" hidden="1" customHeight="1">
      <c r="B427" s="2" t="s">
        <v>26</v>
      </c>
      <c r="C427" s="2" t="s">
        <v>54</v>
      </c>
      <c r="D427" s="2" t="s">
        <v>38</v>
      </c>
      <c r="E427" s="2" t="s">
        <v>38</v>
      </c>
      <c r="F427" s="2" t="s">
        <v>55</v>
      </c>
      <c r="G427" s="2" t="s">
        <v>59</v>
      </c>
      <c r="H427" s="56" t="str">
        <f>Table1[[#This Row],[Tabela]]&amp;Table1[[#This Row],[Campo]]</f>
        <v>PROCESSPROCESS_ACCOUNT_ID</v>
      </c>
      <c r="I427" s="2" t="s">
        <v>612</v>
      </c>
      <c r="J427" s="42">
        <f>VLOOKUP(Table1[[#This Row],[Status]],Auxiliar!$B$16:$C$24,2,0)</f>
        <v>1</v>
      </c>
      <c r="K427" s="2" t="s">
        <v>1172</v>
      </c>
      <c r="L427" s="28" t="s">
        <v>1177</v>
      </c>
      <c r="M427" s="20" t="s">
        <v>1178</v>
      </c>
      <c r="N427" s="47">
        <v>45499</v>
      </c>
      <c r="O427" s="20">
        <f>INDEX(Auxiliar!$D$5:$F$13,MATCH(Table1[[#This Row],[Tipologia_Testes]],Auxiliar!$B$5:$B$13,0),MATCH(Table1[[#This Row],[Complexidade]],Auxiliar!$D$4:$F$4,0))</f>
        <v>2</v>
      </c>
      <c r="P427" s="2" t="s">
        <v>1191</v>
      </c>
      <c r="Q427" s="2" t="s">
        <v>1188</v>
      </c>
      <c r="R427" s="151">
        <v>45261</v>
      </c>
      <c r="S427" s="151">
        <v>45495</v>
      </c>
      <c r="T427" s="151"/>
      <c r="U427" s="151"/>
      <c r="V427" s="151"/>
      <c r="W427" s="2">
        <f>VLOOKUP(Table1[[#This Row],[Status]],Auxiliar!$B$16:$D$24,3,0)*Table1[[#This Row],[Estimação (horas)]]</f>
        <v>2</v>
      </c>
      <c r="X427" s="166">
        <f>+VLOOKUP(CONCATENATE(Table1[[#This Row],[Tabela]],Table1[[#This Row],[Campo]]),'2. Status Detalhe Campos FY24'!A:J,9,FALSE)</f>
        <v>0</v>
      </c>
    </row>
    <row r="428" spans="2:24" ht="17.850000000000001" hidden="1" customHeight="1">
      <c r="B428" s="2" t="s">
        <v>26</v>
      </c>
      <c r="C428" s="2" t="s">
        <v>54</v>
      </c>
      <c r="D428" s="2" t="s">
        <v>38</v>
      </c>
      <c r="E428" s="2" t="s">
        <v>38</v>
      </c>
      <c r="F428" s="2" t="s">
        <v>55</v>
      </c>
      <c r="G428" s="2" t="s">
        <v>59</v>
      </c>
      <c r="H428" s="56" t="str">
        <f>Table1[[#This Row],[Tabela]]&amp;Table1[[#This Row],[Campo]]</f>
        <v>PROCESSPROCESS_ACCOUNT_ID</v>
      </c>
      <c r="I428" s="2" t="s">
        <v>612</v>
      </c>
      <c r="J428" s="42">
        <f>VLOOKUP(Table1[[#This Row],[Status]],Auxiliar!$B$16:$C$24,2,0)</f>
        <v>1</v>
      </c>
      <c r="K428" s="2" t="s">
        <v>1174</v>
      </c>
      <c r="L428" s="28" t="s">
        <v>1177</v>
      </c>
      <c r="M428" s="20" t="s">
        <v>1178</v>
      </c>
      <c r="N428" s="47">
        <v>45499</v>
      </c>
      <c r="O428" s="20">
        <f>INDEX(Auxiliar!$D$5:$F$13,MATCH(Table1[[#This Row],[Tipologia_Testes]],Auxiliar!$B$5:$B$13,0),MATCH(Table1[[#This Row],[Complexidade]],Auxiliar!$D$4:$F$4,0))</f>
        <v>0.1</v>
      </c>
      <c r="P428" s="2" t="s">
        <v>1191</v>
      </c>
      <c r="Q428" s="2" t="s">
        <v>1188</v>
      </c>
      <c r="R428" s="151">
        <v>45261</v>
      </c>
      <c r="S428" s="151">
        <v>45495</v>
      </c>
      <c r="T428" s="151"/>
      <c r="U428" s="151"/>
      <c r="V428" s="151"/>
      <c r="W428" s="2">
        <f>VLOOKUP(Table1[[#This Row],[Status]],Auxiliar!$B$16:$D$24,3,0)*Table1[[#This Row],[Estimação (horas)]]</f>
        <v>0.1</v>
      </c>
      <c r="X428" s="166">
        <f>+VLOOKUP(CONCATENATE(Table1[[#This Row],[Tabela]],Table1[[#This Row],[Campo]]),'2. Status Detalhe Campos FY24'!A:J,9,FALSE)</f>
        <v>0</v>
      </c>
    </row>
    <row r="429" spans="2:24" ht="17.850000000000001" hidden="1" customHeight="1">
      <c r="B429" s="2" t="s">
        <v>26</v>
      </c>
      <c r="C429" s="2" t="s">
        <v>54</v>
      </c>
      <c r="D429" s="2" t="s">
        <v>38</v>
      </c>
      <c r="E429" s="2" t="s">
        <v>38</v>
      </c>
      <c r="F429" s="2" t="s">
        <v>55</v>
      </c>
      <c r="G429" s="2" t="s">
        <v>60</v>
      </c>
      <c r="H429" s="56" t="str">
        <f>Table1[[#This Row],[Tabela]]&amp;Table1[[#This Row],[Campo]]</f>
        <v>PROCESScod_estd_prcs</v>
      </c>
      <c r="I429" s="2" t="s">
        <v>611</v>
      </c>
      <c r="J429" s="42">
        <f>VLOOKUP(Table1[[#This Row],[Status]],Auxiliar!$B$16:$C$24,2,0)</f>
        <v>0</v>
      </c>
      <c r="K429" s="2" t="s">
        <v>1171</v>
      </c>
      <c r="L429" s="28" t="s">
        <v>1189</v>
      </c>
      <c r="M429" s="20" t="s">
        <v>1178</v>
      </c>
      <c r="N429" s="47">
        <v>45485</v>
      </c>
      <c r="O429" s="20">
        <f>INDEX(Auxiliar!$D$5:$F$13,MATCH(Table1[[#This Row],[Tipologia_Testes]],Auxiliar!$B$5:$B$13,0),MATCH(Table1[[#This Row],[Complexidade]],Auxiliar!$D$4:$F$4,0))</f>
        <v>2</v>
      </c>
      <c r="P429" s="2" t="s">
        <v>1197</v>
      </c>
      <c r="Q429" s="2"/>
      <c r="R429" s="151">
        <v>45425</v>
      </c>
      <c r="S429" s="151"/>
      <c r="T429" s="151"/>
      <c r="U429" s="151"/>
      <c r="V429" s="151"/>
      <c r="W429" s="2">
        <f>VLOOKUP(Table1[[#This Row],[Status]],Auxiliar!$B$16:$D$24,3,0)*Table1[[#This Row],[Estimação (horas)]]</f>
        <v>0</v>
      </c>
      <c r="X429" s="166">
        <f>+VLOOKUP(CONCATENATE(Table1[[#This Row],[Tabela]],Table1[[#This Row],[Campo]]),'2. Status Detalhe Campos FY24'!A:J,9,FALSE)</f>
        <v>0</v>
      </c>
    </row>
    <row r="430" spans="2:24" ht="17.850000000000001" hidden="1" customHeight="1">
      <c r="B430" s="2" t="s">
        <v>26</v>
      </c>
      <c r="C430" s="2" t="s">
        <v>54</v>
      </c>
      <c r="D430" s="2" t="s">
        <v>38</v>
      </c>
      <c r="E430" s="2" t="s">
        <v>38</v>
      </c>
      <c r="F430" s="2" t="s">
        <v>55</v>
      </c>
      <c r="G430" s="2" t="s">
        <v>61</v>
      </c>
      <c r="H430" s="56" t="str">
        <f>Table1[[#This Row],[Tabela]]&amp;Table1[[#This Row],[Campo]]</f>
        <v>PROCESSGUARANTEE_CODE</v>
      </c>
      <c r="I430" s="2" t="s">
        <v>612</v>
      </c>
      <c r="J430" s="42">
        <f>VLOOKUP(Table1[[#This Row],[Status]],Auxiliar!$B$16:$C$24,2,0)</f>
        <v>1</v>
      </c>
      <c r="K430" s="2" t="s">
        <v>1171</v>
      </c>
      <c r="L430" s="28" t="s">
        <v>1177</v>
      </c>
      <c r="M430" s="20" t="s">
        <v>1178</v>
      </c>
      <c r="N430" s="47">
        <v>45512</v>
      </c>
      <c r="O430" s="20">
        <f>INDEX(Auxiliar!$D$5:$F$13,MATCH(Table1[[#This Row],[Tipologia_Testes]],Auxiliar!$B$5:$B$13,0),MATCH(Table1[[#This Row],[Complexidade]],Auxiliar!$D$4:$F$4,0))</f>
        <v>2</v>
      </c>
      <c r="P430" s="2"/>
      <c r="Q430" s="2"/>
      <c r="R430" s="151">
        <v>45261</v>
      </c>
      <c r="S430" s="151"/>
      <c r="T430" s="151"/>
      <c r="U430" s="151"/>
      <c r="V430" s="151"/>
      <c r="W430" s="2">
        <f>VLOOKUP(Table1[[#This Row],[Status]],Auxiliar!$B$16:$D$24,3,0)*Table1[[#This Row],[Estimação (horas)]]</f>
        <v>2</v>
      </c>
      <c r="X430" s="166">
        <f>+VLOOKUP(CONCATENATE(Table1[[#This Row],[Tabela]],Table1[[#This Row],[Campo]]),'2. Status Detalhe Campos FY24'!A:J,9,FALSE)</f>
        <v>0</v>
      </c>
    </row>
    <row r="431" spans="2:24" ht="17.850000000000001" hidden="1" customHeight="1">
      <c r="B431" s="2" t="s">
        <v>26</v>
      </c>
      <c r="C431" s="2" t="s">
        <v>54</v>
      </c>
      <c r="D431" s="2" t="s">
        <v>38</v>
      </c>
      <c r="E431" s="2" t="s">
        <v>38</v>
      </c>
      <c r="F431" s="2" t="s">
        <v>55</v>
      </c>
      <c r="G431" s="2" t="s">
        <v>61</v>
      </c>
      <c r="H431" s="56" t="str">
        <f>Table1[[#This Row],[Tabela]]&amp;Table1[[#This Row],[Campo]]</f>
        <v>PROCESSGUARANTEE_CODE</v>
      </c>
      <c r="I431" s="2" t="s">
        <v>612</v>
      </c>
      <c r="J431" s="42">
        <f>VLOOKUP(Table1[[#This Row],[Status]],Auxiliar!$B$16:$C$24,2,0)</f>
        <v>1</v>
      </c>
      <c r="K431" s="2" t="s">
        <v>1172</v>
      </c>
      <c r="L431" s="28" t="s">
        <v>1177</v>
      </c>
      <c r="M431" s="20" t="s">
        <v>1178</v>
      </c>
      <c r="N431" s="47">
        <v>45512</v>
      </c>
      <c r="O431" s="20">
        <f>INDEX(Auxiliar!$D$5:$F$13,MATCH(Table1[[#This Row],[Tipologia_Testes]],Auxiliar!$B$5:$B$13,0),MATCH(Table1[[#This Row],[Complexidade]],Auxiliar!$D$4:$F$4,0))</f>
        <v>2</v>
      </c>
      <c r="P431" s="2"/>
      <c r="Q431" s="2"/>
      <c r="R431" s="151">
        <v>45261</v>
      </c>
      <c r="S431" s="151"/>
      <c r="T431" s="151"/>
      <c r="U431" s="151"/>
      <c r="V431" s="151"/>
      <c r="W431" s="2">
        <f>VLOOKUP(Table1[[#This Row],[Status]],Auxiliar!$B$16:$D$24,3,0)*Table1[[#This Row],[Estimação (horas)]]</f>
        <v>2</v>
      </c>
      <c r="X431" s="166">
        <f>+VLOOKUP(CONCATENATE(Table1[[#This Row],[Tabela]],Table1[[#This Row],[Campo]]),'2. Status Detalhe Campos FY24'!A:J,9,FALSE)</f>
        <v>0</v>
      </c>
    </row>
    <row r="432" spans="2:24" ht="17.850000000000001" hidden="1" customHeight="1">
      <c r="B432" s="2" t="s">
        <v>26</v>
      </c>
      <c r="C432" s="2" t="s">
        <v>54</v>
      </c>
      <c r="D432" s="2" t="s">
        <v>38</v>
      </c>
      <c r="E432" s="2" t="s">
        <v>38</v>
      </c>
      <c r="F432" s="2" t="s">
        <v>55</v>
      </c>
      <c r="G432" s="2" t="s">
        <v>61</v>
      </c>
      <c r="H432" s="56" t="str">
        <f>Table1[[#This Row],[Tabela]]&amp;Table1[[#This Row],[Campo]]</f>
        <v>PROCESSGUARANTEE_CODE</v>
      </c>
      <c r="I432" s="2" t="s">
        <v>612</v>
      </c>
      <c r="J432" s="42">
        <f>VLOOKUP(Table1[[#This Row],[Status]],Auxiliar!$B$16:$C$24,2,0)</f>
        <v>1</v>
      </c>
      <c r="K432" s="2" t="s">
        <v>1174</v>
      </c>
      <c r="L432" s="28" t="s">
        <v>1177</v>
      </c>
      <c r="M432" s="20" t="s">
        <v>1178</v>
      </c>
      <c r="N432" s="47">
        <v>45512</v>
      </c>
      <c r="O432" s="20">
        <f>INDEX(Auxiliar!$D$5:$F$13,MATCH(Table1[[#This Row],[Tipologia_Testes]],Auxiliar!$B$5:$B$13,0),MATCH(Table1[[#This Row],[Complexidade]],Auxiliar!$D$4:$F$4,0))</f>
        <v>0.1</v>
      </c>
      <c r="P432" s="2"/>
      <c r="Q432" s="2"/>
      <c r="R432" s="151">
        <v>45261</v>
      </c>
      <c r="S432" s="151"/>
      <c r="T432" s="151"/>
      <c r="U432" s="151"/>
      <c r="V432" s="151"/>
      <c r="W432" s="2">
        <f>VLOOKUP(Table1[[#This Row],[Status]],Auxiliar!$B$16:$D$24,3,0)*Table1[[#This Row],[Estimação (horas)]]</f>
        <v>0.1</v>
      </c>
      <c r="X432" s="166">
        <f>+VLOOKUP(CONCATENATE(Table1[[#This Row],[Tabela]],Table1[[#This Row],[Campo]]),'2. Status Detalhe Campos FY24'!A:J,9,FALSE)</f>
        <v>0</v>
      </c>
    </row>
    <row r="433" spans="2:24" ht="17.850000000000001" hidden="1" customHeight="1">
      <c r="B433" s="2" t="s">
        <v>26</v>
      </c>
      <c r="C433" s="2" t="s">
        <v>54</v>
      </c>
      <c r="D433" s="2" t="s">
        <v>38</v>
      </c>
      <c r="E433" s="2" t="s">
        <v>38</v>
      </c>
      <c r="F433" s="2" t="s">
        <v>55</v>
      </c>
      <c r="G433" s="2" t="s">
        <v>62</v>
      </c>
      <c r="H433" s="56" t="str">
        <f>Table1[[#This Row],[Tabela]]&amp;Table1[[#This Row],[Campo]]</f>
        <v>PROCESSCURRENCY_CODE</v>
      </c>
      <c r="I433" s="2" t="s">
        <v>612</v>
      </c>
      <c r="J433" s="42">
        <f>VLOOKUP(Table1[[#This Row],[Status]],Auxiliar!$B$16:$C$24,2,0)</f>
        <v>1</v>
      </c>
      <c r="K433" s="2" t="s">
        <v>1171</v>
      </c>
      <c r="L433" s="28" t="s">
        <v>1177</v>
      </c>
      <c r="M433" s="20" t="s">
        <v>1178</v>
      </c>
      <c r="N433" s="47">
        <v>45512</v>
      </c>
      <c r="O433" s="20">
        <f>INDEX(Auxiliar!$D$5:$F$13,MATCH(Table1[[#This Row],[Tipologia_Testes]],Auxiliar!$B$5:$B$13,0),MATCH(Table1[[#This Row],[Complexidade]],Auxiliar!$D$4:$F$4,0))</f>
        <v>2</v>
      </c>
      <c r="P433" s="2"/>
      <c r="Q433" s="2"/>
      <c r="R433" s="151">
        <v>45512</v>
      </c>
      <c r="S433" s="151"/>
      <c r="T433" s="151">
        <v>45512</v>
      </c>
      <c r="U433" s="151">
        <v>45526</v>
      </c>
      <c r="V433" s="151"/>
      <c r="W433" s="2">
        <f>VLOOKUP(Table1[[#This Row],[Status]],Auxiliar!$B$16:$D$24,3,0)*Table1[[#This Row],[Estimação (horas)]]</f>
        <v>2</v>
      </c>
      <c r="X433" s="166">
        <f>+VLOOKUP(CONCATENATE(Table1[[#This Row],[Tabela]],Table1[[#This Row],[Campo]]),'2. Status Detalhe Campos FY24'!A:J,9,FALSE)</f>
        <v>0</v>
      </c>
    </row>
    <row r="434" spans="2:24" ht="17.850000000000001" hidden="1" customHeight="1">
      <c r="B434" s="2" t="s">
        <v>26</v>
      </c>
      <c r="C434" s="2" t="s">
        <v>54</v>
      </c>
      <c r="D434" s="2" t="s">
        <v>38</v>
      </c>
      <c r="E434" s="2" t="s">
        <v>38</v>
      </c>
      <c r="F434" s="2" t="s">
        <v>55</v>
      </c>
      <c r="G434" s="2" t="s">
        <v>62</v>
      </c>
      <c r="H434" s="56" t="str">
        <f>Table1[[#This Row],[Tabela]]&amp;Table1[[#This Row],[Campo]]</f>
        <v>PROCESSCURRENCY_CODE</v>
      </c>
      <c r="I434" s="2" t="s">
        <v>612</v>
      </c>
      <c r="J434" s="42">
        <f>VLOOKUP(Table1[[#This Row],[Status]],Auxiliar!$B$16:$C$24,2,0)</f>
        <v>1</v>
      </c>
      <c r="K434" s="2" t="s">
        <v>1172</v>
      </c>
      <c r="L434" s="28" t="s">
        <v>1177</v>
      </c>
      <c r="M434" s="20" t="s">
        <v>1178</v>
      </c>
      <c r="N434" s="47">
        <v>45512</v>
      </c>
      <c r="O434" s="20">
        <f>INDEX(Auxiliar!$D$5:$F$13,MATCH(Table1[[#This Row],[Tipologia_Testes]],Auxiliar!$B$5:$B$13,0),MATCH(Table1[[#This Row],[Complexidade]],Auxiliar!$D$4:$F$4,0))</f>
        <v>2</v>
      </c>
      <c r="P434" s="2"/>
      <c r="Q434" s="2"/>
      <c r="R434" s="151">
        <v>45512</v>
      </c>
      <c r="S434" s="151"/>
      <c r="T434" s="151"/>
      <c r="U434" s="151"/>
      <c r="V434" s="151"/>
      <c r="W434" s="2">
        <f>VLOOKUP(Table1[[#This Row],[Status]],Auxiliar!$B$16:$D$24,3,0)*Table1[[#This Row],[Estimação (horas)]]</f>
        <v>2</v>
      </c>
      <c r="X434" s="166">
        <f>+VLOOKUP(CONCATENATE(Table1[[#This Row],[Tabela]],Table1[[#This Row],[Campo]]),'2. Status Detalhe Campos FY24'!A:J,9,FALSE)</f>
        <v>0</v>
      </c>
    </row>
    <row r="435" spans="2:24" ht="17.850000000000001" hidden="1" customHeight="1">
      <c r="B435" s="2" t="s">
        <v>26</v>
      </c>
      <c r="C435" s="2" t="s">
        <v>54</v>
      </c>
      <c r="D435" s="2" t="s">
        <v>38</v>
      </c>
      <c r="E435" s="2" t="s">
        <v>38</v>
      </c>
      <c r="F435" s="2" t="s">
        <v>55</v>
      </c>
      <c r="G435" s="2" t="s">
        <v>62</v>
      </c>
      <c r="H435" s="56" t="str">
        <f>Table1[[#This Row],[Tabela]]&amp;Table1[[#This Row],[Campo]]</f>
        <v>PROCESSCURRENCY_CODE</v>
      </c>
      <c r="I435" s="2" t="s">
        <v>612</v>
      </c>
      <c r="J435" s="42">
        <f>VLOOKUP(Table1[[#This Row],[Status]],Auxiliar!$B$16:$C$24,2,0)</f>
        <v>1</v>
      </c>
      <c r="K435" s="2" t="s">
        <v>1174</v>
      </c>
      <c r="L435" s="28" t="s">
        <v>1177</v>
      </c>
      <c r="M435" s="20" t="s">
        <v>1178</v>
      </c>
      <c r="N435" s="47">
        <v>45512</v>
      </c>
      <c r="O435" s="20">
        <f>INDEX(Auxiliar!$D$5:$F$13,MATCH(Table1[[#This Row],[Tipologia_Testes]],Auxiliar!$B$5:$B$13,0),MATCH(Table1[[#This Row],[Complexidade]],Auxiliar!$D$4:$F$4,0))</f>
        <v>0.1</v>
      </c>
      <c r="P435" s="2"/>
      <c r="Q435" s="2"/>
      <c r="R435" s="151">
        <v>45512</v>
      </c>
      <c r="S435" s="151"/>
      <c r="T435" s="151"/>
      <c r="U435" s="151"/>
      <c r="V435" s="151"/>
      <c r="W435" s="2">
        <f>VLOOKUP(Table1[[#This Row],[Status]],Auxiliar!$B$16:$D$24,3,0)*Table1[[#This Row],[Estimação (horas)]]</f>
        <v>0.1</v>
      </c>
      <c r="X435" s="166">
        <f>+VLOOKUP(CONCATENATE(Table1[[#This Row],[Tabela]],Table1[[#This Row],[Campo]]),'2. Status Detalhe Campos FY24'!A:J,9,FALSE)</f>
        <v>0</v>
      </c>
    </row>
    <row r="436" spans="2:24" ht="17.850000000000001" hidden="1" customHeight="1">
      <c r="B436" s="2" t="s">
        <v>26</v>
      </c>
      <c r="C436" s="2" t="s">
        <v>54</v>
      </c>
      <c r="D436" s="2" t="s">
        <v>38</v>
      </c>
      <c r="E436" s="2" t="s">
        <v>38</v>
      </c>
      <c r="F436" s="2" t="s">
        <v>55</v>
      </c>
      <c r="G436" s="2" t="s">
        <v>63</v>
      </c>
      <c r="H436" s="56" t="str">
        <f>Table1[[#This Row],[Tabela]]&amp;Table1[[#This Row],[Campo]]</f>
        <v>PROCESSPROCESS_CAMPAIGN_CODE</v>
      </c>
      <c r="I436" s="2" t="s">
        <v>612</v>
      </c>
      <c r="J436" s="42">
        <f>VLOOKUP(Table1[[#This Row],[Status]],Auxiliar!$B$16:$C$24,2,0)</f>
        <v>1</v>
      </c>
      <c r="K436" s="2" t="s">
        <v>1171</v>
      </c>
      <c r="L436" s="28" t="s">
        <v>1177</v>
      </c>
      <c r="M436" s="20" t="s">
        <v>1178</v>
      </c>
      <c r="N436" s="47">
        <v>45512</v>
      </c>
      <c r="O436" s="20">
        <f>INDEX(Auxiliar!$D$5:$F$13,MATCH(Table1[[#This Row],[Tipologia_Testes]],Auxiliar!$B$5:$B$13,0),MATCH(Table1[[#This Row],[Complexidade]],Auxiliar!$D$4:$F$4,0))</f>
        <v>2</v>
      </c>
      <c r="P436" s="2"/>
      <c r="Q436" s="2"/>
      <c r="R436" s="151">
        <v>45261</v>
      </c>
      <c r="S436" s="151"/>
      <c r="T436" s="151"/>
      <c r="U436" s="151"/>
      <c r="V436" s="151"/>
      <c r="W436" s="2">
        <f>VLOOKUP(Table1[[#This Row],[Status]],Auxiliar!$B$16:$D$24,3,0)*Table1[[#This Row],[Estimação (horas)]]</f>
        <v>2</v>
      </c>
      <c r="X436" s="166">
        <f>+VLOOKUP(CONCATENATE(Table1[[#This Row],[Tabela]],Table1[[#This Row],[Campo]]),'2. Status Detalhe Campos FY24'!A:J,9,FALSE)</f>
        <v>0</v>
      </c>
    </row>
    <row r="437" spans="2:24" ht="17.850000000000001" hidden="1" customHeight="1">
      <c r="B437" s="2" t="s">
        <v>26</v>
      </c>
      <c r="C437" s="2" t="s">
        <v>54</v>
      </c>
      <c r="D437" s="2" t="s">
        <v>38</v>
      </c>
      <c r="E437" s="2" t="s">
        <v>38</v>
      </c>
      <c r="F437" s="2" t="s">
        <v>55</v>
      </c>
      <c r="G437" s="2" t="s">
        <v>63</v>
      </c>
      <c r="H437" s="56" t="str">
        <f>Table1[[#This Row],[Tabela]]&amp;Table1[[#This Row],[Campo]]</f>
        <v>PROCESSPROCESS_CAMPAIGN_CODE</v>
      </c>
      <c r="I437" s="2" t="s">
        <v>612</v>
      </c>
      <c r="J437" s="42">
        <f>VLOOKUP(Table1[[#This Row],[Status]],Auxiliar!$B$16:$C$24,2,0)</f>
        <v>1</v>
      </c>
      <c r="K437" s="2" t="s">
        <v>1172</v>
      </c>
      <c r="L437" s="28" t="s">
        <v>1177</v>
      </c>
      <c r="M437" s="20" t="s">
        <v>1178</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166">
        <f>+VLOOKUP(CONCATENATE(Table1[[#This Row],[Tabela]],Table1[[#This Row],[Campo]]),'2. Status Detalhe Campos FY24'!A:J,9,FALSE)</f>
        <v>0</v>
      </c>
    </row>
    <row r="438" spans="2:24" ht="17.850000000000001" hidden="1" customHeight="1">
      <c r="B438" s="2" t="s">
        <v>26</v>
      </c>
      <c r="C438" s="2" t="s">
        <v>54</v>
      </c>
      <c r="D438" s="2" t="s">
        <v>38</v>
      </c>
      <c r="E438" s="2" t="s">
        <v>38</v>
      </c>
      <c r="F438" s="2" t="s">
        <v>55</v>
      </c>
      <c r="G438" s="2" t="s">
        <v>63</v>
      </c>
      <c r="H438" s="56" t="str">
        <f>Table1[[#This Row],[Tabela]]&amp;Table1[[#This Row],[Campo]]</f>
        <v>PROCESSPROCESS_CAMPAIGN_CODE</v>
      </c>
      <c r="I438" s="2" t="s">
        <v>612</v>
      </c>
      <c r="J438" s="42">
        <f>VLOOKUP(Table1[[#This Row],[Status]],Auxiliar!$B$16:$C$24,2,0)</f>
        <v>1</v>
      </c>
      <c r="K438" s="2" t="s">
        <v>1174</v>
      </c>
      <c r="L438" s="28" t="s">
        <v>1177</v>
      </c>
      <c r="M438" s="20" t="s">
        <v>1178</v>
      </c>
      <c r="N438" s="47">
        <v>45512</v>
      </c>
      <c r="O438" s="20">
        <f>INDEX(Auxiliar!$D$5:$F$13,MATCH(Table1[[#This Row],[Tipologia_Testes]],Auxiliar!$B$5:$B$13,0),MATCH(Table1[[#This Row],[Complexidade]],Auxiliar!$D$4:$F$4,0))</f>
        <v>0.1</v>
      </c>
      <c r="P438" s="2"/>
      <c r="Q438" s="2"/>
      <c r="R438" s="151">
        <v>45261</v>
      </c>
      <c r="S438" s="151"/>
      <c r="T438" s="151"/>
      <c r="U438" s="151"/>
      <c r="V438" s="151"/>
      <c r="W438" s="2">
        <f>VLOOKUP(Table1[[#This Row],[Status]],Auxiliar!$B$16:$D$24,3,0)*Table1[[#This Row],[Estimação (horas)]]</f>
        <v>0.1</v>
      </c>
      <c r="X438" s="166">
        <f>+VLOOKUP(CONCATENATE(Table1[[#This Row],[Tabela]],Table1[[#This Row],[Campo]]),'2. Status Detalhe Campos FY24'!A:J,9,FALSE)</f>
        <v>0</v>
      </c>
    </row>
    <row r="439" spans="2:24" ht="17.850000000000001" hidden="1" customHeight="1">
      <c r="B439" s="2" t="s">
        <v>26</v>
      </c>
      <c r="C439" s="2" t="s">
        <v>54</v>
      </c>
      <c r="D439" s="2" t="s">
        <v>38</v>
      </c>
      <c r="E439" s="2" t="s">
        <v>38</v>
      </c>
      <c r="F439" s="2" t="s">
        <v>55</v>
      </c>
      <c r="G439" s="2" t="s">
        <v>64</v>
      </c>
      <c r="H439" s="56" t="str">
        <f>Table1[[#This Row],[Tabela]]&amp;Table1[[#This Row],[Campo]]</f>
        <v>PROCESSPROCESS_PRODUCT_ID</v>
      </c>
      <c r="I439" s="2" t="s">
        <v>612</v>
      </c>
      <c r="J439" s="42">
        <f>VLOOKUP(Table1[[#This Row],[Status]],Auxiliar!$B$16:$C$24,2,0)</f>
        <v>1</v>
      </c>
      <c r="K439" s="2" t="s">
        <v>1171</v>
      </c>
      <c r="L439" s="28" t="s">
        <v>1177</v>
      </c>
      <c r="M439" s="20" t="s">
        <v>1178</v>
      </c>
      <c r="N439" s="47">
        <v>45512</v>
      </c>
      <c r="O439" s="20">
        <f>INDEX(Auxiliar!$D$5:$F$13,MATCH(Table1[[#This Row],[Tipologia_Testes]],Auxiliar!$B$5:$B$13,0),MATCH(Table1[[#This Row],[Complexidade]],Auxiliar!$D$4:$F$4,0))</f>
        <v>2</v>
      </c>
      <c r="P439" s="2"/>
      <c r="Q439" s="2"/>
      <c r="R439" s="151">
        <v>45261</v>
      </c>
      <c r="S439" s="151"/>
      <c r="T439" s="151"/>
      <c r="U439" s="151"/>
      <c r="V439" s="151"/>
      <c r="W439" s="2">
        <f>VLOOKUP(Table1[[#This Row],[Status]],Auxiliar!$B$16:$D$24,3,0)*Table1[[#This Row],[Estimação (horas)]]</f>
        <v>2</v>
      </c>
      <c r="X439" s="166">
        <f>+VLOOKUP(CONCATENATE(Table1[[#This Row],[Tabela]],Table1[[#This Row],[Campo]]),'2. Status Detalhe Campos FY24'!A:J,9,FALSE)</f>
        <v>0</v>
      </c>
    </row>
    <row r="440" spans="2:24" ht="17.850000000000001" hidden="1" customHeight="1">
      <c r="B440" s="2" t="s">
        <v>26</v>
      </c>
      <c r="C440" s="2" t="s">
        <v>54</v>
      </c>
      <c r="D440" s="2" t="s">
        <v>38</v>
      </c>
      <c r="E440" s="2" t="s">
        <v>38</v>
      </c>
      <c r="F440" s="2" t="s">
        <v>55</v>
      </c>
      <c r="G440" s="2" t="s">
        <v>64</v>
      </c>
      <c r="H440" s="56" t="str">
        <f>Table1[[#This Row],[Tabela]]&amp;Table1[[#This Row],[Campo]]</f>
        <v>PROCESSPROCESS_PRODUCT_ID</v>
      </c>
      <c r="I440" s="2" t="s">
        <v>612</v>
      </c>
      <c r="J440" s="42">
        <f>VLOOKUP(Table1[[#This Row],[Status]],Auxiliar!$B$16:$C$24,2,0)</f>
        <v>1</v>
      </c>
      <c r="K440" s="2" t="s">
        <v>1172</v>
      </c>
      <c r="L440" s="28" t="s">
        <v>1177</v>
      </c>
      <c r="M440" s="20" t="s">
        <v>1178</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166">
        <f>+VLOOKUP(CONCATENATE(Table1[[#This Row],[Tabela]],Table1[[#This Row],[Campo]]),'2. Status Detalhe Campos FY24'!A:J,9,FALSE)</f>
        <v>0</v>
      </c>
    </row>
    <row r="441" spans="2:24" ht="17.850000000000001" hidden="1" customHeight="1">
      <c r="B441" s="2" t="s">
        <v>26</v>
      </c>
      <c r="C441" s="2" t="s">
        <v>54</v>
      </c>
      <c r="D441" s="2" t="s">
        <v>38</v>
      </c>
      <c r="E441" s="2" t="s">
        <v>38</v>
      </c>
      <c r="F441" s="2" t="s">
        <v>55</v>
      </c>
      <c r="G441" s="2" t="s">
        <v>64</v>
      </c>
      <c r="H441" s="56" t="str">
        <f>Table1[[#This Row],[Tabela]]&amp;Table1[[#This Row],[Campo]]</f>
        <v>PROCESSPROCESS_PRODUCT_ID</v>
      </c>
      <c r="I441" s="2" t="s">
        <v>612</v>
      </c>
      <c r="J441" s="42">
        <f>VLOOKUP(Table1[[#This Row],[Status]],Auxiliar!$B$16:$C$24,2,0)</f>
        <v>1</v>
      </c>
      <c r="K441" s="2" t="s">
        <v>1174</v>
      </c>
      <c r="L441" s="28" t="s">
        <v>1177</v>
      </c>
      <c r="M441" s="20" t="s">
        <v>1178</v>
      </c>
      <c r="N441" s="47">
        <v>45512</v>
      </c>
      <c r="O441" s="20">
        <f>INDEX(Auxiliar!$D$5:$F$13,MATCH(Table1[[#This Row],[Tipologia_Testes]],Auxiliar!$B$5:$B$13,0),MATCH(Table1[[#This Row],[Complexidade]],Auxiliar!$D$4:$F$4,0))</f>
        <v>0.1</v>
      </c>
      <c r="P441" s="2"/>
      <c r="Q441" s="2"/>
      <c r="R441" s="151">
        <v>45261</v>
      </c>
      <c r="S441" s="151"/>
      <c r="T441" s="151"/>
      <c r="U441" s="151"/>
      <c r="V441" s="151"/>
      <c r="W441" s="2">
        <f>VLOOKUP(Table1[[#This Row],[Status]],Auxiliar!$B$16:$D$24,3,0)*Table1[[#This Row],[Estimação (horas)]]</f>
        <v>0.1</v>
      </c>
      <c r="X441" s="166">
        <f>+VLOOKUP(CONCATENATE(Table1[[#This Row],[Tabela]],Table1[[#This Row],[Campo]]),'2. Status Detalhe Campos FY24'!A:J,9,FALSE)</f>
        <v>0</v>
      </c>
    </row>
    <row r="442" spans="2:24" ht="17.850000000000001" hidden="1" customHeight="1">
      <c r="B442" s="2" t="s">
        <v>26</v>
      </c>
      <c r="C442" s="2" t="s">
        <v>54</v>
      </c>
      <c r="D442" s="2" t="s">
        <v>38</v>
      </c>
      <c r="E442" s="2" t="s">
        <v>38</v>
      </c>
      <c r="F442" s="2" t="s">
        <v>55</v>
      </c>
      <c r="G442" s="2" t="s">
        <v>65</v>
      </c>
      <c r="H442" s="56" t="str">
        <f>Table1[[#This Row],[Tabela]]&amp;Table1[[#This Row],[Campo]]</f>
        <v>PROCESSPROCESS_SUBPRODUCT_ID</v>
      </c>
      <c r="I442" s="2" t="s">
        <v>612</v>
      </c>
      <c r="J442" s="42">
        <f>VLOOKUP(Table1[[#This Row],[Status]],Auxiliar!$B$16:$C$24,2,0)</f>
        <v>1</v>
      </c>
      <c r="K442" s="2" t="s">
        <v>1171</v>
      </c>
      <c r="L442" s="28" t="s">
        <v>1177</v>
      </c>
      <c r="M442" s="20" t="s">
        <v>1178</v>
      </c>
      <c r="N442" s="47">
        <v>45512</v>
      </c>
      <c r="O442" s="20">
        <f>INDEX(Auxiliar!$D$5:$F$13,MATCH(Table1[[#This Row],[Tipologia_Testes]],Auxiliar!$B$5:$B$13,0),MATCH(Table1[[#This Row],[Complexidade]],Auxiliar!$D$4:$F$4,0))</f>
        <v>2</v>
      </c>
      <c r="P442" s="2"/>
      <c r="Q442" s="2"/>
      <c r="R442" s="151">
        <v>45261</v>
      </c>
      <c r="S442" s="151"/>
      <c r="T442" s="151"/>
      <c r="U442" s="151"/>
      <c r="V442" s="151"/>
      <c r="W442" s="2">
        <f>VLOOKUP(Table1[[#This Row],[Status]],Auxiliar!$B$16:$D$24,3,0)*Table1[[#This Row],[Estimação (horas)]]</f>
        <v>2</v>
      </c>
      <c r="X442" s="166">
        <f>+VLOOKUP(CONCATENATE(Table1[[#This Row],[Tabela]],Table1[[#This Row],[Campo]]),'2. Status Detalhe Campos FY24'!A:J,9,FALSE)</f>
        <v>0</v>
      </c>
    </row>
    <row r="443" spans="2:24" ht="17.850000000000001" hidden="1" customHeight="1">
      <c r="B443" s="2" t="s">
        <v>26</v>
      </c>
      <c r="C443" s="2" t="s">
        <v>54</v>
      </c>
      <c r="D443" s="2" t="s">
        <v>38</v>
      </c>
      <c r="E443" s="2" t="s">
        <v>38</v>
      </c>
      <c r="F443" s="2" t="s">
        <v>55</v>
      </c>
      <c r="G443" s="2" t="s">
        <v>65</v>
      </c>
      <c r="H443" s="56" t="str">
        <f>Table1[[#This Row],[Tabela]]&amp;Table1[[#This Row],[Campo]]</f>
        <v>PROCESSPROCESS_SUBPRODUCT_ID</v>
      </c>
      <c r="I443" s="2" t="s">
        <v>612</v>
      </c>
      <c r="J443" s="42">
        <f>VLOOKUP(Table1[[#This Row],[Status]],Auxiliar!$B$16:$C$24,2,0)</f>
        <v>1</v>
      </c>
      <c r="K443" s="2" t="s">
        <v>1172</v>
      </c>
      <c r="L443" s="28" t="s">
        <v>1177</v>
      </c>
      <c r="M443" s="20" t="s">
        <v>1178</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166">
        <f>+VLOOKUP(CONCATENATE(Table1[[#This Row],[Tabela]],Table1[[#This Row],[Campo]]),'2. Status Detalhe Campos FY24'!A:J,9,FALSE)</f>
        <v>0</v>
      </c>
    </row>
    <row r="444" spans="2:24" ht="17.850000000000001" hidden="1" customHeight="1">
      <c r="B444" s="2" t="s">
        <v>26</v>
      </c>
      <c r="C444" s="2" t="s">
        <v>54</v>
      </c>
      <c r="D444" s="2" t="s">
        <v>38</v>
      </c>
      <c r="E444" s="2" t="s">
        <v>38</v>
      </c>
      <c r="F444" s="2" t="s">
        <v>55</v>
      </c>
      <c r="G444" s="2" t="s">
        <v>65</v>
      </c>
      <c r="H444" s="56" t="str">
        <f>Table1[[#This Row],[Tabela]]&amp;Table1[[#This Row],[Campo]]</f>
        <v>PROCESSPROCESS_SUBPRODUCT_ID</v>
      </c>
      <c r="I444" s="2" t="s">
        <v>612</v>
      </c>
      <c r="J444" s="42">
        <f>VLOOKUP(Table1[[#This Row],[Status]],Auxiliar!$B$16:$C$24,2,0)</f>
        <v>1</v>
      </c>
      <c r="K444" s="2" t="s">
        <v>1174</v>
      </c>
      <c r="L444" s="28" t="s">
        <v>1177</v>
      </c>
      <c r="M444" s="20" t="s">
        <v>1178</v>
      </c>
      <c r="N444" s="47">
        <v>45512</v>
      </c>
      <c r="O444" s="20">
        <f>INDEX(Auxiliar!$D$5:$F$13,MATCH(Table1[[#This Row],[Tipologia_Testes]],Auxiliar!$B$5:$B$13,0),MATCH(Table1[[#This Row],[Complexidade]],Auxiliar!$D$4:$F$4,0))</f>
        <v>0.1</v>
      </c>
      <c r="P444" s="2"/>
      <c r="Q444" s="2"/>
      <c r="R444" s="151">
        <v>45261</v>
      </c>
      <c r="S444" s="151"/>
      <c r="T444" s="151"/>
      <c r="U444" s="151"/>
      <c r="V444" s="151"/>
      <c r="W444" s="2">
        <f>VLOOKUP(Table1[[#This Row],[Status]],Auxiliar!$B$16:$D$24,3,0)*Table1[[#This Row],[Estimação (horas)]]</f>
        <v>0.1</v>
      </c>
      <c r="X444" s="166">
        <f>+VLOOKUP(CONCATENATE(Table1[[#This Row],[Tabela]],Table1[[#This Row],[Campo]]),'2. Status Detalhe Campos FY24'!A:J,9,FALSE)</f>
        <v>0</v>
      </c>
    </row>
    <row r="445" spans="2:24" ht="17.850000000000001" hidden="1" customHeight="1">
      <c r="B445" s="2" t="s">
        <v>26</v>
      </c>
      <c r="C445" s="2" t="s">
        <v>54</v>
      </c>
      <c r="D445" s="2" t="s">
        <v>38</v>
      </c>
      <c r="E445" s="2" t="s">
        <v>38</v>
      </c>
      <c r="F445" s="2" t="s">
        <v>55</v>
      </c>
      <c r="G445" s="2" t="s">
        <v>66</v>
      </c>
      <c r="H445" s="56" t="str">
        <f>Table1[[#This Row],[Tabela]]&amp;Table1[[#This Row],[Campo]]</f>
        <v>PROCESSGUARANTEE_TYPE_CODE</v>
      </c>
      <c r="I445" s="2" t="s">
        <v>612</v>
      </c>
      <c r="J445" s="42">
        <f>VLOOKUP(Table1[[#This Row],[Status]],Auxiliar!$B$16:$C$24,2,0)</f>
        <v>1</v>
      </c>
      <c r="K445" s="2" t="s">
        <v>1171</v>
      </c>
      <c r="L445" s="28" t="s">
        <v>1177</v>
      </c>
      <c r="M445" s="20" t="s">
        <v>1178</v>
      </c>
      <c r="N445" s="47">
        <v>45512</v>
      </c>
      <c r="O445" s="20">
        <f>INDEX(Auxiliar!$D$5:$F$13,MATCH(Table1[[#This Row],[Tipologia_Testes]],Auxiliar!$B$5:$B$13,0),MATCH(Table1[[#This Row],[Complexidade]],Auxiliar!$D$4:$F$4,0))</f>
        <v>2</v>
      </c>
      <c r="P445" s="2"/>
      <c r="Q445" s="2"/>
      <c r="R445" s="151">
        <v>45261</v>
      </c>
      <c r="S445" s="151"/>
      <c r="T445" s="151"/>
      <c r="U445" s="151"/>
      <c r="V445" s="151"/>
      <c r="W445" s="2">
        <f>VLOOKUP(Table1[[#This Row],[Status]],Auxiliar!$B$16:$D$24,3,0)*Table1[[#This Row],[Estimação (horas)]]</f>
        <v>2</v>
      </c>
      <c r="X445" s="166">
        <f>+VLOOKUP(CONCATENATE(Table1[[#This Row],[Tabela]],Table1[[#This Row],[Campo]]),'2. Status Detalhe Campos FY24'!A:J,9,FALSE)</f>
        <v>0</v>
      </c>
    </row>
    <row r="446" spans="2:24" ht="17.850000000000001" hidden="1" customHeight="1">
      <c r="B446" s="2" t="s">
        <v>26</v>
      </c>
      <c r="C446" s="2" t="s">
        <v>54</v>
      </c>
      <c r="D446" s="2" t="s">
        <v>38</v>
      </c>
      <c r="E446" s="2" t="s">
        <v>38</v>
      </c>
      <c r="F446" s="2" t="s">
        <v>55</v>
      </c>
      <c r="G446" s="2" t="s">
        <v>66</v>
      </c>
      <c r="H446" s="56" t="str">
        <f>Table1[[#This Row],[Tabela]]&amp;Table1[[#This Row],[Campo]]</f>
        <v>PROCESSGUARANTEE_TYPE_CODE</v>
      </c>
      <c r="I446" s="2" t="s">
        <v>612</v>
      </c>
      <c r="J446" s="42">
        <f>VLOOKUP(Table1[[#This Row],[Status]],Auxiliar!$B$16:$C$24,2,0)</f>
        <v>1</v>
      </c>
      <c r="K446" s="2" t="s">
        <v>1172</v>
      </c>
      <c r="L446" s="28" t="s">
        <v>1177</v>
      </c>
      <c r="M446" s="20" t="s">
        <v>1178</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166">
        <f>+VLOOKUP(CONCATENATE(Table1[[#This Row],[Tabela]],Table1[[#This Row],[Campo]]),'2. Status Detalhe Campos FY24'!A:J,9,FALSE)</f>
        <v>0</v>
      </c>
    </row>
    <row r="447" spans="2:24" ht="17.850000000000001" hidden="1" customHeight="1">
      <c r="B447" s="2" t="s">
        <v>26</v>
      </c>
      <c r="C447" s="2" t="s">
        <v>54</v>
      </c>
      <c r="D447" s="2" t="s">
        <v>38</v>
      </c>
      <c r="E447" s="2" t="s">
        <v>38</v>
      </c>
      <c r="F447" s="2" t="s">
        <v>55</v>
      </c>
      <c r="G447" s="2" t="s">
        <v>66</v>
      </c>
      <c r="H447" s="56" t="str">
        <f>Table1[[#This Row],[Tabela]]&amp;Table1[[#This Row],[Campo]]</f>
        <v>PROCESSGUARANTEE_TYPE_CODE</v>
      </c>
      <c r="I447" s="2" t="s">
        <v>612</v>
      </c>
      <c r="J447" s="42">
        <f>VLOOKUP(Table1[[#This Row],[Status]],Auxiliar!$B$16:$C$24,2,0)</f>
        <v>1</v>
      </c>
      <c r="K447" s="2" t="s">
        <v>1174</v>
      </c>
      <c r="L447" s="28" t="s">
        <v>1177</v>
      </c>
      <c r="M447" s="20" t="s">
        <v>1178</v>
      </c>
      <c r="N447" s="47">
        <v>45512</v>
      </c>
      <c r="O447" s="20">
        <f>INDEX(Auxiliar!$D$5:$F$13,MATCH(Table1[[#This Row],[Tipologia_Testes]],Auxiliar!$B$5:$B$13,0),MATCH(Table1[[#This Row],[Complexidade]],Auxiliar!$D$4:$F$4,0))</f>
        <v>0.1</v>
      </c>
      <c r="P447" s="2"/>
      <c r="Q447" s="2"/>
      <c r="R447" s="151">
        <v>45261</v>
      </c>
      <c r="S447" s="151"/>
      <c r="T447" s="151"/>
      <c r="U447" s="151"/>
      <c r="V447" s="151"/>
      <c r="W447" s="2">
        <f>VLOOKUP(Table1[[#This Row],[Status]],Auxiliar!$B$16:$D$24,3,0)*Table1[[#This Row],[Estimação (horas)]]</f>
        <v>0.1</v>
      </c>
      <c r="X447" s="166">
        <f>+VLOOKUP(CONCATENATE(Table1[[#This Row],[Tabela]],Table1[[#This Row],[Campo]]),'2. Status Detalhe Campos FY24'!A:J,9,FALSE)</f>
        <v>0</v>
      </c>
    </row>
    <row r="448" spans="2:24" ht="17.850000000000001" hidden="1" customHeight="1">
      <c r="B448" s="2" t="s">
        <v>26</v>
      </c>
      <c r="C448" s="2" t="s">
        <v>54</v>
      </c>
      <c r="D448" s="2" t="s">
        <v>38</v>
      </c>
      <c r="E448" s="2" t="s">
        <v>38</v>
      </c>
      <c r="F448" s="2" t="s">
        <v>55</v>
      </c>
      <c r="G448" s="2" t="s">
        <v>67</v>
      </c>
      <c r="H448" s="56" t="str">
        <f>Table1[[#This Row],[Tabela]]&amp;Table1[[#This Row],[Campo]]</f>
        <v>PROCESSPROCESS_REFERENCE_CODE</v>
      </c>
      <c r="I448" s="2" t="s">
        <v>612</v>
      </c>
      <c r="J448" s="42">
        <f>VLOOKUP(Table1[[#This Row],[Status]],Auxiliar!$B$16:$C$24,2,0)</f>
        <v>1</v>
      </c>
      <c r="K448" s="2" t="s">
        <v>1171</v>
      </c>
      <c r="L448" s="28" t="s">
        <v>1177</v>
      </c>
      <c r="M448" s="20" t="s">
        <v>1178</v>
      </c>
      <c r="N448" s="47">
        <v>45512</v>
      </c>
      <c r="O448" s="20">
        <f>INDEX(Auxiliar!$D$5:$F$13,MATCH(Table1[[#This Row],[Tipologia_Testes]],Auxiliar!$B$5:$B$13,0),MATCH(Table1[[#This Row],[Complexidade]],Auxiliar!$D$4:$F$4,0))</f>
        <v>2</v>
      </c>
      <c r="P448" s="2"/>
      <c r="Q448" s="2"/>
      <c r="R448" s="151">
        <v>45261</v>
      </c>
      <c r="S448" s="151"/>
      <c r="T448" s="151"/>
      <c r="U448" s="151"/>
      <c r="V448" s="151"/>
      <c r="W448" s="2">
        <f>VLOOKUP(Table1[[#This Row],[Status]],Auxiliar!$B$16:$D$24,3,0)*Table1[[#This Row],[Estimação (horas)]]</f>
        <v>2</v>
      </c>
      <c r="X448" s="166">
        <f>+VLOOKUP(CONCATENATE(Table1[[#This Row],[Tabela]],Table1[[#This Row],[Campo]]),'2. Status Detalhe Campos FY24'!A:J,9,FALSE)</f>
        <v>0</v>
      </c>
    </row>
    <row r="449" spans="2:24" ht="17.850000000000001" hidden="1" customHeight="1">
      <c r="B449" s="2" t="s">
        <v>26</v>
      </c>
      <c r="C449" s="2" t="s">
        <v>54</v>
      </c>
      <c r="D449" s="2" t="s">
        <v>38</v>
      </c>
      <c r="E449" s="2" t="s">
        <v>38</v>
      </c>
      <c r="F449" s="2" t="s">
        <v>55</v>
      </c>
      <c r="G449" s="2" t="s">
        <v>67</v>
      </c>
      <c r="H449" s="56" t="str">
        <f>Table1[[#This Row],[Tabela]]&amp;Table1[[#This Row],[Campo]]</f>
        <v>PROCESSPROCESS_REFERENCE_CODE</v>
      </c>
      <c r="I449" s="2" t="s">
        <v>612</v>
      </c>
      <c r="J449" s="42">
        <f>VLOOKUP(Table1[[#This Row],[Status]],Auxiliar!$B$16:$C$24,2,0)</f>
        <v>1</v>
      </c>
      <c r="K449" s="2" t="s">
        <v>1172</v>
      </c>
      <c r="L449" s="28" t="s">
        <v>1177</v>
      </c>
      <c r="M449" s="20" t="s">
        <v>1178</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166">
        <f>+VLOOKUP(CONCATENATE(Table1[[#This Row],[Tabela]],Table1[[#This Row],[Campo]]),'2. Status Detalhe Campos FY24'!A:J,9,FALSE)</f>
        <v>0</v>
      </c>
    </row>
    <row r="450" spans="2:24" ht="17.850000000000001" hidden="1" customHeight="1">
      <c r="B450" s="2" t="s">
        <v>26</v>
      </c>
      <c r="C450" s="2" t="s">
        <v>54</v>
      </c>
      <c r="D450" s="2" t="s">
        <v>38</v>
      </c>
      <c r="E450" s="2" t="s">
        <v>38</v>
      </c>
      <c r="F450" s="2" t="s">
        <v>55</v>
      </c>
      <c r="G450" s="2" t="s">
        <v>67</v>
      </c>
      <c r="H450" s="56" t="str">
        <f>Table1[[#This Row],[Tabela]]&amp;Table1[[#This Row],[Campo]]</f>
        <v>PROCESSPROCESS_REFERENCE_CODE</v>
      </c>
      <c r="I450" s="2" t="s">
        <v>612</v>
      </c>
      <c r="J450" s="42">
        <f>VLOOKUP(Table1[[#This Row],[Status]],Auxiliar!$B$16:$C$24,2,0)</f>
        <v>1</v>
      </c>
      <c r="K450" s="2" t="s">
        <v>1174</v>
      </c>
      <c r="L450" s="28" t="s">
        <v>1177</v>
      </c>
      <c r="M450" s="20" t="s">
        <v>1178</v>
      </c>
      <c r="N450" s="47">
        <v>45512</v>
      </c>
      <c r="O450" s="20">
        <f>INDEX(Auxiliar!$D$5:$F$13,MATCH(Table1[[#This Row],[Tipologia_Testes]],Auxiliar!$B$5:$B$13,0),MATCH(Table1[[#This Row],[Complexidade]],Auxiliar!$D$4:$F$4,0))</f>
        <v>0.1</v>
      </c>
      <c r="P450" s="2"/>
      <c r="Q450" s="2"/>
      <c r="R450" s="151">
        <v>45261</v>
      </c>
      <c r="S450" s="151"/>
      <c r="T450" s="151"/>
      <c r="U450" s="151"/>
      <c r="V450" s="151"/>
      <c r="W450" s="2">
        <f>VLOOKUP(Table1[[#This Row],[Status]],Auxiliar!$B$16:$D$24,3,0)*Table1[[#This Row],[Estimação (horas)]]</f>
        <v>0.1</v>
      </c>
      <c r="X450" s="166">
        <f>+VLOOKUP(CONCATENATE(Table1[[#This Row],[Tabela]],Table1[[#This Row],[Campo]]),'2. Status Detalhe Campos FY24'!A:J,9,FALSE)</f>
        <v>0</v>
      </c>
    </row>
    <row r="451" spans="2:24" ht="17.850000000000001" hidden="1" customHeight="1">
      <c r="B451" s="2" t="s">
        <v>26</v>
      </c>
      <c r="C451" s="2" t="s">
        <v>54</v>
      </c>
      <c r="D451" s="2" t="s">
        <v>38</v>
      </c>
      <c r="E451" s="2" t="s">
        <v>38</v>
      </c>
      <c r="F451" s="2" t="s">
        <v>55</v>
      </c>
      <c r="G451" s="2" t="s">
        <v>68</v>
      </c>
      <c r="H451" s="56" t="str">
        <f>Table1[[#This Row],[Tabela]]&amp;Table1[[#This Row],[Campo]]</f>
        <v>PROCESSPROCESS_START_DATE</v>
      </c>
      <c r="I451" s="2" t="s">
        <v>612</v>
      </c>
      <c r="J451" s="42">
        <f>VLOOKUP(Table1[[#This Row],[Status]],Auxiliar!$B$16:$C$24,2,0)</f>
        <v>1</v>
      </c>
      <c r="K451" s="2" t="s">
        <v>1171</v>
      </c>
      <c r="L451" s="28" t="s">
        <v>1177</v>
      </c>
      <c r="M451" s="20" t="s">
        <v>1178</v>
      </c>
      <c r="N451" s="47">
        <v>45512</v>
      </c>
      <c r="O451" s="20">
        <f>INDEX(Auxiliar!$D$5:$F$13,MATCH(Table1[[#This Row],[Tipologia_Testes]],Auxiliar!$B$5:$B$13,0),MATCH(Table1[[#This Row],[Complexidade]],Auxiliar!$D$4:$F$4,0))</f>
        <v>2</v>
      </c>
      <c r="P451" s="2"/>
      <c r="Q451" s="2"/>
      <c r="R451" s="151">
        <v>45261</v>
      </c>
      <c r="S451" s="151"/>
      <c r="T451" s="151"/>
      <c r="U451" s="151"/>
      <c r="V451" s="151"/>
      <c r="W451" s="2">
        <f>VLOOKUP(Table1[[#This Row],[Status]],Auxiliar!$B$16:$D$24,3,0)*Table1[[#This Row],[Estimação (horas)]]</f>
        <v>2</v>
      </c>
      <c r="X451" s="166">
        <f>+VLOOKUP(CONCATENATE(Table1[[#This Row],[Tabela]],Table1[[#This Row],[Campo]]),'2. Status Detalhe Campos FY24'!A:J,9,FALSE)</f>
        <v>0</v>
      </c>
    </row>
    <row r="452" spans="2:24" ht="17.850000000000001" hidden="1" customHeight="1">
      <c r="B452" s="2" t="s">
        <v>26</v>
      </c>
      <c r="C452" s="2" t="s">
        <v>54</v>
      </c>
      <c r="D452" s="2" t="s">
        <v>38</v>
      </c>
      <c r="E452" s="2" t="s">
        <v>38</v>
      </c>
      <c r="F452" s="2" t="s">
        <v>55</v>
      </c>
      <c r="G452" s="2" t="s">
        <v>68</v>
      </c>
      <c r="H452" s="56" t="str">
        <f>Table1[[#This Row],[Tabela]]&amp;Table1[[#This Row],[Campo]]</f>
        <v>PROCESSPROCESS_START_DATE</v>
      </c>
      <c r="I452" s="2" t="s">
        <v>612</v>
      </c>
      <c r="J452" s="42">
        <f>VLOOKUP(Table1[[#This Row],[Status]],Auxiliar!$B$16:$C$24,2,0)</f>
        <v>1</v>
      </c>
      <c r="K452" s="2" t="s">
        <v>1172</v>
      </c>
      <c r="L452" s="28" t="s">
        <v>1177</v>
      </c>
      <c r="M452" s="20" t="s">
        <v>1178</v>
      </c>
      <c r="N452" s="47">
        <v>45512</v>
      </c>
      <c r="O452" s="20">
        <f>INDEX(Auxiliar!$D$5:$F$13,MATCH(Table1[[#This Row],[Tipologia_Testes]],Auxiliar!$B$5:$B$13,0),MATCH(Table1[[#This Row],[Complexidade]],Auxiliar!$D$4:$F$4,0))</f>
        <v>2</v>
      </c>
      <c r="P452" s="2"/>
      <c r="Q452" s="2"/>
      <c r="R452" s="151">
        <v>45261</v>
      </c>
      <c r="S452" s="151"/>
      <c r="T452" s="151"/>
      <c r="U452" s="151"/>
      <c r="V452" s="151"/>
      <c r="W452" s="2">
        <f>VLOOKUP(Table1[[#This Row],[Status]],Auxiliar!$B$16:$D$24,3,0)*Table1[[#This Row],[Estimação (horas)]]</f>
        <v>2</v>
      </c>
      <c r="X452" s="166">
        <f>+VLOOKUP(CONCATENATE(Table1[[#This Row],[Tabela]],Table1[[#This Row],[Campo]]),'2. Status Detalhe Campos FY24'!A:J,9,FALSE)</f>
        <v>0</v>
      </c>
    </row>
    <row r="453" spans="2:24" ht="17.850000000000001" hidden="1" customHeight="1">
      <c r="B453" s="2" t="s">
        <v>26</v>
      </c>
      <c r="C453" s="2" t="s">
        <v>54</v>
      </c>
      <c r="D453" s="2" t="s">
        <v>38</v>
      </c>
      <c r="E453" s="2" t="s">
        <v>38</v>
      </c>
      <c r="F453" s="2" t="s">
        <v>55</v>
      </c>
      <c r="G453" s="2" t="s">
        <v>68</v>
      </c>
      <c r="H453" s="56" t="str">
        <f>Table1[[#This Row],[Tabela]]&amp;Table1[[#This Row],[Campo]]</f>
        <v>PROCESSPROCESS_START_DATE</v>
      </c>
      <c r="I453" s="2" t="s">
        <v>612</v>
      </c>
      <c r="J453" s="42">
        <f>VLOOKUP(Table1[[#This Row],[Status]],Auxiliar!$B$16:$C$24,2,0)</f>
        <v>1</v>
      </c>
      <c r="K453" s="2" t="s">
        <v>1174</v>
      </c>
      <c r="L453" s="28" t="s">
        <v>1177</v>
      </c>
      <c r="M453" s="20" t="s">
        <v>1178</v>
      </c>
      <c r="N453" s="47">
        <v>45512</v>
      </c>
      <c r="O453" s="20">
        <f>INDEX(Auxiliar!$D$5:$F$13,MATCH(Table1[[#This Row],[Tipologia_Testes]],Auxiliar!$B$5:$B$13,0),MATCH(Table1[[#This Row],[Complexidade]],Auxiliar!$D$4:$F$4,0))</f>
        <v>0.1</v>
      </c>
      <c r="P453" s="2"/>
      <c r="Q453" s="2"/>
      <c r="R453" s="151">
        <v>45261</v>
      </c>
      <c r="S453" s="151"/>
      <c r="T453" s="151"/>
      <c r="U453" s="151"/>
      <c r="V453" s="151"/>
      <c r="W453" s="2">
        <f>VLOOKUP(Table1[[#This Row],[Status]],Auxiliar!$B$16:$D$24,3,0)*Table1[[#This Row],[Estimação (horas)]]</f>
        <v>0.1</v>
      </c>
      <c r="X453" s="166">
        <f>+VLOOKUP(CONCATENATE(Table1[[#This Row],[Tabela]],Table1[[#This Row],[Campo]]),'2. Status Detalhe Campos FY24'!A:J,9,FALSE)</f>
        <v>0</v>
      </c>
    </row>
    <row r="454" spans="2:24" ht="17.850000000000001" hidden="1" customHeight="1">
      <c r="B454" s="2" t="s">
        <v>26</v>
      </c>
      <c r="C454" s="2" t="s">
        <v>54</v>
      </c>
      <c r="D454" s="2" t="s">
        <v>38</v>
      </c>
      <c r="E454" s="2" t="s">
        <v>38</v>
      </c>
      <c r="F454" s="2" t="s">
        <v>55</v>
      </c>
      <c r="G454" s="2" t="s">
        <v>69</v>
      </c>
      <c r="H454" s="56" t="str">
        <f>Table1[[#This Row],[Tabela]]&amp;Table1[[#This Row],[Campo]]</f>
        <v>PROCESSPROCESS_DUE_DATE</v>
      </c>
      <c r="I454" s="2" t="s">
        <v>612</v>
      </c>
      <c r="J454" s="42">
        <f>VLOOKUP(Table1[[#This Row],[Status]],Auxiliar!$B$16:$C$24,2,0)</f>
        <v>1</v>
      </c>
      <c r="K454" s="2" t="s">
        <v>1171</v>
      </c>
      <c r="L454" s="28" t="s">
        <v>1177</v>
      </c>
      <c r="M454" s="20" t="s">
        <v>1178</v>
      </c>
      <c r="N454" s="47">
        <v>45512</v>
      </c>
      <c r="O454" s="20">
        <f>INDEX(Auxiliar!$D$5:$F$13,MATCH(Table1[[#This Row],[Tipologia_Testes]],Auxiliar!$B$5:$B$13,0),MATCH(Table1[[#This Row],[Complexidade]],Auxiliar!$D$4:$F$4,0))</f>
        <v>2</v>
      </c>
      <c r="P454" s="2"/>
      <c r="Q454" s="2"/>
      <c r="R454" s="151">
        <v>45261</v>
      </c>
      <c r="S454" s="151"/>
      <c r="T454" s="151"/>
      <c r="U454" s="151"/>
      <c r="V454" s="151"/>
      <c r="W454" s="2">
        <f>VLOOKUP(Table1[[#This Row],[Status]],Auxiliar!$B$16:$D$24,3,0)*Table1[[#This Row],[Estimação (horas)]]</f>
        <v>2</v>
      </c>
      <c r="X454" s="166">
        <f>+VLOOKUP(CONCATENATE(Table1[[#This Row],[Tabela]],Table1[[#This Row],[Campo]]),'2. Status Detalhe Campos FY24'!A:J,9,FALSE)</f>
        <v>0</v>
      </c>
    </row>
    <row r="455" spans="2:24" ht="17.850000000000001" hidden="1" customHeight="1">
      <c r="B455" s="2" t="s">
        <v>26</v>
      </c>
      <c r="C455" s="2" t="s">
        <v>54</v>
      </c>
      <c r="D455" s="2" t="s">
        <v>38</v>
      </c>
      <c r="E455" s="2" t="s">
        <v>38</v>
      </c>
      <c r="F455" s="2" t="s">
        <v>55</v>
      </c>
      <c r="G455" s="2" t="s">
        <v>69</v>
      </c>
      <c r="H455" s="56" t="str">
        <f>Table1[[#This Row],[Tabela]]&amp;Table1[[#This Row],[Campo]]</f>
        <v>PROCESSPROCESS_DUE_DATE</v>
      </c>
      <c r="I455" s="2" t="s">
        <v>612</v>
      </c>
      <c r="J455" s="42">
        <f>VLOOKUP(Table1[[#This Row],[Status]],Auxiliar!$B$16:$C$24,2,0)</f>
        <v>1</v>
      </c>
      <c r="K455" s="2" t="s">
        <v>1172</v>
      </c>
      <c r="L455" s="28" t="s">
        <v>1177</v>
      </c>
      <c r="M455" s="20" t="s">
        <v>1178</v>
      </c>
      <c r="N455" s="47">
        <v>45512</v>
      </c>
      <c r="O455" s="20">
        <f>INDEX(Auxiliar!$D$5:$F$13,MATCH(Table1[[#This Row],[Tipologia_Testes]],Auxiliar!$B$5:$B$13,0),MATCH(Table1[[#This Row],[Complexidade]],Auxiliar!$D$4:$F$4,0))</f>
        <v>2</v>
      </c>
      <c r="P455" s="2"/>
      <c r="Q455" s="2"/>
      <c r="R455" s="151">
        <v>45261</v>
      </c>
      <c r="S455" s="151"/>
      <c r="T455" s="151"/>
      <c r="U455" s="151"/>
      <c r="V455" s="151"/>
      <c r="W455" s="2">
        <f>VLOOKUP(Table1[[#This Row],[Status]],Auxiliar!$B$16:$D$24,3,0)*Table1[[#This Row],[Estimação (horas)]]</f>
        <v>2</v>
      </c>
      <c r="X455" s="166">
        <f>+VLOOKUP(CONCATENATE(Table1[[#This Row],[Tabela]],Table1[[#This Row],[Campo]]),'2. Status Detalhe Campos FY24'!A:J,9,FALSE)</f>
        <v>0</v>
      </c>
    </row>
    <row r="456" spans="2:24" ht="17.850000000000001" hidden="1" customHeight="1">
      <c r="B456" s="2" t="s">
        <v>26</v>
      </c>
      <c r="C456" s="2" t="s">
        <v>54</v>
      </c>
      <c r="D456" s="2" t="s">
        <v>38</v>
      </c>
      <c r="E456" s="2" t="s">
        <v>38</v>
      </c>
      <c r="F456" s="2" t="s">
        <v>55</v>
      </c>
      <c r="G456" s="2" t="s">
        <v>69</v>
      </c>
      <c r="H456" s="56" t="str">
        <f>Table1[[#This Row],[Tabela]]&amp;Table1[[#This Row],[Campo]]</f>
        <v>PROCESSPROCESS_DUE_DATE</v>
      </c>
      <c r="I456" s="2" t="s">
        <v>612</v>
      </c>
      <c r="J456" s="42">
        <f>VLOOKUP(Table1[[#This Row],[Status]],Auxiliar!$B$16:$C$24,2,0)</f>
        <v>1</v>
      </c>
      <c r="K456" s="2" t="s">
        <v>1174</v>
      </c>
      <c r="L456" s="28" t="s">
        <v>1177</v>
      </c>
      <c r="M456" s="20" t="s">
        <v>1178</v>
      </c>
      <c r="N456" s="47">
        <v>45512</v>
      </c>
      <c r="O456" s="20">
        <f>INDEX(Auxiliar!$D$5:$F$13,MATCH(Table1[[#This Row],[Tipologia_Testes]],Auxiliar!$B$5:$B$13,0),MATCH(Table1[[#This Row],[Complexidade]],Auxiliar!$D$4:$F$4,0))</f>
        <v>0.1</v>
      </c>
      <c r="P456" s="2"/>
      <c r="Q456" s="2"/>
      <c r="R456" s="151">
        <v>45261</v>
      </c>
      <c r="S456" s="151"/>
      <c r="T456" s="151"/>
      <c r="U456" s="151"/>
      <c r="V456" s="151"/>
      <c r="W456" s="2">
        <f>VLOOKUP(Table1[[#This Row],[Status]],Auxiliar!$B$16:$D$24,3,0)*Table1[[#This Row],[Estimação (horas)]]</f>
        <v>0.1</v>
      </c>
      <c r="X456" s="166">
        <f>+VLOOKUP(CONCATENATE(Table1[[#This Row],[Tabela]],Table1[[#This Row],[Campo]]),'2. Status Detalhe Campos FY24'!A:J,9,FALSE)</f>
        <v>0</v>
      </c>
    </row>
    <row r="457" spans="2:24" ht="17.850000000000001" hidden="1" customHeight="1">
      <c r="B457" s="2" t="s">
        <v>26</v>
      </c>
      <c r="C457" s="2" t="s">
        <v>54</v>
      </c>
      <c r="D457" s="2" t="s">
        <v>38</v>
      </c>
      <c r="E457" s="2" t="s">
        <v>38</v>
      </c>
      <c r="F457" s="2" t="s">
        <v>55</v>
      </c>
      <c r="G457" s="2" t="s">
        <v>70</v>
      </c>
      <c r="H457" s="56" t="str">
        <f>Table1[[#This Row],[Tabela]]&amp;Table1[[#This Row],[Campo]]</f>
        <v>PROCESSmontante_eur</v>
      </c>
      <c r="I457" s="2" t="s">
        <v>611</v>
      </c>
      <c r="J457" s="42">
        <f>VLOOKUP(Table1[[#This Row],[Status]],Auxiliar!$B$16:$C$24,2,0)</f>
        <v>0</v>
      </c>
      <c r="K457" s="2" t="s">
        <v>1171</v>
      </c>
      <c r="L457" s="28" t="s">
        <v>1189</v>
      </c>
      <c r="M457" s="20" t="s">
        <v>1178</v>
      </c>
      <c r="N457" s="47">
        <v>45485</v>
      </c>
      <c r="O457" s="20">
        <f>INDEX(Auxiliar!$D$5:$F$13,MATCH(Table1[[#This Row],[Tipologia_Testes]],Auxiliar!$B$5:$B$13,0),MATCH(Table1[[#This Row],[Complexidade]],Auxiliar!$D$4:$F$4,0))</f>
        <v>2</v>
      </c>
      <c r="P457" s="2" t="s">
        <v>1197</v>
      </c>
      <c r="Q457" s="2"/>
      <c r="R457" s="151">
        <v>45425</v>
      </c>
      <c r="S457" s="151"/>
      <c r="T457" s="151"/>
      <c r="U457" s="151"/>
      <c r="V457" s="151"/>
      <c r="W457" s="2">
        <f>VLOOKUP(Table1[[#This Row],[Status]],Auxiliar!$B$16:$D$24,3,0)*Table1[[#This Row],[Estimação (horas)]]</f>
        <v>0</v>
      </c>
      <c r="X457" s="166">
        <f>+VLOOKUP(CONCATENATE(Table1[[#This Row],[Tabela]],Table1[[#This Row],[Campo]]),'2. Status Detalhe Campos FY24'!A:J,9,FALSE)</f>
        <v>0</v>
      </c>
    </row>
    <row r="458" spans="2:24" ht="17.850000000000001" hidden="1" customHeight="1">
      <c r="B458" s="2" t="s">
        <v>26</v>
      </c>
      <c r="C458" s="2" t="s">
        <v>54</v>
      </c>
      <c r="D458" s="2" t="s">
        <v>38</v>
      </c>
      <c r="E458" s="2" t="s">
        <v>38</v>
      </c>
      <c r="F458" s="2" t="s">
        <v>55</v>
      </c>
      <c r="G458" s="2" t="s">
        <v>71</v>
      </c>
      <c r="H458" s="56" t="str">
        <f>Table1[[#This Row],[Tabela]]&amp;Table1[[#This Row],[Campo]]</f>
        <v>PROCESSmontante_org</v>
      </c>
      <c r="I458" s="2" t="s">
        <v>611</v>
      </c>
      <c r="J458" s="42">
        <f>VLOOKUP(Table1[[#This Row],[Status]],Auxiliar!$B$16:$C$24,2,0)</f>
        <v>0</v>
      </c>
      <c r="K458" s="2" t="s">
        <v>1171</v>
      </c>
      <c r="L458" s="28" t="s">
        <v>1189</v>
      </c>
      <c r="M458" s="20" t="s">
        <v>1178</v>
      </c>
      <c r="N458" s="47">
        <v>45485</v>
      </c>
      <c r="O458" s="20">
        <f>INDEX(Auxiliar!$D$5:$F$13,MATCH(Table1[[#This Row],[Tipologia_Testes]],Auxiliar!$B$5:$B$13,0),MATCH(Table1[[#This Row],[Complexidade]],Auxiliar!$D$4:$F$4,0))</f>
        <v>2</v>
      </c>
      <c r="P458" s="2" t="s">
        <v>1197</v>
      </c>
      <c r="Q458" s="2"/>
      <c r="R458" s="151">
        <v>45425</v>
      </c>
      <c r="S458" s="151"/>
      <c r="T458" s="151"/>
      <c r="U458" s="151"/>
      <c r="V458" s="151"/>
      <c r="W458" s="2">
        <f>VLOOKUP(Table1[[#This Row],[Status]],Auxiliar!$B$16:$D$24,3,0)*Table1[[#This Row],[Estimação (horas)]]</f>
        <v>0</v>
      </c>
      <c r="X458" s="166">
        <f>+VLOOKUP(CONCATENATE(Table1[[#This Row],[Tabela]],Table1[[#This Row],[Campo]]),'2. Status Detalhe Campos FY24'!A:J,9,FALSE)</f>
        <v>0</v>
      </c>
    </row>
    <row r="459" spans="2:24" ht="17.850000000000001" hidden="1" customHeight="1">
      <c r="B459" s="2" t="s">
        <v>26</v>
      </c>
      <c r="C459" s="2" t="s">
        <v>54</v>
      </c>
      <c r="D459" s="2" t="s">
        <v>38</v>
      </c>
      <c r="E459" s="2" t="s">
        <v>38</v>
      </c>
      <c r="F459" s="2" t="s">
        <v>55</v>
      </c>
      <c r="G459" s="2" t="s">
        <v>72</v>
      </c>
      <c r="H459" s="56" t="str">
        <f>Table1[[#This Row],[Tabela]]&amp;Table1[[#This Row],[Campo]]</f>
        <v>PROCESSorigem</v>
      </c>
      <c r="I459" s="2" t="s">
        <v>611</v>
      </c>
      <c r="J459" s="42">
        <f>VLOOKUP(Table1[[#This Row],[Status]],Auxiliar!$B$16:$C$24,2,0)</f>
        <v>0</v>
      </c>
      <c r="K459" s="2" t="s">
        <v>1171</v>
      </c>
      <c r="L459" s="28" t="s">
        <v>1177</v>
      </c>
      <c r="M459" s="20" t="s">
        <v>1178</v>
      </c>
      <c r="N459" s="47">
        <v>45512</v>
      </c>
      <c r="O459" s="20">
        <f>INDEX(Auxiliar!$D$5:$F$13,MATCH(Table1[[#This Row],[Tipologia_Testes]],Auxiliar!$B$5:$B$13,0),MATCH(Table1[[#This Row],[Complexidade]],Auxiliar!$D$4:$F$4,0))</f>
        <v>2</v>
      </c>
      <c r="P459" s="2"/>
      <c r="Q459" s="2"/>
      <c r="R459" s="151">
        <v>45261</v>
      </c>
      <c r="S459" s="151"/>
      <c r="T459" s="151"/>
      <c r="U459" s="151"/>
      <c r="V459" s="151"/>
      <c r="W459" s="2">
        <f>VLOOKUP(Table1[[#This Row],[Status]],Auxiliar!$B$16:$D$24,3,0)*Table1[[#This Row],[Estimação (horas)]]</f>
        <v>0</v>
      </c>
      <c r="X459" s="166">
        <f>+VLOOKUP(CONCATENATE(Table1[[#This Row],[Tabela]],Table1[[#This Row],[Campo]]),'2. Status Detalhe Campos FY24'!A:J,9,FALSE)</f>
        <v>0</v>
      </c>
    </row>
    <row r="460" spans="2:24" ht="17.850000000000001" hidden="1" customHeight="1">
      <c r="B460" s="2" t="s">
        <v>26</v>
      </c>
      <c r="C460" s="2" t="s">
        <v>54</v>
      </c>
      <c r="D460" s="2" t="s">
        <v>38</v>
      </c>
      <c r="E460" s="2" t="s">
        <v>38</v>
      </c>
      <c r="F460" s="2" t="s">
        <v>55</v>
      </c>
      <c r="G460" s="2" t="s">
        <v>72</v>
      </c>
      <c r="H460" s="56" t="str">
        <f>Table1[[#This Row],[Tabela]]&amp;Table1[[#This Row],[Campo]]</f>
        <v>PROCESSorigem</v>
      </c>
      <c r="I460" s="2" t="s">
        <v>611</v>
      </c>
      <c r="J460" s="42">
        <f>VLOOKUP(Table1[[#This Row],[Status]],Auxiliar!$B$16:$C$24,2,0)</f>
        <v>0</v>
      </c>
      <c r="K460" s="2" t="s">
        <v>1172</v>
      </c>
      <c r="L460" s="28" t="s">
        <v>1177</v>
      </c>
      <c r="M460" s="20" t="s">
        <v>1178</v>
      </c>
      <c r="N460" s="47">
        <v>45512</v>
      </c>
      <c r="O460" s="20">
        <f>INDEX(Auxiliar!$D$5:$F$13,MATCH(Table1[[#This Row],[Tipologia_Testes]],Auxiliar!$B$5:$B$13,0),MATCH(Table1[[#This Row],[Complexidade]],Auxiliar!$D$4:$F$4,0))</f>
        <v>2</v>
      </c>
      <c r="P460" s="2"/>
      <c r="Q460" s="2"/>
      <c r="R460" s="151">
        <v>45261</v>
      </c>
      <c r="S460" s="151"/>
      <c r="T460" s="151"/>
      <c r="U460" s="151"/>
      <c r="V460" s="151"/>
      <c r="W460" s="2">
        <f>VLOOKUP(Table1[[#This Row],[Status]],Auxiliar!$B$16:$D$24,3,0)*Table1[[#This Row],[Estimação (horas)]]</f>
        <v>0</v>
      </c>
      <c r="X460" s="166">
        <f>+VLOOKUP(CONCATENATE(Table1[[#This Row],[Tabela]],Table1[[#This Row],[Campo]]),'2. Status Detalhe Campos FY24'!A:J,9,FALSE)</f>
        <v>0</v>
      </c>
    </row>
    <row r="461" spans="2:24" ht="17.850000000000001" hidden="1" customHeight="1">
      <c r="B461" s="2" t="s">
        <v>26</v>
      </c>
      <c r="C461" s="2" t="s">
        <v>54</v>
      </c>
      <c r="D461" s="2" t="s">
        <v>38</v>
      </c>
      <c r="E461" s="2" t="s">
        <v>38</v>
      </c>
      <c r="F461" s="2" t="s">
        <v>55</v>
      </c>
      <c r="G461" s="2" t="s">
        <v>72</v>
      </c>
      <c r="H461" s="56" t="str">
        <f>Table1[[#This Row],[Tabela]]&amp;Table1[[#This Row],[Campo]]</f>
        <v>PROCESSorigem</v>
      </c>
      <c r="I461" s="2" t="s">
        <v>611</v>
      </c>
      <c r="J461" s="42">
        <f>VLOOKUP(Table1[[#This Row],[Status]],Auxiliar!$B$16:$C$24,2,0)</f>
        <v>0</v>
      </c>
      <c r="K461" s="2" t="s">
        <v>1174</v>
      </c>
      <c r="L461" s="28" t="s">
        <v>1177</v>
      </c>
      <c r="M461" s="20" t="s">
        <v>1178</v>
      </c>
      <c r="N461" s="47">
        <v>45512</v>
      </c>
      <c r="O461" s="20">
        <f>INDEX(Auxiliar!$D$5:$F$13,MATCH(Table1[[#This Row],[Tipologia_Testes]],Auxiliar!$B$5:$B$13,0),MATCH(Table1[[#This Row],[Complexidade]],Auxiliar!$D$4:$F$4,0))</f>
        <v>0.1</v>
      </c>
      <c r="P461" s="2"/>
      <c r="Q461" s="2"/>
      <c r="R461" s="151">
        <v>45261</v>
      </c>
      <c r="S461" s="151"/>
      <c r="T461" s="151"/>
      <c r="U461" s="151"/>
      <c r="V461" s="151"/>
      <c r="W461" s="2">
        <f>VLOOKUP(Table1[[#This Row],[Status]],Auxiliar!$B$16:$D$24,3,0)*Table1[[#This Row],[Estimação (horas)]]</f>
        <v>0</v>
      </c>
      <c r="X461" s="166">
        <f>+VLOOKUP(CONCATENATE(Table1[[#This Row],[Tabela]],Table1[[#This Row],[Campo]]),'2. Status Detalhe Campos FY24'!A:J,9,FALSE)</f>
        <v>0</v>
      </c>
    </row>
    <row r="462" spans="2:24" ht="17.850000000000001" hidden="1" customHeight="1">
      <c r="B462" s="2" t="s">
        <v>26</v>
      </c>
      <c r="C462" s="2" t="s">
        <v>54</v>
      </c>
      <c r="D462" s="2" t="s">
        <v>38</v>
      </c>
      <c r="E462" s="2" t="s">
        <v>38</v>
      </c>
      <c r="F462" s="2" t="s">
        <v>55</v>
      </c>
      <c r="G462" s="2" t="s">
        <v>73</v>
      </c>
      <c r="H462" s="56" t="str">
        <f>Table1[[#This Row],[Tabela]]&amp;Table1[[#This Row],[Campo]]</f>
        <v>PROCESSDATA_DATE_PART</v>
      </c>
      <c r="I462" s="2" t="s">
        <v>612</v>
      </c>
      <c r="J462" s="42">
        <f>VLOOKUP(Table1[[#This Row],[Status]],Auxiliar!$B$16:$C$24,2,0)</f>
        <v>1</v>
      </c>
      <c r="K462" s="2" t="s">
        <v>1171</v>
      </c>
      <c r="L462" s="28" t="s">
        <v>1177</v>
      </c>
      <c r="M462" s="20" t="s">
        <v>1178</v>
      </c>
      <c r="N462" s="47">
        <v>45512</v>
      </c>
      <c r="O462" s="20">
        <f>INDEX(Auxiliar!$D$5:$F$13,MATCH(Table1[[#This Row],[Tipologia_Testes]],Auxiliar!$B$5:$B$13,0),MATCH(Table1[[#This Row],[Complexidade]],Auxiliar!$D$4:$F$4,0))</f>
        <v>2</v>
      </c>
      <c r="P462" s="2"/>
      <c r="Q462" s="2"/>
      <c r="R462" s="151">
        <v>45261</v>
      </c>
      <c r="S462" s="151"/>
      <c r="T462" s="151"/>
      <c r="U462" s="151"/>
      <c r="V462" s="151"/>
      <c r="W462" s="2">
        <f>VLOOKUP(Table1[[#This Row],[Status]],Auxiliar!$B$16:$D$24,3,0)*Table1[[#This Row],[Estimação (horas)]]</f>
        <v>2</v>
      </c>
      <c r="X462" s="166">
        <f>+VLOOKUP(CONCATENATE(Table1[[#This Row],[Tabela]],Table1[[#This Row],[Campo]]),'2. Status Detalhe Campos FY24'!A:J,9,FALSE)</f>
        <v>0</v>
      </c>
    </row>
    <row r="463" spans="2:24" ht="17.850000000000001" hidden="1" customHeight="1">
      <c r="B463" s="2" t="s">
        <v>26</v>
      </c>
      <c r="C463" s="2" t="s">
        <v>54</v>
      </c>
      <c r="D463" s="2" t="s">
        <v>38</v>
      </c>
      <c r="E463" s="2" t="s">
        <v>38</v>
      </c>
      <c r="F463" s="2" t="s">
        <v>55</v>
      </c>
      <c r="G463" s="2" t="s">
        <v>73</v>
      </c>
      <c r="H463" s="56" t="str">
        <f>Table1[[#This Row],[Tabela]]&amp;Table1[[#This Row],[Campo]]</f>
        <v>PROCESSDATA_DATE_PART</v>
      </c>
      <c r="I463" s="2" t="s">
        <v>612</v>
      </c>
      <c r="J463" s="42">
        <f>VLOOKUP(Table1[[#This Row],[Status]],Auxiliar!$B$16:$C$24,2,0)</f>
        <v>1</v>
      </c>
      <c r="K463" s="2" t="s">
        <v>1172</v>
      </c>
      <c r="L463" s="28" t="s">
        <v>1177</v>
      </c>
      <c r="M463" s="20" t="s">
        <v>1178</v>
      </c>
      <c r="N463" s="47">
        <v>45512</v>
      </c>
      <c r="O463" s="20">
        <f>INDEX(Auxiliar!$D$5:$F$13,MATCH(Table1[[#This Row],[Tipologia_Testes]],Auxiliar!$B$5:$B$13,0),MATCH(Table1[[#This Row],[Complexidade]],Auxiliar!$D$4:$F$4,0))</f>
        <v>2</v>
      </c>
      <c r="P463" s="2"/>
      <c r="Q463" s="2"/>
      <c r="R463" s="151">
        <v>45261</v>
      </c>
      <c r="S463" s="151"/>
      <c r="T463" s="151"/>
      <c r="U463" s="151"/>
      <c r="V463" s="151"/>
      <c r="W463" s="2">
        <f>VLOOKUP(Table1[[#This Row],[Status]],Auxiliar!$B$16:$D$24,3,0)*Table1[[#This Row],[Estimação (horas)]]</f>
        <v>2</v>
      </c>
      <c r="X463" s="166">
        <f>+VLOOKUP(CONCATENATE(Table1[[#This Row],[Tabela]],Table1[[#This Row],[Campo]]),'2. Status Detalhe Campos FY24'!A:J,9,FALSE)</f>
        <v>0</v>
      </c>
    </row>
    <row r="464" spans="2:24" ht="17.850000000000001" hidden="1" customHeight="1">
      <c r="B464" s="2" t="s">
        <v>26</v>
      </c>
      <c r="C464" s="2" t="s">
        <v>54</v>
      </c>
      <c r="D464" s="2" t="s">
        <v>38</v>
      </c>
      <c r="E464" s="2" t="s">
        <v>38</v>
      </c>
      <c r="F464" s="2" t="s">
        <v>55</v>
      </c>
      <c r="G464" s="2" t="s">
        <v>87</v>
      </c>
      <c r="H464" s="56" t="str">
        <f>Table1[[#This Row],[Tabela]]&amp;Table1[[#This Row],[Campo]]</f>
        <v>PROCESSSOURCE_CODE</v>
      </c>
      <c r="I464" s="2" t="s">
        <v>612</v>
      </c>
      <c r="J464" s="42">
        <f>VLOOKUP(Table1[[#This Row],[Status]],Auxiliar!$B$16:$C$24,2,0)</f>
        <v>1</v>
      </c>
      <c r="K464" s="2" t="s">
        <v>1171</v>
      </c>
      <c r="L464" s="28" t="s">
        <v>1177</v>
      </c>
      <c r="M464" s="20" t="s">
        <v>1178</v>
      </c>
      <c r="N464" s="47">
        <v>45512</v>
      </c>
      <c r="O464" s="20">
        <f>INDEX(Auxiliar!$D$5:$F$11,MATCH(Table1[[#This Row],[Tipologia_Testes]],Auxiliar!$B$5:$B$11,0),MATCH(Table1[[#This Row],[Complexidade]],Auxiliar!$D$4:$F$4,0))</f>
        <v>2</v>
      </c>
      <c r="P464" s="2"/>
      <c r="Q464" s="2"/>
      <c r="R464" s="151"/>
      <c r="S464" s="151"/>
      <c r="T464" s="151"/>
      <c r="U464" s="151"/>
      <c r="V464" s="151"/>
      <c r="W464" s="2">
        <f>VLOOKUP(Table1[[#This Row],[Status]],Auxiliar!$B$16:$D$24,3,0)*Table1[[#This Row],[Estimação (horas)]]</f>
        <v>2</v>
      </c>
      <c r="X464" s="166">
        <f>+VLOOKUP(CONCATENATE(Table1[[#This Row],[Tabela]],Table1[[#This Row],[Campo]]),'2. Status Detalhe Campos FY24'!A:J,9,FALSE)</f>
        <v>0</v>
      </c>
    </row>
    <row r="465" spans="2:24" ht="69.599999999999994" hidden="1" customHeight="1">
      <c r="B465" s="2" t="s">
        <v>26</v>
      </c>
      <c r="C465" s="2" t="s">
        <v>54</v>
      </c>
      <c r="D465" s="2" t="s">
        <v>38</v>
      </c>
      <c r="E465" s="2" t="s">
        <v>38</v>
      </c>
      <c r="F465" s="2" t="s">
        <v>55</v>
      </c>
      <c r="G465" s="2" t="s">
        <v>73</v>
      </c>
      <c r="H465" s="56" t="str">
        <f>Table1[[#This Row],[Tabela]]&amp;Table1[[#This Row],[Campo]]</f>
        <v>PROCESSDATA_DATE_PART</v>
      </c>
      <c r="I465" s="2" t="s">
        <v>612</v>
      </c>
      <c r="J465" s="42">
        <f>VLOOKUP(Table1[[#This Row],[Status]],Auxiliar!$B$16:$C$24,2,0)</f>
        <v>1</v>
      </c>
      <c r="K465" s="2" t="s">
        <v>1174</v>
      </c>
      <c r="L465" s="28" t="s">
        <v>1177</v>
      </c>
      <c r="M465" s="20" t="s">
        <v>1178</v>
      </c>
      <c r="N465" s="47">
        <v>45512</v>
      </c>
      <c r="O465" s="20">
        <f>INDEX(Auxiliar!$D$5:$F$13,MATCH(Table1[[#This Row],[Tipologia_Testes]],Auxiliar!$B$5:$B$13,0),MATCH(Table1[[#This Row],[Complexidade]],Auxiliar!$D$4:$F$4,0))</f>
        <v>0.1</v>
      </c>
      <c r="P465" s="2"/>
      <c r="Q465" s="2"/>
      <c r="R465" s="151">
        <v>45261</v>
      </c>
      <c r="S465" s="151"/>
      <c r="T465" s="151"/>
      <c r="U465" s="151"/>
      <c r="V465" s="151"/>
      <c r="W465" s="2">
        <f>VLOOKUP(Table1[[#This Row],[Status]],Auxiliar!$B$16:$D$24,3,0)*Table1[[#This Row],[Estimação (horas)]]</f>
        <v>0.1</v>
      </c>
      <c r="X465" s="166">
        <f>+VLOOKUP(CONCATENATE(Table1[[#This Row],[Tabela]],Table1[[#This Row],[Campo]]),'2. Status Detalhe Campos FY24'!A:J,9,FALSE)</f>
        <v>0</v>
      </c>
    </row>
    <row r="466" spans="2:24" ht="17.850000000000001" hidden="1" customHeight="1">
      <c r="B466" s="2" t="s">
        <v>26</v>
      </c>
      <c r="C466" s="2" t="s">
        <v>54</v>
      </c>
      <c r="D466" s="2" t="s">
        <v>38</v>
      </c>
      <c r="E466" s="2" t="s">
        <v>38</v>
      </c>
      <c r="F466" s="2" t="s">
        <v>74</v>
      </c>
      <c r="G466" s="2" t="s">
        <v>38</v>
      </c>
      <c r="H466" s="56" t="str">
        <f>Table1[[#This Row],[Tabela]]&amp;Table1[[#This Row],[Campo]]</f>
        <v>RESPONSIBILITY_PROCESS_RELn.a.</v>
      </c>
      <c r="I466" s="2" t="s">
        <v>612</v>
      </c>
      <c r="J466" s="42">
        <f>VLOOKUP(Table1[[#This Row],[Status]],Auxiliar!$B$16:$C$24,2,0)</f>
        <v>1</v>
      </c>
      <c r="K466" s="2" t="s">
        <v>1168</v>
      </c>
      <c r="L466" s="28" t="s">
        <v>1169</v>
      </c>
      <c r="M466" s="20" t="s">
        <v>1170</v>
      </c>
      <c r="N466" s="47">
        <v>45512</v>
      </c>
      <c r="O466" s="20">
        <f>INDEX(Auxiliar!$D$5:$F$13,MATCH(Table1[[#This Row],[Tipologia_Testes]],Auxiliar!$B$5:$B$13,0),MATCH(Table1[[#This Row],[Complexidade]],Auxiliar!$D$4:$F$4,0))</f>
        <v>8</v>
      </c>
      <c r="P466" s="22" t="s">
        <v>1198</v>
      </c>
      <c r="Q466" s="2"/>
      <c r="R466" s="151">
        <v>45261</v>
      </c>
      <c r="S466" s="151"/>
      <c r="T466" s="151"/>
      <c r="U466" s="151"/>
      <c r="V466" s="151"/>
      <c r="W466" s="2">
        <f>VLOOKUP(Table1[[#This Row],[Status]],Auxiliar!$B$16:$D$24,3,0)*Table1[[#This Row],[Estimação (horas)]]</f>
        <v>8</v>
      </c>
      <c r="X466" s="166">
        <f>+VLOOKUP(CONCATENATE(Table1[[#This Row],[Tabela]],Table1[[#This Row],[Campo]]),'2. Status Detalhe Campos FY24'!A:J,9,FALSE)</f>
        <v>0</v>
      </c>
    </row>
    <row r="467" spans="2:24" ht="17.850000000000001" hidden="1" customHeight="1">
      <c r="B467" s="2" t="s">
        <v>26</v>
      </c>
      <c r="C467" s="2" t="s">
        <v>54</v>
      </c>
      <c r="D467" s="2" t="s">
        <v>38</v>
      </c>
      <c r="E467" s="2" t="s">
        <v>38</v>
      </c>
      <c r="F467" s="2" t="s">
        <v>74</v>
      </c>
      <c r="G467" s="2" t="s">
        <v>57</v>
      </c>
      <c r="H467" s="56" t="str">
        <f>Table1[[#This Row],[Tabela]]&amp;Table1[[#This Row],[Campo]]</f>
        <v>RESPONSIBILITY_PROCESS_RELPROCESS_BANK_ID</v>
      </c>
      <c r="I467" s="2" t="s">
        <v>612</v>
      </c>
      <c r="J467" s="42">
        <f>VLOOKUP(Table1[[#This Row],[Status]],Auxiliar!$B$16:$C$24,2,0)</f>
        <v>1</v>
      </c>
      <c r="K467" s="2" t="s">
        <v>1171</v>
      </c>
      <c r="L467" s="28" t="s">
        <v>1169</v>
      </c>
      <c r="M467" s="20" t="s">
        <v>1179</v>
      </c>
      <c r="N467" s="47">
        <v>45499</v>
      </c>
      <c r="O467" s="20">
        <f>INDEX(Auxiliar!$D$5:$F$13,MATCH(Table1[[#This Row],[Tipologia_Testes]],Auxiliar!$B$5:$B$13,0),MATCH(Table1[[#This Row],[Complexidade]],Auxiliar!$D$4:$F$4,0))</f>
        <v>4</v>
      </c>
      <c r="P467" s="2" t="s">
        <v>1191</v>
      </c>
      <c r="Q467" s="2" t="s">
        <v>1188</v>
      </c>
      <c r="R467" s="151">
        <v>45261</v>
      </c>
      <c r="S467" s="151">
        <v>45495</v>
      </c>
      <c r="T467" s="151"/>
      <c r="U467" s="151"/>
      <c r="V467" s="151"/>
      <c r="W467" s="2">
        <f>VLOOKUP(Table1[[#This Row],[Status]],Auxiliar!$B$16:$D$24,3,0)*Table1[[#This Row],[Estimação (horas)]]</f>
        <v>4</v>
      </c>
      <c r="X467" s="166">
        <f>+VLOOKUP(CONCATENATE(Table1[[#This Row],[Tabela]],Table1[[#This Row],[Campo]]),'2. Status Detalhe Campos FY24'!A:J,9,FALSE)</f>
        <v>0</v>
      </c>
    </row>
    <row r="468" spans="2:24" ht="17.850000000000001" hidden="1" customHeight="1">
      <c r="B468" s="2" t="s">
        <v>26</v>
      </c>
      <c r="C468" s="2" t="s">
        <v>54</v>
      </c>
      <c r="D468" s="2" t="s">
        <v>38</v>
      </c>
      <c r="E468" s="2" t="s">
        <v>38</v>
      </c>
      <c r="F468" s="2" t="s">
        <v>74</v>
      </c>
      <c r="G468" s="2" t="s">
        <v>57</v>
      </c>
      <c r="H468" s="56" t="str">
        <f>Table1[[#This Row],[Tabela]]&amp;Table1[[#This Row],[Campo]]</f>
        <v>RESPONSIBILITY_PROCESS_RELPROCESS_BANK_ID</v>
      </c>
      <c r="I468" s="2" t="s">
        <v>612</v>
      </c>
      <c r="J468" s="42">
        <f>VLOOKUP(Table1[[#This Row],[Status]],Auxiliar!$B$16:$C$24,2,0)</f>
        <v>1</v>
      </c>
      <c r="K468" s="2" t="s">
        <v>1172</v>
      </c>
      <c r="L468" s="28" t="s">
        <v>1169</v>
      </c>
      <c r="M468" s="20" t="s">
        <v>1179</v>
      </c>
      <c r="N468" s="47">
        <v>45499</v>
      </c>
      <c r="O468" s="20">
        <f>INDEX(Auxiliar!$D$5:$F$13,MATCH(Table1[[#This Row],[Tipologia_Testes]],Auxiliar!$B$5:$B$13,0),MATCH(Table1[[#This Row],[Complexidade]],Auxiliar!$D$4:$F$4,0))</f>
        <v>4</v>
      </c>
      <c r="P468" s="2" t="s">
        <v>1191</v>
      </c>
      <c r="Q468" s="2" t="s">
        <v>1188</v>
      </c>
      <c r="R468" s="151">
        <v>45261</v>
      </c>
      <c r="S468" s="151">
        <v>45495</v>
      </c>
      <c r="T468" s="151"/>
      <c r="U468" s="151"/>
      <c r="V468" s="151"/>
      <c r="W468" s="2">
        <f>VLOOKUP(Table1[[#This Row],[Status]],Auxiliar!$B$16:$D$24,3,0)*Table1[[#This Row],[Estimação (horas)]]</f>
        <v>4</v>
      </c>
      <c r="X468" s="166">
        <f>+VLOOKUP(CONCATENATE(Table1[[#This Row],[Tabela]],Table1[[#This Row],[Campo]]),'2. Status Detalhe Campos FY24'!A:J,9,FALSE)</f>
        <v>0</v>
      </c>
    </row>
    <row r="469" spans="2:24" ht="17.850000000000001" hidden="1" customHeight="1">
      <c r="B469" s="2" t="s">
        <v>26</v>
      </c>
      <c r="C469" s="2" t="s">
        <v>54</v>
      </c>
      <c r="D469" s="2" t="s">
        <v>38</v>
      </c>
      <c r="E469" s="2" t="s">
        <v>38</v>
      </c>
      <c r="F469" s="2" t="s">
        <v>74</v>
      </c>
      <c r="G469" s="2" t="s">
        <v>57</v>
      </c>
      <c r="H469" s="56" t="str">
        <f>Table1[[#This Row],[Tabela]]&amp;Table1[[#This Row],[Campo]]</f>
        <v>RESPONSIBILITY_PROCESS_RELPROCESS_BANK_ID</v>
      </c>
      <c r="I469" s="2" t="s">
        <v>612</v>
      </c>
      <c r="J469" s="42">
        <f>VLOOKUP(Table1[[#This Row],[Status]],Auxiliar!$B$16:$C$24,2,0)</f>
        <v>1</v>
      </c>
      <c r="K469" s="2" t="s">
        <v>1174</v>
      </c>
      <c r="L469" s="28" t="s">
        <v>1169</v>
      </c>
      <c r="M469" s="20" t="s">
        <v>1179</v>
      </c>
      <c r="N469" s="47">
        <v>45499</v>
      </c>
      <c r="O469" s="20">
        <f>INDEX(Auxiliar!$D$5:$F$13,MATCH(Table1[[#This Row],[Tipologia_Testes]],Auxiliar!$B$5:$B$13,0),MATCH(Table1[[#This Row],[Complexidade]],Auxiliar!$D$4:$F$4,0))</f>
        <v>0.1</v>
      </c>
      <c r="P469" s="2" t="s">
        <v>1191</v>
      </c>
      <c r="Q469" s="2" t="s">
        <v>1188</v>
      </c>
      <c r="R469" s="151">
        <v>45261</v>
      </c>
      <c r="S469" s="151">
        <v>45495</v>
      </c>
      <c r="T469" s="151"/>
      <c r="U469" s="151"/>
      <c r="V469" s="151"/>
      <c r="W469" s="2">
        <f>VLOOKUP(Table1[[#This Row],[Status]],Auxiliar!$B$16:$D$24,3,0)*Table1[[#This Row],[Estimação (horas)]]</f>
        <v>0.1</v>
      </c>
      <c r="X469" s="166">
        <f>+VLOOKUP(CONCATENATE(Table1[[#This Row],[Tabela]],Table1[[#This Row],[Campo]]),'2. Status Detalhe Campos FY24'!A:J,9,FALSE)</f>
        <v>0</v>
      </c>
    </row>
    <row r="470" spans="2:24" ht="17.850000000000001" hidden="1" customHeight="1">
      <c r="B470" s="2" t="s">
        <v>26</v>
      </c>
      <c r="C470" s="2" t="s">
        <v>54</v>
      </c>
      <c r="D470" s="2" t="s">
        <v>38</v>
      </c>
      <c r="E470" s="2" t="s">
        <v>38</v>
      </c>
      <c r="F470" s="2" t="s">
        <v>74</v>
      </c>
      <c r="G470" s="2" t="s">
        <v>75</v>
      </c>
      <c r="H470" s="56" t="str">
        <f>Table1[[#This Row],[Tabela]]&amp;Table1[[#This Row],[Campo]]</f>
        <v>RESPONSIBILITY_PROCESS_RELBANK_ID</v>
      </c>
      <c r="I470" s="2" t="s">
        <v>612</v>
      </c>
      <c r="J470" s="42">
        <f>VLOOKUP(Table1[[#This Row],[Status]],Auxiliar!$B$16:$C$24,2,0)</f>
        <v>1</v>
      </c>
      <c r="K470" s="2" t="s">
        <v>1171</v>
      </c>
      <c r="L470" s="28" t="s">
        <v>1169</v>
      </c>
      <c r="M470" s="20" t="s">
        <v>1179</v>
      </c>
      <c r="N470" s="47">
        <v>45499</v>
      </c>
      <c r="O470" s="20">
        <f>INDEX(Auxiliar!$D$5:$F$13,MATCH(Table1[[#This Row],[Tipologia_Testes]],Auxiliar!$B$5:$B$13,0),MATCH(Table1[[#This Row],[Complexidade]],Auxiliar!$D$4:$F$4,0))</f>
        <v>4</v>
      </c>
      <c r="P470" s="2" t="s">
        <v>1191</v>
      </c>
      <c r="Q470" s="2" t="s">
        <v>1188</v>
      </c>
      <c r="R470" s="151">
        <v>45261</v>
      </c>
      <c r="S470" s="151">
        <v>45495</v>
      </c>
      <c r="T470" s="151"/>
      <c r="U470" s="151"/>
      <c r="V470" s="151"/>
      <c r="W470" s="2">
        <f>VLOOKUP(Table1[[#This Row],[Status]],Auxiliar!$B$16:$D$24,3,0)*Table1[[#This Row],[Estimação (horas)]]</f>
        <v>4</v>
      </c>
      <c r="X470" s="166">
        <f>+VLOOKUP(CONCATENATE(Table1[[#This Row],[Tabela]],Table1[[#This Row],[Campo]]),'2. Status Detalhe Campos FY24'!A:J,9,FALSE)</f>
        <v>0</v>
      </c>
    </row>
    <row r="471" spans="2:24" ht="17.850000000000001" hidden="1" customHeight="1">
      <c r="B471" s="2" t="s">
        <v>26</v>
      </c>
      <c r="C471" s="2" t="s">
        <v>54</v>
      </c>
      <c r="D471" s="2" t="s">
        <v>38</v>
      </c>
      <c r="E471" s="2" t="s">
        <v>38</v>
      </c>
      <c r="F471" s="2" t="s">
        <v>74</v>
      </c>
      <c r="G471" s="2" t="s">
        <v>75</v>
      </c>
      <c r="H471" s="56" t="str">
        <f>Table1[[#This Row],[Tabela]]&amp;Table1[[#This Row],[Campo]]</f>
        <v>RESPONSIBILITY_PROCESS_RELBANK_ID</v>
      </c>
      <c r="I471" s="2" t="s">
        <v>612</v>
      </c>
      <c r="J471" s="42">
        <f>VLOOKUP(Table1[[#This Row],[Status]],Auxiliar!$B$16:$C$24,2,0)</f>
        <v>1</v>
      </c>
      <c r="K471" s="2" t="s">
        <v>1172</v>
      </c>
      <c r="L471" s="28" t="s">
        <v>1169</v>
      </c>
      <c r="M471" s="20" t="s">
        <v>1179</v>
      </c>
      <c r="N471" s="47">
        <v>45499</v>
      </c>
      <c r="O471" s="20">
        <f>INDEX(Auxiliar!$D$5:$F$13,MATCH(Table1[[#This Row],[Tipologia_Testes]],Auxiliar!$B$5:$B$13,0),MATCH(Table1[[#This Row],[Complexidade]],Auxiliar!$D$4:$F$4,0))</f>
        <v>4</v>
      </c>
      <c r="P471" s="2" t="s">
        <v>1191</v>
      </c>
      <c r="Q471" s="2" t="s">
        <v>1188</v>
      </c>
      <c r="R471" s="151">
        <v>45261</v>
      </c>
      <c r="S471" s="151">
        <v>45495</v>
      </c>
      <c r="T471" s="151"/>
      <c r="U471" s="151"/>
      <c r="V471" s="151"/>
      <c r="W471" s="2">
        <f>VLOOKUP(Table1[[#This Row],[Status]],Auxiliar!$B$16:$D$24,3,0)*Table1[[#This Row],[Estimação (horas)]]</f>
        <v>4</v>
      </c>
      <c r="X471" s="166">
        <f>+VLOOKUP(CONCATENATE(Table1[[#This Row],[Tabela]],Table1[[#This Row],[Campo]]),'2. Status Detalhe Campos FY24'!A:J,9,FALSE)</f>
        <v>0</v>
      </c>
    </row>
    <row r="472" spans="2:24" ht="17.850000000000001" hidden="1" customHeight="1">
      <c r="B472" s="2" t="s">
        <v>26</v>
      </c>
      <c r="C472" s="2" t="s">
        <v>54</v>
      </c>
      <c r="D472" s="2" t="s">
        <v>38</v>
      </c>
      <c r="E472" s="2" t="s">
        <v>38</v>
      </c>
      <c r="F472" s="2" t="s">
        <v>74</v>
      </c>
      <c r="G472" s="2" t="s">
        <v>75</v>
      </c>
      <c r="H472" s="56" t="str">
        <f>Table1[[#This Row],[Tabela]]&amp;Table1[[#This Row],[Campo]]</f>
        <v>RESPONSIBILITY_PROCESS_RELBANK_ID</v>
      </c>
      <c r="I472" s="2" t="s">
        <v>612</v>
      </c>
      <c r="J472" s="42">
        <f>VLOOKUP(Table1[[#This Row],[Status]],Auxiliar!$B$16:$C$24,2,0)</f>
        <v>1</v>
      </c>
      <c r="K472" s="2" t="s">
        <v>1174</v>
      </c>
      <c r="L472" s="28" t="s">
        <v>1169</v>
      </c>
      <c r="M472" s="20" t="s">
        <v>1179</v>
      </c>
      <c r="N472" s="47">
        <v>45499</v>
      </c>
      <c r="O472" s="20">
        <f>INDEX(Auxiliar!$D$5:$F$13,MATCH(Table1[[#This Row],[Tipologia_Testes]],Auxiliar!$B$5:$B$13,0),MATCH(Table1[[#This Row],[Complexidade]],Auxiliar!$D$4:$F$4,0))</f>
        <v>0.1</v>
      </c>
      <c r="P472" s="2" t="s">
        <v>1191</v>
      </c>
      <c r="Q472" s="2" t="s">
        <v>1188</v>
      </c>
      <c r="R472" s="151">
        <v>45261</v>
      </c>
      <c r="S472" s="151">
        <v>45495</v>
      </c>
      <c r="T472" s="151"/>
      <c r="U472" s="151"/>
      <c r="V472" s="151"/>
      <c r="W472" s="2">
        <f>VLOOKUP(Table1[[#This Row],[Status]],Auxiliar!$B$16:$D$24,3,0)*Table1[[#This Row],[Estimação (horas)]]</f>
        <v>0.1</v>
      </c>
      <c r="X472" s="166">
        <f>+VLOOKUP(CONCATENATE(Table1[[#This Row],[Tabela]],Table1[[#This Row],[Campo]]),'2. Status Detalhe Campos FY24'!A:J,9,FALSE)</f>
        <v>0</v>
      </c>
    </row>
    <row r="473" spans="2:24" ht="17.850000000000001" hidden="1" customHeight="1">
      <c r="B473" s="2" t="s">
        <v>26</v>
      </c>
      <c r="C473" s="2" t="s">
        <v>54</v>
      </c>
      <c r="D473" s="2" t="s">
        <v>38</v>
      </c>
      <c r="E473" s="2" t="s">
        <v>38</v>
      </c>
      <c r="F473" s="2" t="s">
        <v>74</v>
      </c>
      <c r="G473" s="2" t="s">
        <v>58</v>
      </c>
      <c r="H473" s="56" t="str">
        <f>Table1[[#This Row],[Tabela]]&amp;Table1[[#This Row],[Campo]]</f>
        <v>RESPONSIBILITY_PROCESS_RELPROCESS_BRANCH_CODE</v>
      </c>
      <c r="I473" s="2" t="s">
        <v>612</v>
      </c>
      <c r="J473" s="42">
        <f>VLOOKUP(Table1[[#This Row],[Status]],Auxiliar!$B$16:$C$24,2,0)</f>
        <v>1</v>
      </c>
      <c r="K473" s="2" t="s">
        <v>1171</v>
      </c>
      <c r="L473" s="28" t="s">
        <v>1169</v>
      </c>
      <c r="M473" s="20" t="s">
        <v>1179</v>
      </c>
      <c r="N473" s="47">
        <v>45499</v>
      </c>
      <c r="O473" s="20">
        <f>INDEX(Auxiliar!$D$5:$F$13,MATCH(Table1[[#This Row],[Tipologia_Testes]],Auxiliar!$B$5:$B$13,0),MATCH(Table1[[#This Row],[Complexidade]],Auxiliar!$D$4:$F$4,0))</f>
        <v>4</v>
      </c>
      <c r="P473" s="2" t="s">
        <v>1191</v>
      </c>
      <c r="Q473" s="2" t="s">
        <v>1188</v>
      </c>
      <c r="R473" s="151">
        <v>45261</v>
      </c>
      <c r="S473" s="151">
        <v>45495</v>
      </c>
      <c r="T473" s="151"/>
      <c r="U473" s="151"/>
      <c r="V473" s="151"/>
      <c r="W473" s="2">
        <f>VLOOKUP(Table1[[#This Row],[Status]],Auxiliar!$B$16:$D$24,3,0)*Table1[[#This Row],[Estimação (horas)]]</f>
        <v>4</v>
      </c>
      <c r="X473" s="166">
        <f>+VLOOKUP(CONCATENATE(Table1[[#This Row],[Tabela]],Table1[[#This Row],[Campo]]),'2. Status Detalhe Campos FY24'!A:J,9,FALSE)</f>
        <v>0</v>
      </c>
    </row>
    <row r="474" spans="2:24" ht="17.850000000000001" hidden="1" customHeight="1">
      <c r="B474" s="2" t="s">
        <v>26</v>
      </c>
      <c r="C474" s="2" t="s">
        <v>54</v>
      </c>
      <c r="D474" s="2" t="s">
        <v>38</v>
      </c>
      <c r="E474" s="2" t="s">
        <v>38</v>
      </c>
      <c r="F474" s="2" t="s">
        <v>74</v>
      </c>
      <c r="G474" s="2" t="s">
        <v>58</v>
      </c>
      <c r="H474" s="56" t="str">
        <f>Table1[[#This Row],[Tabela]]&amp;Table1[[#This Row],[Campo]]</f>
        <v>RESPONSIBILITY_PROCESS_RELPROCESS_BRANCH_CODE</v>
      </c>
      <c r="I474" s="2" t="s">
        <v>612</v>
      </c>
      <c r="J474" s="42">
        <f>VLOOKUP(Table1[[#This Row],[Status]],Auxiliar!$B$16:$C$24,2,0)</f>
        <v>1</v>
      </c>
      <c r="K474" s="2" t="s">
        <v>1172</v>
      </c>
      <c r="L474" s="28" t="s">
        <v>1169</v>
      </c>
      <c r="M474" s="20" t="s">
        <v>1179</v>
      </c>
      <c r="N474" s="47">
        <v>45499</v>
      </c>
      <c r="O474" s="20">
        <f>INDEX(Auxiliar!$D$5:$F$13,MATCH(Table1[[#This Row],[Tipologia_Testes]],Auxiliar!$B$5:$B$13,0),MATCH(Table1[[#This Row],[Complexidade]],Auxiliar!$D$4:$F$4,0))</f>
        <v>4</v>
      </c>
      <c r="P474" s="2" t="s">
        <v>1191</v>
      </c>
      <c r="Q474" s="2" t="s">
        <v>1188</v>
      </c>
      <c r="R474" s="151">
        <v>45261</v>
      </c>
      <c r="S474" s="151">
        <v>45495</v>
      </c>
      <c r="T474" s="151"/>
      <c r="U474" s="151"/>
      <c r="V474" s="151"/>
      <c r="W474" s="2">
        <f>VLOOKUP(Table1[[#This Row],[Status]],Auxiliar!$B$16:$D$24,3,0)*Table1[[#This Row],[Estimação (horas)]]</f>
        <v>4</v>
      </c>
      <c r="X474" s="166">
        <f>+VLOOKUP(CONCATENATE(Table1[[#This Row],[Tabela]],Table1[[#This Row],[Campo]]),'2. Status Detalhe Campos FY24'!A:J,9,FALSE)</f>
        <v>0</v>
      </c>
    </row>
    <row r="475" spans="2:24" ht="17.850000000000001" hidden="1" customHeight="1">
      <c r="B475" s="2" t="s">
        <v>26</v>
      </c>
      <c r="C475" s="2" t="s">
        <v>54</v>
      </c>
      <c r="D475" s="2" t="s">
        <v>38</v>
      </c>
      <c r="E475" s="2" t="s">
        <v>38</v>
      </c>
      <c r="F475" s="2" t="s">
        <v>74</v>
      </c>
      <c r="G475" s="2" t="s">
        <v>58</v>
      </c>
      <c r="H475" s="56" t="str">
        <f>Table1[[#This Row],[Tabela]]&amp;Table1[[#This Row],[Campo]]</f>
        <v>RESPONSIBILITY_PROCESS_RELPROCESS_BRANCH_CODE</v>
      </c>
      <c r="I475" s="2" t="s">
        <v>612</v>
      </c>
      <c r="J475" s="42">
        <f>VLOOKUP(Table1[[#This Row],[Status]],Auxiliar!$B$16:$C$24,2,0)</f>
        <v>1</v>
      </c>
      <c r="K475" s="2" t="s">
        <v>1174</v>
      </c>
      <c r="L475" s="28" t="s">
        <v>1169</v>
      </c>
      <c r="M475" s="20" t="s">
        <v>1179</v>
      </c>
      <c r="N475" s="47">
        <v>45499</v>
      </c>
      <c r="O475" s="20">
        <f>INDEX(Auxiliar!$D$5:$F$13,MATCH(Table1[[#This Row],[Tipologia_Testes]],Auxiliar!$B$5:$B$13,0),MATCH(Table1[[#This Row],[Complexidade]],Auxiliar!$D$4:$F$4,0))</f>
        <v>0.1</v>
      </c>
      <c r="P475" s="2" t="s">
        <v>1191</v>
      </c>
      <c r="Q475" s="2" t="s">
        <v>1188</v>
      </c>
      <c r="R475" s="151">
        <v>45261</v>
      </c>
      <c r="S475" s="151">
        <v>45495</v>
      </c>
      <c r="T475" s="151"/>
      <c r="U475" s="151"/>
      <c r="V475" s="151"/>
      <c r="W475" s="2">
        <f>VLOOKUP(Table1[[#This Row],[Status]],Auxiliar!$B$16:$D$24,3,0)*Table1[[#This Row],[Estimação (horas)]]</f>
        <v>0.1</v>
      </c>
      <c r="X475" s="166">
        <f>+VLOOKUP(CONCATENATE(Table1[[#This Row],[Tabela]],Table1[[#This Row],[Campo]]),'2. Status Detalhe Campos FY24'!A:J,9,FALSE)</f>
        <v>0</v>
      </c>
    </row>
    <row r="476" spans="2:24" ht="17.850000000000001" hidden="1" customHeight="1">
      <c r="B476" s="2" t="s">
        <v>26</v>
      </c>
      <c r="C476" s="2" t="s">
        <v>54</v>
      </c>
      <c r="D476" s="2" t="s">
        <v>38</v>
      </c>
      <c r="E476" s="2" t="s">
        <v>38</v>
      </c>
      <c r="F476" s="2" t="s">
        <v>74</v>
      </c>
      <c r="G476" s="2" t="s">
        <v>76</v>
      </c>
      <c r="H476" s="56" t="str">
        <f>Table1[[#This Row],[Tabela]]&amp;Table1[[#This Row],[Campo]]</f>
        <v>RESPONSIBILITY_PROCESS_RELBRANCH_CODE</v>
      </c>
      <c r="I476" s="2" t="s">
        <v>612</v>
      </c>
      <c r="J476" s="42">
        <f>VLOOKUP(Table1[[#This Row],[Status]],Auxiliar!$B$16:$C$24,2,0)</f>
        <v>1</v>
      </c>
      <c r="K476" s="2" t="s">
        <v>1171</v>
      </c>
      <c r="L476" s="28" t="s">
        <v>1169</v>
      </c>
      <c r="M476" s="20" t="s">
        <v>1179</v>
      </c>
      <c r="N476" s="47">
        <v>45499</v>
      </c>
      <c r="O476" s="20">
        <f>INDEX(Auxiliar!$D$5:$F$13,MATCH(Table1[[#This Row],[Tipologia_Testes]],Auxiliar!$B$5:$B$13,0),MATCH(Table1[[#This Row],[Complexidade]],Auxiliar!$D$4:$F$4,0))</f>
        <v>4</v>
      </c>
      <c r="P476" s="2" t="s">
        <v>1191</v>
      </c>
      <c r="Q476" s="2" t="s">
        <v>1188</v>
      </c>
      <c r="R476" s="151">
        <v>45261</v>
      </c>
      <c r="S476" s="151">
        <v>45495</v>
      </c>
      <c r="T476" s="151"/>
      <c r="U476" s="151"/>
      <c r="V476" s="151"/>
      <c r="W476" s="2">
        <f>VLOOKUP(Table1[[#This Row],[Status]],Auxiliar!$B$16:$D$24,3,0)*Table1[[#This Row],[Estimação (horas)]]</f>
        <v>4</v>
      </c>
      <c r="X476" s="166">
        <f>+VLOOKUP(CONCATENATE(Table1[[#This Row],[Tabela]],Table1[[#This Row],[Campo]]),'2. Status Detalhe Campos FY24'!A:J,9,FALSE)</f>
        <v>0</v>
      </c>
    </row>
    <row r="477" spans="2:24" ht="17.850000000000001" hidden="1" customHeight="1">
      <c r="B477" s="2" t="s">
        <v>26</v>
      </c>
      <c r="C477" s="2" t="s">
        <v>54</v>
      </c>
      <c r="D477" s="2" t="s">
        <v>38</v>
      </c>
      <c r="E477" s="2" t="s">
        <v>38</v>
      </c>
      <c r="F477" s="2" t="s">
        <v>74</v>
      </c>
      <c r="G477" s="2" t="s">
        <v>76</v>
      </c>
      <c r="H477" s="56" t="str">
        <f>Table1[[#This Row],[Tabela]]&amp;Table1[[#This Row],[Campo]]</f>
        <v>RESPONSIBILITY_PROCESS_RELBRANCH_CODE</v>
      </c>
      <c r="I477" s="2" t="s">
        <v>612</v>
      </c>
      <c r="J477" s="42">
        <f>VLOOKUP(Table1[[#This Row],[Status]],Auxiliar!$B$16:$C$24,2,0)</f>
        <v>1</v>
      </c>
      <c r="K477" s="2" t="s">
        <v>1172</v>
      </c>
      <c r="L477" s="28" t="s">
        <v>1169</v>
      </c>
      <c r="M477" s="20" t="s">
        <v>1179</v>
      </c>
      <c r="N477" s="47">
        <v>45499</v>
      </c>
      <c r="O477" s="20">
        <f>INDEX(Auxiliar!$D$5:$F$13,MATCH(Table1[[#This Row],[Tipologia_Testes]],Auxiliar!$B$5:$B$13,0),MATCH(Table1[[#This Row],[Complexidade]],Auxiliar!$D$4:$F$4,0))</f>
        <v>4</v>
      </c>
      <c r="P477" s="2" t="s">
        <v>1191</v>
      </c>
      <c r="Q477" s="2" t="s">
        <v>1188</v>
      </c>
      <c r="R477" s="151">
        <v>45261</v>
      </c>
      <c r="S477" s="151">
        <v>45495</v>
      </c>
      <c r="T477" s="151"/>
      <c r="U477" s="151"/>
      <c r="V477" s="151"/>
      <c r="W477" s="2">
        <f>VLOOKUP(Table1[[#This Row],[Status]],Auxiliar!$B$16:$D$24,3,0)*Table1[[#This Row],[Estimação (horas)]]</f>
        <v>4</v>
      </c>
      <c r="X477" s="166">
        <f>+VLOOKUP(CONCATENATE(Table1[[#This Row],[Tabela]],Table1[[#This Row],[Campo]]),'2. Status Detalhe Campos FY24'!A:J,9,FALSE)</f>
        <v>0</v>
      </c>
    </row>
    <row r="478" spans="2:24" ht="17.850000000000001" hidden="1" customHeight="1">
      <c r="B478" s="2" t="s">
        <v>26</v>
      </c>
      <c r="C478" s="2" t="s">
        <v>54</v>
      </c>
      <c r="D478" s="2" t="s">
        <v>38</v>
      </c>
      <c r="E478" s="2" t="s">
        <v>38</v>
      </c>
      <c r="F478" s="2" t="s">
        <v>74</v>
      </c>
      <c r="G478" s="2" t="s">
        <v>76</v>
      </c>
      <c r="H478" s="56" t="str">
        <f>Table1[[#This Row],[Tabela]]&amp;Table1[[#This Row],[Campo]]</f>
        <v>RESPONSIBILITY_PROCESS_RELBRANCH_CODE</v>
      </c>
      <c r="I478" s="2" t="s">
        <v>612</v>
      </c>
      <c r="J478" s="42">
        <f>VLOOKUP(Table1[[#This Row],[Status]],Auxiliar!$B$16:$C$24,2,0)</f>
        <v>1</v>
      </c>
      <c r="K478" s="2" t="s">
        <v>1174</v>
      </c>
      <c r="L478" s="28" t="s">
        <v>1169</v>
      </c>
      <c r="M478" s="20" t="s">
        <v>1179</v>
      </c>
      <c r="N478" s="47">
        <v>45499</v>
      </c>
      <c r="O478" s="20">
        <f>INDEX(Auxiliar!$D$5:$F$13,MATCH(Table1[[#This Row],[Tipologia_Testes]],Auxiliar!$B$5:$B$13,0),MATCH(Table1[[#This Row],[Complexidade]],Auxiliar!$D$4:$F$4,0))</f>
        <v>0.1</v>
      </c>
      <c r="P478" s="2" t="s">
        <v>1191</v>
      </c>
      <c r="Q478" s="2" t="s">
        <v>1188</v>
      </c>
      <c r="R478" s="151">
        <v>45261</v>
      </c>
      <c r="S478" s="151">
        <v>45495</v>
      </c>
      <c r="T478" s="151"/>
      <c r="U478" s="151"/>
      <c r="V478" s="151"/>
      <c r="W478" s="2">
        <f>VLOOKUP(Table1[[#This Row],[Status]],Auxiliar!$B$16:$D$24,3,0)*Table1[[#This Row],[Estimação (horas)]]</f>
        <v>0.1</v>
      </c>
      <c r="X478" s="166">
        <f>+VLOOKUP(CONCATENATE(Table1[[#This Row],[Tabela]],Table1[[#This Row],[Campo]]),'2. Status Detalhe Campos FY24'!A:J,9,FALSE)</f>
        <v>0</v>
      </c>
    </row>
    <row r="479" spans="2:24" ht="17.850000000000001" hidden="1" customHeight="1">
      <c r="B479" s="2" t="s">
        <v>26</v>
      </c>
      <c r="C479" s="2" t="s">
        <v>54</v>
      </c>
      <c r="D479" s="2" t="s">
        <v>38</v>
      </c>
      <c r="E479" s="2" t="s">
        <v>38</v>
      </c>
      <c r="F479" s="2" t="s">
        <v>74</v>
      </c>
      <c r="G479" s="2" t="s">
        <v>77</v>
      </c>
      <c r="H479" s="56" t="str">
        <f>Table1[[#This Row],[Tabela]]&amp;Table1[[#This Row],[Campo]]</f>
        <v>RESPONSIBILITY_PROCESS_RELCONTRACT_ID</v>
      </c>
      <c r="I479" s="2" t="s">
        <v>612</v>
      </c>
      <c r="J479" s="42">
        <f>VLOOKUP(Table1[[#This Row],[Status]],Auxiliar!$B$16:$C$24,2,0)</f>
        <v>1</v>
      </c>
      <c r="K479" s="2" t="s">
        <v>1171</v>
      </c>
      <c r="L479" s="28" t="s">
        <v>1169</v>
      </c>
      <c r="M479" s="20" t="s">
        <v>1179</v>
      </c>
      <c r="N479" s="47">
        <v>45499</v>
      </c>
      <c r="O479" s="20">
        <f>INDEX(Auxiliar!$D$5:$F$13,MATCH(Table1[[#This Row],[Tipologia_Testes]],Auxiliar!$B$5:$B$13,0),MATCH(Table1[[#This Row],[Complexidade]],Auxiliar!$D$4:$F$4,0))</f>
        <v>4</v>
      </c>
      <c r="P479" s="2" t="s">
        <v>1191</v>
      </c>
      <c r="Q479" s="2" t="s">
        <v>1188</v>
      </c>
      <c r="R479" s="151">
        <v>45261</v>
      </c>
      <c r="S479" s="151">
        <v>45495</v>
      </c>
      <c r="T479" s="151"/>
      <c r="U479" s="151"/>
      <c r="V479" s="151"/>
      <c r="W479" s="2">
        <f>VLOOKUP(Table1[[#This Row],[Status]],Auxiliar!$B$16:$D$24,3,0)*Table1[[#This Row],[Estimação (horas)]]</f>
        <v>4</v>
      </c>
      <c r="X479" s="166">
        <f>+VLOOKUP(CONCATENATE(Table1[[#This Row],[Tabela]],Table1[[#This Row],[Campo]]),'2. Status Detalhe Campos FY24'!A:J,9,FALSE)</f>
        <v>0</v>
      </c>
    </row>
    <row r="480" spans="2:24" ht="17.850000000000001" hidden="1" customHeight="1">
      <c r="B480" s="2" t="s">
        <v>26</v>
      </c>
      <c r="C480" s="2" t="s">
        <v>54</v>
      </c>
      <c r="D480" s="2" t="s">
        <v>38</v>
      </c>
      <c r="E480" s="2" t="s">
        <v>38</v>
      </c>
      <c r="F480" s="2" t="s">
        <v>74</v>
      </c>
      <c r="G480" s="2" t="s">
        <v>77</v>
      </c>
      <c r="H480" s="56" t="str">
        <f>Table1[[#This Row],[Tabela]]&amp;Table1[[#This Row],[Campo]]</f>
        <v>RESPONSIBILITY_PROCESS_RELCONTRACT_ID</v>
      </c>
      <c r="I480" s="2" t="s">
        <v>612</v>
      </c>
      <c r="J480" s="42">
        <f>VLOOKUP(Table1[[#This Row],[Status]],Auxiliar!$B$16:$C$24,2,0)</f>
        <v>1</v>
      </c>
      <c r="K480" s="2" t="s">
        <v>1172</v>
      </c>
      <c r="L480" s="28" t="s">
        <v>1169</v>
      </c>
      <c r="M480" s="20" t="s">
        <v>1179</v>
      </c>
      <c r="N480" s="47">
        <v>45499</v>
      </c>
      <c r="O480" s="20">
        <f>INDEX(Auxiliar!$D$5:$F$13,MATCH(Table1[[#This Row],[Tipologia_Testes]],Auxiliar!$B$5:$B$13,0),MATCH(Table1[[#This Row],[Complexidade]],Auxiliar!$D$4:$F$4,0))</f>
        <v>4</v>
      </c>
      <c r="P480" s="2" t="s">
        <v>1191</v>
      </c>
      <c r="Q480" s="2" t="s">
        <v>1188</v>
      </c>
      <c r="R480" s="151">
        <v>45261</v>
      </c>
      <c r="S480" s="151">
        <v>45495</v>
      </c>
      <c r="T480" s="151"/>
      <c r="U480" s="151"/>
      <c r="V480" s="151"/>
      <c r="W480" s="2">
        <f>VLOOKUP(Table1[[#This Row],[Status]],Auxiliar!$B$16:$D$24,3,0)*Table1[[#This Row],[Estimação (horas)]]</f>
        <v>4</v>
      </c>
      <c r="X480" s="166">
        <f>+VLOOKUP(CONCATENATE(Table1[[#This Row],[Tabela]],Table1[[#This Row],[Campo]]),'2. Status Detalhe Campos FY24'!A:J,9,FALSE)</f>
        <v>0</v>
      </c>
    </row>
    <row r="481" spans="2:24" ht="17.850000000000001" hidden="1" customHeight="1">
      <c r="B481" s="2" t="s">
        <v>26</v>
      </c>
      <c r="C481" s="2" t="s">
        <v>54</v>
      </c>
      <c r="D481" s="2" t="s">
        <v>38</v>
      </c>
      <c r="E481" s="2" t="s">
        <v>38</v>
      </c>
      <c r="F481" s="2" t="s">
        <v>74</v>
      </c>
      <c r="G481" s="2" t="s">
        <v>77</v>
      </c>
      <c r="H481" s="56" t="str">
        <f>Table1[[#This Row],[Tabela]]&amp;Table1[[#This Row],[Campo]]</f>
        <v>RESPONSIBILITY_PROCESS_RELCONTRACT_ID</v>
      </c>
      <c r="I481" s="2" t="s">
        <v>612</v>
      </c>
      <c r="J481" s="42">
        <f>VLOOKUP(Table1[[#This Row],[Status]],Auxiliar!$B$16:$C$24,2,0)</f>
        <v>1</v>
      </c>
      <c r="K481" s="2" t="s">
        <v>1174</v>
      </c>
      <c r="L481" s="28" t="s">
        <v>1169</v>
      </c>
      <c r="M481" s="20" t="s">
        <v>1179</v>
      </c>
      <c r="N481" s="47">
        <v>45499</v>
      </c>
      <c r="O481" s="20">
        <f>INDEX(Auxiliar!$D$5:$F$13,MATCH(Table1[[#This Row],[Tipologia_Testes]],Auxiliar!$B$5:$B$13,0),MATCH(Table1[[#This Row],[Complexidade]],Auxiliar!$D$4:$F$4,0))</f>
        <v>0.1</v>
      </c>
      <c r="P481" s="2" t="s">
        <v>1191</v>
      </c>
      <c r="Q481" s="2" t="s">
        <v>1188</v>
      </c>
      <c r="R481" s="151">
        <v>45261</v>
      </c>
      <c r="S481" s="151">
        <v>45495</v>
      </c>
      <c r="T481" s="151"/>
      <c r="U481" s="151"/>
      <c r="V481" s="151"/>
      <c r="W481" s="2">
        <f>VLOOKUP(Table1[[#This Row],[Status]],Auxiliar!$B$16:$D$24,3,0)*Table1[[#This Row],[Estimação (horas)]]</f>
        <v>0.1</v>
      </c>
      <c r="X481" s="166">
        <f>+VLOOKUP(CONCATENATE(Table1[[#This Row],[Tabela]],Table1[[#This Row],[Campo]]),'2. Status Detalhe Campos FY24'!A:J,9,FALSE)</f>
        <v>0</v>
      </c>
    </row>
    <row r="482" spans="2:24" ht="17.850000000000001" hidden="1" customHeight="1">
      <c r="B482" s="2" t="s">
        <v>26</v>
      </c>
      <c r="C482" s="2" t="s">
        <v>54</v>
      </c>
      <c r="D482" s="2" t="s">
        <v>38</v>
      </c>
      <c r="E482" s="2" t="s">
        <v>38</v>
      </c>
      <c r="F482" s="2" t="s">
        <v>74</v>
      </c>
      <c r="G482" s="2" t="s">
        <v>59</v>
      </c>
      <c r="H482" s="56" t="str">
        <f>Table1[[#This Row],[Tabela]]&amp;Table1[[#This Row],[Campo]]</f>
        <v>RESPONSIBILITY_PROCESS_RELPROCESS_ACCOUNT_ID</v>
      </c>
      <c r="I482" s="2" t="s">
        <v>612</v>
      </c>
      <c r="J482" s="42">
        <f>VLOOKUP(Table1[[#This Row],[Status]],Auxiliar!$B$16:$C$24,2,0)</f>
        <v>1</v>
      </c>
      <c r="K482" s="2" t="s">
        <v>1171</v>
      </c>
      <c r="L482" s="28" t="s">
        <v>1169</v>
      </c>
      <c r="M482" s="20" t="s">
        <v>1179</v>
      </c>
      <c r="N482" s="47">
        <v>45499</v>
      </c>
      <c r="O482" s="20">
        <f>INDEX(Auxiliar!$D$5:$F$13,MATCH(Table1[[#This Row],[Tipologia_Testes]],Auxiliar!$B$5:$B$13,0),MATCH(Table1[[#This Row],[Complexidade]],Auxiliar!$D$4:$F$4,0))</f>
        <v>4</v>
      </c>
      <c r="P482" s="2" t="s">
        <v>1191</v>
      </c>
      <c r="Q482" s="2" t="s">
        <v>1188</v>
      </c>
      <c r="R482" s="151">
        <v>45261</v>
      </c>
      <c r="S482" s="151">
        <v>45495</v>
      </c>
      <c r="T482" s="151"/>
      <c r="U482" s="151"/>
      <c r="V482" s="151"/>
      <c r="W482" s="2">
        <f>VLOOKUP(Table1[[#This Row],[Status]],Auxiliar!$B$16:$D$24,3,0)*Table1[[#This Row],[Estimação (horas)]]</f>
        <v>4</v>
      </c>
      <c r="X482" s="166">
        <f>+VLOOKUP(CONCATENATE(Table1[[#This Row],[Tabela]],Table1[[#This Row],[Campo]]),'2. Status Detalhe Campos FY24'!A:J,9,FALSE)</f>
        <v>0</v>
      </c>
    </row>
    <row r="483" spans="2:24" ht="17.850000000000001" hidden="1" customHeight="1">
      <c r="B483" s="2" t="s">
        <v>26</v>
      </c>
      <c r="C483" s="2" t="s">
        <v>54</v>
      </c>
      <c r="D483" s="2" t="s">
        <v>38</v>
      </c>
      <c r="E483" s="2" t="s">
        <v>38</v>
      </c>
      <c r="F483" s="2" t="s">
        <v>74</v>
      </c>
      <c r="G483" s="2" t="s">
        <v>59</v>
      </c>
      <c r="H483" s="56" t="str">
        <f>Table1[[#This Row],[Tabela]]&amp;Table1[[#This Row],[Campo]]</f>
        <v>RESPONSIBILITY_PROCESS_RELPROCESS_ACCOUNT_ID</v>
      </c>
      <c r="I483" s="2" t="s">
        <v>612</v>
      </c>
      <c r="J483" s="42">
        <f>VLOOKUP(Table1[[#This Row],[Status]],Auxiliar!$B$16:$C$24,2,0)</f>
        <v>1</v>
      </c>
      <c r="K483" s="2" t="s">
        <v>1172</v>
      </c>
      <c r="L483" s="28" t="s">
        <v>1169</v>
      </c>
      <c r="M483" s="20" t="s">
        <v>1179</v>
      </c>
      <c r="N483" s="47">
        <v>45499</v>
      </c>
      <c r="O483" s="20">
        <f>INDEX(Auxiliar!$D$5:$F$13,MATCH(Table1[[#This Row],[Tipologia_Testes]],Auxiliar!$B$5:$B$13,0),MATCH(Table1[[#This Row],[Complexidade]],Auxiliar!$D$4:$F$4,0))</f>
        <v>4</v>
      </c>
      <c r="P483" s="2" t="s">
        <v>1191</v>
      </c>
      <c r="Q483" s="2" t="s">
        <v>1188</v>
      </c>
      <c r="R483" s="151">
        <v>45261</v>
      </c>
      <c r="S483" s="151">
        <v>45495</v>
      </c>
      <c r="T483" s="151"/>
      <c r="U483" s="151"/>
      <c r="V483" s="151"/>
      <c r="W483" s="2">
        <f>VLOOKUP(Table1[[#This Row],[Status]],Auxiliar!$B$16:$D$24,3,0)*Table1[[#This Row],[Estimação (horas)]]</f>
        <v>4</v>
      </c>
      <c r="X483" s="166">
        <f>+VLOOKUP(CONCATENATE(Table1[[#This Row],[Tabela]],Table1[[#This Row],[Campo]]),'2. Status Detalhe Campos FY24'!A:J,9,FALSE)</f>
        <v>0</v>
      </c>
    </row>
    <row r="484" spans="2:24" ht="17.850000000000001" hidden="1" customHeight="1">
      <c r="B484" s="2" t="s">
        <v>26</v>
      </c>
      <c r="C484" s="2" t="s">
        <v>54</v>
      </c>
      <c r="D484" s="2" t="s">
        <v>38</v>
      </c>
      <c r="E484" s="2" t="s">
        <v>38</v>
      </c>
      <c r="F484" s="2" t="s">
        <v>74</v>
      </c>
      <c r="G484" s="2" t="s">
        <v>59</v>
      </c>
      <c r="H484" s="56" t="str">
        <f>Table1[[#This Row],[Tabela]]&amp;Table1[[#This Row],[Campo]]</f>
        <v>RESPONSIBILITY_PROCESS_RELPROCESS_ACCOUNT_ID</v>
      </c>
      <c r="I484" s="2" t="s">
        <v>612</v>
      </c>
      <c r="J484" s="42">
        <f>VLOOKUP(Table1[[#This Row],[Status]],Auxiliar!$B$16:$C$24,2,0)</f>
        <v>1</v>
      </c>
      <c r="K484" s="2" t="s">
        <v>1174</v>
      </c>
      <c r="L484" s="28" t="s">
        <v>1169</v>
      </c>
      <c r="M484" s="20" t="s">
        <v>1179</v>
      </c>
      <c r="N484" s="47">
        <v>45499</v>
      </c>
      <c r="O484" s="20">
        <f>INDEX(Auxiliar!$D$5:$F$13,MATCH(Table1[[#This Row],[Tipologia_Testes]],Auxiliar!$B$5:$B$13,0),MATCH(Table1[[#This Row],[Complexidade]],Auxiliar!$D$4:$F$4,0))</f>
        <v>0.1</v>
      </c>
      <c r="P484" s="2" t="s">
        <v>1191</v>
      </c>
      <c r="Q484" s="2" t="s">
        <v>1188</v>
      </c>
      <c r="R484" s="151">
        <v>45261</v>
      </c>
      <c r="S484" s="151">
        <v>45495</v>
      </c>
      <c r="T484" s="151"/>
      <c r="U484" s="151"/>
      <c r="V484" s="151"/>
      <c r="W484" s="2">
        <f>VLOOKUP(Table1[[#This Row],[Status]],Auxiliar!$B$16:$D$24,3,0)*Table1[[#This Row],[Estimação (horas)]]</f>
        <v>0.1</v>
      </c>
      <c r="X484" s="166">
        <f>+VLOOKUP(CONCATENATE(Table1[[#This Row],[Tabela]],Table1[[#This Row],[Campo]]),'2. Status Detalhe Campos FY24'!A:J,9,FALSE)</f>
        <v>0</v>
      </c>
    </row>
    <row r="485" spans="2:24" ht="17.850000000000001" hidden="1" customHeight="1">
      <c r="B485" s="2" t="s">
        <v>26</v>
      </c>
      <c r="C485" s="2" t="s">
        <v>54</v>
      </c>
      <c r="D485" s="2" t="s">
        <v>38</v>
      </c>
      <c r="E485" s="2" t="s">
        <v>38</v>
      </c>
      <c r="F485" s="2" t="s">
        <v>74</v>
      </c>
      <c r="G485" s="2" t="s">
        <v>78</v>
      </c>
      <c r="H485" s="56" t="str">
        <f>Table1[[#This Row],[Tabela]]&amp;Table1[[#This Row],[Campo]]</f>
        <v>RESPONSIBILITY_PROCESS_RELREFERENCE_CODE</v>
      </c>
      <c r="I485" s="2" t="s">
        <v>612</v>
      </c>
      <c r="J485" s="42">
        <f>VLOOKUP(Table1[[#This Row],[Status]],Auxiliar!$B$16:$C$24,2,0)</f>
        <v>1</v>
      </c>
      <c r="K485" s="2" t="s">
        <v>1171</v>
      </c>
      <c r="L485" s="28" t="s">
        <v>1177</v>
      </c>
      <c r="M485" s="20" t="s">
        <v>1179</v>
      </c>
      <c r="N485" s="47">
        <v>45499</v>
      </c>
      <c r="O485" s="20">
        <f>INDEX(Auxiliar!$D$5:$F$13,MATCH(Table1[[#This Row],[Tipologia_Testes]],Auxiliar!$B$5:$B$13,0),MATCH(Table1[[#This Row],[Complexidade]],Auxiliar!$D$4:$F$4,0))</f>
        <v>4</v>
      </c>
      <c r="P485" s="2" t="s">
        <v>1191</v>
      </c>
      <c r="Q485" s="2" t="s">
        <v>1188</v>
      </c>
      <c r="R485" s="151">
        <v>45261</v>
      </c>
      <c r="S485" s="151">
        <v>45495</v>
      </c>
      <c r="T485" s="151"/>
      <c r="U485" s="151"/>
      <c r="V485" s="151"/>
      <c r="W485" s="2">
        <f>VLOOKUP(Table1[[#This Row],[Status]],Auxiliar!$B$16:$D$24,3,0)*Table1[[#This Row],[Estimação (horas)]]</f>
        <v>4</v>
      </c>
      <c r="X485" s="166">
        <f>+VLOOKUP(CONCATENATE(Table1[[#This Row],[Tabela]],Table1[[#This Row],[Campo]]),'2. Status Detalhe Campos FY24'!A:J,9,FALSE)</f>
        <v>0</v>
      </c>
    </row>
    <row r="486" spans="2:24" ht="17.850000000000001" hidden="1" customHeight="1">
      <c r="B486" s="2" t="s">
        <v>26</v>
      </c>
      <c r="C486" s="2" t="s">
        <v>54</v>
      </c>
      <c r="D486" s="2" t="s">
        <v>38</v>
      </c>
      <c r="E486" s="2" t="s">
        <v>38</v>
      </c>
      <c r="F486" s="2" t="s">
        <v>74</v>
      </c>
      <c r="G486" s="2" t="s">
        <v>78</v>
      </c>
      <c r="H486" s="56" t="str">
        <f>Table1[[#This Row],[Tabela]]&amp;Table1[[#This Row],[Campo]]</f>
        <v>RESPONSIBILITY_PROCESS_RELREFERENCE_CODE</v>
      </c>
      <c r="I486" s="2" t="s">
        <v>612</v>
      </c>
      <c r="J486" s="42">
        <f>VLOOKUP(Table1[[#This Row],[Status]],Auxiliar!$B$16:$C$24,2,0)</f>
        <v>1</v>
      </c>
      <c r="K486" s="2" t="s">
        <v>1172</v>
      </c>
      <c r="L486" s="28" t="s">
        <v>1177</v>
      </c>
      <c r="M486" s="20" t="s">
        <v>1179</v>
      </c>
      <c r="N486" s="47">
        <v>45499</v>
      </c>
      <c r="O486" s="20">
        <f>INDEX(Auxiliar!$D$5:$F$13,MATCH(Table1[[#This Row],[Tipologia_Testes]],Auxiliar!$B$5:$B$13,0),MATCH(Table1[[#This Row],[Complexidade]],Auxiliar!$D$4:$F$4,0))</f>
        <v>4</v>
      </c>
      <c r="P486" s="2" t="s">
        <v>1191</v>
      </c>
      <c r="Q486" s="2" t="s">
        <v>1188</v>
      </c>
      <c r="R486" s="151">
        <v>45261</v>
      </c>
      <c r="S486" s="151">
        <v>45495</v>
      </c>
      <c r="T486" s="151"/>
      <c r="U486" s="151"/>
      <c r="V486" s="151"/>
      <c r="W486" s="2">
        <f>VLOOKUP(Table1[[#This Row],[Status]],Auxiliar!$B$16:$D$24,3,0)*Table1[[#This Row],[Estimação (horas)]]</f>
        <v>4</v>
      </c>
      <c r="X486" s="166">
        <f>+VLOOKUP(CONCATENATE(Table1[[#This Row],[Tabela]],Table1[[#This Row],[Campo]]),'2. Status Detalhe Campos FY24'!A:J,9,FALSE)</f>
        <v>0</v>
      </c>
    </row>
    <row r="487" spans="2:24" ht="17.850000000000001" hidden="1" customHeight="1">
      <c r="B487" s="2" t="s">
        <v>26</v>
      </c>
      <c r="C487" s="2" t="s">
        <v>54</v>
      </c>
      <c r="D487" s="2" t="s">
        <v>38</v>
      </c>
      <c r="E487" s="2" t="s">
        <v>38</v>
      </c>
      <c r="F487" s="2" t="s">
        <v>74</v>
      </c>
      <c r="G487" s="2" t="s">
        <v>78</v>
      </c>
      <c r="H487" s="56" t="str">
        <f>Table1[[#This Row],[Tabela]]&amp;Table1[[#This Row],[Campo]]</f>
        <v>RESPONSIBILITY_PROCESS_RELREFERENCE_CODE</v>
      </c>
      <c r="I487" s="2" t="s">
        <v>612</v>
      </c>
      <c r="J487" s="42">
        <f>VLOOKUP(Table1[[#This Row],[Status]],Auxiliar!$B$16:$C$24,2,0)</f>
        <v>1</v>
      </c>
      <c r="K487" s="2" t="s">
        <v>1174</v>
      </c>
      <c r="L487" s="28" t="s">
        <v>1177</v>
      </c>
      <c r="M487" s="20" t="s">
        <v>1179</v>
      </c>
      <c r="N487" s="47">
        <v>45499</v>
      </c>
      <c r="O487" s="20">
        <f>INDEX(Auxiliar!$D$5:$F$13,MATCH(Table1[[#This Row],[Tipologia_Testes]],Auxiliar!$B$5:$B$13,0),MATCH(Table1[[#This Row],[Complexidade]],Auxiliar!$D$4:$F$4,0))</f>
        <v>0.1</v>
      </c>
      <c r="P487" s="2" t="s">
        <v>1191</v>
      </c>
      <c r="Q487" s="2" t="s">
        <v>1188</v>
      </c>
      <c r="R487" s="151">
        <v>45261</v>
      </c>
      <c r="S487" s="151">
        <v>45495</v>
      </c>
      <c r="T487" s="151"/>
      <c r="U487" s="151"/>
      <c r="V487" s="151"/>
      <c r="W487" s="2">
        <f>VLOOKUP(Table1[[#This Row],[Status]],Auxiliar!$B$16:$D$24,3,0)*Table1[[#This Row],[Estimação (horas)]]</f>
        <v>0.1</v>
      </c>
      <c r="X487" s="166">
        <f>+VLOOKUP(CONCATENATE(Table1[[#This Row],[Tabela]],Table1[[#This Row],[Campo]]),'2. Status Detalhe Campos FY24'!A:J,9,FALSE)</f>
        <v>0</v>
      </c>
    </row>
    <row r="488" spans="2:24" ht="17.850000000000001" hidden="1" customHeight="1">
      <c r="B488" s="2" t="s">
        <v>26</v>
      </c>
      <c r="C488" s="2" t="s">
        <v>54</v>
      </c>
      <c r="D488" s="2" t="s">
        <v>38</v>
      </c>
      <c r="E488" s="2" t="s">
        <v>38</v>
      </c>
      <c r="F488" s="2" t="s">
        <v>74</v>
      </c>
      <c r="G488" s="2" t="s">
        <v>79</v>
      </c>
      <c r="H488" s="56" t="str">
        <f>Table1[[#This Row],[Tabela]]&amp;Table1[[#This Row],[Campo]]</f>
        <v>RESPONSIBILITY_PROCESS_RELPURPOSE_CODE</v>
      </c>
      <c r="I488" s="2" t="s">
        <v>612</v>
      </c>
      <c r="J488" s="42">
        <f>VLOOKUP(Table1[[#This Row],[Status]],Auxiliar!$B$16:$C$24,2,0)</f>
        <v>1</v>
      </c>
      <c r="K488" s="2" t="s">
        <v>1171</v>
      </c>
      <c r="L488" s="28" t="s">
        <v>1177</v>
      </c>
      <c r="M488" s="20" t="s">
        <v>1179</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166">
        <f>+VLOOKUP(CONCATENATE(Table1[[#This Row],[Tabela]],Table1[[#This Row],[Campo]]),'2. Status Detalhe Campos FY24'!A:J,9,FALSE)</f>
        <v>0</v>
      </c>
    </row>
    <row r="489" spans="2:24" ht="17.850000000000001" hidden="1" customHeight="1">
      <c r="B489" s="2" t="s">
        <v>26</v>
      </c>
      <c r="C489" s="2" t="s">
        <v>54</v>
      </c>
      <c r="D489" s="2" t="s">
        <v>38</v>
      </c>
      <c r="E489" s="2" t="s">
        <v>38</v>
      </c>
      <c r="F489" s="2" t="s">
        <v>74</v>
      </c>
      <c r="G489" s="2" t="s">
        <v>79</v>
      </c>
      <c r="H489" s="56" t="str">
        <f>Table1[[#This Row],[Tabela]]&amp;Table1[[#This Row],[Campo]]</f>
        <v>RESPONSIBILITY_PROCESS_RELPURPOSE_CODE</v>
      </c>
      <c r="I489" s="2" t="s">
        <v>612</v>
      </c>
      <c r="J489" s="42">
        <f>VLOOKUP(Table1[[#This Row],[Status]],Auxiliar!$B$16:$C$24,2,0)</f>
        <v>1</v>
      </c>
      <c r="K489" s="2" t="s">
        <v>1172</v>
      </c>
      <c r="L489" s="28" t="s">
        <v>1177</v>
      </c>
      <c r="M489" s="20" t="s">
        <v>1179</v>
      </c>
      <c r="N489" s="47">
        <v>45485</v>
      </c>
      <c r="O489" s="20">
        <f>INDEX(Auxiliar!$D$5:$F$13,MATCH(Table1[[#This Row],[Tipologia_Testes]],Auxiliar!$B$5:$B$13,0),MATCH(Table1[[#This Row],[Complexidade]],Auxiliar!$D$4:$F$4,0))</f>
        <v>4</v>
      </c>
      <c r="P489" s="2"/>
      <c r="Q489" s="2"/>
      <c r="R489" s="151">
        <v>45261</v>
      </c>
      <c r="S489" s="151"/>
      <c r="T489" s="151"/>
      <c r="U489" s="151"/>
      <c r="V489" s="151"/>
      <c r="W489" s="2">
        <f>VLOOKUP(Table1[[#This Row],[Status]],Auxiliar!$B$16:$D$24,3,0)*Table1[[#This Row],[Estimação (horas)]]</f>
        <v>4</v>
      </c>
      <c r="X489" s="166">
        <f>+VLOOKUP(CONCATENATE(Table1[[#This Row],[Tabela]],Table1[[#This Row],[Campo]]),'2. Status Detalhe Campos FY24'!A:J,9,FALSE)</f>
        <v>0</v>
      </c>
    </row>
    <row r="490" spans="2:24" ht="17.850000000000001" hidden="1" customHeight="1">
      <c r="B490" s="2" t="s">
        <v>26</v>
      </c>
      <c r="C490" s="2" t="s">
        <v>54</v>
      </c>
      <c r="D490" s="2" t="s">
        <v>38</v>
      </c>
      <c r="E490" s="2" t="s">
        <v>38</v>
      </c>
      <c r="F490" s="2" t="s">
        <v>74</v>
      </c>
      <c r="G490" s="2" t="s">
        <v>79</v>
      </c>
      <c r="H490" s="56" t="str">
        <f>Table1[[#This Row],[Tabela]]&amp;Table1[[#This Row],[Campo]]</f>
        <v>RESPONSIBILITY_PROCESS_RELPURPOSE_CODE</v>
      </c>
      <c r="I490" s="2" t="s">
        <v>612</v>
      </c>
      <c r="J490" s="42">
        <f>VLOOKUP(Table1[[#This Row],[Status]],Auxiliar!$B$16:$C$24,2,0)</f>
        <v>1</v>
      </c>
      <c r="K490" s="2" t="s">
        <v>1174</v>
      </c>
      <c r="L490" s="28" t="s">
        <v>1177</v>
      </c>
      <c r="M490" s="20" t="s">
        <v>1179</v>
      </c>
      <c r="N490" s="47">
        <v>45485</v>
      </c>
      <c r="O490" s="20">
        <f>INDEX(Auxiliar!$D$5:$F$13,MATCH(Table1[[#This Row],[Tipologia_Testes]],Auxiliar!$B$5:$B$13,0),MATCH(Table1[[#This Row],[Complexidade]],Auxiliar!$D$4:$F$4,0))</f>
        <v>0.1</v>
      </c>
      <c r="P490" s="2"/>
      <c r="Q490" s="2"/>
      <c r="R490" s="151">
        <v>45261</v>
      </c>
      <c r="S490" s="151"/>
      <c r="T490" s="151"/>
      <c r="U490" s="151"/>
      <c r="V490" s="151"/>
      <c r="W490" s="2">
        <f>VLOOKUP(Table1[[#This Row],[Status]],Auxiliar!$B$16:$D$24,3,0)*Table1[[#This Row],[Estimação (horas)]]</f>
        <v>0.1</v>
      </c>
      <c r="X490" s="166">
        <f>+VLOOKUP(CONCATENATE(Table1[[#This Row],[Tabela]],Table1[[#This Row],[Campo]]),'2. Status Detalhe Campos FY24'!A:J,9,FALSE)</f>
        <v>0</v>
      </c>
    </row>
    <row r="491" spans="2:24" ht="17.850000000000001" hidden="1" customHeight="1">
      <c r="B491" s="2" t="s">
        <v>26</v>
      </c>
      <c r="C491" s="2" t="s">
        <v>54</v>
      </c>
      <c r="D491" s="2" t="s">
        <v>38</v>
      </c>
      <c r="E491" s="2" t="s">
        <v>38</v>
      </c>
      <c r="F491" s="2" t="s">
        <v>74</v>
      </c>
      <c r="G491" s="2" t="s">
        <v>80</v>
      </c>
      <c r="H491" s="56" t="str">
        <f>Table1[[#This Row],[Tabela]]&amp;Table1[[#This Row],[Campo]]</f>
        <v>RESPONSIBILITY_PROCESS_RELINDIVIDUAL_OCCUPATION_CODE</v>
      </c>
      <c r="I491" s="2" t="s">
        <v>612</v>
      </c>
      <c r="J491" s="42">
        <f>VLOOKUP(Table1[[#This Row],[Status]],Auxiliar!$B$16:$C$24,2,0)</f>
        <v>1</v>
      </c>
      <c r="K491" s="2" t="s">
        <v>1171</v>
      </c>
      <c r="L491" s="28" t="s">
        <v>1177</v>
      </c>
      <c r="M491" s="20" t="s">
        <v>1179</v>
      </c>
      <c r="N491" s="47">
        <v>45485</v>
      </c>
      <c r="O491" s="20">
        <f>INDEX(Auxiliar!$D$5:$F$13,MATCH(Table1[[#This Row],[Tipologia_Testes]],Auxiliar!$B$5:$B$13,0),MATCH(Table1[[#This Row],[Complexidade]],Auxiliar!$D$4:$F$4,0))</f>
        <v>4</v>
      </c>
      <c r="P491" s="2"/>
      <c r="Q491" s="2"/>
      <c r="R491" s="151">
        <v>45261</v>
      </c>
      <c r="S491" s="151"/>
      <c r="T491" s="151"/>
      <c r="U491" s="151"/>
      <c r="V491" s="151"/>
      <c r="W491" s="2">
        <f>VLOOKUP(Table1[[#This Row],[Status]],Auxiliar!$B$16:$D$24,3,0)*Table1[[#This Row],[Estimação (horas)]]</f>
        <v>4</v>
      </c>
      <c r="X491" s="166">
        <f>+VLOOKUP(CONCATENATE(Table1[[#This Row],[Tabela]],Table1[[#This Row],[Campo]]),'2. Status Detalhe Campos FY24'!A:J,9,FALSE)</f>
        <v>0</v>
      </c>
    </row>
    <row r="492" spans="2:24" ht="17.850000000000001" hidden="1" customHeight="1">
      <c r="B492" s="2" t="s">
        <v>26</v>
      </c>
      <c r="C492" s="2" t="s">
        <v>54</v>
      </c>
      <c r="D492" s="2" t="s">
        <v>38</v>
      </c>
      <c r="E492" s="2" t="s">
        <v>38</v>
      </c>
      <c r="F492" s="2" t="s">
        <v>74</v>
      </c>
      <c r="G492" s="2" t="s">
        <v>80</v>
      </c>
      <c r="H492" s="56" t="str">
        <f>Table1[[#This Row],[Tabela]]&amp;Table1[[#This Row],[Campo]]</f>
        <v>RESPONSIBILITY_PROCESS_RELINDIVIDUAL_OCCUPATION_CODE</v>
      </c>
      <c r="I492" s="2" t="s">
        <v>612</v>
      </c>
      <c r="J492" s="42">
        <f>VLOOKUP(Table1[[#This Row],[Status]],Auxiliar!$B$16:$C$24,2,0)</f>
        <v>1</v>
      </c>
      <c r="K492" s="2" t="s">
        <v>1172</v>
      </c>
      <c r="L492" s="28" t="s">
        <v>1177</v>
      </c>
      <c r="M492" s="20" t="s">
        <v>1179</v>
      </c>
      <c r="N492" s="47">
        <v>45485</v>
      </c>
      <c r="O492" s="20">
        <f>INDEX(Auxiliar!$D$5:$F$13,MATCH(Table1[[#This Row],[Tipologia_Testes]],Auxiliar!$B$5:$B$13,0),MATCH(Table1[[#This Row],[Complexidade]],Auxiliar!$D$4:$F$4,0))</f>
        <v>4</v>
      </c>
      <c r="P492" s="2"/>
      <c r="Q492" s="2"/>
      <c r="R492" s="151">
        <v>45261</v>
      </c>
      <c r="S492" s="151"/>
      <c r="T492" s="151"/>
      <c r="U492" s="151"/>
      <c r="V492" s="151"/>
      <c r="W492" s="2">
        <f>VLOOKUP(Table1[[#This Row],[Status]],Auxiliar!$B$16:$D$24,3,0)*Table1[[#This Row],[Estimação (horas)]]</f>
        <v>4</v>
      </c>
      <c r="X492" s="166">
        <f>+VLOOKUP(CONCATENATE(Table1[[#This Row],[Tabela]],Table1[[#This Row],[Campo]]),'2. Status Detalhe Campos FY24'!A:J,9,FALSE)</f>
        <v>0</v>
      </c>
    </row>
    <row r="493" spans="2:24" ht="17.850000000000001" hidden="1" customHeight="1">
      <c r="B493" s="2" t="s">
        <v>26</v>
      </c>
      <c r="C493" s="2" t="s">
        <v>54</v>
      </c>
      <c r="D493" s="2" t="s">
        <v>38</v>
      </c>
      <c r="E493" s="2" t="s">
        <v>38</v>
      </c>
      <c r="F493" s="2" t="s">
        <v>74</v>
      </c>
      <c r="G493" s="2" t="s">
        <v>80</v>
      </c>
      <c r="H493" s="56" t="str">
        <f>Table1[[#This Row],[Tabela]]&amp;Table1[[#This Row],[Campo]]</f>
        <v>RESPONSIBILITY_PROCESS_RELINDIVIDUAL_OCCUPATION_CODE</v>
      </c>
      <c r="I493" s="2" t="s">
        <v>612</v>
      </c>
      <c r="J493" s="42">
        <f>VLOOKUP(Table1[[#This Row],[Status]],Auxiliar!$B$16:$C$24,2,0)</f>
        <v>1</v>
      </c>
      <c r="K493" s="2" t="s">
        <v>1174</v>
      </c>
      <c r="L493" s="28" t="s">
        <v>1177</v>
      </c>
      <c r="M493" s="20" t="s">
        <v>1179</v>
      </c>
      <c r="N493" s="47">
        <v>45485</v>
      </c>
      <c r="O493" s="20">
        <f>INDEX(Auxiliar!$D$5:$F$13,MATCH(Table1[[#This Row],[Tipologia_Testes]],Auxiliar!$B$5:$B$13,0),MATCH(Table1[[#This Row],[Complexidade]],Auxiliar!$D$4:$F$4,0))</f>
        <v>0.1</v>
      </c>
      <c r="P493" s="2"/>
      <c r="Q493" s="2"/>
      <c r="R493" s="151">
        <v>45261</v>
      </c>
      <c r="S493" s="151"/>
      <c r="T493" s="151"/>
      <c r="U493" s="151"/>
      <c r="V493" s="151"/>
      <c r="W493" s="2">
        <f>VLOOKUP(Table1[[#This Row],[Status]],Auxiliar!$B$16:$D$24,3,0)*Table1[[#This Row],[Estimação (horas)]]</f>
        <v>0.1</v>
      </c>
      <c r="X493" s="166">
        <f>+VLOOKUP(CONCATENATE(Table1[[#This Row],[Tabela]],Table1[[#This Row],[Campo]]),'2. Status Detalhe Campos FY24'!A:J,9,FALSE)</f>
        <v>0</v>
      </c>
    </row>
    <row r="494" spans="2:24" ht="17.850000000000001" hidden="1" customHeight="1">
      <c r="B494" s="2" t="s">
        <v>26</v>
      </c>
      <c r="C494" s="2" t="s">
        <v>54</v>
      </c>
      <c r="D494" s="2" t="s">
        <v>38</v>
      </c>
      <c r="E494" s="2" t="s">
        <v>38</v>
      </c>
      <c r="F494" s="2" t="s">
        <v>74</v>
      </c>
      <c r="G494" s="2" t="s">
        <v>81</v>
      </c>
      <c r="H494" s="56" t="str">
        <f>Table1[[#This Row],[Tabela]]&amp;Table1[[#This Row],[Campo]]</f>
        <v>RESPONSIBILITY_PROCESS_RELPRODUCT_ID</v>
      </c>
      <c r="I494" s="2" t="s">
        <v>612</v>
      </c>
      <c r="J494" s="42">
        <f>VLOOKUP(Table1[[#This Row],[Status]],Auxiliar!$B$16:$C$24,2,0)</f>
        <v>1</v>
      </c>
      <c r="K494" s="2" t="s">
        <v>1171</v>
      </c>
      <c r="L494" s="28" t="s">
        <v>1177</v>
      </c>
      <c r="M494" s="20" t="s">
        <v>1179</v>
      </c>
      <c r="N494" s="47">
        <v>45485</v>
      </c>
      <c r="O494" s="20">
        <f>INDEX(Auxiliar!$D$5:$F$13,MATCH(Table1[[#This Row],[Tipologia_Testes]],Auxiliar!$B$5:$B$13,0),MATCH(Table1[[#This Row],[Complexidade]],Auxiliar!$D$4:$F$4,0))</f>
        <v>4</v>
      </c>
      <c r="P494" s="2"/>
      <c r="Q494" s="2"/>
      <c r="R494" s="151">
        <v>45261</v>
      </c>
      <c r="S494" s="151"/>
      <c r="T494" s="151"/>
      <c r="U494" s="151"/>
      <c r="V494" s="151"/>
      <c r="W494" s="2">
        <f>VLOOKUP(Table1[[#This Row],[Status]],Auxiliar!$B$16:$D$24,3,0)*Table1[[#This Row],[Estimação (horas)]]</f>
        <v>4</v>
      </c>
      <c r="X494" s="166">
        <f>+VLOOKUP(CONCATENATE(Table1[[#This Row],[Tabela]],Table1[[#This Row],[Campo]]),'2. Status Detalhe Campos FY24'!A:J,9,FALSE)</f>
        <v>0</v>
      </c>
    </row>
    <row r="495" spans="2:24" ht="17.850000000000001" hidden="1" customHeight="1">
      <c r="B495" s="2" t="s">
        <v>26</v>
      </c>
      <c r="C495" s="2" t="s">
        <v>54</v>
      </c>
      <c r="D495" s="2" t="s">
        <v>38</v>
      </c>
      <c r="E495" s="2" t="s">
        <v>38</v>
      </c>
      <c r="F495" s="2" t="s">
        <v>74</v>
      </c>
      <c r="G495" s="2" t="s">
        <v>81</v>
      </c>
      <c r="H495" s="56" t="str">
        <f>Table1[[#This Row],[Tabela]]&amp;Table1[[#This Row],[Campo]]</f>
        <v>RESPONSIBILITY_PROCESS_RELPRODUCT_ID</v>
      </c>
      <c r="I495" s="2" t="s">
        <v>612</v>
      </c>
      <c r="J495" s="42">
        <f>VLOOKUP(Table1[[#This Row],[Status]],Auxiliar!$B$16:$C$24,2,0)</f>
        <v>1</v>
      </c>
      <c r="K495" s="2" t="s">
        <v>1172</v>
      </c>
      <c r="L495" s="28" t="s">
        <v>1177</v>
      </c>
      <c r="M495" s="20" t="s">
        <v>1179</v>
      </c>
      <c r="N495" s="47">
        <v>45485</v>
      </c>
      <c r="O495" s="20">
        <f>INDEX(Auxiliar!$D$5:$F$13,MATCH(Table1[[#This Row],[Tipologia_Testes]],Auxiliar!$B$5:$B$13,0),MATCH(Table1[[#This Row],[Complexidade]],Auxiliar!$D$4:$F$4,0))</f>
        <v>4</v>
      </c>
      <c r="P495" s="2"/>
      <c r="Q495" s="2"/>
      <c r="R495" s="151">
        <v>45261</v>
      </c>
      <c r="S495" s="151"/>
      <c r="T495" s="151"/>
      <c r="U495" s="151"/>
      <c r="V495" s="151"/>
      <c r="W495" s="2">
        <f>VLOOKUP(Table1[[#This Row],[Status]],Auxiliar!$B$16:$D$24,3,0)*Table1[[#This Row],[Estimação (horas)]]</f>
        <v>4</v>
      </c>
      <c r="X495" s="166">
        <f>+VLOOKUP(CONCATENATE(Table1[[#This Row],[Tabela]],Table1[[#This Row],[Campo]]),'2. Status Detalhe Campos FY24'!A:J,9,FALSE)</f>
        <v>0</v>
      </c>
    </row>
    <row r="496" spans="2:24" ht="17.850000000000001" hidden="1" customHeight="1">
      <c r="B496" s="2" t="s">
        <v>26</v>
      </c>
      <c r="C496" s="2" t="s">
        <v>54</v>
      </c>
      <c r="D496" s="2" t="s">
        <v>38</v>
      </c>
      <c r="E496" s="2" t="s">
        <v>38</v>
      </c>
      <c r="F496" s="2" t="s">
        <v>74</v>
      </c>
      <c r="G496" s="2" t="s">
        <v>81</v>
      </c>
      <c r="H496" s="56" t="str">
        <f>Table1[[#This Row],[Tabela]]&amp;Table1[[#This Row],[Campo]]</f>
        <v>RESPONSIBILITY_PROCESS_RELPRODUCT_ID</v>
      </c>
      <c r="I496" s="2" t="s">
        <v>612</v>
      </c>
      <c r="J496" s="42">
        <f>VLOOKUP(Table1[[#This Row],[Status]],Auxiliar!$B$16:$C$24,2,0)</f>
        <v>1</v>
      </c>
      <c r="K496" s="2" t="s">
        <v>1174</v>
      </c>
      <c r="L496" s="28" t="s">
        <v>1177</v>
      </c>
      <c r="M496" s="20" t="s">
        <v>1179</v>
      </c>
      <c r="N496" s="47">
        <v>45485</v>
      </c>
      <c r="O496" s="20">
        <f>INDEX(Auxiliar!$D$5:$F$13,MATCH(Table1[[#This Row],[Tipologia_Testes]],Auxiliar!$B$5:$B$13,0),MATCH(Table1[[#This Row],[Complexidade]],Auxiliar!$D$4:$F$4,0))</f>
        <v>0.1</v>
      </c>
      <c r="P496" s="2"/>
      <c r="Q496" s="2"/>
      <c r="R496" s="151">
        <v>45261</v>
      </c>
      <c r="S496" s="151"/>
      <c r="T496" s="151"/>
      <c r="U496" s="151"/>
      <c r="V496" s="151"/>
      <c r="W496" s="2">
        <f>VLOOKUP(Table1[[#This Row],[Status]],Auxiliar!$B$16:$D$24,3,0)*Table1[[#This Row],[Estimação (horas)]]</f>
        <v>0.1</v>
      </c>
      <c r="X496" s="166">
        <f>+VLOOKUP(CONCATENATE(Table1[[#This Row],[Tabela]],Table1[[#This Row],[Campo]]),'2. Status Detalhe Campos FY24'!A:J,9,FALSE)</f>
        <v>0</v>
      </c>
    </row>
    <row r="497" spans="2:24" ht="17.850000000000001" hidden="1" customHeight="1">
      <c r="B497" s="2" t="s">
        <v>26</v>
      </c>
      <c r="C497" s="2" t="s">
        <v>54</v>
      </c>
      <c r="D497" s="2" t="s">
        <v>38</v>
      </c>
      <c r="E497" s="2" t="s">
        <v>38</v>
      </c>
      <c r="F497" s="2" t="s">
        <v>74</v>
      </c>
      <c r="G497" s="2" t="s">
        <v>82</v>
      </c>
      <c r="H497" s="56" t="str">
        <f>Table1[[#This Row],[Tabela]]&amp;Table1[[#This Row],[Campo]]</f>
        <v>RESPONSIBILITY_PROCESS_RELcod_sit</v>
      </c>
      <c r="I497" s="2" t="s">
        <v>611</v>
      </c>
      <c r="J497" s="42">
        <f>VLOOKUP(Table1[[#This Row],[Status]],Auxiliar!$B$16:$C$24,2,0)</f>
        <v>0</v>
      </c>
      <c r="K497" s="2" t="s">
        <v>1171</v>
      </c>
      <c r="L497" s="28" t="s">
        <v>1189</v>
      </c>
      <c r="M497" s="20" t="s">
        <v>1179</v>
      </c>
      <c r="N497" s="47">
        <v>45485</v>
      </c>
      <c r="O497" s="20">
        <f>INDEX(Auxiliar!$D$5:$F$13,MATCH(Table1[[#This Row],[Tipologia_Testes]],Auxiliar!$B$5:$B$13,0),MATCH(Table1[[#This Row],[Complexidade]],Auxiliar!$D$4:$F$4,0))</f>
        <v>4</v>
      </c>
      <c r="P497" s="2" t="s">
        <v>1197</v>
      </c>
      <c r="Q497" s="2"/>
      <c r="R497" s="151">
        <v>45425</v>
      </c>
      <c r="S497" s="151"/>
      <c r="T497" s="151"/>
      <c r="U497" s="151"/>
      <c r="V497" s="151"/>
      <c r="W497" s="2">
        <f>VLOOKUP(Table1[[#This Row],[Status]],Auxiliar!$B$16:$D$24,3,0)*Table1[[#This Row],[Estimação (horas)]]</f>
        <v>0</v>
      </c>
      <c r="X497" s="166">
        <f>+VLOOKUP(CONCATENATE(Table1[[#This Row],[Tabela]],Table1[[#This Row],[Campo]]),'2. Status Detalhe Campos FY24'!A:J,9,FALSE)</f>
        <v>0</v>
      </c>
    </row>
    <row r="498" spans="2:24" ht="17.850000000000001" hidden="1" customHeight="1">
      <c r="B498" s="2" t="s">
        <v>26</v>
      </c>
      <c r="C498" s="2" t="s">
        <v>54</v>
      </c>
      <c r="D498" s="2" t="s">
        <v>38</v>
      </c>
      <c r="E498" s="2" t="s">
        <v>38</v>
      </c>
      <c r="F498" s="2" t="s">
        <v>74</v>
      </c>
      <c r="G498" s="2" t="s">
        <v>83</v>
      </c>
      <c r="H498" s="56" t="str">
        <f>Table1[[#This Row],[Tabela]]&amp;Table1[[#This Row],[Campo]]</f>
        <v>RESPONSIBILITY_PROCESS_RELSUBPRODUCT_ID</v>
      </c>
      <c r="I498" s="2" t="s">
        <v>612</v>
      </c>
      <c r="J498" s="42">
        <f>VLOOKUP(Table1[[#This Row],[Status]],Auxiliar!$B$16:$C$24,2,0)</f>
        <v>1</v>
      </c>
      <c r="K498" s="2" t="s">
        <v>1171</v>
      </c>
      <c r="L498" s="28" t="s">
        <v>1177</v>
      </c>
      <c r="M498" s="20" t="s">
        <v>1179</v>
      </c>
      <c r="N498" s="47">
        <v>45485</v>
      </c>
      <c r="O498" s="20">
        <f>INDEX(Auxiliar!$D$5:$F$13,MATCH(Table1[[#This Row],[Tipologia_Testes]],Auxiliar!$B$5:$B$13,0),MATCH(Table1[[#This Row],[Complexidade]],Auxiliar!$D$4:$F$4,0))</f>
        <v>4</v>
      </c>
      <c r="P498" s="2"/>
      <c r="Q498" s="2"/>
      <c r="R498" s="151">
        <v>45261</v>
      </c>
      <c r="S498" s="151"/>
      <c r="T498" s="151"/>
      <c r="U498" s="151"/>
      <c r="V498" s="151"/>
      <c r="W498" s="2">
        <f>VLOOKUP(Table1[[#This Row],[Status]],Auxiliar!$B$16:$D$24,3,0)*Table1[[#This Row],[Estimação (horas)]]</f>
        <v>4</v>
      </c>
      <c r="X498" s="166">
        <f>+VLOOKUP(CONCATENATE(Table1[[#This Row],[Tabela]],Table1[[#This Row],[Campo]]),'2. Status Detalhe Campos FY24'!A:J,9,FALSE)</f>
        <v>0</v>
      </c>
    </row>
    <row r="499" spans="2:24" ht="17.850000000000001" hidden="1" customHeight="1">
      <c r="B499" s="2" t="s">
        <v>26</v>
      </c>
      <c r="C499" s="2" t="s">
        <v>54</v>
      </c>
      <c r="D499" s="2" t="s">
        <v>38</v>
      </c>
      <c r="E499" s="2" t="s">
        <v>38</v>
      </c>
      <c r="F499" s="2" t="s">
        <v>74</v>
      </c>
      <c r="G499" s="2" t="s">
        <v>83</v>
      </c>
      <c r="H499" s="56" t="str">
        <f>Table1[[#This Row],[Tabela]]&amp;Table1[[#This Row],[Campo]]</f>
        <v>RESPONSIBILITY_PROCESS_RELSUBPRODUCT_ID</v>
      </c>
      <c r="I499" s="2" t="s">
        <v>612</v>
      </c>
      <c r="J499" s="42">
        <f>VLOOKUP(Table1[[#This Row],[Status]],Auxiliar!$B$16:$C$24,2,0)</f>
        <v>1</v>
      </c>
      <c r="K499" s="2" t="s">
        <v>1172</v>
      </c>
      <c r="L499" s="28" t="s">
        <v>1177</v>
      </c>
      <c r="M499" s="20" t="s">
        <v>1179</v>
      </c>
      <c r="N499" s="47">
        <v>45485</v>
      </c>
      <c r="O499" s="20">
        <f>INDEX(Auxiliar!$D$5:$F$13,MATCH(Table1[[#This Row],[Tipologia_Testes]],Auxiliar!$B$5:$B$13,0),MATCH(Table1[[#This Row],[Complexidade]],Auxiliar!$D$4:$F$4,0))</f>
        <v>4</v>
      </c>
      <c r="P499" s="2"/>
      <c r="Q499" s="2"/>
      <c r="R499" s="151">
        <v>45261</v>
      </c>
      <c r="S499" s="151"/>
      <c r="T499" s="151"/>
      <c r="U499" s="151"/>
      <c r="V499" s="151"/>
      <c r="W499" s="2">
        <f>VLOOKUP(Table1[[#This Row],[Status]],Auxiliar!$B$16:$D$24,3,0)*Table1[[#This Row],[Estimação (horas)]]</f>
        <v>4</v>
      </c>
      <c r="X499" s="166">
        <f>+VLOOKUP(CONCATENATE(Table1[[#This Row],[Tabela]],Table1[[#This Row],[Campo]]),'2. Status Detalhe Campos FY24'!A:J,9,FALSE)</f>
        <v>0</v>
      </c>
    </row>
    <row r="500" spans="2:24" ht="17.850000000000001" hidden="1" customHeight="1">
      <c r="B500" s="2" t="s">
        <v>26</v>
      </c>
      <c r="C500" s="2" t="s">
        <v>54</v>
      </c>
      <c r="D500" s="2" t="s">
        <v>38</v>
      </c>
      <c r="E500" s="2" t="s">
        <v>38</v>
      </c>
      <c r="F500" s="2" t="s">
        <v>74</v>
      </c>
      <c r="G500" s="2" t="s">
        <v>83</v>
      </c>
      <c r="H500" s="56" t="str">
        <f>Table1[[#This Row],[Tabela]]&amp;Table1[[#This Row],[Campo]]</f>
        <v>RESPONSIBILITY_PROCESS_RELSUBPRODUCT_ID</v>
      </c>
      <c r="I500" s="2" t="s">
        <v>612</v>
      </c>
      <c r="J500" s="42">
        <f>VLOOKUP(Table1[[#This Row],[Status]],Auxiliar!$B$16:$C$24,2,0)</f>
        <v>1</v>
      </c>
      <c r="K500" s="2" t="s">
        <v>1174</v>
      </c>
      <c r="L500" s="28" t="s">
        <v>1177</v>
      </c>
      <c r="M500" s="20" t="s">
        <v>1179</v>
      </c>
      <c r="N500" s="47">
        <v>45485</v>
      </c>
      <c r="O500" s="20">
        <f>INDEX(Auxiliar!$D$5:$F$13,MATCH(Table1[[#This Row],[Tipologia_Testes]],Auxiliar!$B$5:$B$13,0),MATCH(Table1[[#This Row],[Complexidade]],Auxiliar!$D$4:$F$4,0))</f>
        <v>0.1</v>
      </c>
      <c r="P500" s="2"/>
      <c r="Q500" s="2"/>
      <c r="R500" s="151">
        <v>45261</v>
      </c>
      <c r="S500" s="151"/>
      <c r="T500" s="151"/>
      <c r="U500" s="151"/>
      <c r="V500" s="151"/>
      <c r="W500" s="2">
        <f>VLOOKUP(Table1[[#This Row],[Status]],Auxiliar!$B$16:$D$24,3,0)*Table1[[#This Row],[Estimação (horas)]]</f>
        <v>0.1</v>
      </c>
      <c r="X500" s="166">
        <f>+VLOOKUP(CONCATENATE(Table1[[#This Row],[Tabela]],Table1[[#This Row],[Campo]]),'2. Status Detalhe Campos FY24'!A:J,9,FALSE)</f>
        <v>0</v>
      </c>
    </row>
    <row r="501" spans="2:24" ht="17.850000000000001" hidden="1" customHeight="1">
      <c r="B501" s="2" t="s">
        <v>26</v>
      </c>
      <c r="C501" s="2" t="s">
        <v>54</v>
      </c>
      <c r="D501" s="2" t="s">
        <v>38</v>
      </c>
      <c r="E501" s="2" t="s">
        <v>38</v>
      </c>
      <c r="F501" s="2" t="s">
        <v>74</v>
      </c>
      <c r="G501" s="2" t="s">
        <v>67</v>
      </c>
      <c r="H501" s="56" t="str">
        <f>Table1[[#This Row],[Tabela]]&amp;Table1[[#This Row],[Campo]]</f>
        <v>RESPONSIBILITY_PROCESS_RELPROCESS_REFERENCE_CODE</v>
      </c>
      <c r="I501" s="2" t="s">
        <v>612</v>
      </c>
      <c r="J501" s="42">
        <f>VLOOKUP(Table1[[#This Row],[Status]],Auxiliar!$B$16:$C$24,2,0)</f>
        <v>1</v>
      </c>
      <c r="K501" s="2" t="s">
        <v>1171</v>
      </c>
      <c r="L501" s="28" t="s">
        <v>1169</v>
      </c>
      <c r="M501" s="20" t="s">
        <v>1179</v>
      </c>
      <c r="N501" s="47">
        <v>45512</v>
      </c>
      <c r="O501" s="20">
        <f>INDEX(Auxiliar!$D$5:$F$13,MATCH(Table1[[#This Row],[Tipologia_Testes]],Auxiliar!$B$5:$B$13,0),MATCH(Table1[[#This Row],[Complexidade]],Auxiliar!$D$4:$F$4,0))</f>
        <v>4</v>
      </c>
      <c r="P501" s="2" t="s">
        <v>1199</v>
      </c>
      <c r="Q501" s="2"/>
      <c r="R501" s="151">
        <v>45261</v>
      </c>
      <c r="S501" s="151"/>
      <c r="T501" s="151"/>
      <c r="U501" s="151"/>
      <c r="V501" s="151"/>
      <c r="W501" s="2">
        <f>VLOOKUP(Table1[[#This Row],[Status]],Auxiliar!$B$16:$D$24,3,0)*Table1[[#This Row],[Estimação (horas)]]</f>
        <v>4</v>
      </c>
      <c r="X501" s="166">
        <f>+VLOOKUP(CONCATENATE(Table1[[#This Row],[Tabela]],Table1[[#This Row],[Campo]]),'2. Status Detalhe Campos FY24'!A:J,9,FALSE)</f>
        <v>0</v>
      </c>
    </row>
    <row r="502" spans="2:24" ht="17.850000000000001" hidden="1" customHeight="1">
      <c r="B502" s="2" t="s">
        <v>26</v>
      </c>
      <c r="C502" s="2" t="s">
        <v>54</v>
      </c>
      <c r="D502" s="2" t="s">
        <v>38</v>
      </c>
      <c r="E502" s="2" t="s">
        <v>38</v>
      </c>
      <c r="F502" s="2" t="s">
        <v>74</v>
      </c>
      <c r="G502" s="2" t="s">
        <v>67</v>
      </c>
      <c r="H502" s="56" t="str">
        <f>Table1[[#This Row],[Tabela]]&amp;Table1[[#This Row],[Campo]]</f>
        <v>RESPONSIBILITY_PROCESS_RELPROCESS_REFERENCE_CODE</v>
      </c>
      <c r="I502" s="2" t="s">
        <v>612</v>
      </c>
      <c r="J502" s="42">
        <f>VLOOKUP(Table1[[#This Row],[Status]],Auxiliar!$B$16:$C$24,2,0)</f>
        <v>1</v>
      </c>
      <c r="K502" s="2" t="s">
        <v>1172</v>
      </c>
      <c r="L502" s="28" t="s">
        <v>1169</v>
      </c>
      <c r="M502" s="20" t="s">
        <v>1179</v>
      </c>
      <c r="N502" s="47">
        <v>45512</v>
      </c>
      <c r="O502" s="20">
        <f>INDEX(Auxiliar!$D$5:$F$13,MATCH(Table1[[#This Row],[Tipologia_Testes]],Auxiliar!$B$5:$B$13,0),MATCH(Table1[[#This Row],[Complexidade]],Auxiliar!$D$4:$F$4,0))</f>
        <v>4</v>
      </c>
      <c r="P502" s="2" t="s">
        <v>1199</v>
      </c>
      <c r="Q502" s="2"/>
      <c r="R502" s="151">
        <v>45261</v>
      </c>
      <c r="S502" s="151"/>
      <c r="T502" s="151"/>
      <c r="U502" s="151"/>
      <c r="V502" s="151"/>
      <c r="W502" s="2">
        <f>VLOOKUP(Table1[[#This Row],[Status]],Auxiliar!$B$16:$D$24,3,0)*Table1[[#This Row],[Estimação (horas)]]</f>
        <v>4</v>
      </c>
      <c r="X502" s="166">
        <f>+VLOOKUP(CONCATENATE(Table1[[#This Row],[Tabela]],Table1[[#This Row],[Campo]]),'2. Status Detalhe Campos FY24'!A:J,9,FALSE)</f>
        <v>0</v>
      </c>
    </row>
    <row r="503" spans="2:24" ht="17.850000000000001" hidden="1" customHeight="1">
      <c r="B503" s="2" t="s">
        <v>26</v>
      </c>
      <c r="C503" s="2" t="s">
        <v>54</v>
      </c>
      <c r="D503" s="2" t="s">
        <v>38</v>
      </c>
      <c r="E503" s="2" t="s">
        <v>38</v>
      </c>
      <c r="F503" s="2" t="s">
        <v>74</v>
      </c>
      <c r="G503" s="2" t="s">
        <v>67</v>
      </c>
      <c r="H503" s="56" t="str">
        <f>Table1[[#This Row],[Tabela]]&amp;Table1[[#This Row],[Campo]]</f>
        <v>RESPONSIBILITY_PROCESS_RELPROCESS_REFERENCE_CODE</v>
      </c>
      <c r="I503" s="2" t="s">
        <v>612</v>
      </c>
      <c r="J503" s="42">
        <f>VLOOKUP(Table1[[#This Row],[Status]],Auxiliar!$B$16:$C$24,2,0)</f>
        <v>1</v>
      </c>
      <c r="K503" s="2" t="s">
        <v>1174</v>
      </c>
      <c r="L503" s="28" t="s">
        <v>1169</v>
      </c>
      <c r="M503" s="20" t="s">
        <v>1179</v>
      </c>
      <c r="N503" s="47">
        <v>45512</v>
      </c>
      <c r="O503" s="20">
        <f>INDEX(Auxiliar!$D$5:$F$13,MATCH(Table1[[#This Row],[Tipologia_Testes]],Auxiliar!$B$5:$B$13,0),MATCH(Table1[[#This Row],[Complexidade]],Auxiliar!$D$4:$F$4,0))</f>
        <v>0.1</v>
      </c>
      <c r="P503" s="2" t="s">
        <v>1199</v>
      </c>
      <c r="Q503" s="2"/>
      <c r="R503" s="151">
        <v>45261</v>
      </c>
      <c r="S503" s="151"/>
      <c r="T503" s="151"/>
      <c r="U503" s="151"/>
      <c r="V503" s="151"/>
      <c r="W503" s="2">
        <f>VLOOKUP(Table1[[#This Row],[Status]],Auxiliar!$B$16:$D$24,3,0)*Table1[[#This Row],[Estimação (horas)]]</f>
        <v>0.1</v>
      </c>
      <c r="X503" s="166">
        <f>+VLOOKUP(CONCATENATE(Table1[[#This Row],[Tabela]],Table1[[#This Row],[Campo]]),'2. Status Detalhe Campos FY24'!A:J,9,FALSE)</f>
        <v>0</v>
      </c>
    </row>
    <row r="504" spans="2:24" ht="17.850000000000001" hidden="1" customHeight="1">
      <c r="B504" s="2" t="s">
        <v>26</v>
      </c>
      <c r="C504" s="2" t="s">
        <v>54</v>
      </c>
      <c r="D504" s="2" t="s">
        <v>38</v>
      </c>
      <c r="E504" s="2" t="s">
        <v>38</v>
      </c>
      <c r="F504" s="2" t="s">
        <v>74</v>
      </c>
      <c r="G504" s="2" t="s">
        <v>84</v>
      </c>
      <c r="H504" s="56" t="str">
        <f>Table1[[#This Row],[Tabela]]&amp;Table1[[#This Row],[Campo]]</f>
        <v>RESPONSIBILITY_PROCESS_RELEFFECTIVE_RELATION_END_DATE</v>
      </c>
      <c r="I504" s="2" t="s">
        <v>612</v>
      </c>
      <c r="J504" s="42">
        <f>VLOOKUP(Table1[[#This Row],[Status]],Auxiliar!$B$16:$C$24,2,0)</f>
        <v>1</v>
      </c>
      <c r="K504" s="2" t="s">
        <v>1171</v>
      </c>
      <c r="L504" s="28" t="s">
        <v>1177</v>
      </c>
      <c r="M504" s="20" t="s">
        <v>1179</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166">
        <f>+VLOOKUP(CONCATENATE(Table1[[#This Row],[Tabela]],Table1[[#This Row],[Campo]]),'2. Status Detalhe Campos FY24'!A:J,9,FALSE)</f>
        <v>0</v>
      </c>
    </row>
    <row r="505" spans="2:24" ht="17.850000000000001" hidden="1" customHeight="1">
      <c r="B505" s="2" t="s">
        <v>26</v>
      </c>
      <c r="C505" s="2" t="s">
        <v>54</v>
      </c>
      <c r="D505" s="2" t="s">
        <v>38</v>
      </c>
      <c r="E505" s="2" t="s">
        <v>38</v>
      </c>
      <c r="F505" s="2" t="s">
        <v>74</v>
      </c>
      <c r="G505" s="2" t="s">
        <v>84</v>
      </c>
      <c r="H505" s="56" t="str">
        <f>Table1[[#This Row],[Tabela]]&amp;Table1[[#This Row],[Campo]]</f>
        <v>RESPONSIBILITY_PROCESS_RELEFFECTIVE_RELATION_END_DATE</v>
      </c>
      <c r="I505" s="2" t="s">
        <v>612</v>
      </c>
      <c r="J505" s="42">
        <f>VLOOKUP(Table1[[#This Row],[Status]],Auxiliar!$B$16:$C$24,2,0)</f>
        <v>1</v>
      </c>
      <c r="K505" s="2" t="s">
        <v>1172</v>
      </c>
      <c r="L505" s="28" t="s">
        <v>1177</v>
      </c>
      <c r="M505" s="20" t="s">
        <v>1179</v>
      </c>
      <c r="N505" s="47">
        <v>45485</v>
      </c>
      <c r="O505" s="20">
        <f>INDEX(Auxiliar!$D$5:$F$13,MATCH(Table1[[#This Row],[Tipologia_Testes]],Auxiliar!$B$5:$B$13,0),MATCH(Table1[[#This Row],[Complexidade]],Auxiliar!$D$4:$F$4,0))</f>
        <v>4</v>
      </c>
      <c r="P505" s="2"/>
      <c r="Q505" s="2"/>
      <c r="R505" s="151">
        <v>45261</v>
      </c>
      <c r="S505" s="151"/>
      <c r="T505" s="151"/>
      <c r="U505" s="151"/>
      <c r="V505" s="151"/>
      <c r="W505" s="2">
        <f>VLOOKUP(Table1[[#This Row],[Status]],Auxiliar!$B$16:$D$24,3,0)*Table1[[#This Row],[Estimação (horas)]]</f>
        <v>4</v>
      </c>
      <c r="X505" s="166">
        <f>+VLOOKUP(CONCATENATE(Table1[[#This Row],[Tabela]],Table1[[#This Row],[Campo]]),'2. Status Detalhe Campos FY24'!A:J,9,FALSE)</f>
        <v>0</v>
      </c>
    </row>
    <row r="506" spans="2:24" ht="17.850000000000001" hidden="1" customHeight="1">
      <c r="B506" s="2" t="s">
        <v>26</v>
      </c>
      <c r="C506" s="2" t="s">
        <v>54</v>
      </c>
      <c r="D506" s="2" t="s">
        <v>38</v>
      </c>
      <c r="E506" s="2" t="s">
        <v>38</v>
      </c>
      <c r="F506" s="2" t="s">
        <v>74</v>
      </c>
      <c r="G506" s="2" t="s">
        <v>84</v>
      </c>
      <c r="H506" s="56" t="str">
        <f>Table1[[#This Row],[Tabela]]&amp;Table1[[#This Row],[Campo]]</f>
        <v>RESPONSIBILITY_PROCESS_RELEFFECTIVE_RELATION_END_DATE</v>
      </c>
      <c r="I506" s="2" t="s">
        <v>612</v>
      </c>
      <c r="J506" s="42">
        <f>VLOOKUP(Table1[[#This Row],[Status]],Auxiliar!$B$16:$C$24,2,0)</f>
        <v>1</v>
      </c>
      <c r="K506" s="2" t="s">
        <v>1174</v>
      </c>
      <c r="L506" s="28" t="s">
        <v>1177</v>
      </c>
      <c r="M506" s="20" t="s">
        <v>1179</v>
      </c>
      <c r="N506" s="47">
        <v>45485</v>
      </c>
      <c r="O506" s="20">
        <f>INDEX(Auxiliar!$D$5:$F$13,MATCH(Table1[[#This Row],[Tipologia_Testes]],Auxiliar!$B$5:$B$13,0),MATCH(Table1[[#This Row],[Complexidade]],Auxiliar!$D$4:$F$4,0))</f>
        <v>0.1</v>
      </c>
      <c r="P506" s="2"/>
      <c r="Q506" s="2"/>
      <c r="R506" s="151">
        <v>45261</v>
      </c>
      <c r="S506" s="151"/>
      <c r="T506" s="151"/>
      <c r="U506" s="151"/>
      <c r="V506" s="151"/>
      <c r="W506" s="2">
        <f>VLOOKUP(Table1[[#This Row],[Status]],Auxiliar!$B$16:$D$24,3,0)*Table1[[#This Row],[Estimação (horas)]]</f>
        <v>0.1</v>
      </c>
      <c r="X506" s="166">
        <f>+VLOOKUP(CONCATENATE(Table1[[#This Row],[Tabela]],Table1[[#This Row],[Campo]]),'2. Status Detalhe Campos FY24'!A:J,9,FALSE)</f>
        <v>0</v>
      </c>
    </row>
    <row r="507" spans="2:24" ht="17.850000000000001" hidden="1" customHeight="1">
      <c r="B507" s="2" t="s">
        <v>26</v>
      </c>
      <c r="C507" s="2" t="s">
        <v>54</v>
      </c>
      <c r="D507" s="2" t="s">
        <v>38</v>
      </c>
      <c r="E507" s="2" t="s">
        <v>38</v>
      </c>
      <c r="F507" s="2" t="s">
        <v>74</v>
      </c>
      <c r="G507" s="2" t="s">
        <v>68</v>
      </c>
      <c r="H507" s="56" t="str">
        <f>Table1[[#This Row],[Tabela]]&amp;Table1[[#This Row],[Campo]]</f>
        <v>RESPONSIBILITY_PROCESS_RELPROCESS_START_DATE</v>
      </c>
      <c r="I507" s="2" t="s">
        <v>612</v>
      </c>
      <c r="J507" s="42">
        <f>VLOOKUP(Table1[[#This Row],[Status]],Auxiliar!$B$16:$C$24,2,0)</f>
        <v>1</v>
      </c>
      <c r="K507" s="2" t="s">
        <v>1171</v>
      </c>
      <c r="L507" s="28" t="s">
        <v>1177</v>
      </c>
      <c r="M507" s="20" t="s">
        <v>1179</v>
      </c>
      <c r="N507" s="47">
        <v>45485</v>
      </c>
      <c r="O507" s="20">
        <f>INDEX(Auxiliar!$D$5:$F$13,MATCH(Table1[[#This Row],[Tipologia_Testes]],Auxiliar!$B$5:$B$13,0),MATCH(Table1[[#This Row],[Complexidade]],Auxiliar!$D$4:$F$4,0))</f>
        <v>4</v>
      </c>
      <c r="P507" s="2"/>
      <c r="Q507" s="2"/>
      <c r="R507" s="151">
        <v>45261</v>
      </c>
      <c r="S507" s="151"/>
      <c r="T507" s="151"/>
      <c r="U507" s="151"/>
      <c r="V507" s="151"/>
      <c r="W507" s="2">
        <f>VLOOKUP(Table1[[#This Row],[Status]],Auxiliar!$B$16:$D$24,3,0)*Table1[[#This Row],[Estimação (horas)]]</f>
        <v>4</v>
      </c>
      <c r="X507" s="166">
        <f>+VLOOKUP(CONCATENATE(Table1[[#This Row],[Tabela]],Table1[[#This Row],[Campo]]),'2. Status Detalhe Campos FY24'!A:J,9,FALSE)</f>
        <v>0</v>
      </c>
    </row>
    <row r="508" spans="2:24" ht="17.850000000000001" hidden="1" customHeight="1">
      <c r="B508" s="2" t="s">
        <v>26</v>
      </c>
      <c r="C508" s="2" t="s">
        <v>54</v>
      </c>
      <c r="D508" s="2" t="s">
        <v>38</v>
      </c>
      <c r="E508" s="2" t="s">
        <v>38</v>
      </c>
      <c r="F508" s="2" t="s">
        <v>74</v>
      </c>
      <c r="G508" s="2" t="s">
        <v>68</v>
      </c>
      <c r="H508" s="56" t="str">
        <f>Table1[[#This Row],[Tabela]]&amp;Table1[[#This Row],[Campo]]</f>
        <v>RESPONSIBILITY_PROCESS_RELPROCESS_START_DATE</v>
      </c>
      <c r="I508" s="2" t="s">
        <v>612</v>
      </c>
      <c r="J508" s="42">
        <f>VLOOKUP(Table1[[#This Row],[Status]],Auxiliar!$B$16:$C$24,2,0)</f>
        <v>1</v>
      </c>
      <c r="K508" s="2" t="s">
        <v>1172</v>
      </c>
      <c r="L508" s="28" t="s">
        <v>1177</v>
      </c>
      <c r="M508" s="20" t="s">
        <v>1179</v>
      </c>
      <c r="N508" s="47">
        <v>45485</v>
      </c>
      <c r="O508" s="20">
        <f>INDEX(Auxiliar!$D$5:$F$13,MATCH(Table1[[#This Row],[Tipologia_Testes]],Auxiliar!$B$5:$B$13,0),MATCH(Table1[[#This Row],[Complexidade]],Auxiliar!$D$4:$F$4,0))</f>
        <v>4</v>
      </c>
      <c r="P508" s="2"/>
      <c r="Q508" s="2"/>
      <c r="R508" s="151">
        <v>45261</v>
      </c>
      <c r="S508" s="151"/>
      <c r="T508" s="151"/>
      <c r="U508" s="151"/>
      <c r="V508" s="151"/>
      <c r="W508" s="2">
        <f>VLOOKUP(Table1[[#This Row],[Status]],Auxiliar!$B$16:$D$24,3,0)*Table1[[#This Row],[Estimação (horas)]]</f>
        <v>4</v>
      </c>
      <c r="X508" s="166">
        <f>+VLOOKUP(CONCATENATE(Table1[[#This Row],[Tabela]],Table1[[#This Row],[Campo]]),'2. Status Detalhe Campos FY24'!A:J,9,FALSE)</f>
        <v>0</v>
      </c>
    </row>
    <row r="509" spans="2:24" ht="17.850000000000001" hidden="1" customHeight="1">
      <c r="B509" s="2" t="s">
        <v>26</v>
      </c>
      <c r="C509" s="2" t="s">
        <v>54</v>
      </c>
      <c r="D509" s="2" t="s">
        <v>38</v>
      </c>
      <c r="E509" s="2" t="s">
        <v>38</v>
      </c>
      <c r="F509" s="2" t="s">
        <v>74</v>
      </c>
      <c r="G509" s="2" t="s">
        <v>68</v>
      </c>
      <c r="H509" s="56" t="str">
        <f>Table1[[#This Row],[Tabela]]&amp;Table1[[#This Row],[Campo]]</f>
        <v>RESPONSIBILITY_PROCESS_RELPROCESS_START_DATE</v>
      </c>
      <c r="I509" s="2" t="s">
        <v>612</v>
      </c>
      <c r="J509" s="42">
        <f>VLOOKUP(Table1[[#This Row],[Status]],Auxiliar!$B$16:$C$24,2,0)</f>
        <v>1</v>
      </c>
      <c r="K509" s="2" t="s">
        <v>1174</v>
      </c>
      <c r="L509" s="28" t="s">
        <v>1177</v>
      </c>
      <c r="M509" s="20" t="s">
        <v>1179</v>
      </c>
      <c r="N509" s="47">
        <v>45485</v>
      </c>
      <c r="O509" s="20">
        <f>INDEX(Auxiliar!$D$5:$F$13,MATCH(Table1[[#This Row],[Tipologia_Testes]],Auxiliar!$B$5:$B$13,0),MATCH(Table1[[#This Row],[Complexidade]],Auxiliar!$D$4:$F$4,0))</f>
        <v>0.1</v>
      </c>
      <c r="P509" s="2"/>
      <c r="Q509" s="2"/>
      <c r="R509" s="151">
        <v>45261</v>
      </c>
      <c r="S509" s="151"/>
      <c r="T509" s="151"/>
      <c r="U509" s="151"/>
      <c r="V509" s="151"/>
      <c r="W509" s="2">
        <f>VLOOKUP(Table1[[#This Row],[Status]],Auxiliar!$B$16:$D$24,3,0)*Table1[[#This Row],[Estimação (horas)]]</f>
        <v>0.1</v>
      </c>
      <c r="X509" s="166">
        <f>+VLOOKUP(CONCATENATE(Table1[[#This Row],[Tabela]],Table1[[#This Row],[Campo]]),'2. Status Detalhe Campos FY24'!A:J,9,FALSE)</f>
        <v>0</v>
      </c>
    </row>
    <row r="510" spans="2:24" ht="17.850000000000001" hidden="1" customHeight="1">
      <c r="B510" s="2" t="s">
        <v>26</v>
      </c>
      <c r="C510" s="2" t="s">
        <v>54</v>
      </c>
      <c r="D510" s="2" t="s">
        <v>38</v>
      </c>
      <c r="E510" s="2" t="s">
        <v>38</v>
      </c>
      <c r="F510" s="2" t="s">
        <v>74</v>
      </c>
      <c r="G510" s="2" t="s">
        <v>69</v>
      </c>
      <c r="H510" s="56" t="str">
        <f>Table1[[#This Row],[Tabela]]&amp;Table1[[#This Row],[Campo]]</f>
        <v>RESPONSIBILITY_PROCESS_RELPROCESS_DUE_DATE</v>
      </c>
      <c r="I510" s="2" t="s">
        <v>612</v>
      </c>
      <c r="J510" s="42">
        <f>VLOOKUP(Table1[[#This Row],[Status]],Auxiliar!$B$16:$C$24,2,0)</f>
        <v>1</v>
      </c>
      <c r="K510" s="2" t="s">
        <v>1171</v>
      </c>
      <c r="L510" s="28" t="s">
        <v>1177</v>
      </c>
      <c r="M510" s="20" t="s">
        <v>1179</v>
      </c>
      <c r="N510" s="47">
        <v>45485</v>
      </c>
      <c r="O510" s="20">
        <f>INDEX(Auxiliar!$D$5:$F$13,MATCH(Table1[[#This Row],[Tipologia_Testes]],Auxiliar!$B$5:$B$13,0),MATCH(Table1[[#This Row],[Complexidade]],Auxiliar!$D$4:$F$4,0))</f>
        <v>4</v>
      </c>
      <c r="P510" s="2"/>
      <c r="Q510" s="2"/>
      <c r="R510" s="151">
        <v>45261</v>
      </c>
      <c r="S510" s="151"/>
      <c r="T510" s="151"/>
      <c r="U510" s="151"/>
      <c r="V510" s="151"/>
      <c r="W510" s="2">
        <f>VLOOKUP(Table1[[#This Row],[Status]],Auxiliar!$B$16:$D$24,3,0)*Table1[[#This Row],[Estimação (horas)]]</f>
        <v>4</v>
      </c>
      <c r="X510" s="166">
        <f>+VLOOKUP(CONCATENATE(Table1[[#This Row],[Tabela]],Table1[[#This Row],[Campo]]),'2. Status Detalhe Campos FY24'!A:J,9,FALSE)</f>
        <v>0</v>
      </c>
    </row>
    <row r="511" spans="2:24" ht="17.850000000000001" hidden="1" customHeight="1">
      <c r="B511" s="2" t="s">
        <v>26</v>
      </c>
      <c r="C511" s="2" t="s">
        <v>54</v>
      </c>
      <c r="D511" s="2" t="s">
        <v>38</v>
      </c>
      <c r="E511" s="2" t="s">
        <v>38</v>
      </c>
      <c r="F511" s="2" t="s">
        <v>74</v>
      </c>
      <c r="G511" s="2" t="s">
        <v>69</v>
      </c>
      <c r="H511" s="56" t="str">
        <f>Table1[[#This Row],[Tabela]]&amp;Table1[[#This Row],[Campo]]</f>
        <v>RESPONSIBILITY_PROCESS_RELPROCESS_DUE_DATE</v>
      </c>
      <c r="I511" s="2" t="s">
        <v>612</v>
      </c>
      <c r="J511" s="42">
        <f>VLOOKUP(Table1[[#This Row],[Status]],Auxiliar!$B$16:$C$24,2,0)</f>
        <v>1</v>
      </c>
      <c r="K511" s="2" t="s">
        <v>1172</v>
      </c>
      <c r="L511" s="28" t="s">
        <v>1177</v>
      </c>
      <c r="M511" s="20" t="s">
        <v>1179</v>
      </c>
      <c r="N511" s="47">
        <v>45485</v>
      </c>
      <c r="O511" s="20">
        <f>INDEX(Auxiliar!$D$5:$F$13,MATCH(Table1[[#This Row],[Tipologia_Testes]],Auxiliar!$B$5:$B$13,0),MATCH(Table1[[#This Row],[Complexidade]],Auxiliar!$D$4:$F$4,0))</f>
        <v>4</v>
      </c>
      <c r="P511" s="2"/>
      <c r="Q511" s="2"/>
      <c r="R511" s="151">
        <v>45261</v>
      </c>
      <c r="S511" s="151"/>
      <c r="T511" s="151"/>
      <c r="U511" s="151"/>
      <c r="V511" s="151"/>
      <c r="W511" s="2">
        <f>VLOOKUP(Table1[[#This Row],[Status]],Auxiliar!$B$16:$D$24,3,0)*Table1[[#This Row],[Estimação (horas)]]</f>
        <v>4</v>
      </c>
      <c r="X511" s="166">
        <f>+VLOOKUP(CONCATENATE(Table1[[#This Row],[Tabela]],Table1[[#This Row],[Campo]]),'2. Status Detalhe Campos FY24'!A:J,9,FALSE)</f>
        <v>0</v>
      </c>
    </row>
    <row r="512" spans="2:24" ht="17.850000000000001" hidden="1" customHeight="1">
      <c r="B512" s="2" t="s">
        <v>26</v>
      </c>
      <c r="C512" s="2" t="s">
        <v>54</v>
      </c>
      <c r="D512" s="2" t="s">
        <v>38</v>
      </c>
      <c r="E512" s="2" t="s">
        <v>38</v>
      </c>
      <c r="F512" s="2" t="s">
        <v>74</v>
      </c>
      <c r="G512" s="2" t="s">
        <v>69</v>
      </c>
      <c r="H512" s="56" t="str">
        <f>Table1[[#This Row],[Tabela]]&amp;Table1[[#This Row],[Campo]]</f>
        <v>RESPONSIBILITY_PROCESS_RELPROCESS_DUE_DATE</v>
      </c>
      <c r="I512" s="2" t="s">
        <v>612</v>
      </c>
      <c r="J512" s="42">
        <f>VLOOKUP(Table1[[#This Row],[Status]],Auxiliar!$B$16:$C$24,2,0)</f>
        <v>1</v>
      </c>
      <c r="K512" s="2" t="s">
        <v>1174</v>
      </c>
      <c r="L512" s="28" t="s">
        <v>1177</v>
      </c>
      <c r="M512" s="20" t="s">
        <v>1179</v>
      </c>
      <c r="N512" s="47">
        <v>45485</v>
      </c>
      <c r="O512" s="20">
        <f>INDEX(Auxiliar!$D$5:$F$13,MATCH(Table1[[#This Row],[Tipologia_Testes]],Auxiliar!$B$5:$B$13,0),MATCH(Table1[[#This Row],[Complexidade]],Auxiliar!$D$4:$F$4,0))</f>
        <v>0.1</v>
      </c>
      <c r="P512" s="2"/>
      <c r="Q512" s="2"/>
      <c r="R512" s="151">
        <v>45261</v>
      </c>
      <c r="S512" s="151"/>
      <c r="T512" s="151"/>
      <c r="U512" s="151"/>
      <c r="V512" s="151"/>
      <c r="W512" s="2">
        <f>VLOOKUP(Table1[[#This Row],[Status]],Auxiliar!$B$16:$D$24,3,0)*Table1[[#This Row],[Estimação (horas)]]</f>
        <v>0.1</v>
      </c>
      <c r="X512" s="166">
        <f>+VLOOKUP(CONCATENATE(Table1[[#This Row],[Tabela]],Table1[[#This Row],[Campo]]),'2. Status Detalhe Campos FY24'!A:J,9,FALSE)</f>
        <v>0</v>
      </c>
    </row>
    <row r="513" spans="2:24" ht="17.850000000000001" hidden="1" customHeight="1">
      <c r="B513" s="2" t="s">
        <v>26</v>
      </c>
      <c r="C513" s="2" t="s">
        <v>54</v>
      </c>
      <c r="D513" s="2" t="s">
        <v>38</v>
      </c>
      <c r="E513" s="2" t="s">
        <v>38</v>
      </c>
      <c r="F513" s="2" t="s">
        <v>74</v>
      </c>
      <c r="G513" s="2" t="s">
        <v>85</v>
      </c>
      <c r="H513" s="56" t="str">
        <f>Table1[[#This Row],[Tabela]]&amp;Table1[[#This Row],[Campo]]</f>
        <v>RESPONSIBILITY_PROCESS_RELidetgar</v>
      </c>
      <c r="I513" s="2" t="s">
        <v>611</v>
      </c>
      <c r="J513" s="42">
        <f>VLOOKUP(Table1[[#This Row],[Status]],Auxiliar!$B$16:$C$24,2,0)</f>
        <v>0</v>
      </c>
      <c r="K513" s="2" t="s">
        <v>1171</v>
      </c>
      <c r="L513" s="28" t="s">
        <v>1189</v>
      </c>
      <c r="M513" s="20" t="s">
        <v>1179</v>
      </c>
      <c r="N513" s="47">
        <v>45485</v>
      </c>
      <c r="O513" s="20">
        <f>INDEX(Auxiliar!$D$5:$F$13,MATCH(Table1[[#This Row],[Tipologia_Testes]],Auxiliar!$B$5:$B$13,0),MATCH(Table1[[#This Row],[Complexidade]],Auxiliar!$D$4:$F$4,0))</f>
        <v>4</v>
      </c>
      <c r="P513" s="2" t="s">
        <v>1197</v>
      </c>
      <c r="Q513" s="2"/>
      <c r="R513" s="151">
        <v>45425</v>
      </c>
      <c r="S513" s="151"/>
      <c r="T513" s="151"/>
      <c r="U513" s="151"/>
      <c r="V513" s="151"/>
      <c r="W513" s="2">
        <f>VLOOKUP(Table1[[#This Row],[Status]],Auxiliar!$B$16:$D$24,3,0)*Table1[[#This Row],[Estimação (horas)]]</f>
        <v>0</v>
      </c>
      <c r="X513" s="166">
        <f>+VLOOKUP(CONCATENATE(Table1[[#This Row],[Tabela]],Table1[[#This Row],[Campo]]),'2. Status Detalhe Campos FY24'!A:J,9,FALSE)</f>
        <v>0</v>
      </c>
    </row>
    <row r="514" spans="2:24" ht="17.850000000000001" hidden="1" customHeight="1">
      <c r="B514" s="2" t="s">
        <v>26</v>
      </c>
      <c r="C514" s="2" t="s">
        <v>54</v>
      </c>
      <c r="D514" s="2" t="s">
        <v>38</v>
      </c>
      <c r="E514" s="2" t="s">
        <v>38</v>
      </c>
      <c r="F514" s="2" t="s">
        <v>74</v>
      </c>
      <c r="G514" s="2" t="s">
        <v>86</v>
      </c>
      <c r="H514" s="56" t="str">
        <f>Table1[[#This Row],[Tabela]]&amp;Table1[[#This Row],[Campo]]</f>
        <v>RESPONSIBILITY_PROCESS_RELnum_prop</v>
      </c>
      <c r="I514" s="2" t="s">
        <v>611</v>
      </c>
      <c r="J514" s="42">
        <f>VLOOKUP(Table1[[#This Row],[Status]],Auxiliar!$B$16:$C$24,2,0)</f>
        <v>0</v>
      </c>
      <c r="K514" s="2" t="s">
        <v>1171</v>
      </c>
      <c r="L514" s="28" t="s">
        <v>1189</v>
      </c>
      <c r="M514" s="20" t="s">
        <v>1179</v>
      </c>
      <c r="N514" s="47">
        <v>45485</v>
      </c>
      <c r="O514" s="20">
        <f>INDEX(Auxiliar!$D$5:$F$13,MATCH(Table1[[#This Row],[Tipologia_Testes]],Auxiliar!$B$5:$B$13,0),MATCH(Table1[[#This Row],[Complexidade]],Auxiliar!$D$4:$F$4,0))</f>
        <v>4</v>
      </c>
      <c r="P514" s="2" t="s">
        <v>1197</v>
      </c>
      <c r="Q514" s="2"/>
      <c r="R514" s="151">
        <v>45425</v>
      </c>
      <c r="S514" s="151"/>
      <c r="T514" s="151"/>
      <c r="U514" s="151"/>
      <c r="V514" s="151"/>
      <c r="W514" s="2">
        <f>VLOOKUP(Table1[[#This Row],[Status]],Auxiliar!$B$16:$D$24,3,0)*Table1[[#This Row],[Estimação (horas)]]</f>
        <v>0</v>
      </c>
      <c r="X514" s="166">
        <f>+VLOOKUP(CONCATENATE(Table1[[#This Row],[Tabela]],Table1[[#This Row],[Campo]]),'2. Status Detalhe Campos FY24'!A:J,9,FALSE)</f>
        <v>0</v>
      </c>
    </row>
    <row r="515" spans="2:24" ht="17.850000000000001" hidden="1" customHeight="1">
      <c r="B515" s="2" t="s">
        <v>26</v>
      </c>
      <c r="C515" s="2" t="s">
        <v>54</v>
      </c>
      <c r="D515" s="2" t="s">
        <v>38</v>
      </c>
      <c r="E515" s="2" t="s">
        <v>38</v>
      </c>
      <c r="F515" s="2" t="s">
        <v>74</v>
      </c>
      <c r="G515" s="2" t="s">
        <v>87</v>
      </c>
      <c r="H515" s="56" t="str">
        <f>Table1[[#This Row],[Tabela]]&amp;Table1[[#This Row],[Campo]]</f>
        <v>RESPONSIBILITY_PROCESS_RELSOURCE_CODE</v>
      </c>
      <c r="I515" s="2" t="s">
        <v>612</v>
      </c>
      <c r="J515" s="42">
        <f>VLOOKUP(Table1[[#This Row],[Status]],Auxiliar!$B$16:$C$24,2,0)</f>
        <v>1</v>
      </c>
      <c r="K515" s="2" t="s">
        <v>1171</v>
      </c>
      <c r="L515" s="28" t="s">
        <v>1177</v>
      </c>
      <c r="M515" s="20" t="s">
        <v>1178</v>
      </c>
      <c r="N515" s="47">
        <v>45512</v>
      </c>
      <c r="O515" s="20">
        <f>INDEX(Auxiliar!$D$5:$F$13,MATCH(Table1[[#This Row],[Tipologia_Testes]],Auxiliar!$B$5:$B$13,0),MATCH(Table1[[#This Row],[Complexidade]],Auxiliar!$D$4:$F$4,0))</f>
        <v>2</v>
      </c>
      <c r="P515" s="2"/>
      <c r="Q515" s="2"/>
      <c r="R515" s="151">
        <v>45261</v>
      </c>
      <c r="S515" s="151"/>
      <c r="T515" s="151"/>
      <c r="U515" s="151"/>
      <c r="V515" s="151"/>
      <c r="W515" s="2">
        <f>VLOOKUP(Table1[[#This Row],[Status]],Auxiliar!$B$16:$D$24,3,0)*Table1[[#This Row],[Estimação (horas)]]</f>
        <v>2</v>
      </c>
      <c r="X515" s="166">
        <f>+VLOOKUP(CONCATENATE(Table1[[#This Row],[Tabela]],Table1[[#This Row],[Campo]]),'2. Status Detalhe Campos FY24'!A:J,9,FALSE)</f>
        <v>0</v>
      </c>
    </row>
    <row r="516" spans="2:24" ht="17.850000000000001" hidden="1" customHeight="1">
      <c r="B516" s="2" t="s">
        <v>26</v>
      </c>
      <c r="C516" s="2" t="s">
        <v>54</v>
      </c>
      <c r="D516" s="2" t="s">
        <v>38</v>
      </c>
      <c r="E516" s="2" t="s">
        <v>38</v>
      </c>
      <c r="F516" s="2" t="s">
        <v>74</v>
      </c>
      <c r="G516" s="2" t="s">
        <v>87</v>
      </c>
      <c r="H516" s="56" t="str">
        <f>Table1[[#This Row],[Tabela]]&amp;Table1[[#This Row],[Campo]]</f>
        <v>RESPONSIBILITY_PROCESS_RELSOURCE_CODE</v>
      </c>
      <c r="I516" s="2" t="s">
        <v>612</v>
      </c>
      <c r="J516" s="42">
        <f>VLOOKUP(Table1[[#This Row],[Status]],Auxiliar!$B$16:$C$24,2,0)</f>
        <v>1</v>
      </c>
      <c r="K516" s="2" t="s">
        <v>1172</v>
      </c>
      <c r="L516" s="28" t="s">
        <v>1177</v>
      </c>
      <c r="M516" s="20" t="s">
        <v>1178</v>
      </c>
      <c r="N516" s="47">
        <v>45512</v>
      </c>
      <c r="O516" s="20">
        <f>INDEX(Auxiliar!$D$5:$F$13,MATCH(Table1[[#This Row],[Tipologia_Testes]],Auxiliar!$B$5:$B$13,0),MATCH(Table1[[#This Row],[Complexidade]],Auxiliar!$D$4:$F$4,0))</f>
        <v>2</v>
      </c>
      <c r="P516" s="2"/>
      <c r="Q516" s="2"/>
      <c r="R516" s="151">
        <v>45261</v>
      </c>
      <c r="S516" s="151"/>
      <c r="T516" s="151"/>
      <c r="U516" s="151"/>
      <c r="V516" s="151"/>
      <c r="W516" s="2">
        <f>VLOOKUP(Table1[[#This Row],[Status]],Auxiliar!$B$16:$D$24,3,0)*Table1[[#This Row],[Estimação (horas)]]</f>
        <v>2</v>
      </c>
      <c r="X516" s="166">
        <f>+VLOOKUP(CONCATENATE(Table1[[#This Row],[Tabela]],Table1[[#This Row],[Campo]]),'2. Status Detalhe Campos FY24'!A:J,9,FALSE)</f>
        <v>0</v>
      </c>
    </row>
    <row r="517" spans="2:24" ht="17.850000000000001" hidden="1" customHeight="1">
      <c r="B517" s="2" t="s">
        <v>26</v>
      </c>
      <c r="C517" s="2" t="s">
        <v>54</v>
      </c>
      <c r="D517" s="2" t="s">
        <v>38</v>
      </c>
      <c r="E517" s="2" t="s">
        <v>38</v>
      </c>
      <c r="F517" s="2" t="s">
        <v>74</v>
      </c>
      <c r="G517" s="2" t="s">
        <v>87</v>
      </c>
      <c r="H517" s="56" t="str">
        <f>Table1[[#This Row],[Tabela]]&amp;Table1[[#This Row],[Campo]]</f>
        <v>RESPONSIBILITY_PROCESS_RELSOURCE_CODE</v>
      </c>
      <c r="I517" s="2" t="s">
        <v>612</v>
      </c>
      <c r="J517" s="42">
        <f>VLOOKUP(Table1[[#This Row],[Status]],Auxiliar!$B$16:$C$24,2,0)</f>
        <v>1</v>
      </c>
      <c r="K517" s="2" t="s">
        <v>1174</v>
      </c>
      <c r="L517" s="28" t="s">
        <v>1177</v>
      </c>
      <c r="M517" s="20" t="s">
        <v>1178</v>
      </c>
      <c r="N517" s="47">
        <v>45512</v>
      </c>
      <c r="O517" s="20">
        <f>INDEX(Auxiliar!$D$5:$F$13,MATCH(Table1[[#This Row],[Tipologia_Testes]],Auxiliar!$B$5:$B$13,0),MATCH(Table1[[#This Row],[Complexidade]],Auxiliar!$D$4:$F$4,0))</f>
        <v>0.1</v>
      </c>
      <c r="P517" s="2"/>
      <c r="Q517" s="2"/>
      <c r="R517" s="151">
        <v>45261</v>
      </c>
      <c r="S517" s="151"/>
      <c r="T517" s="151"/>
      <c r="U517" s="151"/>
      <c r="V517" s="151"/>
      <c r="W517" s="2">
        <f>VLOOKUP(Table1[[#This Row],[Status]],Auxiliar!$B$16:$D$24,3,0)*Table1[[#This Row],[Estimação (horas)]]</f>
        <v>0.1</v>
      </c>
      <c r="X517" s="166">
        <f>+VLOOKUP(CONCATENATE(Table1[[#This Row],[Tabela]],Table1[[#This Row],[Campo]]),'2. Status Detalhe Campos FY24'!A:J,9,FALSE)</f>
        <v>0</v>
      </c>
    </row>
    <row r="518" spans="2:24" ht="17.850000000000001" hidden="1" customHeight="1">
      <c r="B518" s="2" t="s">
        <v>26</v>
      </c>
      <c r="C518" s="2" t="s">
        <v>54</v>
      </c>
      <c r="D518" s="2" t="s">
        <v>38</v>
      </c>
      <c r="E518" s="2" t="s">
        <v>38</v>
      </c>
      <c r="F518" s="2" t="s">
        <v>74</v>
      </c>
      <c r="G518" s="2" t="s">
        <v>73</v>
      </c>
      <c r="H518" s="56" t="str">
        <f>Table1[[#This Row],[Tabela]]&amp;Table1[[#This Row],[Campo]]</f>
        <v>RESPONSIBILITY_PROCESS_RELDATA_DATE_PART</v>
      </c>
      <c r="I518" s="2" t="s">
        <v>612</v>
      </c>
      <c r="J518" s="42">
        <f>VLOOKUP(Table1[[#This Row],[Status]],Auxiliar!$B$16:$C$24,2,0)</f>
        <v>1</v>
      </c>
      <c r="K518" s="2" t="s">
        <v>1171</v>
      </c>
      <c r="L518" s="28" t="s">
        <v>1177</v>
      </c>
      <c r="M518" s="20" t="s">
        <v>1178</v>
      </c>
      <c r="N518" s="47">
        <v>45512</v>
      </c>
      <c r="O518" s="20">
        <f>INDEX(Auxiliar!$D$5:$F$13,MATCH(Table1[[#This Row],[Tipologia_Testes]],Auxiliar!$B$5:$B$13,0),MATCH(Table1[[#This Row],[Complexidade]],Auxiliar!$D$4:$F$4,0))</f>
        <v>2</v>
      </c>
      <c r="P518" s="2"/>
      <c r="Q518" s="2"/>
      <c r="R518" s="151">
        <v>45261</v>
      </c>
      <c r="S518" s="151"/>
      <c r="T518" s="151"/>
      <c r="U518" s="151"/>
      <c r="V518" s="151"/>
      <c r="W518" s="2">
        <f>VLOOKUP(Table1[[#This Row],[Status]],Auxiliar!$B$16:$D$24,3,0)*Table1[[#This Row],[Estimação (horas)]]</f>
        <v>2</v>
      </c>
      <c r="X518" s="166">
        <f>+VLOOKUP(CONCATENATE(Table1[[#This Row],[Tabela]],Table1[[#This Row],[Campo]]),'2. Status Detalhe Campos FY24'!A:J,9,FALSE)</f>
        <v>0</v>
      </c>
    </row>
    <row r="519" spans="2:24" ht="17.850000000000001" hidden="1" customHeight="1">
      <c r="B519" s="2" t="s">
        <v>26</v>
      </c>
      <c r="C519" s="2" t="s">
        <v>54</v>
      </c>
      <c r="D519" s="2" t="s">
        <v>38</v>
      </c>
      <c r="E519" s="2" t="s">
        <v>38</v>
      </c>
      <c r="F519" s="2" t="s">
        <v>74</v>
      </c>
      <c r="G519" s="2" t="s">
        <v>73</v>
      </c>
      <c r="H519" s="56" t="str">
        <f>Table1[[#This Row],[Tabela]]&amp;Table1[[#This Row],[Campo]]</f>
        <v>RESPONSIBILITY_PROCESS_RELDATA_DATE_PART</v>
      </c>
      <c r="I519" s="2" t="s">
        <v>612</v>
      </c>
      <c r="J519" s="42">
        <f>VLOOKUP(Table1[[#This Row],[Status]],Auxiliar!$B$16:$C$24,2,0)</f>
        <v>1</v>
      </c>
      <c r="K519" s="2" t="s">
        <v>1172</v>
      </c>
      <c r="L519" s="28" t="s">
        <v>1177</v>
      </c>
      <c r="M519" s="20" t="s">
        <v>1178</v>
      </c>
      <c r="N519" s="47">
        <v>45512</v>
      </c>
      <c r="O519" s="20">
        <f>INDEX(Auxiliar!$D$5:$F$13,MATCH(Table1[[#This Row],[Tipologia_Testes]],Auxiliar!$B$5:$B$13,0),MATCH(Table1[[#This Row],[Complexidade]],Auxiliar!$D$4:$F$4,0))</f>
        <v>2</v>
      </c>
      <c r="P519" s="2"/>
      <c r="Q519" s="2"/>
      <c r="R519" s="151">
        <v>45261</v>
      </c>
      <c r="S519" s="151"/>
      <c r="T519" s="151"/>
      <c r="U519" s="151"/>
      <c r="V519" s="151"/>
      <c r="W519" s="2">
        <f>VLOOKUP(Table1[[#This Row],[Status]],Auxiliar!$B$16:$D$24,3,0)*Table1[[#This Row],[Estimação (horas)]]</f>
        <v>2</v>
      </c>
      <c r="X519" s="166">
        <f>+VLOOKUP(CONCATENATE(Table1[[#This Row],[Tabela]],Table1[[#This Row],[Campo]]),'2. Status Detalhe Campos FY24'!A:J,9,FALSE)</f>
        <v>0</v>
      </c>
    </row>
    <row r="520" spans="2:24" ht="69.599999999999994" hidden="1" customHeight="1">
      <c r="B520" s="2" t="s">
        <v>26</v>
      </c>
      <c r="C520" s="2" t="s">
        <v>54</v>
      </c>
      <c r="D520" s="2" t="s">
        <v>38</v>
      </c>
      <c r="E520" s="2" t="s">
        <v>38</v>
      </c>
      <c r="F520" s="2" t="s">
        <v>74</v>
      </c>
      <c r="G520" s="2" t="s">
        <v>73</v>
      </c>
      <c r="H520" s="56" t="str">
        <f>Table1[[#This Row],[Tabela]]&amp;Table1[[#This Row],[Campo]]</f>
        <v>RESPONSIBILITY_PROCESS_RELDATA_DATE_PART</v>
      </c>
      <c r="I520" s="2" t="s">
        <v>612</v>
      </c>
      <c r="J520" s="42">
        <f>VLOOKUP(Table1[[#This Row],[Status]],Auxiliar!$B$16:$C$24,2,0)</f>
        <v>1</v>
      </c>
      <c r="K520" s="2" t="s">
        <v>1174</v>
      </c>
      <c r="L520" s="28" t="s">
        <v>1177</v>
      </c>
      <c r="M520" s="20" t="s">
        <v>1178</v>
      </c>
      <c r="N520" s="47">
        <v>45512</v>
      </c>
      <c r="O520" s="20">
        <f>INDEX(Auxiliar!$D$5:$F$13,MATCH(Table1[[#This Row],[Tipologia_Testes]],Auxiliar!$B$5:$B$13,0),MATCH(Table1[[#This Row],[Complexidade]],Auxiliar!$D$4:$F$4,0))</f>
        <v>0.1</v>
      </c>
      <c r="P520" s="2"/>
      <c r="Q520" s="2"/>
      <c r="R520" s="151">
        <v>45261</v>
      </c>
      <c r="S520" s="151"/>
      <c r="T520" s="151"/>
      <c r="U520" s="151"/>
      <c r="V520" s="151"/>
      <c r="W520" s="2">
        <f>VLOOKUP(Table1[[#This Row],[Status]],Auxiliar!$B$16:$D$24,3,0)*Table1[[#This Row],[Estimação (horas)]]</f>
        <v>0.1</v>
      </c>
      <c r="X520" s="166">
        <f>+VLOOKUP(CONCATENATE(Table1[[#This Row],[Tabela]],Table1[[#This Row],[Campo]]),'2. Status Detalhe Campos FY24'!A:J,9,FALSE)</f>
        <v>0</v>
      </c>
    </row>
    <row r="521" spans="2:24" ht="17.850000000000001" hidden="1" customHeight="1">
      <c r="B521" s="2" t="s">
        <v>26</v>
      </c>
      <c r="C521" s="2" t="s">
        <v>54</v>
      </c>
      <c r="D521" s="2" t="s">
        <v>38</v>
      </c>
      <c r="E521" s="2" t="s">
        <v>38</v>
      </c>
      <c r="F521" s="2" t="s">
        <v>88</v>
      </c>
      <c r="G521" s="2" t="s">
        <v>38</v>
      </c>
      <c r="H521" s="56" t="str">
        <f>Table1[[#This Row],[Tabela]]&amp;Table1[[#This Row],[Campo]]</f>
        <v>PROCESS_PROPERTY_RELn.a.</v>
      </c>
      <c r="I521" s="2" t="s">
        <v>612</v>
      </c>
      <c r="J521" s="42">
        <f>VLOOKUP(Table1[[#This Row],[Status]],Auxiliar!$B$16:$C$24,2,0)</f>
        <v>1</v>
      </c>
      <c r="K521" s="2" t="s">
        <v>1168</v>
      </c>
      <c r="L521" s="28" t="s">
        <v>1169</v>
      </c>
      <c r="M521" s="20" t="s">
        <v>1170</v>
      </c>
      <c r="N521" s="47">
        <v>45485</v>
      </c>
      <c r="O521" s="20">
        <f>INDEX(Auxiliar!$D$5:$F$13,MATCH(Table1[[#This Row],[Tipologia_Testes]],Auxiliar!$B$5:$B$13,0),MATCH(Table1[[#This Row],[Complexidade]],Auxiliar!$D$4:$F$4,0))</f>
        <v>8</v>
      </c>
      <c r="P521" s="22" t="s">
        <v>1198</v>
      </c>
      <c r="Q521" s="2"/>
      <c r="R521" s="151">
        <v>45261</v>
      </c>
      <c r="S521" s="151"/>
      <c r="T521" s="151"/>
      <c r="U521" s="151"/>
      <c r="V521" s="151"/>
      <c r="W521" s="2">
        <f>VLOOKUP(Table1[[#This Row],[Status]],Auxiliar!$B$16:$D$24,3,0)*Table1[[#This Row],[Estimação (horas)]]</f>
        <v>8</v>
      </c>
      <c r="X521" s="166">
        <f>+VLOOKUP(CONCATENATE(Table1[[#This Row],[Tabela]],Table1[[#This Row],[Campo]]),'2. Status Detalhe Campos FY24'!A:J,9,FALSE)</f>
        <v>0</v>
      </c>
    </row>
    <row r="522" spans="2:24" ht="17.850000000000001" hidden="1" customHeight="1">
      <c r="B522" s="2" t="s">
        <v>26</v>
      </c>
      <c r="C522" s="2" t="s">
        <v>54</v>
      </c>
      <c r="D522" s="2" t="s">
        <v>38</v>
      </c>
      <c r="E522" s="2" t="s">
        <v>38</v>
      </c>
      <c r="F522" s="2" t="s">
        <v>88</v>
      </c>
      <c r="G522" s="2" t="s">
        <v>41</v>
      </c>
      <c r="H522" s="56" t="str">
        <f>Table1[[#This Row],[Tabela]]&amp;Table1[[#This Row],[Campo]]</f>
        <v>PROCESS_PROPERTY_RELPROPERTY_BANK_ID</v>
      </c>
      <c r="I522" s="3" t="s">
        <v>612</v>
      </c>
      <c r="J522" s="54">
        <f>VLOOKUP(Table1[[#This Row],[Status]],Auxiliar!$B$16:$C$24,2,0)</f>
        <v>1</v>
      </c>
      <c r="K522" s="2" t="s">
        <v>1171</v>
      </c>
      <c r="L522" s="28" t="s">
        <v>1177</v>
      </c>
      <c r="M522" s="20" t="s">
        <v>1178</v>
      </c>
      <c r="N522" s="47">
        <v>45485</v>
      </c>
      <c r="O522" s="20">
        <f>INDEX(Auxiliar!$D$5:$F$13,MATCH(Table1[[#This Row],[Tipologia_Testes]],Auxiliar!$B$5:$B$13,0),MATCH(Table1[[#This Row],[Complexidade]],Auxiliar!$D$4:$F$4,0))</f>
        <v>2</v>
      </c>
      <c r="P522" s="2" t="s">
        <v>1191</v>
      </c>
      <c r="Q522" s="2" t="s">
        <v>1188</v>
      </c>
      <c r="R522" s="151">
        <v>45261</v>
      </c>
      <c r="S522" s="151"/>
      <c r="T522" s="151"/>
      <c r="U522" s="151"/>
      <c r="V522" s="151"/>
      <c r="W522" s="2">
        <f>VLOOKUP(Table1[[#This Row],[Status]],Auxiliar!$B$16:$D$24,3,0)*Table1[[#This Row],[Estimação (horas)]]</f>
        <v>2</v>
      </c>
      <c r="X522" s="166">
        <f>+VLOOKUP(CONCATENATE(Table1[[#This Row],[Tabela]],Table1[[#This Row],[Campo]]),'2. Status Detalhe Campos FY24'!A:J,9,FALSE)</f>
        <v>0</v>
      </c>
    </row>
    <row r="523" spans="2:24" ht="17.850000000000001" hidden="1" customHeight="1">
      <c r="B523" s="2" t="s">
        <v>26</v>
      </c>
      <c r="C523" s="2" t="s">
        <v>54</v>
      </c>
      <c r="D523" s="2" t="s">
        <v>38</v>
      </c>
      <c r="E523" s="2" t="s">
        <v>38</v>
      </c>
      <c r="F523" s="2" t="s">
        <v>88</v>
      </c>
      <c r="G523" s="2" t="s">
        <v>41</v>
      </c>
      <c r="H523" s="56" t="str">
        <f>Table1[[#This Row],[Tabela]]&amp;Table1[[#This Row],[Campo]]</f>
        <v>PROCESS_PROPERTY_RELPROPERTY_BANK_ID</v>
      </c>
      <c r="I523" s="3" t="s">
        <v>612</v>
      </c>
      <c r="J523" s="54">
        <f>VLOOKUP(Table1[[#This Row],[Status]],Auxiliar!$B$16:$C$24,2,0)</f>
        <v>1</v>
      </c>
      <c r="K523" s="2" t="s">
        <v>1172</v>
      </c>
      <c r="L523" s="28" t="s">
        <v>1177</v>
      </c>
      <c r="M523" s="20" t="s">
        <v>1178</v>
      </c>
      <c r="N523" s="47">
        <v>45485</v>
      </c>
      <c r="O523" s="20">
        <f>INDEX(Auxiliar!$D$5:$F$13,MATCH(Table1[[#This Row],[Tipologia_Testes]],Auxiliar!$B$5:$B$13,0),MATCH(Table1[[#This Row],[Complexidade]],Auxiliar!$D$4:$F$4,0))</f>
        <v>2</v>
      </c>
      <c r="P523" s="2" t="s">
        <v>1191</v>
      </c>
      <c r="Q523" s="2" t="s">
        <v>1188</v>
      </c>
      <c r="R523" s="151">
        <v>45261</v>
      </c>
      <c r="S523" s="151"/>
      <c r="T523" s="151"/>
      <c r="U523" s="151"/>
      <c r="V523" s="151"/>
      <c r="W523" s="2">
        <f>VLOOKUP(Table1[[#This Row],[Status]],Auxiliar!$B$16:$D$24,3,0)*Table1[[#This Row],[Estimação (horas)]]</f>
        <v>2</v>
      </c>
      <c r="X523" s="166">
        <f>+VLOOKUP(CONCATENATE(Table1[[#This Row],[Tabela]],Table1[[#This Row],[Campo]]),'2. Status Detalhe Campos FY24'!A:J,9,FALSE)</f>
        <v>0</v>
      </c>
    </row>
    <row r="524" spans="2:24" ht="17.850000000000001" hidden="1" customHeight="1">
      <c r="B524" s="2" t="s">
        <v>26</v>
      </c>
      <c r="C524" s="2" t="s">
        <v>54</v>
      </c>
      <c r="D524" s="2" t="s">
        <v>38</v>
      </c>
      <c r="E524" s="2" t="s">
        <v>38</v>
      </c>
      <c r="F524" s="2" t="s">
        <v>88</v>
      </c>
      <c r="G524" s="2" t="s">
        <v>41</v>
      </c>
      <c r="H524" s="56" t="str">
        <f>Table1[[#This Row],[Tabela]]&amp;Table1[[#This Row],[Campo]]</f>
        <v>PROCESS_PROPERTY_RELPROPERTY_BANK_ID</v>
      </c>
      <c r="I524" s="3" t="s">
        <v>612</v>
      </c>
      <c r="J524" s="54">
        <f>VLOOKUP(Table1[[#This Row],[Status]],Auxiliar!$B$16:$C$24,2,0)</f>
        <v>1</v>
      </c>
      <c r="K524" s="2" t="s">
        <v>1174</v>
      </c>
      <c r="L524" s="28" t="s">
        <v>1177</v>
      </c>
      <c r="M524" s="20" t="s">
        <v>1178</v>
      </c>
      <c r="N524" s="47">
        <v>45485</v>
      </c>
      <c r="O524" s="20">
        <f>INDEX(Auxiliar!$D$5:$F$13,MATCH(Table1[[#This Row],[Tipologia_Testes]],Auxiliar!$B$5:$B$13,0),MATCH(Table1[[#This Row],[Complexidade]],Auxiliar!$D$4:$F$4,0))</f>
        <v>0.1</v>
      </c>
      <c r="P524" s="2" t="s">
        <v>1191</v>
      </c>
      <c r="Q524" s="2" t="s">
        <v>1188</v>
      </c>
      <c r="R524" s="151">
        <v>45261</v>
      </c>
      <c r="S524" s="151"/>
      <c r="T524" s="151"/>
      <c r="U524" s="151"/>
      <c r="V524" s="151"/>
      <c r="W524" s="2">
        <f>VLOOKUP(Table1[[#This Row],[Status]],Auxiliar!$B$16:$D$24,3,0)*Table1[[#This Row],[Estimação (horas)]]</f>
        <v>0.1</v>
      </c>
      <c r="X524" s="166">
        <f>+VLOOKUP(CONCATENATE(Table1[[#This Row],[Tabela]],Table1[[#This Row],[Campo]]),'2. Status Detalhe Campos FY24'!A:J,9,FALSE)</f>
        <v>0</v>
      </c>
    </row>
    <row r="525" spans="2:24" ht="17.850000000000001" hidden="1" customHeight="1">
      <c r="B525" s="2" t="s">
        <v>26</v>
      </c>
      <c r="C525" s="2" t="s">
        <v>54</v>
      </c>
      <c r="D525" s="2" t="s">
        <v>38</v>
      </c>
      <c r="E525" s="2" t="s">
        <v>38</v>
      </c>
      <c r="F525" s="2" t="s">
        <v>88</v>
      </c>
      <c r="G525" s="2" t="s">
        <v>57</v>
      </c>
      <c r="H525" s="56" t="str">
        <f>Table1[[#This Row],[Tabela]]&amp;Table1[[#This Row],[Campo]]</f>
        <v>PROCESS_PROPERTY_RELPROCESS_BANK_ID</v>
      </c>
      <c r="I525" s="2" t="s">
        <v>612</v>
      </c>
      <c r="J525" s="42">
        <f>VLOOKUP(Table1[[#This Row],[Status]],Auxiliar!$B$16:$C$24,2,0)</f>
        <v>1</v>
      </c>
      <c r="K525" s="2" t="s">
        <v>1171</v>
      </c>
      <c r="L525" s="28" t="s">
        <v>1169</v>
      </c>
      <c r="M525" s="20" t="s">
        <v>1179</v>
      </c>
      <c r="N525" s="47">
        <v>45499</v>
      </c>
      <c r="O525" s="20">
        <f>INDEX(Auxiliar!$D$5:$F$13,MATCH(Table1[[#This Row],[Tipologia_Testes]],Auxiliar!$B$5:$B$13,0),MATCH(Table1[[#This Row],[Complexidade]],Auxiliar!$D$4:$F$4,0))</f>
        <v>4</v>
      </c>
      <c r="P525" s="2" t="s">
        <v>1191</v>
      </c>
      <c r="Q525" s="2" t="s">
        <v>1188</v>
      </c>
      <c r="R525" s="151">
        <v>45261</v>
      </c>
      <c r="S525" s="151">
        <v>45495</v>
      </c>
      <c r="T525" s="151"/>
      <c r="U525" s="151"/>
      <c r="V525" s="151"/>
      <c r="W525" s="2">
        <f>VLOOKUP(Table1[[#This Row],[Status]],Auxiliar!$B$16:$D$24,3,0)*Table1[[#This Row],[Estimação (horas)]]</f>
        <v>4</v>
      </c>
      <c r="X525" s="166">
        <f>+VLOOKUP(CONCATENATE(Table1[[#This Row],[Tabela]],Table1[[#This Row],[Campo]]),'2. Status Detalhe Campos FY24'!A:J,9,FALSE)</f>
        <v>0</v>
      </c>
    </row>
    <row r="526" spans="2:24" ht="17.850000000000001" hidden="1" customHeight="1">
      <c r="B526" s="2" t="s">
        <v>26</v>
      </c>
      <c r="C526" s="2" t="s">
        <v>54</v>
      </c>
      <c r="D526" s="2" t="s">
        <v>38</v>
      </c>
      <c r="E526" s="2" t="s">
        <v>38</v>
      </c>
      <c r="F526" s="2" t="s">
        <v>88</v>
      </c>
      <c r="G526" s="2" t="s">
        <v>57</v>
      </c>
      <c r="H526" s="56" t="str">
        <f>Table1[[#This Row],[Tabela]]&amp;Table1[[#This Row],[Campo]]</f>
        <v>PROCESS_PROPERTY_RELPROCESS_BANK_ID</v>
      </c>
      <c r="I526" s="2" t="s">
        <v>612</v>
      </c>
      <c r="J526" s="42">
        <f>VLOOKUP(Table1[[#This Row],[Status]],Auxiliar!$B$16:$C$24,2,0)</f>
        <v>1</v>
      </c>
      <c r="K526" s="2" t="s">
        <v>1172</v>
      </c>
      <c r="L526" s="28" t="s">
        <v>1169</v>
      </c>
      <c r="M526" s="20" t="s">
        <v>1179</v>
      </c>
      <c r="N526" s="47">
        <v>45499</v>
      </c>
      <c r="O526" s="20">
        <f>INDEX(Auxiliar!$D$5:$F$13,MATCH(Table1[[#This Row],[Tipologia_Testes]],Auxiliar!$B$5:$B$13,0),MATCH(Table1[[#This Row],[Complexidade]],Auxiliar!$D$4:$F$4,0))</f>
        <v>4</v>
      </c>
      <c r="P526" s="2" t="s">
        <v>1191</v>
      </c>
      <c r="Q526" s="2" t="s">
        <v>1188</v>
      </c>
      <c r="R526" s="151">
        <v>45261</v>
      </c>
      <c r="S526" s="151">
        <v>45495</v>
      </c>
      <c r="T526" s="151"/>
      <c r="U526" s="151"/>
      <c r="V526" s="151"/>
      <c r="W526" s="2">
        <f>VLOOKUP(Table1[[#This Row],[Status]],Auxiliar!$B$16:$D$24,3,0)*Table1[[#This Row],[Estimação (horas)]]</f>
        <v>4</v>
      </c>
      <c r="X526" s="166">
        <f>+VLOOKUP(CONCATENATE(Table1[[#This Row],[Tabela]],Table1[[#This Row],[Campo]]),'2. Status Detalhe Campos FY24'!A:J,9,FALSE)</f>
        <v>0</v>
      </c>
    </row>
    <row r="527" spans="2:24" ht="17.850000000000001" hidden="1" customHeight="1">
      <c r="B527" s="2" t="s">
        <v>26</v>
      </c>
      <c r="C527" s="2" t="s">
        <v>54</v>
      </c>
      <c r="D527" s="2" t="s">
        <v>38</v>
      </c>
      <c r="E527" s="2" t="s">
        <v>38</v>
      </c>
      <c r="F527" s="2" t="s">
        <v>88</v>
      </c>
      <c r="G527" s="2" t="s">
        <v>57</v>
      </c>
      <c r="H527" s="56" t="str">
        <f>Table1[[#This Row],[Tabela]]&amp;Table1[[#This Row],[Campo]]</f>
        <v>PROCESS_PROPERTY_RELPROCESS_BANK_ID</v>
      </c>
      <c r="I527" s="2" t="s">
        <v>612</v>
      </c>
      <c r="J527" s="42">
        <f>VLOOKUP(Table1[[#This Row],[Status]],Auxiliar!$B$16:$C$24,2,0)</f>
        <v>1</v>
      </c>
      <c r="K527" s="2" t="s">
        <v>1174</v>
      </c>
      <c r="L527" s="28" t="s">
        <v>1169</v>
      </c>
      <c r="M527" s="20" t="s">
        <v>1179</v>
      </c>
      <c r="N527" s="47">
        <v>45499</v>
      </c>
      <c r="O527" s="20">
        <f>INDEX(Auxiliar!$D$5:$F$13,MATCH(Table1[[#This Row],[Tipologia_Testes]],Auxiliar!$B$5:$B$13,0),MATCH(Table1[[#This Row],[Complexidade]],Auxiliar!$D$4:$F$4,0))</f>
        <v>0.1</v>
      </c>
      <c r="P527" s="2" t="s">
        <v>1191</v>
      </c>
      <c r="Q527" s="2" t="s">
        <v>1188</v>
      </c>
      <c r="R527" s="151">
        <v>45261</v>
      </c>
      <c r="S527" s="151">
        <v>45495</v>
      </c>
      <c r="T527" s="151"/>
      <c r="U527" s="151"/>
      <c r="V527" s="151"/>
      <c r="W527" s="2">
        <f>VLOOKUP(Table1[[#This Row],[Status]],Auxiliar!$B$16:$D$24,3,0)*Table1[[#This Row],[Estimação (horas)]]</f>
        <v>0.1</v>
      </c>
      <c r="X527" s="166">
        <f>+VLOOKUP(CONCATENATE(Table1[[#This Row],[Tabela]],Table1[[#This Row],[Campo]]),'2. Status Detalhe Campos FY24'!A:J,9,FALSE)</f>
        <v>0</v>
      </c>
    </row>
    <row r="528" spans="2:24" ht="17.850000000000001" hidden="1" customHeight="1">
      <c r="B528" s="2" t="s">
        <v>26</v>
      </c>
      <c r="C528" s="2" t="s">
        <v>54</v>
      </c>
      <c r="D528" s="2" t="s">
        <v>38</v>
      </c>
      <c r="E528" s="2" t="s">
        <v>38</v>
      </c>
      <c r="F528" s="2" t="s">
        <v>88</v>
      </c>
      <c r="G528" s="2" t="s">
        <v>43</v>
      </c>
      <c r="H528" s="56" t="str">
        <f>Table1[[#This Row],[Tabela]]&amp;Table1[[#This Row],[Campo]]</f>
        <v>PROCESS_PROPERTY_RELPROPERTY_BRANCH_CODE</v>
      </c>
      <c r="I528" s="2" t="s">
        <v>612</v>
      </c>
      <c r="J528" s="42">
        <f>VLOOKUP(Table1[[#This Row],[Status]],Auxiliar!$B$16:$C$24,2,0)</f>
        <v>1</v>
      </c>
      <c r="K528" s="2" t="s">
        <v>1171</v>
      </c>
      <c r="L528" s="28" t="s">
        <v>1169</v>
      </c>
      <c r="M528" s="20" t="s">
        <v>1179</v>
      </c>
      <c r="N528" s="47">
        <v>45499</v>
      </c>
      <c r="O528" s="20">
        <f>INDEX(Auxiliar!$D$5:$F$13,MATCH(Table1[[#This Row],[Tipologia_Testes]],Auxiliar!$B$5:$B$13,0),MATCH(Table1[[#This Row],[Complexidade]],Auxiliar!$D$4:$F$4,0))</f>
        <v>4</v>
      </c>
      <c r="P528" s="2" t="s">
        <v>1191</v>
      </c>
      <c r="Q528" s="2" t="s">
        <v>1188</v>
      </c>
      <c r="R528" s="151">
        <v>45261</v>
      </c>
      <c r="S528" s="151">
        <v>45495</v>
      </c>
      <c r="T528" s="151"/>
      <c r="U528" s="151"/>
      <c r="V528" s="151"/>
      <c r="W528" s="2">
        <f>VLOOKUP(Table1[[#This Row],[Status]],Auxiliar!$B$16:$D$24,3,0)*Table1[[#This Row],[Estimação (horas)]]</f>
        <v>4</v>
      </c>
      <c r="X528" s="166">
        <f>+VLOOKUP(CONCATENATE(Table1[[#This Row],[Tabela]],Table1[[#This Row],[Campo]]),'2. Status Detalhe Campos FY24'!A:J,9,FALSE)</f>
        <v>0</v>
      </c>
    </row>
    <row r="529" spans="2:24" ht="17.850000000000001" hidden="1" customHeight="1">
      <c r="B529" s="2" t="s">
        <v>26</v>
      </c>
      <c r="C529" s="2" t="s">
        <v>54</v>
      </c>
      <c r="D529" s="2" t="s">
        <v>38</v>
      </c>
      <c r="E529" s="2" t="s">
        <v>38</v>
      </c>
      <c r="F529" s="2" t="s">
        <v>88</v>
      </c>
      <c r="G529" s="2" t="s">
        <v>43</v>
      </c>
      <c r="H529" s="56" t="str">
        <f>Table1[[#This Row],[Tabela]]&amp;Table1[[#This Row],[Campo]]</f>
        <v>PROCESS_PROPERTY_RELPROPERTY_BRANCH_CODE</v>
      </c>
      <c r="I529" s="2" t="s">
        <v>612</v>
      </c>
      <c r="J529" s="42">
        <f>VLOOKUP(Table1[[#This Row],[Status]],Auxiliar!$B$16:$C$24,2,0)</f>
        <v>1</v>
      </c>
      <c r="K529" s="2" t="s">
        <v>1172</v>
      </c>
      <c r="L529" s="28" t="s">
        <v>1169</v>
      </c>
      <c r="M529" s="20" t="s">
        <v>1179</v>
      </c>
      <c r="N529" s="47">
        <v>45499</v>
      </c>
      <c r="O529" s="20">
        <f>INDEX(Auxiliar!$D$5:$F$13,MATCH(Table1[[#This Row],[Tipologia_Testes]],Auxiliar!$B$5:$B$13,0),MATCH(Table1[[#This Row],[Complexidade]],Auxiliar!$D$4:$F$4,0))</f>
        <v>4</v>
      </c>
      <c r="P529" s="2" t="s">
        <v>1191</v>
      </c>
      <c r="Q529" s="2" t="s">
        <v>1188</v>
      </c>
      <c r="R529" s="151">
        <v>45261</v>
      </c>
      <c r="S529" s="151">
        <v>45495</v>
      </c>
      <c r="T529" s="151"/>
      <c r="U529" s="151"/>
      <c r="V529" s="151"/>
      <c r="W529" s="2">
        <f>VLOOKUP(Table1[[#This Row],[Status]],Auxiliar!$B$16:$D$24,3,0)*Table1[[#This Row],[Estimação (horas)]]</f>
        <v>4</v>
      </c>
      <c r="X529" s="166">
        <f>+VLOOKUP(CONCATENATE(Table1[[#This Row],[Tabela]],Table1[[#This Row],[Campo]]),'2. Status Detalhe Campos FY24'!A:J,9,FALSE)</f>
        <v>0</v>
      </c>
    </row>
    <row r="530" spans="2:24" ht="17.850000000000001" hidden="1" customHeight="1">
      <c r="B530" s="2" t="s">
        <v>26</v>
      </c>
      <c r="C530" s="2" t="s">
        <v>54</v>
      </c>
      <c r="D530" s="2" t="s">
        <v>38</v>
      </c>
      <c r="E530" s="2" t="s">
        <v>38</v>
      </c>
      <c r="F530" s="2" t="s">
        <v>88</v>
      </c>
      <c r="G530" s="2" t="s">
        <v>43</v>
      </c>
      <c r="H530" s="56" t="str">
        <f>Table1[[#This Row],[Tabela]]&amp;Table1[[#This Row],[Campo]]</f>
        <v>PROCESS_PROPERTY_RELPROPERTY_BRANCH_CODE</v>
      </c>
      <c r="I530" s="2" t="s">
        <v>612</v>
      </c>
      <c r="J530" s="42">
        <f>VLOOKUP(Table1[[#This Row],[Status]],Auxiliar!$B$16:$C$24,2,0)</f>
        <v>1</v>
      </c>
      <c r="K530" s="2" t="s">
        <v>1174</v>
      </c>
      <c r="L530" s="28" t="s">
        <v>1169</v>
      </c>
      <c r="M530" s="20" t="s">
        <v>1179</v>
      </c>
      <c r="N530" s="47">
        <v>45499</v>
      </c>
      <c r="O530" s="20">
        <f>INDEX(Auxiliar!$D$5:$F$13,MATCH(Table1[[#This Row],[Tipologia_Testes]],Auxiliar!$B$5:$B$13,0),MATCH(Table1[[#This Row],[Complexidade]],Auxiliar!$D$4:$F$4,0))</f>
        <v>0.1</v>
      </c>
      <c r="P530" s="2" t="s">
        <v>1191</v>
      </c>
      <c r="Q530" s="2" t="s">
        <v>1188</v>
      </c>
      <c r="R530" s="151">
        <v>45261</v>
      </c>
      <c r="S530" s="151">
        <v>45495</v>
      </c>
      <c r="T530" s="151"/>
      <c r="U530" s="151"/>
      <c r="V530" s="151"/>
      <c r="W530" s="2">
        <f>VLOOKUP(Table1[[#This Row],[Status]],Auxiliar!$B$16:$D$24,3,0)*Table1[[#This Row],[Estimação (horas)]]</f>
        <v>0.1</v>
      </c>
      <c r="X530" s="166">
        <f>+VLOOKUP(CONCATENATE(Table1[[#This Row],[Tabela]],Table1[[#This Row],[Campo]]),'2. Status Detalhe Campos FY24'!A:J,9,FALSE)</f>
        <v>0</v>
      </c>
    </row>
    <row r="531" spans="2:24" ht="17.850000000000001" hidden="1" customHeight="1">
      <c r="B531" s="2" t="s">
        <v>26</v>
      </c>
      <c r="C531" s="2" t="s">
        <v>54</v>
      </c>
      <c r="D531" s="2" t="s">
        <v>38</v>
      </c>
      <c r="E531" s="2" t="s">
        <v>38</v>
      </c>
      <c r="F531" s="2" t="s">
        <v>88</v>
      </c>
      <c r="G531" s="2" t="s">
        <v>58</v>
      </c>
      <c r="H531" s="56" t="str">
        <f>Table1[[#This Row],[Tabela]]&amp;Table1[[#This Row],[Campo]]</f>
        <v>PROCESS_PROPERTY_RELPROCESS_BRANCH_CODE</v>
      </c>
      <c r="I531" s="2" t="s">
        <v>612</v>
      </c>
      <c r="J531" s="42">
        <f>VLOOKUP(Table1[[#This Row],[Status]],Auxiliar!$B$16:$C$24,2,0)</f>
        <v>1</v>
      </c>
      <c r="K531" s="2" t="s">
        <v>1171</v>
      </c>
      <c r="L531" s="28" t="s">
        <v>1169</v>
      </c>
      <c r="M531" s="20" t="s">
        <v>1179</v>
      </c>
      <c r="N531" s="47">
        <v>45499</v>
      </c>
      <c r="O531" s="20">
        <f>INDEX(Auxiliar!$D$5:$F$13,MATCH(Table1[[#This Row],[Tipologia_Testes]],Auxiliar!$B$5:$B$13,0),MATCH(Table1[[#This Row],[Complexidade]],Auxiliar!$D$4:$F$4,0))</f>
        <v>4</v>
      </c>
      <c r="P531" s="2" t="s">
        <v>1191</v>
      </c>
      <c r="Q531" s="2" t="s">
        <v>1188</v>
      </c>
      <c r="R531" s="151">
        <v>45261</v>
      </c>
      <c r="S531" s="151">
        <v>45495</v>
      </c>
      <c r="T531" s="151"/>
      <c r="U531" s="151"/>
      <c r="V531" s="151"/>
      <c r="W531" s="2">
        <f>VLOOKUP(Table1[[#This Row],[Status]],Auxiliar!$B$16:$D$24,3,0)*Table1[[#This Row],[Estimação (horas)]]</f>
        <v>4</v>
      </c>
      <c r="X531" s="166">
        <f>+VLOOKUP(CONCATENATE(Table1[[#This Row],[Tabela]],Table1[[#This Row],[Campo]]),'2. Status Detalhe Campos FY24'!A:J,9,FALSE)</f>
        <v>0</v>
      </c>
    </row>
    <row r="532" spans="2:24" ht="17.850000000000001" hidden="1" customHeight="1">
      <c r="B532" s="2" t="s">
        <v>26</v>
      </c>
      <c r="C532" s="2" t="s">
        <v>54</v>
      </c>
      <c r="D532" s="2" t="s">
        <v>38</v>
      </c>
      <c r="E532" s="2" t="s">
        <v>38</v>
      </c>
      <c r="F532" s="2" t="s">
        <v>88</v>
      </c>
      <c r="G532" s="2" t="s">
        <v>58</v>
      </c>
      <c r="H532" s="56" t="str">
        <f>Table1[[#This Row],[Tabela]]&amp;Table1[[#This Row],[Campo]]</f>
        <v>PROCESS_PROPERTY_RELPROCESS_BRANCH_CODE</v>
      </c>
      <c r="I532" s="2" t="s">
        <v>612</v>
      </c>
      <c r="J532" s="42">
        <f>VLOOKUP(Table1[[#This Row],[Status]],Auxiliar!$B$16:$C$24,2,0)</f>
        <v>1</v>
      </c>
      <c r="K532" s="2" t="s">
        <v>1172</v>
      </c>
      <c r="L532" s="28" t="s">
        <v>1169</v>
      </c>
      <c r="M532" s="20" t="s">
        <v>1179</v>
      </c>
      <c r="N532" s="47">
        <v>45499</v>
      </c>
      <c r="O532" s="20">
        <f>INDEX(Auxiliar!$D$5:$F$13,MATCH(Table1[[#This Row],[Tipologia_Testes]],Auxiliar!$B$5:$B$13,0),MATCH(Table1[[#This Row],[Complexidade]],Auxiliar!$D$4:$F$4,0))</f>
        <v>4</v>
      </c>
      <c r="P532" s="2" t="s">
        <v>1191</v>
      </c>
      <c r="Q532" s="2" t="s">
        <v>1188</v>
      </c>
      <c r="R532" s="151">
        <v>45261</v>
      </c>
      <c r="S532" s="151">
        <v>45495</v>
      </c>
      <c r="T532" s="151"/>
      <c r="U532" s="151"/>
      <c r="V532" s="151"/>
      <c r="W532" s="2">
        <f>VLOOKUP(Table1[[#This Row],[Status]],Auxiliar!$B$16:$D$24,3,0)*Table1[[#This Row],[Estimação (horas)]]</f>
        <v>4</v>
      </c>
      <c r="X532" s="166">
        <f>+VLOOKUP(CONCATENATE(Table1[[#This Row],[Tabela]],Table1[[#This Row],[Campo]]),'2. Status Detalhe Campos FY24'!A:J,9,FALSE)</f>
        <v>0</v>
      </c>
    </row>
    <row r="533" spans="2:24" ht="17.850000000000001" hidden="1" customHeight="1">
      <c r="B533" s="2" t="s">
        <v>26</v>
      </c>
      <c r="C533" s="2" t="s">
        <v>54</v>
      </c>
      <c r="D533" s="2" t="s">
        <v>38</v>
      </c>
      <c r="E533" s="2" t="s">
        <v>38</v>
      </c>
      <c r="F533" s="2" t="s">
        <v>88</v>
      </c>
      <c r="G533" s="2" t="s">
        <v>58</v>
      </c>
      <c r="H533" s="56" t="str">
        <f>Table1[[#This Row],[Tabela]]&amp;Table1[[#This Row],[Campo]]</f>
        <v>PROCESS_PROPERTY_RELPROCESS_BRANCH_CODE</v>
      </c>
      <c r="I533" s="2" t="s">
        <v>612</v>
      </c>
      <c r="J533" s="42">
        <f>VLOOKUP(Table1[[#This Row],[Status]],Auxiliar!$B$16:$C$24,2,0)</f>
        <v>1</v>
      </c>
      <c r="K533" s="2" t="s">
        <v>1174</v>
      </c>
      <c r="L533" s="28" t="s">
        <v>1169</v>
      </c>
      <c r="M533" s="20" t="s">
        <v>1179</v>
      </c>
      <c r="N533" s="47">
        <v>45499</v>
      </c>
      <c r="O533" s="20">
        <f>INDEX(Auxiliar!$D$5:$F$13,MATCH(Table1[[#This Row],[Tipologia_Testes]],Auxiliar!$B$5:$B$13,0),MATCH(Table1[[#This Row],[Complexidade]],Auxiliar!$D$4:$F$4,0))</f>
        <v>0.1</v>
      </c>
      <c r="P533" s="2" t="s">
        <v>1191</v>
      </c>
      <c r="Q533" s="2" t="s">
        <v>1188</v>
      </c>
      <c r="R533" s="151">
        <v>45261</v>
      </c>
      <c r="S533" s="151">
        <v>45495</v>
      </c>
      <c r="T533" s="151"/>
      <c r="U533" s="151"/>
      <c r="V533" s="151"/>
      <c r="W533" s="2">
        <f>VLOOKUP(Table1[[#This Row],[Status]],Auxiliar!$B$16:$D$24,3,0)*Table1[[#This Row],[Estimação (horas)]]</f>
        <v>0.1</v>
      </c>
      <c r="X533" s="166">
        <f>+VLOOKUP(CONCATENATE(Table1[[#This Row],[Tabela]],Table1[[#This Row],[Campo]]),'2. Status Detalhe Campos FY24'!A:J,9,FALSE)</f>
        <v>0</v>
      </c>
    </row>
    <row r="534" spans="2:24" ht="17.850000000000001" hidden="1" customHeight="1">
      <c r="B534" s="2" t="s">
        <v>26</v>
      </c>
      <c r="C534" s="2" t="s">
        <v>54</v>
      </c>
      <c r="D534" s="2" t="s">
        <v>38</v>
      </c>
      <c r="E534" s="2" t="s">
        <v>38</v>
      </c>
      <c r="F534" s="2" t="s">
        <v>88</v>
      </c>
      <c r="G534" s="2" t="s">
        <v>44</v>
      </c>
      <c r="H534" s="56" t="str">
        <f>Table1[[#This Row],[Tabela]]&amp;Table1[[#This Row],[Campo]]</f>
        <v>PROCESS_PROPERTY_RELPROPERTY_CONTRACT_ID</v>
      </c>
      <c r="I534" s="2" t="s">
        <v>612</v>
      </c>
      <c r="J534" s="42">
        <f>VLOOKUP(Table1[[#This Row],[Status]],Auxiliar!$B$16:$C$24,2,0)</f>
        <v>1</v>
      </c>
      <c r="K534" s="2" t="s">
        <v>1171</v>
      </c>
      <c r="L534" s="28" t="s">
        <v>1169</v>
      </c>
      <c r="M534" s="20" t="s">
        <v>1179</v>
      </c>
      <c r="N534" s="47">
        <v>45499</v>
      </c>
      <c r="O534" s="20">
        <f>INDEX(Auxiliar!$D$5:$F$13,MATCH(Table1[[#This Row],[Tipologia_Testes]],Auxiliar!$B$5:$B$13,0),MATCH(Table1[[#This Row],[Complexidade]],Auxiliar!$D$4:$F$4,0))</f>
        <v>4</v>
      </c>
      <c r="P534" s="2" t="s">
        <v>1191</v>
      </c>
      <c r="Q534" s="2" t="s">
        <v>1188</v>
      </c>
      <c r="R534" s="151">
        <v>45261</v>
      </c>
      <c r="S534" s="151">
        <v>45495</v>
      </c>
      <c r="T534" s="151"/>
      <c r="U534" s="151"/>
      <c r="V534" s="151"/>
      <c r="W534" s="2">
        <f>VLOOKUP(Table1[[#This Row],[Status]],Auxiliar!$B$16:$D$24,3,0)*Table1[[#This Row],[Estimação (horas)]]</f>
        <v>4</v>
      </c>
      <c r="X534" s="166">
        <f>+VLOOKUP(CONCATENATE(Table1[[#This Row],[Tabela]],Table1[[#This Row],[Campo]]),'2. Status Detalhe Campos FY24'!A:J,9,FALSE)</f>
        <v>0</v>
      </c>
    </row>
    <row r="535" spans="2:24" ht="17.850000000000001" hidden="1" customHeight="1">
      <c r="B535" s="2" t="s">
        <v>26</v>
      </c>
      <c r="C535" s="2" t="s">
        <v>54</v>
      </c>
      <c r="D535" s="2" t="s">
        <v>38</v>
      </c>
      <c r="E535" s="2" t="s">
        <v>38</v>
      </c>
      <c r="F535" s="2" t="s">
        <v>88</v>
      </c>
      <c r="G535" s="2" t="s">
        <v>44</v>
      </c>
      <c r="H535" s="56" t="str">
        <f>Table1[[#This Row],[Tabela]]&amp;Table1[[#This Row],[Campo]]</f>
        <v>PROCESS_PROPERTY_RELPROPERTY_CONTRACT_ID</v>
      </c>
      <c r="I535" s="2" t="s">
        <v>612</v>
      </c>
      <c r="J535" s="42">
        <f>VLOOKUP(Table1[[#This Row],[Status]],Auxiliar!$B$16:$C$24,2,0)</f>
        <v>1</v>
      </c>
      <c r="K535" s="2" t="s">
        <v>1172</v>
      </c>
      <c r="L535" s="28" t="s">
        <v>1169</v>
      </c>
      <c r="M535" s="20" t="s">
        <v>1179</v>
      </c>
      <c r="N535" s="47">
        <v>45499</v>
      </c>
      <c r="O535" s="20">
        <f>INDEX(Auxiliar!$D$5:$F$13,MATCH(Table1[[#This Row],[Tipologia_Testes]],Auxiliar!$B$5:$B$13,0),MATCH(Table1[[#This Row],[Complexidade]],Auxiliar!$D$4:$F$4,0))</f>
        <v>4</v>
      </c>
      <c r="P535" s="2" t="s">
        <v>1191</v>
      </c>
      <c r="Q535" s="2" t="s">
        <v>1188</v>
      </c>
      <c r="R535" s="151">
        <v>45261</v>
      </c>
      <c r="S535" s="151">
        <v>45495</v>
      </c>
      <c r="T535" s="151"/>
      <c r="U535" s="151"/>
      <c r="V535" s="151"/>
      <c r="W535" s="2">
        <f>VLOOKUP(Table1[[#This Row],[Status]],Auxiliar!$B$16:$D$24,3,0)*Table1[[#This Row],[Estimação (horas)]]</f>
        <v>4</v>
      </c>
      <c r="X535" s="166">
        <f>+VLOOKUP(CONCATENATE(Table1[[#This Row],[Tabela]],Table1[[#This Row],[Campo]]),'2. Status Detalhe Campos FY24'!A:J,9,FALSE)</f>
        <v>0</v>
      </c>
    </row>
    <row r="536" spans="2:24" ht="17.850000000000001" hidden="1" customHeight="1">
      <c r="B536" s="2" t="s">
        <v>26</v>
      </c>
      <c r="C536" s="2" t="s">
        <v>54</v>
      </c>
      <c r="D536" s="2" t="s">
        <v>38</v>
      </c>
      <c r="E536" s="2" t="s">
        <v>38</v>
      </c>
      <c r="F536" s="2" t="s">
        <v>88</v>
      </c>
      <c r="G536" s="2" t="s">
        <v>44</v>
      </c>
      <c r="H536" s="56" t="str">
        <f>Table1[[#This Row],[Tabela]]&amp;Table1[[#This Row],[Campo]]</f>
        <v>PROCESS_PROPERTY_RELPROPERTY_CONTRACT_ID</v>
      </c>
      <c r="I536" s="2" t="s">
        <v>612</v>
      </c>
      <c r="J536" s="42">
        <f>VLOOKUP(Table1[[#This Row],[Status]],Auxiliar!$B$16:$C$24,2,0)</f>
        <v>1</v>
      </c>
      <c r="K536" s="2" t="s">
        <v>1174</v>
      </c>
      <c r="L536" s="28" t="s">
        <v>1169</v>
      </c>
      <c r="M536" s="20" t="s">
        <v>1179</v>
      </c>
      <c r="N536" s="47">
        <v>45499</v>
      </c>
      <c r="O536" s="20">
        <f>INDEX(Auxiliar!$D$5:$F$13,MATCH(Table1[[#This Row],[Tipologia_Testes]],Auxiliar!$B$5:$B$13,0),MATCH(Table1[[#This Row],[Complexidade]],Auxiliar!$D$4:$F$4,0))</f>
        <v>0.1</v>
      </c>
      <c r="P536" s="2" t="s">
        <v>1191</v>
      </c>
      <c r="Q536" s="2" t="s">
        <v>1188</v>
      </c>
      <c r="R536" s="151">
        <v>45261</v>
      </c>
      <c r="S536" s="151">
        <v>45495</v>
      </c>
      <c r="T536" s="151"/>
      <c r="U536" s="151"/>
      <c r="V536" s="151"/>
      <c r="W536" s="2">
        <f>VLOOKUP(Table1[[#This Row],[Status]],Auxiliar!$B$16:$D$24,3,0)*Table1[[#This Row],[Estimação (horas)]]</f>
        <v>0.1</v>
      </c>
      <c r="X536" s="166">
        <f>+VLOOKUP(CONCATENATE(Table1[[#This Row],[Tabela]],Table1[[#This Row],[Campo]]),'2. Status Detalhe Campos FY24'!A:J,9,FALSE)</f>
        <v>0</v>
      </c>
    </row>
    <row r="537" spans="2:24" ht="17.850000000000001" hidden="1" customHeight="1">
      <c r="B537" s="2" t="s">
        <v>26</v>
      </c>
      <c r="C537" s="2" t="s">
        <v>54</v>
      </c>
      <c r="D537" s="2" t="s">
        <v>38</v>
      </c>
      <c r="E537" s="2" t="s">
        <v>38</v>
      </c>
      <c r="F537" s="2" t="s">
        <v>88</v>
      </c>
      <c r="G537" s="2" t="s">
        <v>59</v>
      </c>
      <c r="H537" s="56" t="str">
        <f>Table1[[#This Row],[Tabela]]&amp;Table1[[#This Row],[Campo]]</f>
        <v>PROCESS_PROPERTY_RELPROCESS_ACCOUNT_ID</v>
      </c>
      <c r="I537" s="2" t="s">
        <v>612</v>
      </c>
      <c r="J537" s="42">
        <f>VLOOKUP(Table1[[#This Row],[Status]],Auxiliar!$B$16:$C$24,2,0)</f>
        <v>1</v>
      </c>
      <c r="K537" s="2" t="s">
        <v>1171</v>
      </c>
      <c r="L537" s="28" t="s">
        <v>1169</v>
      </c>
      <c r="M537" s="20" t="s">
        <v>1179</v>
      </c>
      <c r="N537" s="47">
        <v>45499</v>
      </c>
      <c r="O537" s="20">
        <f>INDEX(Auxiliar!$D$5:$F$13,MATCH(Table1[[#This Row],[Tipologia_Testes]],Auxiliar!$B$5:$B$13,0),MATCH(Table1[[#This Row],[Complexidade]],Auxiliar!$D$4:$F$4,0))</f>
        <v>4</v>
      </c>
      <c r="P537" s="2" t="s">
        <v>1191</v>
      </c>
      <c r="Q537" s="2" t="s">
        <v>1188</v>
      </c>
      <c r="R537" s="151">
        <v>45261</v>
      </c>
      <c r="S537" s="151">
        <v>45495</v>
      </c>
      <c r="T537" s="151"/>
      <c r="U537" s="151"/>
      <c r="V537" s="151"/>
      <c r="W537" s="2">
        <f>VLOOKUP(Table1[[#This Row],[Status]],Auxiliar!$B$16:$D$24,3,0)*Table1[[#This Row],[Estimação (horas)]]</f>
        <v>4</v>
      </c>
      <c r="X537" s="166">
        <f>+VLOOKUP(CONCATENATE(Table1[[#This Row],[Tabela]],Table1[[#This Row],[Campo]]),'2. Status Detalhe Campos FY24'!A:J,9,FALSE)</f>
        <v>0</v>
      </c>
    </row>
    <row r="538" spans="2:24" ht="17.850000000000001" hidden="1" customHeight="1">
      <c r="B538" s="2" t="s">
        <v>26</v>
      </c>
      <c r="C538" s="2" t="s">
        <v>54</v>
      </c>
      <c r="D538" s="2" t="s">
        <v>38</v>
      </c>
      <c r="E538" s="2" t="s">
        <v>38</v>
      </c>
      <c r="F538" s="2" t="s">
        <v>88</v>
      </c>
      <c r="G538" s="2" t="s">
        <v>59</v>
      </c>
      <c r="H538" s="56" t="str">
        <f>Table1[[#This Row],[Tabela]]&amp;Table1[[#This Row],[Campo]]</f>
        <v>PROCESS_PROPERTY_RELPROCESS_ACCOUNT_ID</v>
      </c>
      <c r="I538" s="2" t="s">
        <v>612</v>
      </c>
      <c r="J538" s="42">
        <f>VLOOKUP(Table1[[#This Row],[Status]],Auxiliar!$B$16:$C$24,2,0)</f>
        <v>1</v>
      </c>
      <c r="K538" s="2" t="s">
        <v>1172</v>
      </c>
      <c r="L538" s="28" t="s">
        <v>1169</v>
      </c>
      <c r="M538" s="20" t="s">
        <v>1179</v>
      </c>
      <c r="N538" s="47">
        <v>45499</v>
      </c>
      <c r="O538" s="20">
        <f>INDEX(Auxiliar!$D$5:$F$13,MATCH(Table1[[#This Row],[Tipologia_Testes]],Auxiliar!$B$5:$B$13,0),MATCH(Table1[[#This Row],[Complexidade]],Auxiliar!$D$4:$F$4,0))</f>
        <v>4</v>
      </c>
      <c r="P538" s="2" t="s">
        <v>1191</v>
      </c>
      <c r="Q538" s="2" t="s">
        <v>1188</v>
      </c>
      <c r="R538" s="151">
        <v>45261</v>
      </c>
      <c r="S538" s="151">
        <v>45495</v>
      </c>
      <c r="T538" s="151"/>
      <c r="U538" s="151"/>
      <c r="V538" s="151"/>
      <c r="W538" s="2">
        <f>VLOOKUP(Table1[[#This Row],[Status]],Auxiliar!$B$16:$D$24,3,0)*Table1[[#This Row],[Estimação (horas)]]</f>
        <v>4</v>
      </c>
      <c r="X538" s="166">
        <f>+VLOOKUP(CONCATENATE(Table1[[#This Row],[Tabela]],Table1[[#This Row],[Campo]]),'2. Status Detalhe Campos FY24'!A:J,9,FALSE)</f>
        <v>0</v>
      </c>
    </row>
    <row r="539" spans="2:24" ht="17.850000000000001" hidden="1" customHeight="1">
      <c r="B539" s="2" t="s">
        <v>26</v>
      </c>
      <c r="C539" s="2" t="s">
        <v>54</v>
      </c>
      <c r="D539" s="2" t="s">
        <v>38</v>
      </c>
      <c r="E539" s="2" t="s">
        <v>38</v>
      </c>
      <c r="F539" s="2" t="s">
        <v>88</v>
      </c>
      <c r="G539" s="2" t="s">
        <v>59</v>
      </c>
      <c r="H539" s="56" t="str">
        <f>Table1[[#This Row],[Tabela]]&amp;Table1[[#This Row],[Campo]]</f>
        <v>PROCESS_PROPERTY_RELPROCESS_ACCOUNT_ID</v>
      </c>
      <c r="I539" s="2" t="s">
        <v>612</v>
      </c>
      <c r="J539" s="42">
        <f>VLOOKUP(Table1[[#This Row],[Status]],Auxiliar!$B$16:$C$24,2,0)</f>
        <v>1</v>
      </c>
      <c r="K539" s="2" t="s">
        <v>1174</v>
      </c>
      <c r="L539" s="28" t="s">
        <v>1169</v>
      </c>
      <c r="M539" s="20" t="s">
        <v>1179</v>
      </c>
      <c r="N539" s="47">
        <v>45499</v>
      </c>
      <c r="O539" s="20">
        <f>INDEX(Auxiliar!$D$5:$F$13,MATCH(Table1[[#This Row],[Tipologia_Testes]],Auxiliar!$B$5:$B$13,0),MATCH(Table1[[#This Row],[Complexidade]],Auxiliar!$D$4:$F$4,0))</f>
        <v>0.1</v>
      </c>
      <c r="P539" s="2" t="s">
        <v>1191</v>
      </c>
      <c r="Q539" s="2" t="s">
        <v>1188</v>
      </c>
      <c r="R539" s="151">
        <v>45261</v>
      </c>
      <c r="S539" s="151">
        <v>45495</v>
      </c>
      <c r="T539" s="151"/>
      <c r="U539" s="151"/>
      <c r="V539" s="151"/>
      <c r="W539" s="2">
        <f>VLOOKUP(Table1[[#This Row],[Status]],Auxiliar!$B$16:$D$24,3,0)*Table1[[#This Row],[Estimação (horas)]]</f>
        <v>0.1</v>
      </c>
      <c r="X539" s="166">
        <f>+VLOOKUP(CONCATENATE(Table1[[#This Row],[Tabela]],Table1[[#This Row],[Campo]]),'2. Status Detalhe Campos FY24'!A:J,9,FALSE)</f>
        <v>0</v>
      </c>
    </row>
    <row r="540" spans="2:24" ht="17.850000000000001" hidden="1" customHeight="1">
      <c r="B540" s="2" t="s">
        <v>26</v>
      </c>
      <c r="C540" s="2" t="s">
        <v>54</v>
      </c>
      <c r="D540" s="2" t="s">
        <v>38</v>
      </c>
      <c r="E540" s="2" t="s">
        <v>38</v>
      </c>
      <c r="F540" s="2" t="s">
        <v>88</v>
      </c>
      <c r="G540" s="2" t="s">
        <v>45</v>
      </c>
      <c r="H540" s="56" t="str">
        <f>Table1[[#This Row],[Tabela]]&amp;Table1[[#This Row],[Campo]]</f>
        <v>PROCESS_PROPERTY_RELPROPERTY_REFERENCE_CODE</v>
      </c>
      <c r="I540" s="3" t="s">
        <v>612</v>
      </c>
      <c r="J540" s="54">
        <f>VLOOKUP(Table1[[#This Row],[Status]],Auxiliar!$B$16:$C$24,2,0)</f>
        <v>1</v>
      </c>
      <c r="K540" s="2" t="s">
        <v>1171</v>
      </c>
      <c r="L540" s="28" t="s">
        <v>1177</v>
      </c>
      <c r="M540" s="20" t="s">
        <v>1178</v>
      </c>
      <c r="N540" s="47">
        <v>45485</v>
      </c>
      <c r="O540" s="20">
        <f>INDEX(Auxiliar!$D$5:$F$13,MATCH(Table1[[#This Row],[Tipologia_Testes]],Auxiliar!$B$5:$B$13,0),MATCH(Table1[[#This Row],[Complexidade]],Auxiliar!$D$4:$F$4,0))</f>
        <v>2</v>
      </c>
      <c r="P540" s="2" t="s">
        <v>1191</v>
      </c>
      <c r="Q540" s="2" t="s">
        <v>1188</v>
      </c>
      <c r="R540" s="151">
        <v>45261</v>
      </c>
      <c r="S540" s="151"/>
      <c r="T540" s="151"/>
      <c r="U540" s="151"/>
      <c r="V540" s="151"/>
      <c r="W540" s="2">
        <f>VLOOKUP(Table1[[#This Row],[Status]],Auxiliar!$B$16:$D$24,3,0)*Table1[[#This Row],[Estimação (horas)]]</f>
        <v>2</v>
      </c>
      <c r="X540" s="166">
        <f>+VLOOKUP(CONCATENATE(Table1[[#This Row],[Tabela]],Table1[[#This Row],[Campo]]),'2. Status Detalhe Campos FY24'!A:J,9,FALSE)</f>
        <v>0</v>
      </c>
    </row>
    <row r="541" spans="2:24" ht="17.850000000000001" hidden="1" customHeight="1">
      <c r="B541" s="2" t="s">
        <v>26</v>
      </c>
      <c r="C541" s="2" t="s">
        <v>54</v>
      </c>
      <c r="D541" s="2" t="s">
        <v>38</v>
      </c>
      <c r="E541" s="2" t="s">
        <v>38</v>
      </c>
      <c r="F541" s="2" t="s">
        <v>88</v>
      </c>
      <c r="G541" s="2" t="s">
        <v>45</v>
      </c>
      <c r="H541" s="56" t="str">
        <f>Table1[[#This Row],[Tabela]]&amp;Table1[[#This Row],[Campo]]</f>
        <v>PROCESS_PROPERTY_RELPROPERTY_REFERENCE_CODE</v>
      </c>
      <c r="I541" s="3" t="s">
        <v>612</v>
      </c>
      <c r="J541" s="54">
        <f>VLOOKUP(Table1[[#This Row],[Status]],Auxiliar!$B$16:$C$24,2,0)</f>
        <v>1</v>
      </c>
      <c r="K541" s="2" t="s">
        <v>1172</v>
      </c>
      <c r="L541" s="28" t="s">
        <v>1177</v>
      </c>
      <c r="M541" s="20" t="s">
        <v>1178</v>
      </c>
      <c r="N541" s="47">
        <v>45485</v>
      </c>
      <c r="O541" s="20">
        <f>INDEX(Auxiliar!$D$5:$F$13,MATCH(Table1[[#This Row],[Tipologia_Testes]],Auxiliar!$B$5:$B$13,0),MATCH(Table1[[#This Row],[Complexidade]],Auxiliar!$D$4:$F$4,0))</f>
        <v>2</v>
      </c>
      <c r="P541" s="2" t="s">
        <v>1191</v>
      </c>
      <c r="Q541" s="2" t="s">
        <v>1188</v>
      </c>
      <c r="R541" s="151">
        <v>45261</v>
      </c>
      <c r="S541" s="151"/>
      <c r="T541" s="151"/>
      <c r="U541" s="151"/>
      <c r="V541" s="151"/>
      <c r="W541" s="2">
        <f>VLOOKUP(Table1[[#This Row],[Status]],Auxiliar!$B$16:$D$24,3,0)*Table1[[#This Row],[Estimação (horas)]]</f>
        <v>2</v>
      </c>
      <c r="X541" s="166">
        <f>+VLOOKUP(CONCATENATE(Table1[[#This Row],[Tabela]],Table1[[#This Row],[Campo]]),'2. Status Detalhe Campos FY24'!A:J,9,FALSE)</f>
        <v>0</v>
      </c>
    </row>
    <row r="542" spans="2:24" ht="17.850000000000001" hidden="1" customHeight="1">
      <c r="B542" s="2" t="s">
        <v>26</v>
      </c>
      <c r="C542" s="2" t="s">
        <v>54</v>
      </c>
      <c r="D542" s="2" t="s">
        <v>38</v>
      </c>
      <c r="E542" s="2" t="s">
        <v>38</v>
      </c>
      <c r="F542" s="2" t="s">
        <v>88</v>
      </c>
      <c r="G542" s="2" t="s">
        <v>45</v>
      </c>
      <c r="H542" s="56" t="str">
        <f>Table1[[#This Row],[Tabela]]&amp;Table1[[#This Row],[Campo]]</f>
        <v>PROCESS_PROPERTY_RELPROPERTY_REFERENCE_CODE</v>
      </c>
      <c r="I542" s="3" t="s">
        <v>612</v>
      </c>
      <c r="J542" s="54">
        <f>VLOOKUP(Table1[[#This Row],[Status]],Auxiliar!$B$16:$C$24,2,0)</f>
        <v>1</v>
      </c>
      <c r="K542" s="2" t="s">
        <v>1174</v>
      </c>
      <c r="L542" s="28" t="s">
        <v>1177</v>
      </c>
      <c r="M542" s="20" t="s">
        <v>1178</v>
      </c>
      <c r="N542" s="47">
        <v>45485</v>
      </c>
      <c r="O542" s="20">
        <f>INDEX(Auxiliar!$D$5:$F$13,MATCH(Table1[[#This Row],[Tipologia_Testes]],Auxiliar!$B$5:$B$13,0),MATCH(Table1[[#This Row],[Complexidade]],Auxiliar!$D$4:$F$4,0))</f>
        <v>0.1</v>
      </c>
      <c r="P542" s="2" t="s">
        <v>1191</v>
      </c>
      <c r="Q542" s="2" t="s">
        <v>1188</v>
      </c>
      <c r="R542" s="151">
        <v>45261</v>
      </c>
      <c r="S542" s="151"/>
      <c r="T542" s="151"/>
      <c r="U542" s="151"/>
      <c r="V542" s="151"/>
      <c r="W542" s="2">
        <f>VLOOKUP(Table1[[#This Row],[Status]],Auxiliar!$B$16:$D$24,3,0)*Table1[[#This Row],[Estimação (horas)]]</f>
        <v>0.1</v>
      </c>
      <c r="X542" s="166">
        <f>+VLOOKUP(CONCATENATE(Table1[[#This Row],[Tabela]],Table1[[#This Row],[Campo]]),'2. Status Detalhe Campos FY24'!A:J,9,FALSE)</f>
        <v>0</v>
      </c>
    </row>
    <row r="543" spans="2:24" ht="17.850000000000001" hidden="1" customHeight="1">
      <c r="B543" s="2" t="s">
        <v>26</v>
      </c>
      <c r="C543" s="2" t="s">
        <v>54</v>
      </c>
      <c r="D543" s="2" t="s">
        <v>38</v>
      </c>
      <c r="E543" s="2" t="s">
        <v>38</v>
      </c>
      <c r="F543" s="2" t="s">
        <v>88</v>
      </c>
      <c r="G543" s="2" t="s">
        <v>67</v>
      </c>
      <c r="H543" s="56" t="str">
        <f>Table1[[#This Row],[Tabela]]&amp;Table1[[#This Row],[Campo]]</f>
        <v>PROCESS_PROPERTY_RELPROCESS_REFERENCE_CODE</v>
      </c>
      <c r="I543" s="3" t="s">
        <v>612</v>
      </c>
      <c r="J543" s="42">
        <f>VLOOKUP(Table1[[#This Row],[Status]],Auxiliar!$B$16:$C$24,2,0)</f>
        <v>1</v>
      </c>
      <c r="K543" s="2" t="s">
        <v>1171</v>
      </c>
      <c r="L543" s="28" t="s">
        <v>1169</v>
      </c>
      <c r="M543" s="20" t="s">
        <v>1179</v>
      </c>
      <c r="N543" s="47">
        <v>45505</v>
      </c>
      <c r="O543" s="20">
        <f>INDEX(Auxiliar!$D$5:$F$13,MATCH(Table1[[#This Row],[Tipologia_Testes]],Auxiliar!$B$5:$B$13,0),MATCH(Table1[[#This Row],[Complexidade]],Auxiliar!$D$4:$F$4,0))</f>
        <v>4</v>
      </c>
      <c r="P543" s="2"/>
      <c r="Q543" s="2" t="s">
        <v>1188</v>
      </c>
      <c r="R543" s="151">
        <v>45261</v>
      </c>
      <c r="S543" s="151"/>
      <c r="T543" s="151"/>
      <c r="U543" s="151"/>
      <c r="V543" s="151"/>
      <c r="W543" s="2">
        <f>VLOOKUP(Table1[[#This Row],[Status]],Auxiliar!$B$16:$D$24,3,0)*Table1[[#This Row],[Estimação (horas)]]</f>
        <v>4</v>
      </c>
      <c r="X543" s="166">
        <f>+VLOOKUP(CONCATENATE(Table1[[#This Row],[Tabela]],Table1[[#This Row],[Campo]]),'2. Status Detalhe Campos FY24'!A:J,9,FALSE)</f>
        <v>0</v>
      </c>
    </row>
    <row r="544" spans="2:24" ht="17.850000000000001" hidden="1" customHeight="1">
      <c r="B544" s="2" t="s">
        <v>26</v>
      </c>
      <c r="C544" s="2" t="s">
        <v>54</v>
      </c>
      <c r="D544" s="2" t="s">
        <v>38</v>
      </c>
      <c r="E544" s="2" t="s">
        <v>38</v>
      </c>
      <c r="F544" s="2" t="s">
        <v>88</v>
      </c>
      <c r="G544" s="2" t="s">
        <v>67</v>
      </c>
      <c r="H544" s="56" t="str">
        <f>Table1[[#This Row],[Tabela]]&amp;Table1[[#This Row],[Campo]]</f>
        <v>PROCESS_PROPERTY_RELPROCESS_REFERENCE_CODE</v>
      </c>
      <c r="I544" s="3" t="s">
        <v>612</v>
      </c>
      <c r="J544" s="42">
        <f>VLOOKUP(Table1[[#This Row],[Status]],Auxiliar!$B$16:$C$24,2,0)</f>
        <v>1</v>
      </c>
      <c r="K544" s="2" t="s">
        <v>1172</v>
      </c>
      <c r="L544" s="28" t="s">
        <v>1169</v>
      </c>
      <c r="M544" s="20" t="s">
        <v>1179</v>
      </c>
      <c r="N544" s="47">
        <v>45505</v>
      </c>
      <c r="O544" s="20">
        <f>INDEX(Auxiliar!$D$5:$F$13,MATCH(Table1[[#This Row],[Tipologia_Testes]],Auxiliar!$B$5:$B$13,0),MATCH(Table1[[#This Row],[Complexidade]],Auxiliar!$D$4:$F$4,0))</f>
        <v>4</v>
      </c>
      <c r="P544" s="2"/>
      <c r="Q544" s="2" t="s">
        <v>1188</v>
      </c>
      <c r="R544" s="151">
        <v>45261</v>
      </c>
      <c r="S544" s="151"/>
      <c r="T544" s="151"/>
      <c r="U544" s="151"/>
      <c r="V544" s="151"/>
      <c r="W544" s="2">
        <f>VLOOKUP(Table1[[#This Row],[Status]],Auxiliar!$B$16:$D$24,3,0)*Table1[[#This Row],[Estimação (horas)]]</f>
        <v>4</v>
      </c>
      <c r="X544" s="166">
        <f>+VLOOKUP(CONCATENATE(Table1[[#This Row],[Tabela]],Table1[[#This Row],[Campo]]),'2. Status Detalhe Campos FY24'!A:J,9,FALSE)</f>
        <v>0</v>
      </c>
    </row>
    <row r="545" spans="2:24" ht="17.850000000000001" hidden="1" customHeight="1">
      <c r="B545" s="2" t="s">
        <v>26</v>
      </c>
      <c r="C545" s="2" t="s">
        <v>54</v>
      </c>
      <c r="D545" s="2" t="s">
        <v>38</v>
      </c>
      <c r="E545" s="2" t="s">
        <v>38</v>
      </c>
      <c r="F545" s="2" t="s">
        <v>88</v>
      </c>
      <c r="G545" s="2" t="s">
        <v>67</v>
      </c>
      <c r="H545" s="56" t="str">
        <f>Table1[[#This Row],[Tabela]]&amp;Table1[[#This Row],[Campo]]</f>
        <v>PROCESS_PROPERTY_RELPROCESS_REFERENCE_CODE</v>
      </c>
      <c r="I545" s="3" t="s">
        <v>612</v>
      </c>
      <c r="J545" s="42">
        <f>VLOOKUP(Table1[[#This Row],[Status]],Auxiliar!$B$16:$C$24,2,0)</f>
        <v>1</v>
      </c>
      <c r="K545" s="2" t="s">
        <v>1174</v>
      </c>
      <c r="L545" s="28" t="s">
        <v>1169</v>
      </c>
      <c r="M545" s="20" t="s">
        <v>1179</v>
      </c>
      <c r="N545" s="47">
        <v>45505</v>
      </c>
      <c r="O545" s="20">
        <f>INDEX(Auxiliar!$D$5:$F$13,MATCH(Table1[[#This Row],[Tipologia_Testes]],Auxiliar!$B$5:$B$13,0),MATCH(Table1[[#This Row],[Complexidade]],Auxiliar!$D$4:$F$4,0))</f>
        <v>0.1</v>
      </c>
      <c r="P545" s="2"/>
      <c r="Q545" s="2" t="s">
        <v>1188</v>
      </c>
      <c r="R545" s="151">
        <v>45261</v>
      </c>
      <c r="S545" s="151"/>
      <c r="T545" s="151"/>
      <c r="U545" s="151"/>
      <c r="V545" s="151"/>
      <c r="W545" s="2">
        <f>VLOOKUP(Table1[[#This Row],[Status]],Auxiliar!$B$16:$D$24,3,0)*Table1[[#This Row],[Estimação (horas)]]</f>
        <v>0.1</v>
      </c>
      <c r="X545" s="166">
        <f>+VLOOKUP(CONCATENATE(Table1[[#This Row],[Tabela]],Table1[[#This Row],[Campo]]),'2. Status Detalhe Campos FY24'!A:J,9,FALSE)</f>
        <v>0</v>
      </c>
    </row>
    <row r="546" spans="2:24" ht="17.850000000000001" hidden="1" customHeight="1">
      <c r="B546" s="2" t="s">
        <v>26</v>
      </c>
      <c r="C546" s="2" t="s">
        <v>54</v>
      </c>
      <c r="D546" s="2" t="s">
        <v>38</v>
      </c>
      <c r="E546" s="2" t="s">
        <v>38</v>
      </c>
      <c r="F546" s="2" t="s">
        <v>88</v>
      </c>
      <c r="G546" s="2" t="s">
        <v>89</v>
      </c>
      <c r="H546" s="56" t="str">
        <f>Table1[[#This Row],[Tabela]]&amp;Table1[[#This Row],[Campo]]</f>
        <v>PROCESS_PROPERTY_RELdata_assc</v>
      </c>
      <c r="I546" s="2" t="s">
        <v>611</v>
      </c>
      <c r="J546" s="42">
        <f>VLOOKUP(Table1[[#This Row],[Status]],Auxiliar!$B$16:$C$24,2,0)</f>
        <v>0</v>
      </c>
      <c r="K546" s="2" t="s">
        <v>1171</v>
      </c>
      <c r="L546" s="28" t="s">
        <v>1189</v>
      </c>
      <c r="M546" s="20" t="s">
        <v>1179</v>
      </c>
      <c r="N546" s="47">
        <v>45485</v>
      </c>
      <c r="O546" s="20">
        <f>INDEX(Auxiliar!$D$5:$F$13,MATCH(Table1[[#This Row],[Tipologia_Testes]],Auxiliar!$B$5:$B$13,0),MATCH(Table1[[#This Row],[Complexidade]],Auxiliar!$D$4:$F$4,0))</f>
        <v>4</v>
      </c>
      <c r="P546" s="2" t="s">
        <v>1197</v>
      </c>
      <c r="Q546" s="2" t="s">
        <v>1188</v>
      </c>
      <c r="R546" s="151">
        <v>45425</v>
      </c>
      <c r="S546" s="151"/>
      <c r="T546" s="151"/>
      <c r="U546" s="151"/>
      <c r="V546" s="151"/>
      <c r="W546" s="2">
        <f>VLOOKUP(Table1[[#This Row],[Status]],Auxiliar!$B$16:$D$24,3,0)*Table1[[#This Row],[Estimação (horas)]]</f>
        <v>0</v>
      </c>
      <c r="X546" s="166">
        <f>+VLOOKUP(CONCATENATE(Table1[[#This Row],[Tabela]],Table1[[#This Row],[Campo]]),'2. Status Detalhe Campos FY24'!A:J,9,FALSE)</f>
        <v>0</v>
      </c>
    </row>
    <row r="547" spans="2:24" ht="17.850000000000001" hidden="1" customHeight="1">
      <c r="B547" s="2" t="s">
        <v>26</v>
      </c>
      <c r="C547" s="2" t="s">
        <v>54</v>
      </c>
      <c r="D547" s="2" t="s">
        <v>38</v>
      </c>
      <c r="E547" s="2" t="s">
        <v>38</v>
      </c>
      <c r="F547" s="2" t="s">
        <v>88</v>
      </c>
      <c r="G547" s="2" t="s">
        <v>90</v>
      </c>
      <c r="H547" s="56" t="str">
        <f>Table1[[#This Row],[Tabela]]&amp;Table1[[#This Row],[Campo]]</f>
        <v>PROCESS_PROPERTY_RELSEIZED_PROPERTY_IND</v>
      </c>
      <c r="I547" s="3" t="s">
        <v>612</v>
      </c>
      <c r="J547" s="54">
        <f>VLOOKUP(Table1[[#This Row],[Status]],Auxiliar!$B$16:$C$24,2,0)</f>
        <v>1</v>
      </c>
      <c r="K547" s="2" t="s">
        <v>1171</v>
      </c>
      <c r="L547" s="28" t="s">
        <v>1177</v>
      </c>
      <c r="M547" s="20" t="s">
        <v>1178</v>
      </c>
      <c r="N547" s="47">
        <v>45485</v>
      </c>
      <c r="O547" s="20">
        <f>INDEX(Auxiliar!$D$5:$F$13,MATCH(Table1[[#This Row],[Tipologia_Testes]],Auxiliar!$B$5:$B$13,0),MATCH(Table1[[#This Row],[Complexidade]],Auxiliar!$D$4:$F$4,0))</f>
        <v>2</v>
      </c>
      <c r="P547" s="2"/>
      <c r="Q547" s="2" t="s">
        <v>1188</v>
      </c>
      <c r="R547" s="151">
        <v>45261</v>
      </c>
      <c r="S547" s="151"/>
      <c r="T547" s="151"/>
      <c r="U547" s="151"/>
      <c r="V547" s="151"/>
      <c r="W547" s="2">
        <f>VLOOKUP(Table1[[#This Row],[Status]],Auxiliar!$B$16:$D$24,3,0)*Table1[[#This Row],[Estimação (horas)]]</f>
        <v>2</v>
      </c>
      <c r="X547" s="166">
        <f>+VLOOKUP(CONCATENATE(Table1[[#This Row],[Tabela]],Table1[[#This Row],[Campo]]),'2. Status Detalhe Campos FY24'!A:J,9,FALSE)</f>
        <v>0</v>
      </c>
    </row>
    <row r="548" spans="2:24" ht="17.850000000000001" hidden="1" customHeight="1">
      <c r="B548" s="2" t="s">
        <v>26</v>
      </c>
      <c r="C548" s="2" t="s">
        <v>54</v>
      </c>
      <c r="D548" s="2" t="s">
        <v>38</v>
      </c>
      <c r="E548" s="2" t="s">
        <v>38</v>
      </c>
      <c r="F548" s="2" t="s">
        <v>88</v>
      </c>
      <c r="G548" s="2" t="s">
        <v>90</v>
      </c>
      <c r="H548" s="56" t="str">
        <f>Table1[[#This Row],[Tabela]]&amp;Table1[[#This Row],[Campo]]</f>
        <v>PROCESS_PROPERTY_RELSEIZED_PROPERTY_IND</v>
      </c>
      <c r="I548" s="3" t="s">
        <v>612</v>
      </c>
      <c r="J548" s="54">
        <f>VLOOKUP(Table1[[#This Row],[Status]],Auxiliar!$B$16:$C$24,2,0)</f>
        <v>1</v>
      </c>
      <c r="K548" s="2" t="s">
        <v>1172</v>
      </c>
      <c r="L548" s="28" t="s">
        <v>1177</v>
      </c>
      <c r="M548" s="20" t="s">
        <v>1178</v>
      </c>
      <c r="N548" s="47">
        <v>45485</v>
      </c>
      <c r="O548" s="20">
        <f>INDEX(Auxiliar!$D$5:$F$13,MATCH(Table1[[#This Row],[Tipologia_Testes]],Auxiliar!$B$5:$B$13,0),MATCH(Table1[[#This Row],[Complexidade]],Auxiliar!$D$4:$F$4,0))</f>
        <v>2</v>
      </c>
      <c r="P548" s="2"/>
      <c r="Q548" s="2" t="s">
        <v>1188</v>
      </c>
      <c r="R548" s="151">
        <v>45261</v>
      </c>
      <c r="S548" s="151"/>
      <c r="T548" s="151"/>
      <c r="U548" s="151"/>
      <c r="V548" s="151"/>
      <c r="W548" s="2">
        <f>VLOOKUP(Table1[[#This Row],[Status]],Auxiliar!$B$16:$D$24,3,0)*Table1[[#This Row],[Estimação (horas)]]</f>
        <v>2</v>
      </c>
      <c r="X548" s="166">
        <f>+VLOOKUP(CONCATENATE(Table1[[#This Row],[Tabela]],Table1[[#This Row],[Campo]]),'2. Status Detalhe Campos FY24'!A:J,9,FALSE)</f>
        <v>0</v>
      </c>
    </row>
    <row r="549" spans="2:24" ht="17.850000000000001" hidden="1" customHeight="1">
      <c r="B549" s="2" t="s">
        <v>26</v>
      </c>
      <c r="C549" s="2" t="s">
        <v>54</v>
      </c>
      <c r="D549" s="2" t="s">
        <v>38</v>
      </c>
      <c r="E549" s="2" t="s">
        <v>38</v>
      </c>
      <c r="F549" s="2" t="s">
        <v>88</v>
      </c>
      <c r="G549" s="2" t="s">
        <v>90</v>
      </c>
      <c r="H549" s="56" t="str">
        <f>Table1[[#This Row],[Tabela]]&amp;Table1[[#This Row],[Campo]]</f>
        <v>PROCESS_PROPERTY_RELSEIZED_PROPERTY_IND</v>
      </c>
      <c r="I549" s="3" t="s">
        <v>612</v>
      </c>
      <c r="J549" s="54">
        <f>VLOOKUP(Table1[[#This Row],[Status]],Auxiliar!$B$16:$C$24,2,0)</f>
        <v>1</v>
      </c>
      <c r="K549" s="2" t="s">
        <v>1174</v>
      </c>
      <c r="L549" s="28" t="s">
        <v>1177</v>
      </c>
      <c r="M549" s="20" t="s">
        <v>1178</v>
      </c>
      <c r="N549" s="47">
        <v>45485</v>
      </c>
      <c r="O549" s="20">
        <f>INDEX(Auxiliar!$D$5:$F$13,MATCH(Table1[[#This Row],[Tipologia_Testes]],Auxiliar!$B$5:$B$13,0),MATCH(Table1[[#This Row],[Complexidade]],Auxiliar!$D$4:$F$4,0))</f>
        <v>0.1</v>
      </c>
      <c r="P549" s="2"/>
      <c r="Q549" s="2" t="s">
        <v>1188</v>
      </c>
      <c r="R549" s="151">
        <v>45261</v>
      </c>
      <c r="S549" s="151"/>
      <c r="T549" s="151"/>
      <c r="U549" s="151"/>
      <c r="V549" s="151"/>
      <c r="W549" s="2">
        <f>VLOOKUP(Table1[[#This Row],[Status]],Auxiliar!$B$16:$D$24,3,0)*Table1[[#This Row],[Estimação (horas)]]</f>
        <v>0.1</v>
      </c>
      <c r="X549" s="166">
        <f>+VLOOKUP(CONCATENATE(Table1[[#This Row],[Tabela]],Table1[[#This Row],[Campo]]),'2. Status Detalhe Campos FY24'!A:J,9,FALSE)</f>
        <v>0</v>
      </c>
    </row>
    <row r="550" spans="2:24" ht="17.850000000000001" hidden="1" customHeight="1">
      <c r="B550" s="2" t="s">
        <v>26</v>
      </c>
      <c r="C550" s="2" t="s">
        <v>54</v>
      </c>
      <c r="D550" s="2" t="s">
        <v>38</v>
      </c>
      <c r="E550" s="2" t="s">
        <v>38</v>
      </c>
      <c r="F550" s="2" t="s">
        <v>88</v>
      </c>
      <c r="G550" s="2" t="s">
        <v>91</v>
      </c>
      <c r="H550" s="56" t="str">
        <f>Table1[[#This Row],[Tabela]]&amp;Table1[[#This Row],[Campo]]</f>
        <v>PROCESS_PROPERTY_RELCOLLATERAL_PROPERTY_IND</v>
      </c>
      <c r="I550" s="3" t="s">
        <v>612</v>
      </c>
      <c r="J550" s="54">
        <f>VLOOKUP(Table1[[#This Row],[Status]],Auxiliar!$B$16:$C$24,2,0)</f>
        <v>1</v>
      </c>
      <c r="K550" s="2" t="s">
        <v>1171</v>
      </c>
      <c r="L550" s="28" t="s">
        <v>1177</v>
      </c>
      <c r="M550" s="20" t="s">
        <v>1178</v>
      </c>
      <c r="N550" s="47">
        <v>45485</v>
      </c>
      <c r="O550" s="20">
        <f>INDEX(Auxiliar!$D$5:$F$13,MATCH(Table1[[#This Row],[Tipologia_Testes]],Auxiliar!$B$5:$B$13,0),MATCH(Table1[[#This Row],[Complexidade]],Auxiliar!$D$4:$F$4,0))</f>
        <v>2</v>
      </c>
      <c r="P550" s="2"/>
      <c r="Q550" s="2" t="s">
        <v>1188</v>
      </c>
      <c r="R550" s="151">
        <v>45261</v>
      </c>
      <c r="S550" s="151"/>
      <c r="T550" s="151"/>
      <c r="U550" s="151"/>
      <c r="V550" s="151"/>
      <c r="W550" s="2">
        <f>VLOOKUP(Table1[[#This Row],[Status]],Auxiliar!$B$16:$D$24,3,0)*Table1[[#This Row],[Estimação (horas)]]</f>
        <v>2</v>
      </c>
      <c r="X550" s="166">
        <f>+VLOOKUP(CONCATENATE(Table1[[#This Row],[Tabela]],Table1[[#This Row],[Campo]]),'2. Status Detalhe Campos FY24'!A:J,9,FALSE)</f>
        <v>0</v>
      </c>
    </row>
    <row r="551" spans="2:24" ht="17.850000000000001" hidden="1" customHeight="1">
      <c r="B551" s="2" t="s">
        <v>26</v>
      </c>
      <c r="C551" s="2" t="s">
        <v>54</v>
      </c>
      <c r="D551" s="2" t="s">
        <v>38</v>
      </c>
      <c r="E551" s="2" t="s">
        <v>38</v>
      </c>
      <c r="F551" s="2" t="s">
        <v>88</v>
      </c>
      <c r="G551" s="2" t="s">
        <v>91</v>
      </c>
      <c r="H551" s="56" t="str">
        <f>Table1[[#This Row],[Tabela]]&amp;Table1[[#This Row],[Campo]]</f>
        <v>PROCESS_PROPERTY_RELCOLLATERAL_PROPERTY_IND</v>
      </c>
      <c r="I551" s="3" t="s">
        <v>612</v>
      </c>
      <c r="J551" s="54">
        <f>VLOOKUP(Table1[[#This Row],[Status]],Auxiliar!$B$16:$C$24,2,0)</f>
        <v>1</v>
      </c>
      <c r="K551" s="2" t="s">
        <v>1172</v>
      </c>
      <c r="L551" s="28" t="s">
        <v>1177</v>
      </c>
      <c r="M551" s="20" t="s">
        <v>1178</v>
      </c>
      <c r="N551" s="47">
        <v>45485</v>
      </c>
      <c r="O551" s="20">
        <f>INDEX(Auxiliar!$D$5:$F$13,MATCH(Table1[[#This Row],[Tipologia_Testes]],Auxiliar!$B$5:$B$13,0),MATCH(Table1[[#This Row],[Complexidade]],Auxiliar!$D$4:$F$4,0))</f>
        <v>2</v>
      </c>
      <c r="P551" s="2"/>
      <c r="Q551" s="2" t="s">
        <v>1188</v>
      </c>
      <c r="R551" s="151">
        <v>45261</v>
      </c>
      <c r="S551" s="151"/>
      <c r="T551" s="151"/>
      <c r="U551" s="151"/>
      <c r="V551" s="151"/>
      <c r="W551" s="2">
        <f>VLOOKUP(Table1[[#This Row],[Status]],Auxiliar!$B$16:$D$24,3,0)*Table1[[#This Row],[Estimação (horas)]]</f>
        <v>2</v>
      </c>
      <c r="X551" s="166">
        <f>+VLOOKUP(CONCATENATE(Table1[[#This Row],[Tabela]],Table1[[#This Row],[Campo]]),'2. Status Detalhe Campos FY24'!A:J,9,FALSE)</f>
        <v>0</v>
      </c>
    </row>
    <row r="552" spans="2:24" ht="17.850000000000001" hidden="1" customHeight="1">
      <c r="B552" s="2" t="s">
        <v>26</v>
      </c>
      <c r="C552" s="2" t="s">
        <v>54</v>
      </c>
      <c r="D552" s="2" t="s">
        <v>38</v>
      </c>
      <c r="E552" s="2" t="s">
        <v>38</v>
      </c>
      <c r="F552" s="2" t="s">
        <v>88</v>
      </c>
      <c r="G552" s="2" t="s">
        <v>91</v>
      </c>
      <c r="H552" s="56" t="str">
        <f>Table1[[#This Row],[Tabela]]&amp;Table1[[#This Row],[Campo]]</f>
        <v>PROCESS_PROPERTY_RELCOLLATERAL_PROPERTY_IND</v>
      </c>
      <c r="I552" s="3" t="s">
        <v>612</v>
      </c>
      <c r="J552" s="54">
        <f>VLOOKUP(Table1[[#This Row],[Status]],Auxiliar!$B$16:$C$24,2,0)</f>
        <v>1</v>
      </c>
      <c r="K552" s="2" t="s">
        <v>1174</v>
      </c>
      <c r="L552" s="28" t="s">
        <v>1177</v>
      </c>
      <c r="M552" s="20" t="s">
        <v>1178</v>
      </c>
      <c r="N552" s="47">
        <v>45485</v>
      </c>
      <c r="O552" s="20">
        <f>INDEX(Auxiliar!$D$5:$F$13,MATCH(Table1[[#This Row],[Tipologia_Testes]],Auxiliar!$B$5:$B$13,0),MATCH(Table1[[#This Row],[Complexidade]],Auxiliar!$D$4:$F$4,0))</f>
        <v>0.1</v>
      </c>
      <c r="P552" s="2"/>
      <c r="Q552" s="2" t="s">
        <v>1188</v>
      </c>
      <c r="R552" s="151">
        <v>45261</v>
      </c>
      <c r="S552" s="151"/>
      <c r="T552" s="151"/>
      <c r="U552" s="151"/>
      <c r="V552" s="151"/>
      <c r="W552" s="2">
        <f>VLOOKUP(Table1[[#This Row],[Status]],Auxiliar!$B$16:$D$24,3,0)*Table1[[#This Row],[Estimação (horas)]]</f>
        <v>0.1</v>
      </c>
      <c r="X552" s="166">
        <f>+VLOOKUP(CONCATENATE(Table1[[#This Row],[Tabela]],Table1[[#This Row],[Campo]]),'2. Status Detalhe Campos FY24'!A:J,9,FALSE)</f>
        <v>0</v>
      </c>
    </row>
    <row r="553" spans="2:24" ht="17.850000000000001" hidden="1" customHeight="1">
      <c r="B553" s="2" t="s">
        <v>26</v>
      </c>
      <c r="C553" s="2" t="s">
        <v>54</v>
      </c>
      <c r="D553" s="2" t="s">
        <v>38</v>
      </c>
      <c r="E553" s="2" t="s">
        <v>38</v>
      </c>
      <c r="F553" s="2" t="s">
        <v>88</v>
      </c>
      <c r="G553" s="2" t="s">
        <v>92</v>
      </c>
      <c r="H553" s="56" t="str">
        <f>Table1[[#This Row],[Tabela]]&amp;Table1[[#This Row],[Campo]]</f>
        <v>PROCESS_PROPERTY_RELFINANCED_PROPERTY_IND</v>
      </c>
      <c r="I553" s="3" t="s">
        <v>612</v>
      </c>
      <c r="J553" s="54">
        <f>VLOOKUP(Table1[[#This Row],[Status]],Auxiliar!$B$16:$C$24,2,0)</f>
        <v>1</v>
      </c>
      <c r="K553" s="2" t="s">
        <v>1171</v>
      </c>
      <c r="L553" s="28" t="s">
        <v>1177</v>
      </c>
      <c r="M553" s="20" t="s">
        <v>1178</v>
      </c>
      <c r="N553" s="47">
        <v>45485</v>
      </c>
      <c r="O553" s="20">
        <f>INDEX(Auxiliar!$D$5:$F$13,MATCH(Table1[[#This Row],[Tipologia_Testes]],Auxiliar!$B$5:$B$13,0),MATCH(Table1[[#This Row],[Complexidade]],Auxiliar!$D$4:$F$4,0))</f>
        <v>2</v>
      </c>
      <c r="P553" s="2"/>
      <c r="Q553" s="2" t="s">
        <v>1188</v>
      </c>
      <c r="R553" s="151">
        <v>45261</v>
      </c>
      <c r="S553" s="151"/>
      <c r="T553" s="151"/>
      <c r="U553" s="151"/>
      <c r="V553" s="151"/>
      <c r="W553" s="2">
        <f>VLOOKUP(Table1[[#This Row],[Status]],Auxiliar!$B$16:$D$24,3,0)*Table1[[#This Row],[Estimação (horas)]]</f>
        <v>2</v>
      </c>
      <c r="X553" s="166">
        <f>+VLOOKUP(CONCATENATE(Table1[[#This Row],[Tabela]],Table1[[#This Row],[Campo]]),'2. Status Detalhe Campos FY24'!A:J,9,FALSE)</f>
        <v>0</v>
      </c>
    </row>
    <row r="554" spans="2:24" ht="17.850000000000001" hidden="1" customHeight="1">
      <c r="B554" s="2" t="s">
        <v>26</v>
      </c>
      <c r="C554" s="2" t="s">
        <v>54</v>
      </c>
      <c r="D554" s="2" t="s">
        <v>38</v>
      </c>
      <c r="E554" s="2" t="s">
        <v>38</v>
      </c>
      <c r="F554" s="2" t="s">
        <v>88</v>
      </c>
      <c r="G554" s="2" t="s">
        <v>92</v>
      </c>
      <c r="H554" s="56" t="str">
        <f>Table1[[#This Row],[Tabela]]&amp;Table1[[#This Row],[Campo]]</f>
        <v>PROCESS_PROPERTY_RELFINANCED_PROPERTY_IND</v>
      </c>
      <c r="I554" s="3" t="s">
        <v>612</v>
      </c>
      <c r="J554" s="54">
        <f>VLOOKUP(Table1[[#This Row],[Status]],Auxiliar!$B$16:$C$24,2,0)</f>
        <v>1</v>
      </c>
      <c r="K554" s="2" t="s">
        <v>1172</v>
      </c>
      <c r="L554" s="28" t="s">
        <v>1177</v>
      </c>
      <c r="M554" s="20" t="s">
        <v>1178</v>
      </c>
      <c r="N554" s="47">
        <v>45485</v>
      </c>
      <c r="O554" s="20">
        <f>INDEX(Auxiliar!$D$5:$F$13,MATCH(Table1[[#This Row],[Tipologia_Testes]],Auxiliar!$B$5:$B$13,0),MATCH(Table1[[#This Row],[Complexidade]],Auxiliar!$D$4:$F$4,0))</f>
        <v>2</v>
      </c>
      <c r="P554" s="2"/>
      <c r="Q554" s="2" t="s">
        <v>1188</v>
      </c>
      <c r="R554" s="151">
        <v>45261</v>
      </c>
      <c r="S554" s="151"/>
      <c r="T554" s="151"/>
      <c r="U554" s="151"/>
      <c r="V554" s="151"/>
      <c r="W554" s="2">
        <f>VLOOKUP(Table1[[#This Row],[Status]],Auxiliar!$B$16:$D$24,3,0)*Table1[[#This Row],[Estimação (horas)]]</f>
        <v>2</v>
      </c>
      <c r="X554" s="166">
        <f>+VLOOKUP(CONCATENATE(Table1[[#This Row],[Tabela]],Table1[[#This Row],[Campo]]),'2. Status Detalhe Campos FY24'!A:J,9,FALSE)</f>
        <v>0</v>
      </c>
    </row>
    <row r="555" spans="2:24" ht="17.850000000000001" hidden="1" customHeight="1">
      <c r="B555" s="2" t="s">
        <v>26</v>
      </c>
      <c r="C555" s="2" t="s">
        <v>54</v>
      </c>
      <c r="D555" s="2" t="s">
        <v>38</v>
      </c>
      <c r="E555" s="2" t="s">
        <v>38</v>
      </c>
      <c r="F555" s="2" t="s">
        <v>88</v>
      </c>
      <c r="G555" s="2" t="s">
        <v>92</v>
      </c>
      <c r="H555" s="56" t="str">
        <f>Table1[[#This Row],[Tabela]]&amp;Table1[[#This Row],[Campo]]</f>
        <v>PROCESS_PROPERTY_RELFINANCED_PROPERTY_IND</v>
      </c>
      <c r="I555" s="3" t="s">
        <v>612</v>
      </c>
      <c r="J555" s="54">
        <f>VLOOKUP(Table1[[#This Row],[Status]],Auxiliar!$B$16:$C$24,2,0)</f>
        <v>1</v>
      </c>
      <c r="K555" s="2" t="s">
        <v>1174</v>
      </c>
      <c r="L555" s="28" t="s">
        <v>1177</v>
      </c>
      <c r="M555" s="20" t="s">
        <v>1178</v>
      </c>
      <c r="N555" s="47">
        <v>45485</v>
      </c>
      <c r="O555" s="20">
        <f>INDEX(Auxiliar!$D$5:$F$13,MATCH(Table1[[#This Row],[Tipologia_Testes]],Auxiliar!$B$5:$B$13,0),MATCH(Table1[[#This Row],[Complexidade]],Auxiliar!$D$4:$F$4,0))</f>
        <v>0.1</v>
      </c>
      <c r="P555" s="2"/>
      <c r="Q555" s="2" t="s">
        <v>1188</v>
      </c>
      <c r="R555" s="151">
        <v>45261</v>
      </c>
      <c r="S555" s="151"/>
      <c r="T555" s="151"/>
      <c r="U555" s="151"/>
      <c r="V555" s="151"/>
      <c r="W555" s="2">
        <f>VLOOKUP(Table1[[#This Row],[Status]],Auxiliar!$B$16:$D$24,3,0)*Table1[[#This Row],[Estimação (horas)]]</f>
        <v>0.1</v>
      </c>
      <c r="X555" s="166">
        <f>+VLOOKUP(CONCATENATE(Table1[[#This Row],[Tabela]],Table1[[#This Row],[Campo]]),'2. Status Detalhe Campos FY24'!A:J,9,FALSE)</f>
        <v>0</v>
      </c>
    </row>
    <row r="556" spans="2:24" ht="17.850000000000001" hidden="1" customHeight="1">
      <c r="B556" s="2" t="s">
        <v>26</v>
      </c>
      <c r="C556" s="2" t="s">
        <v>54</v>
      </c>
      <c r="D556" s="2" t="s">
        <v>38</v>
      </c>
      <c r="E556" s="2" t="s">
        <v>38</v>
      </c>
      <c r="F556" s="2" t="s">
        <v>88</v>
      </c>
      <c r="G556" s="2" t="s">
        <v>93</v>
      </c>
      <c r="H556" s="56" t="str">
        <f>Table1[[#This Row],[Tabela]]&amp;Table1[[#This Row],[Campo]]</f>
        <v>PROCESS_PROPERTY_RELOWNED_PROPERTY_IND</v>
      </c>
      <c r="I556" s="3" t="s">
        <v>612</v>
      </c>
      <c r="J556" s="54">
        <f>VLOOKUP(Table1[[#This Row],[Status]],Auxiliar!$B$16:$C$24,2,0)</f>
        <v>1</v>
      </c>
      <c r="K556" s="2" t="s">
        <v>1171</v>
      </c>
      <c r="L556" s="28" t="s">
        <v>1177</v>
      </c>
      <c r="M556" s="20" t="s">
        <v>1178</v>
      </c>
      <c r="N556" s="47">
        <v>45485</v>
      </c>
      <c r="O556" s="20">
        <f>INDEX(Auxiliar!$D$5:$F$13,MATCH(Table1[[#This Row],[Tipologia_Testes]],Auxiliar!$B$5:$B$13,0),MATCH(Table1[[#This Row],[Complexidade]],Auxiliar!$D$4:$F$4,0))</f>
        <v>2</v>
      </c>
      <c r="P556" s="2"/>
      <c r="Q556" s="2" t="s">
        <v>1188</v>
      </c>
      <c r="R556" s="151">
        <v>45261</v>
      </c>
      <c r="S556" s="151"/>
      <c r="T556" s="151"/>
      <c r="U556" s="151"/>
      <c r="V556" s="151"/>
      <c r="W556" s="2">
        <f>VLOOKUP(Table1[[#This Row],[Status]],Auxiliar!$B$16:$D$24,3,0)*Table1[[#This Row],[Estimação (horas)]]</f>
        <v>2</v>
      </c>
      <c r="X556" s="166">
        <f>+VLOOKUP(CONCATENATE(Table1[[#This Row],[Tabela]],Table1[[#This Row],[Campo]]),'2. Status Detalhe Campos FY24'!A:J,9,FALSE)</f>
        <v>0</v>
      </c>
    </row>
    <row r="557" spans="2:24" ht="17.850000000000001" hidden="1" customHeight="1">
      <c r="B557" s="2" t="s">
        <v>26</v>
      </c>
      <c r="C557" s="2" t="s">
        <v>54</v>
      </c>
      <c r="D557" s="2" t="s">
        <v>38</v>
      </c>
      <c r="E557" s="2" t="s">
        <v>38</v>
      </c>
      <c r="F557" s="2" t="s">
        <v>88</v>
      </c>
      <c r="G557" s="2" t="s">
        <v>93</v>
      </c>
      <c r="H557" s="56" t="str">
        <f>Table1[[#This Row],[Tabela]]&amp;Table1[[#This Row],[Campo]]</f>
        <v>PROCESS_PROPERTY_RELOWNED_PROPERTY_IND</v>
      </c>
      <c r="I557" s="3" t="s">
        <v>612</v>
      </c>
      <c r="J557" s="54">
        <f>VLOOKUP(Table1[[#This Row],[Status]],Auxiliar!$B$16:$C$24,2,0)</f>
        <v>1</v>
      </c>
      <c r="K557" s="2" t="s">
        <v>1172</v>
      </c>
      <c r="L557" s="28" t="s">
        <v>1177</v>
      </c>
      <c r="M557" s="20" t="s">
        <v>1178</v>
      </c>
      <c r="N557" s="47">
        <v>45485</v>
      </c>
      <c r="O557" s="20">
        <f>INDEX(Auxiliar!$D$5:$F$13,MATCH(Table1[[#This Row],[Tipologia_Testes]],Auxiliar!$B$5:$B$13,0),MATCH(Table1[[#This Row],[Complexidade]],Auxiliar!$D$4:$F$4,0))</f>
        <v>2</v>
      </c>
      <c r="P557" s="2"/>
      <c r="Q557" s="2" t="s">
        <v>1188</v>
      </c>
      <c r="R557" s="151">
        <v>45261</v>
      </c>
      <c r="S557" s="151"/>
      <c r="T557" s="151"/>
      <c r="U557" s="151"/>
      <c r="V557" s="151"/>
      <c r="W557" s="2">
        <f>VLOOKUP(Table1[[#This Row],[Status]],Auxiliar!$B$16:$D$24,3,0)*Table1[[#This Row],[Estimação (horas)]]</f>
        <v>2</v>
      </c>
      <c r="X557" s="166">
        <f>+VLOOKUP(CONCATENATE(Table1[[#This Row],[Tabela]],Table1[[#This Row],[Campo]]),'2. Status Detalhe Campos FY24'!A:J,9,FALSE)</f>
        <v>0</v>
      </c>
    </row>
    <row r="558" spans="2:24" ht="17.850000000000001" hidden="1" customHeight="1">
      <c r="B558" s="2" t="s">
        <v>26</v>
      </c>
      <c r="C558" s="2" t="s">
        <v>54</v>
      </c>
      <c r="D558" s="2" t="s">
        <v>38</v>
      </c>
      <c r="E558" s="2" t="s">
        <v>38</v>
      </c>
      <c r="F558" s="2" t="s">
        <v>88</v>
      </c>
      <c r="G558" s="2" t="s">
        <v>93</v>
      </c>
      <c r="H558" s="56" t="str">
        <f>Table1[[#This Row],[Tabela]]&amp;Table1[[#This Row],[Campo]]</f>
        <v>PROCESS_PROPERTY_RELOWNED_PROPERTY_IND</v>
      </c>
      <c r="I558" s="3" t="s">
        <v>612</v>
      </c>
      <c r="J558" s="54">
        <f>VLOOKUP(Table1[[#This Row],[Status]],Auxiliar!$B$16:$C$24,2,0)</f>
        <v>1</v>
      </c>
      <c r="K558" s="2" t="s">
        <v>1174</v>
      </c>
      <c r="L558" s="28" t="s">
        <v>1177</v>
      </c>
      <c r="M558" s="20" t="s">
        <v>1178</v>
      </c>
      <c r="N558" s="47">
        <v>45485</v>
      </c>
      <c r="O558" s="20">
        <f>INDEX(Auxiliar!$D$5:$F$13,MATCH(Table1[[#This Row],[Tipologia_Testes]],Auxiliar!$B$5:$B$13,0),MATCH(Table1[[#This Row],[Complexidade]],Auxiliar!$D$4:$F$4,0))</f>
        <v>0.1</v>
      </c>
      <c r="P558" s="2"/>
      <c r="Q558" s="2" t="s">
        <v>1188</v>
      </c>
      <c r="R558" s="151">
        <v>45261</v>
      </c>
      <c r="S558" s="151"/>
      <c r="T558" s="151"/>
      <c r="U558" s="151"/>
      <c r="V558" s="151"/>
      <c r="W558" s="2">
        <f>VLOOKUP(Table1[[#This Row],[Status]],Auxiliar!$B$16:$D$24,3,0)*Table1[[#This Row],[Estimação (horas)]]</f>
        <v>0.1</v>
      </c>
      <c r="X558" s="166">
        <f>+VLOOKUP(CONCATENATE(Table1[[#This Row],[Tabela]],Table1[[#This Row],[Campo]]),'2. Status Detalhe Campos FY24'!A:J,9,FALSE)</f>
        <v>0</v>
      </c>
    </row>
    <row r="559" spans="2:24" ht="17.850000000000001" hidden="1" customHeight="1">
      <c r="B559" s="2" t="s">
        <v>26</v>
      </c>
      <c r="C559" s="2" t="s">
        <v>54</v>
      </c>
      <c r="D559" s="2" t="s">
        <v>38</v>
      </c>
      <c r="E559" s="2" t="s">
        <v>38</v>
      </c>
      <c r="F559" s="2" t="s">
        <v>88</v>
      </c>
      <c r="G559" s="2" t="s">
        <v>87</v>
      </c>
      <c r="H559" s="56" t="str">
        <f>Table1[[#This Row],[Tabela]]&amp;Table1[[#This Row],[Campo]]</f>
        <v>PROCESS_PROPERTY_RELSOURCE_CODE</v>
      </c>
      <c r="I559" s="3" t="s">
        <v>612</v>
      </c>
      <c r="J559" s="54">
        <f>VLOOKUP(Table1[[#This Row],[Status]],Auxiliar!$B$16:$C$24,2,0)</f>
        <v>1</v>
      </c>
      <c r="K559" s="2" t="s">
        <v>1171</v>
      </c>
      <c r="L559" s="28" t="s">
        <v>1177</v>
      </c>
      <c r="M559" s="20" t="s">
        <v>1178</v>
      </c>
      <c r="N559" s="47">
        <v>45485</v>
      </c>
      <c r="O559" s="20">
        <f>INDEX(Auxiliar!$D$5:$F$13,MATCH(Table1[[#This Row],[Tipologia_Testes]],Auxiliar!$B$5:$B$13,0),MATCH(Table1[[#This Row],[Complexidade]],Auxiliar!$D$4:$F$4,0))</f>
        <v>2</v>
      </c>
      <c r="P559" s="2"/>
      <c r="Q559" s="2" t="s">
        <v>1188</v>
      </c>
      <c r="R559" s="151">
        <v>45261</v>
      </c>
      <c r="S559" s="151"/>
      <c r="T559" s="151"/>
      <c r="U559" s="151"/>
      <c r="V559" s="151"/>
      <c r="W559" s="2">
        <f>VLOOKUP(Table1[[#This Row],[Status]],Auxiliar!$B$16:$D$24,3,0)*Table1[[#This Row],[Estimação (horas)]]</f>
        <v>2</v>
      </c>
      <c r="X559" s="166">
        <f>+VLOOKUP(CONCATENATE(Table1[[#This Row],[Tabela]],Table1[[#This Row],[Campo]]),'2. Status Detalhe Campos FY24'!A:J,9,FALSE)</f>
        <v>0</v>
      </c>
    </row>
    <row r="560" spans="2:24" ht="17.850000000000001" hidden="1" customHeight="1">
      <c r="B560" s="2" t="s">
        <v>26</v>
      </c>
      <c r="C560" s="2" t="s">
        <v>54</v>
      </c>
      <c r="D560" s="2" t="s">
        <v>38</v>
      </c>
      <c r="E560" s="2" t="s">
        <v>38</v>
      </c>
      <c r="F560" s="2" t="s">
        <v>88</v>
      </c>
      <c r="G560" s="2" t="s">
        <v>87</v>
      </c>
      <c r="H560" s="56" t="str">
        <f>Table1[[#This Row],[Tabela]]&amp;Table1[[#This Row],[Campo]]</f>
        <v>PROCESS_PROPERTY_RELSOURCE_CODE</v>
      </c>
      <c r="I560" s="3" t="s">
        <v>612</v>
      </c>
      <c r="J560" s="54">
        <f>VLOOKUP(Table1[[#This Row],[Status]],Auxiliar!$B$16:$C$24,2,0)</f>
        <v>1</v>
      </c>
      <c r="K560" s="2" t="s">
        <v>1172</v>
      </c>
      <c r="L560" s="28" t="s">
        <v>1177</v>
      </c>
      <c r="M560" s="20" t="s">
        <v>1178</v>
      </c>
      <c r="N560" s="47">
        <v>45485</v>
      </c>
      <c r="O560" s="20">
        <f>INDEX(Auxiliar!$D$5:$F$13,MATCH(Table1[[#This Row],[Tipologia_Testes]],Auxiliar!$B$5:$B$13,0),MATCH(Table1[[#This Row],[Complexidade]],Auxiliar!$D$4:$F$4,0))</f>
        <v>2</v>
      </c>
      <c r="P560" s="2"/>
      <c r="Q560" s="2" t="s">
        <v>1188</v>
      </c>
      <c r="R560" s="151">
        <v>45261</v>
      </c>
      <c r="S560" s="151"/>
      <c r="T560" s="151"/>
      <c r="U560" s="151"/>
      <c r="V560" s="151"/>
      <c r="W560" s="2">
        <f>VLOOKUP(Table1[[#This Row],[Status]],Auxiliar!$B$16:$D$24,3,0)*Table1[[#This Row],[Estimação (horas)]]</f>
        <v>2</v>
      </c>
      <c r="X560" s="166">
        <f>+VLOOKUP(CONCATENATE(Table1[[#This Row],[Tabela]],Table1[[#This Row],[Campo]]),'2. Status Detalhe Campos FY24'!A:J,9,FALSE)</f>
        <v>0</v>
      </c>
    </row>
    <row r="561" spans="2:24" ht="17.850000000000001" hidden="1" customHeight="1">
      <c r="B561" s="2" t="s">
        <v>26</v>
      </c>
      <c r="C561" s="2" t="s">
        <v>54</v>
      </c>
      <c r="D561" s="2" t="s">
        <v>38</v>
      </c>
      <c r="E561" s="2" t="s">
        <v>38</v>
      </c>
      <c r="F561" s="2" t="s">
        <v>88</v>
      </c>
      <c r="G561" s="2" t="s">
        <v>87</v>
      </c>
      <c r="H561" s="56" t="str">
        <f>Table1[[#This Row],[Tabela]]&amp;Table1[[#This Row],[Campo]]</f>
        <v>PROCESS_PROPERTY_RELSOURCE_CODE</v>
      </c>
      <c r="I561" s="3" t="s">
        <v>612</v>
      </c>
      <c r="J561" s="54">
        <f>VLOOKUP(Table1[[#This Row],[Status]],Auxiliar!$B$16:$C$24,2,0)</f>
        <v>1</v>
      </c>
      <c r="K561" s="2" t="s">
        <v>1174</v>
      </c>
      <c r="L561" s="28" t="s">
        <v>1177</v>
      </c>
      <c r="M561" s="20" t="s">
        <v>1178</v>
      </c>
      <c r="N561" s="47">
        <v>45485</v>
      </c>
      <c r="O561" s="20">
        <f>INDEX(Auxiliar!$D$5:$F$13,MATCH(Table1[[#This Row],[Tipologia_Testes]],Auxiliar!$B$5:$B$13,0),MATCH(Table1[[#This Row],[Complexidade]],Auxiliar!$D$4:$F$4,0))</f>
        <v>0.1</v>
      </c>
      <c r="P561" s="2"/>
      <c r="Q561" s="2" t="s">
        <v>1188</v>
      </c>
      <c r="R561" s="151">
        <v>45261</v>
      </c>
      <c r="S561" s="151"/>
      <c r="T561" s="151"/>
      <c r="U561" s="151"/>
      <c r="V561" s="151"/>
      <c r="W561" s="2">
        <f>VLOOKUP(Table1[[#This Row],[Status]],Auxiliar!$B$16:$D$24,3,0)*Table1[[#This Row],[Estimação (horas)]]</f>
        <v>0.1</v>
      </c>
      <c r="X561" s="166">
        <f>+VLOOKUP(CONCATENATE(Table1[[#This Row],[Tabela]],Table1[[#This Row],[Campo]]),'2. Status Detalhe Campos FY24'!A:J,9,FALSE)</f>
        <v>0</v>
      </c>
    </row>
    <row r="562" spans="2:24" ht="17.850000000000001" hidden="1" customHeight="1">
      <c r="B562" s="2" t="s">
        <v>26</v>
      </c>
      <c r="C562" s="2" t="s">
        <v>54</v>
      </c>
      <c r="D562" s="2" t="s">
        <v>38</v>
      </c>
      <c r="E562" s="2" t="s">
        <v>38</v>
      </c>
      <c r="F562" s="2" t="s">
        <v>88</v>
      </c>
      <c r="G562" s="2" t="s">
        <v>73</v>
      </c>
      <c r="H562" s="56" t="str">
        <f>Table1[[#This Row],[Tabela]]&amp;Table1[[#This Row],[Campo]]</f>
        <v>PROCESS_PROPERTY_RELDATA_DATE_PART</v>
      </c>
      <c r="I562" s="3" t="s">
        <v>612</v>
      </c>
      <c r="J562" s="54">
        <f>VLOOKUP(Table1[[#This Row],[Status]],Auxiliar!$B$16:$C$24,2,0)</f>
        <v>1</v>
      </c>
      <c r="K562" s="2" t="s">
        <v>1171</v>
      </c>
      <c r="L562" s="28" t="s">
        <v>1177</v>
      </c>
      <c r="M562" s="20" t="s">
        <v>1178</v>
      </c>
      <c r="N562" s="47">
        <v>45485</v>
      </c>
      <c r="O562" s="20">
        <f>INDEX(Auxiliar!$D$5:$F$13,MATCH(Table1[[#This Row],[Tipologia_Testes]],Auxiliar!$B$5:$B$13,0),MATCH(Table1[[#This Row],[Complexidade]],Auxiliar!$D$4:$F$4,0))</f>
        <v>2</v>
      </c>
      <c r="P562" s="2"/>
      <c r="Q562" s="2" t="s">
        <v>1188</v>
      </c>
      <c r="R562" s="151">
        <v>45261</v>
      </c>
      <c r="S562" s="151"/>
      <c r="T562" s="151"/>
      <c r="U562" s="151"/>
      <c r="V562" s="151"/>
      <c r="W562" s="2">
        <f>VLOOKUP(Table1[[#This Row],[Status]],Auxiliar!$B$16:$D$24,3,0)*Table1[[#This Row],[Estimação (horas)]]</f>
        <v>2</v>
      </c>
      <c r="X562" s="166">
        <f>+VLOOKUP(CONCATENATE(Table1[[#This Row],[Tabela]],Table1[[#This Row],[Campo]]),'2. Status Detalhe Campos FY24'!A:J,9,FALSE)</f>
        <v>0</v>
      </c>
    </row>
    <row r="563" spans="2:24" ht="17.850000000000001" hidden="1" customHeight="1">
      <c r="B563" s="2" t="s">
        <v>26</v>
      </c>
      <c r="C563" s="2" t="s">
        <v>54</v>
      </c>
      <c r="D563" s="2" t="s">
        <v>38</v>
      </c>
      <c r="E563" s="2" t="s">
        <v>38</v>
      </c>
      <c r="F563" s="2" t="s">
        <v>88</v>
      </c>
      <c r="G563" s="2" t="s">
        <v>73</v>
      </c>
      <c r="H563" s="56" t="str">
        <f>Table1[[#This Row],[Tabela]]&amp;Table1[[#This Row],[Campo]]</f>
        <v>PROCESS_PROPERTY_RELDATA_DATE_PART</v>
      </c>
      <c r="I563" s="3" t="s">
        <v>612</v>
      </c>
      <c r="J563" s="54">
        <f>VLOOKUP(Table1[[#This Row],[Status]],Auxiliar!$B$16:$C$24,2,0)</f>
        <v>1</v>
      </c>
      <c r="K563" s="2" t="s">
        <v>1172</v>
      </c>
      <c r="L563" s="28" t="s">
        <v>1177</v>
      </c>
      <c r="M563" s="20" t="s">
        <v>1178</v>
      </c>
      <c r="N563" s="47">
        <v>45485</v>
      </c>
      <c r="O563" s="20">
        <f>INDEX(Auxiliar!$D$5:$F$13,MATCH(Table1[[#This Row],[Tipologia_Testes]],Auxiliar!$B$5:$B$13,0),MATCH(Table1[[#This Row],[Complexidade]],Auxiliar!$D$4:$F$4,0))</f>
        <v>2</v>
      </c>
      <c r="P563" s="2"/>
      <c r="Q563" s="2" t="s">
        <v>1188</v>
      </c>
      <c r="R563" s="151">
        <v>45261</v>
      </c>
      <c r="S563" s="151"/>
      <c r="T563" s="151"/>
      <c r="U563" s="151"/>
      <c r="V563" s="151"/>
      <c r="W563" s="2">
        <f>VLOOKUP(Table1[[#This Row],[Status]],Auxiliar!$B$16:$D$24,3,0)*Table1[[#This Row],[Estimação (horas)]]</f>
        <v>2</v>
      </c>
      <c r="X563" s="166">
        <f>+VLOOKUP(CONCATENATE(Table1[[#This Row],[Tabela]],Table1[[#This Row],[Campo]]),'2. Status Detalhe Campos FY24'!A:J,9,FALSE)</f>
        <v>0</v>
      </c>
    </row>
    <row r="564" spans="2:24" ht="35.1" hidden="1" customHeight="1">
      <c r="B564" s="2" t="s">
        <v>26</v>
      </c>
      <c r="C564" s="2" t="s">
        <v>54</v>
      </c>
      <c r="D564" s="2" t="s">
        <v>38</v>
      </c>
      <c r="E564" s="2" t="s">
        <v>38</v>
      </c>
      <c r="F564" s="2" t="s">
        <v>88</v>
      </c>
      <c r="G564" s="2" t="s">
        <v>73</v>
      </c>
      <c r="H564" s="56" t="str">
        <f>Table1[[#This Row],[Tabela]]&amp;Table1[[#This Row],[Campo]]</f>
        <v>PROCESS_PROPERTY_RELDATA_DATE_PART</v>
      </c>
      <c r="I564" s="3" t="s">
        <v>612</v>
      </c>
      <c r="J564" s="54">
        <f>VLOOKUP(Table1[[#This Row],[Status]],Auxiliar!$B$16:$C$24,2,0)</f>
        <v>1</v>
      </c>
      <c r="K564" s="2" t="s">
        <v>1174</v>
      </c>
      <c r="L564" s="28" t="s">
        <v>1177</v>
      </c>
      <c r="M564" s="20" t="s">
        <v>1178</v>
      </c>
      <c r="N564" s="47">
        <v>45485</v>
      </c>
      <c r="O564" s="20">
        <f>INDEX(Auxiliar!$D$5:$F$13,MATCH(Table1[[#This Row],[Tipologia_Testes]],Auxiliar!$B$5:$B$13,0),MATCH(Table1[[#This Row],[Complexidade]],Auxiliar!$D$4:$F$4,0))</f>
        <v>0.1</v>
      </c>
      <c r="P564" s="2"/>
      <c r="Q564" s="2" t="s">
        <v>1188</v>
      </c>
      <c r="R564" s="151">
        <v>45261</v>
      </c>
      <c r="S564" s="151"/>
      <c r="T564" s="151"/>
      <c r="U564" s="151"/>
      <c r="V564" s="151"/>
      <c r="W564" s="2">
        <f>VLOOKUP(Table1[[#This Row],[Status]],Auxiliar!$B$16:$D$24,3,0)*Table1[[#This Row],[Estimação (horas)]]</f>
        <v>0.1</v>
      </c>
      <c r="X564" s="166">
        <f>+VLOOKUP(CONCATENATE(Table1[[#This Row],[Tabela]],Table1[[#This Row],[Campo]]),'2. Status Detalhe Campos FY24'!A:J,9,FALSE)</f>
        <v>0</v>
      </c>
    </row>
    <row r="565" spans="2:24" ht="17.850000000000001" hidden="1" customHeight="1">
      <c r="B565" s="2" t="s">
        <v>26</v>
      </c>
      <c r="C565" s="2" t="s">
        <v>310</v>
      </c>
      <c r="D565" s="2" t="s">
        <v>312</v>
      </c>
      <c r="E565" s="2" t="s">
        <v>38</v>
      </c>
      <c r="F565" s="2" t="s">
        <v>311</v>
      </c>
      <c r="G565" s="2" t="s">
        <v>38</v>
      </c>
      <c r="H565" s="56" t="str">
        <f>Table1[[#This Row],[Tabela]]&amp;Table1[[#This Row],[Campo]]</f>
        <v>modesg_out_bens_imoveisn.a.</v>
      </c>
      <c r="I565" s="3" t="s">
        <v>612</v>
      </c>
      <c r="J565" s="55">
        <f>VLOOKUP(Table1[[#This Row],[Status]],Auxiliar!$B$16:$C$24,2,0)</f>
        <v>1</v>
      </c>
      <c r="K565" s="2" t="s">
        <v>1168</v>
      </c>
      <c r="L565" s="28" t="s">
        <v>1177</v>
      </c>
      <c r="M565" s="20" t="s">
        <v>1178</v>
      </c>
      <c r="N565" s="47">
        <v>45505</v>
      </c>
      <c r="O565" s="20">
        <f>INDEX(Auxiliar!$D$5:$F$13,MATCH(Table1[[#This Row],[Tipologia_Testes]],Auxiliar!$B$5:$B$13,0),MATCH(Table1[[#This Row],[Complexidade]],Auxiliar!$D$4:$F$4,0))</f>
        <v>8</v>
      </c>
      <c r="P565" s="22" t="s">
        <v>1200</v>
      </c>
      <c r="Q565" s="2"/>
      <c r="R565" s="151">
        <v>45261</v>
      </c>
      <c r="S565" s="151"/>
      <c r="T565" s="151"/>
      <c r="U565" s="151"/>
      <c r="V565" s="151"/>
      <c r="W565" s="2">
        <f>VLOOKUP(Table1[[#This Row],[Status]],Auxiliar!$B$16:$D$24,3,0)*Table1[[#This Row],[Estimação (horas)]]</f>
        <v>8</v>
      </c>
      <c r="X565" s="166">
        <f>+VLOOKUP(CONCATENATE(Table1[[#This Row],[Tabela]],Table1[[#This Row],[Campo]]),'2. Status Detalhe Campos FY24'!A:J,9,FALSE)</f>
        <v>0</v>
      </c>
    </row>
    <row r="566" spans="2:24" ht="17.850000000000001" hidden="1" customHeight="1">
      <c r="B566" s="2" t="s">
        <v>26</v>
      </c>
      <c r="C566" s="2" t="s">
        <v>310</v>
      </c>
      <c r="D566" s="2" t="s">
        <v>312</v>
      </c>
      <c r="E566" s="2" t="s">
        <v>38</v>
      </c>
      <c r="F566" s="2" t="s">
        <v>311</v>
      </c>
      <c r="G566" s="2" t="s">
        <v>313</v>
      </c>
      <c r="H566" s="56" t="str">
        <f>Table1[[#This Row],[Tabela]]&amp;Table1[[#This Row],[Campo]]</f>
        <v>modesg_out_bens_imoveiscempbem</v>
      </c>
      <c r="I566" s="3" t="s">
        <v>612</v>
      </c>
      <c r="J566" s="54">
        <f>VLOOKUP(Table1[[#This Row],[Status]],Auxiliar!$B$16:$C$24,2,0)</f>
        <v>1</v>
      </c>
      <c r="K566" s="2" t="s">
        <v>1171</v>
      </c>
      <c r="L566" s="28" t="s">
        <v>1177</v>
      </c>
      <c r="M566" s="20" t="s">
        <v>1178</v>
      </c>
      <c r="N566" s="47">
        <v>45485</v>
      </c>
      <c r="O566" s="20">
        <f>INDEX(Auxiliar!$D$5:$F$13,MATCH(Table1[[#This Row],[Tipologia_Testes]],Auxiliar!$B$5:$B$13,0),MATCH(Table1[[#This Row],[Complexidade]],Auxiliar!$D$4:$F$4,0))</f>
        <v>2</v>
      </c>
      <c r="P566" s="2" t="s">
        <v>1191</v>
      </c>
      <c r="Q566" s="2" t="s">
        <v>1188</v>
      </c>
      <c r="R566" s="151">
        <v>45261</v>
      </c>
      <c r="S566" s="151"/>
      <c r="T566" s="151"/>
      <c r="U566" s="151"/>
      <c r="V566" s="151"/>
      <c r="W566" s="2">
        <f>VLOOKUP(Table1[[#This Row],[Status]],Auxiliar!$B$16:$D$24,3,0)*Table1[[#This Row],[Estimação (horas)]]</f>
        <v>2</v>
      </c>
      <c r="X566" s="166">
        <f>+VLOOKUP(CONCATENATE(Table1[[#This Row],[Tabela]],Table1[[#This Row],[Campo]]),'2. Status Detalhe Campos FY24'!A:J,9,FALSE)</f>
        <v>0</v>
      </c>
    </row>
    <row r="567" spans="2:24" ht="17.850000000000001" hidden="1" customHeight="1">
      <c r="B567" s="2" t="s">
        <v>26</v>
      </c>
      <c r="C567" s="2" t="s">
        <v>310</v>
      </c>
      <c r="D567" s="2" t="s">
        <v>312</v>
      </c>
      <c r="E567" s="2" t="s">
        <v>38</v>
      </c>
      <c r="F567" s="2" t="s">
        <v>311</v>
      </c>
      <c r="G567" s="2" t="s">
        <v>313</v>
      </c>
      <c r="H567" s="56" t="str">
        <f>Table1[[#This Row],[Tabela]]&amp;Table1[[#This Row],[Campo]]</f>
        <v>modesg_out_bens_imoveiscempbem</v>
      </c>
      <c r="I567" s="3" t="s">
        <v>612</v>
      </c>
      <c r="J567" s="54">
        <f>VLOOKUP(Table1[[#This Row],[Status]],Auxiliar!$B$16:$C$24,2,0)</f>
        <v>1</v>
      </c>
      <c r="K567" s="2" t="s">
        <v>1172</v>
      </c>
      <c r="L567" s="28" t="s">
        <v>1177</v>
      </c>
      <c r="M567" s="20" t="s">
        <v>1178</v>
      </c>
      <c r="N567" s="47">
        <v>45485</v>
      </c>
      <c r="O567" s="20">
        <f>INDEX(Auxiliar!$D$5:$F$13,MATCH(Table1[[#This Row],[Tipologia_Testes]],Auxiliar!$B$5:$B$13,0),MATCH(Table1[[#This Row],[Complexidade]],Auxiliar!$D$4:$F$4,0))</f>
        <v>2</v>
      </c>
      <c r="P567" s="2" t="s">
        <v>1191</v>
      </c>
      <c r="Q567" s="2" t="s">
        <v>1188</v>
      </c>
      <c r="R567" s="151">
        <v>45261</v>
      </c>
      <c r="S567" s="151"/>
      <c r="T567" s="151"/>
      <c r="U567" s="151"/>
      <c r="V567" s="151"/>
      <c r="W567" s="2">
        <f>VLOOKUP(Table1[[#This Row],[Status]],Auxiliar!$B$16:$D$24,3,0)*Table1[[#This Row],[Estimação (horas)]]</f>
        <v>2</v>
      </c>
      <c r="X567" s="166">
        <f>+VLOOKUP(CONCATENATE(Table1[[#This Row],[Tabela]],Table1[[#This Row],[Campo]]),'2. Status Detalhe Campos FY24'!A:J,9,FALSE)</f>
        <v>0</v>
      </c>
    </row>
    <row r="568" spans="2:24" ht="17.850000000000001" hidden="1" customHeight="1">
      <c r="B568" s="2" t="s">
        <v>26</v>
      </c>
      <c r="C568" s="2" t="s">
        <v>310</v>
      </c>
      <c r="D568" s="2" t="s">
        <v>312</v>
      </c>
      <c r="E568" s="2" t="s">
        <v>38</v>
      </c>
      <c r="F568" s="2" t="s">
        <v>311</v>
      </c>
      <c r="G568" s="2" t="s">
        <v>313</v>
      </c>
      <c r="H568" s="56" t="str">
        <f>Table1[[#This Row],[Tabela]]&amp;Table1[[#This Row],[Campo]]</f>
        <v>modesg_out_bens_imoveiscempbem</v>
      </c>
      <c r="I568" s="3" t="s">
        <v>612</v>
      </c>
      <c r="J568" s="54">
        <f>VLOOKUP(Table1[[#This Row],[Status]],Auxiliar!$B$16:$C$24,2,0)</f>
        <v>1</v>
      </c>
      <c r="K568" s="2" t="s">
        <v>1174</v>
      </c>
      <c r="L568" s="28" t="s">
        <v>1177</v>
      </c>
      <c r="M568" s="20" t="s">
        <v>1178</v>
      </c>
      <c r="N568" s="47">
        <v>45485</v>
      </c>
      <c r="O568" s="20">
        <f>INDEX(Auxiliar!$D$5:$F$13,MATCH(Table1[[#This Row],[Tipologia_Testes]],Auxiliar!$B$5:$B$13,0),MATCH(Table1[[#This Row],[Complexidade]],Auxiliar!$D$4:$F$4,0))</f>
        <v>0.1</v>
      </c>
      <c r="P568" s="2" t="s">
        <v>1191</v>
      </c>
      <c r="Q568" s="2" t="s">
        <v>1188</v>
      </c>
      <c r="R568" s="151">
        <v>45261</v>
      </c>
      <c r="S568" s="151"/>
      <c r="T568" s="151"/>
      <c r="U568" s="151"/>
      <c r="V568" s="151"/>
      <c r="W568" s="2">
        <f>VLOOKUP(Table1[[#This Row],[Status]],Auxiliar!$B$16:$D$24,3,0)*Table1[[#This Row],[Estimação (horas)]]</f>
        <v>0.1</v>
      </c>
      <c r="X568" s="166">
        <f>+VLOOKUP(CONCATENATE(Table1[[#This Row],[Tabela]],Table1[[#This Row],[Campo]]),'2. Status Detalhe Campos FY24'!A:J,9,FALSE)</f>
        <v>0</v>
      </c>
    </row>
    <row r="569" spans="2:24" ht="17.850000000000001" hidden="1" customHeight="1">
      <c r="B569" s="2" t="s">
        <v>26</v>
      </c>
      <c r="C569" s="2" t="s">
        <v>310</v>
      </c>
      <c r="D569" s="2" t="s">
        <v>312</v>
      </c>
      <c r="E569" s="2" t="s">
        <v>38</v>
      </c>
      <c r="F569" s="2" t="s">
        <v>311</v>
      </c>
      <c r="G569" s="2" t="s">
        <v>314</v>
      </c>
      <c r="H569" s="56" t="str">
        <f>Table1[[#This Row],[Tabela]]&amp;Table1[[#This Row],[Campo]]</f>
        <v>modesg_out_bens_imoveisckbalbem</v>
      </c>
      <c r="I569" s="3" t="s">
        <v>612</v>
      </c>
      <c r="J569" s="54">
        <f>VLOOKUP(Table1[[#This Row],[Status]],Auxiliar!$B$16:$C$24,2,0)</f>
        <v>1</v>
      </c>
      <c r="K569" s="2" t="s">
        <v>1171</v>
      </c>
      <c r="L569" s="28" t="s">
        <v>1177</v>
      </c>
      <c r="M569" s="20" t="s">
        <v>1178</v>
      </c>
      <c r="N569" s="47">
        <v>45485</v>
      </c>
      <c r="O569" s="20">
        <f>INDEX(Auxiliar!$D$5:$F$13,MATCH(Table1[[#This Row],[Tipologia_Testes]],Auxiliar!$B$5:$B$13,0),MATCH(Table1[[#This Row],[Complexidade]],Auxiliar!$D$4:$F$4,0))</f>
        <v>2</v>
      </c>
      <c r="P569" s="2" t="s">
        <v>1191</v>
      </c>
      <c r="Q569" s="2" t="s">
        <v>1188</v>
      </c>
      <c r="R569" s="151">
        <v>45261</v>
      </c>
      <c r="S569" s="151"/>
      <c r="T569" s="151"/>
      <c r="U569" s="151"/>
      <c r="V569" s="151"/>
      <c r="W569" s="2">
        <f>VLOOKUP(Table1[[#This Row],[Status]],Auxiliar!$B$16:$D$24,3,0)*Table1[[#This Row],[Estimação (horas)]]</f>
        <v>2</v>
      </c>
      <c r="X569" s="166">
        <f>+VLOOKUP(CONCATENATE(Table1[[#This Row],[Tabela]],Table1[[#This Row],[Campo]]),'2. Status Detalhe Campos FY24'!A:J,9,FALSE)</f>
        <v>0</v>
      </c>
    </row>
    <row r="570" spans="2:24" ht="17.850000000000001" hidden="1" customHeight="1">
      <c r="B570" s="2" t="s">
        <v>26</v>
      </c>
      <c r="C570" s="2" t="s">
        <v>310</v>
      </c>
      <c r="D570" s="2" t="s">
        <v>312</v>
      </c>
      <c r="E570" s="2" t="s">
        <v>38</v>
      </c>
      <c r="F570" s="2" t="s">
        <v>311</v>
      </c>
      <c r="G570" s="2" t="s">
        <v>314</v>
      </c>
      <c r="H570" s="56" t="str">
        <f>Table1[[#This Row],[Tabela]]&amp;Table1[[#This Row],[Campo]]</f>
        <v>modesg_out_bens_imoveisckbalbem</v>
      </c>
      <c r="I570" s="3" t="s">
        <v>612</v>
      </c>
      <c r="J570" s="54">
        <f>VLOOKUP(Table1[[#This Row],[Status]],Auxiliar!$B$16:$C$24,2,0)</f>
        <v>1</v>
      </c>
      <c r="K570" s="2" t="s">
        <v>1172</v>
      </c>
      <c r="L570" s="28" t="s">
        <v>1177</v>
      </c>
      <c r="M570" s="20" t="s">
        <v>1178</v>
      </c>
      <c r="N570" s="47">
        <v>45485</v>
      </c>
      <c r="O570" s="20">
        <f>INDEX(Auxiliar!$D$5:$F$13,MATCH(Table1[[#This Row],[Tipologia_Testes]],Auxiliar!$B$5:$B$13,0),MATCH(Table1[[#This Row],[Complexidade]],Auxiliar!$D$4:$F$4,0))</f>
        <v>2</v>
      </c>
      <c r="P570" s="2" t="s">
        <v>1191</v>
      </c>
      <c r="Q570" s="2" t="s">
        <v>1188</v>
      </c>
      <c r="R570" s="151">
        <v>45261</v>
      </c>
      <c r="S570" s="151"/>
      <c r="T570" s="151"/>
      <c r="U570" s="151"/>
      <c r="V570" s="151"/>
      <c r="W570" s="2">
        <f>VLOOKUP(Table1[[#This Row],[Status]],Auxiliar!$B$16:$D$24,3,0)*Table1[[#This Row],[Estimação (horas)]]</f>
        <v>2</v>
      </c>
      <c r="X570" s="166">
        <f>+VLOOKUP(CONCATENATE(Table1[[#This Row],[Tabela]],Table1[[#This Row],[Campo]]),'2. Status Detalhe Campos FY24'!A:J,9,FALSE)</f>
        <v>0</v>
      </c>
    </row>
    <row r="571" spans="2:24" ht="17.850000000000001" hidden="1" customHeight="1">
      <c r="B571" s="2" t="s">
        <v>26</v>
      </c>
      <c r="C571" s="2" t="s">
        <v>310</v>
      </c>
      <c r="D571" s="2" t="s">
        <v>312</v>
      </c>
      <c r="E571" s="2" t="s">
        <v>38</v>
      </c>
      <c r="F571" s="2" t="s">
        <v>311</v>
      </c>
      <c r="G571" s="2" t="s">
        <v>314</v>
      </c>
      <c r="H571" s="56" t="str">
        <f>Table1[[#This Row],[Tabela]]&amp;Table1[[#This Row],[Campo]]</f>
        <v>modesg_out_bens_imoveisckbalbem</v>
      </c>
      <c r="I571" s="3" t="s">
        <v>612</v>
      </c>
      <c r="J571" s="54">
        <f>VLOOKUP(Table1[[#This Row],[Status]],Auxiliar!$B$16:$C$24,2,0)</f>
        <v>1</v>
      </c>
      <c r="K571" s="2" t="s">
        <v>1174</v>
      </c>
      <c r="L571" s="28" t="s">
        <v>1177</v>
      </c>
      <c r="M571" s="20" t="s">
        <v>1178</v>
      </c>
      <c r="N571" s="47">
        <v>45485</v>
      </c>
      <c r="O571" s="20">
        <f>INDEX(Auxiliar!$D$5:$F$13,MATCH(Table1[[#This Row],[Tipologia_Testes]],Auxiliar!$B$5:$B$13,0),MATCH(Table1[[#This Row],[Complexidade]],Auxiliar!$D$4:$F$4,0))</f>
        <v>0.1</v>
      </c>
      <c r="P571" s="2" t="s">
        <v>1191</v>
      </c>
      <c r="Q571" s="2" t="s">
        <v>1188</v>
      </c>
      <c r="R571" s="151">
        <v>45261</v>
      </c>
      <c r="S571" s="151"/>
      <c r="T571" s="151"/>
      <c r="U571" s="151"/>
      <c r="V571" s="151"/>
      <c r="W571" s="2">
        <f>VLOOKUP(Table1[[#This Row],[Status]],Auxiliar!$B$16:$D$24,3,0)*Table1[[#This Row],[Estimação (horas)]]</f>
        <v>0.1</v>
      </c>
      <c r="X571" s="166">
        <f>+VLOOKUP(CONCATENATE(Table1[[#This Row],[Tabela]],Table1[[#This Row],[Campo]]),'2. Status Detalhe Campos FY24'!A:J,9,FALSE)</f>
        <v>0</v>
      </c>
    </row>
    <row r="572" spans="2:24" ht="17.850000000000001" hidden="1" customHeight="1">
      <c r="B572" s="2" t="s">
        <v>26</v>
      </c>
      <c r="C572" s="2" t="s">
        <v>310</v>
      </c>
      <c r="D572" s="2" t="s">
        <v>312</v>
      </c>
      <c r="E572" s="2" t="s">
        <v>38</v>
      </c>
      <c r="F572" s="2" t="s">
        <v>311</v>
      </c>
      <c r="G572" s="2" t="s">
        <v>315</v>
      </c>
      <c r="H572" s="56" t="str">
        <f>Table1[[#This Row],[Tabela]]&amp;Table1[[#This Row],[Campo]]</f>
        <v>modesg_out_bens_imoveisckctabem</v>
      </c>
      <c r="I572" s="3" t="s">
        <v>612</v>
      </c>
      <c r="J572" s="54">
        <f>VLOOKUP(Table1[[#This Row],[Status]],Auxiliar!$B$16:$C$24,2,0)</f>
        <v>1</v>
      </c>
      <c r="K572" s="2" t="s">
        <v>1171</v>
      </c>
      <c r="L572" s="28" t="s">
        <v>1177</v>
      </c>
      <c r="M572" s="20" t="s">
        <v>1178</v>
      </c>
      <c r="N572" s="47">
        <v>45485</v>
      </c>
      <c r="O572" s="20">
        <f>INDEX(Auxiliar!$D$5:$F$13,MATCH(Table1[[#This Row],[Tipologia_Testes]],Auxiliar!$B$5:$B$13,0),MATCH(Table1[[#This Row],[Complexidade]],Auxiliar!$D$4:$F$4,0))</f>
        <v>2</v>
      </c>
      <c r="P572" s="2" t="s">
        <v>1191</v>
      </c>
      <c r="Q572" s="2" t="s">
        <v>1188</v>
      </c>
      <c r="R572" s="151">
        <v>45261</v>
      </c>
      <c r="S572" s="151"/>
      <c r="T572" s="151"/>
      <c r="U572" s="151"/>
      <c r="V572" s="151"/>
      <c r="W572" s="2">
        <f>VLOOKUP(Table1[[#This Row],[Status]],Auxiliar!$B$16:$D$24,3,0)*Table1[[#This Row],[Estimação (horas)]]</f>
        <v>2</v>
      </c>
      <c r="X572" s="166">
        <f>+VLOOKUP(CONCATENATE(Table1[[#This Row],[Tabela]],Table1[[#This Row],[Campo]]),'2. Status Detalhe Campos FY24'!A:J,9,FALSE)</f>
        <v>0</v>
      </c>
    </row>
    <row r="573" spans="2:24" ht="17.850000000000001" hidden="1" customHeight="1">
      <c r="B573" s="2" t="s">
        <v>26</v>
      </c>
      <c r="C573" s="2" t="s">
        <v>310</v>
      </c>
      <c r="D573" s="2" t="s">
        <v>312</v>
      </c>
      <c r="E573" s="2" t="s">
        <v>38</v>
      </c>
      <c r="F573" s="2" t="s">
        <v>311</v>
      </c>
      <c r="G573" s="2" t="s">
        <v>315</v>
      </c>
      <c r="H573" s="56" t="str">
        <f>Table1[[#This Row],[Tabela]]&amp;Table1[[#This Row],[Campo]]</f>
        <v>modesg_out_bens_imoveisckctabem</v>
      </c>
      <c r="I573" s="3" t="s">
        <v>612</v>
      </c>
      <c r="J573" s="54">
        <f>VLOOKUP(Table1[[#This Row],[Status]],Auxiliar!$B$16:$C$24,2,0)</f>
        <v>1</v>
      </c>
      <c r="K573" s="2" t="s">
        <v>1172</v>
      </c>
      <c r="L573" s="28" t="s">
        <v>1177</v>
      </c>
      <c r="M573" s="20" t="s">
        <v>1178</v>
      </c>
      <c r="N573" s="47">
        <v>45485</v>
      </c>
      <c r="O573" s="20">
        <f>INDEX(Auxiliar!$D$5:$F$13,MATCH(Table1[[#This Row],[Tipologia_Testes]],Auxiliar!$B$5:$B$13,0),MATCH(Table1[[#This Row],[Complexidade]],Auxiliar!$D$4:$F$4,0))</f>
        <v>2</v>
      </c>
      <c r="P573" s="2" t="s">
        <v>1191</v>
      </c>
      <c r="Q573" s="2" t="s">
        <v>1188</v>
      </c>
      <c r="R573" s="151">
        <v>45261</v>
      </c>
      <c r="S573" s="151"/>
      <c r="T573" s="151"/>
      <c r="U573" s="151"/>
      <c r="V573" s="151"/>
      <c r="W573" s="2">
        <f>VLOOKUP(Table1[[#This Row],[Status]],Auxiliar!$B$16:$D$24,3,0)*Table1[[#This Row],[Estimação (horas)]]</f>
        <v>2</v>
      </c>
      <c r="X573" s="166">
        <f>+VLOOKUP(CONCATENATE(Table1[[#This Row],[Tabela]],Table1[[#This Row],[Campo]]),'2. Status Detalhe Campos FY24'!A:J,9,FALSE)</f>
        <v>0</v>
      </c>
    </row>
    <row r="574" spans="2:24" ht="17.850000000000001" hidden="1" customHeight="1">
      <c r="B574" s="2" t="s">
        <v>26</v>
      </c>
      <c r="C574" s="2" t="s">
        <v>310</v>
      </c>
      <c r="D574" s="2" t="s">
        <v>312</v>
      </c>
      <c r="E574" s="2" t="s">
        <v>38</v>
      </c>
      <c r="F574" s="2" t="s">
        <v>311</v>
      </c>
      <c r="G574" s="2" t="s">
        <v>315</v>
      </c>
      <c r="H574" s="56" t="str">
        <f>Table1[[#This Row],[Tabela]]&amp;Table1[[#This Row],[Campo]]</f>
        <v>modesg_out_bens_imoveisckctabem</v>
      </c>
      <c r="I574" s="3" t="s">
        <v>612</v>
      </c>
      <c r="J574" s="54">
        <f>VLOOKUP(Table1[[#This Row],[Status]],Auxiliar!$B$16:$C$24,2,0)</f>
        <v>1</v>
      </c>
      <c r="K574" s="2" t="s">
        <v>1174</v>
      </c>
      <c r="L574" s="28" t="s">
        <v>1177</v>
      </c>
      <c r="M574" s="20" t="s">
        <v>1178</v>
      </c>
      <c r="N574" s="47">
        <v>45485</v>
      </c>
      <c r="O574" s="20">
        <f>INDEX(Auxiliar!$D$5:$F$13,MATCH(Table1[[#This Row],[Tipologia_Testes]],Auxiliar!$B$5:$B$13,0),MATCH(Table1[[#This Row],[Complexidade]],Auxiliar!$D$4:$F$4,0))</f>
        <v>0.1</v>
      </c>
      <c r="P574" s="2" t="s">
        <v>1191</v>
      </c>
      <c r="Q574" s="2" t="s">
        <v>1188</v>
      </c>
      <c r="R574" s="151">
        <v>45261</v>
      </c>
      <c r="S574" s="151"/>
      <c r="T574" s="151"/>
      <c r="U574" s="151"/>
      <c r="V574" s="151"/>
      <c r="W574" s="2">
        <f>VLOOKUP(Table1[[#This Row],[Status]],Auxiliar!$B$16:$D$24,3,0)*Table1[[#This Row],[Estimação (horas)]]</f>
        <v>0.1</v>
      </c>
      <c r="X574" s="166">
        <f>+VLOOKUP(CONCATENATE(Table1[[#This Row],[Tabela]],Table1[[#This Row],[Campo]]),'2. Status Detalhe Campos FY24'!A:J,9,FALSE)</f>
        <v>0</v>
      </c>
    </row>
    <row r="575" spans="2:24" ht="17.850000000000001" hidden="1" customHeight="1">
      <c r="B575" s="2" t="s">
        <v>26</v>
      </c>
      <c r="C575" s="2" t="s">
        <v>310</v>
      </c>
      <c r="D575" s="2" t="s">
        <v>312</v>
      </c>
      <c r="E575" s="2" t="s">
        <v>38</v>
      </c>
      <c r="F575" s="2" t="s">
        <v>311</v>
      </c>
      <c r="G575" s="2" t="s">
        <v>316</v>
      </c>
      <c r="H575" s="56" t="str">
        <f>Table1[[#This Row],[Tabela]]&amp;Table1[[#This Row],[Campo]]</f>
        <v>modesg_out_bens_imoveisckrefbem</v>
      </c>
      <c r="I575" s="3" t="s">
        <v>612</v>
      </c>
      <c r="J575" s="54">
        <f>VLOOKUP(Table1[[#This Row],[Status]],Auxiliar!$B$16:$C$24,2,0)</f>
        <v>1</v>
      </c>
      <c r="K575" s="2" t="s">
        <v>1171</v>
      </c>
      <c r="L575" s="28" t="s">
        <v>1177</v>
      </c>
      <c r="M575" s="20" t="s">
        <v>1178</v>
      </c>
      <c r="N575" s="47">
        <v>45485</v>
      </c>
      <c r="O575" s="20">
        <f>INDEX(Auxiliar!$D$5:$F$13,MATCH(Table1[[#This Row],[Tipologia_Testes]],Auxiliar!$B$5:$B$13,0),MATCH(Table1[[#This Row],[Complexidade]],Auxiliar!$D$4:$F$4,0))</f>
        <v>2</v>
      </c>
      <c r="P575" s="2" t="s">
        <v>1191</v>
      </c>
      <c r="Q575" s="2" t="s">
        <v>1188</v>
      </c>
      <c r="R575" s="151">
        <v>45261</v>
      </c>
      <c r="S575" s="151"/>
      <c r="T575" s="151"/>
      <c r="U575" s="151"/>
      <c r="V575" s="151"/>
      <c r="W575" s="2">
        <f>VLOOKUP(Table1[[#This Row],[Status]],Auxiliar!$B$16:$D$24,3,0)*Table1[[#This Row],[Estimação (horas)]]</f>
        <v>2</v>
      </c>
      <c r="X575" s="166">
        <f>+VLOOKUP(CONCATENATE(Table1[[#This Row],[Tabela]],Table1[[#This Row],[Campo]]),'2. Status Detalhe Campos FY24'!A:J,9,FALSE)</f>
        <v>0</v>
      </c>
    </row>
    <row r="576" spans="2:24" ht="17.850000000000001" hidden="1" customHeight="1">
      <c r="B576" s="2" t="s">
        <v>26</v>
      </c>
      <c r="C576" s="2" t="s">
        <v>310</v>
      </c>
      <c r="D576" s="2" t="s">
        <v>312</v>
      </c>
      <c r="E576" s="2" t="s">
        <v>38</v>
      </c>
      <c r="F576" s="2" t="s">
        <v>311</v>
      </c>
      <c r="G576" s="2" t="s">
        <v>316</v>
      </c>
      <c r="H576" s="56" t="str">
        <f>Table1[[#This Row],[Tabela]]&amp;Table1[[#This Row],[Campo]]</f>
        <v>modesg_out_bens_imoveisckrefbem</v>
      </c>
      <c r="I576" s="3" t="s">
        <v>612</v>
      </c>
      <c r="J576" s="54">
        <f>VLOOKUP(Table1[[#This Row],[Status]],Auxiliar!$B$16:$C$24,2,0)</f>
        <v>1</v>
      </c>
      <c r="K576" s="2" t="s">
        <v>1172</v>
      </c>
      <c r="L576" s="28" t="s">
        <v>1177</v>
      </c>
      <c r="M576" s="20" t="s">
        <v>1178</v>
      </c>
      <c r="N576" s="47">
        <v>45485</v>
      </c>
      <c r="O576" s="20">
        <f>INDEX(Auxiliar!$D$5:$F$13,MATCH(Table1[[#This Row],[Tipologia_Testes]],Auxiliar!$B$5:$B$13,0),MATCH(Table1[[#This Row],[Complexidade]],Auxiliar!$D$4:$F$4,0))</f>
        <v>2</v>
      </c>
      <c r="P576" s="2" t="s">
        <v>1191</v>
      </c>
      <c r="Q576" s="2" t="s">
        <v>1188</v>
      </c>
      <c r="R576" s="151">
        <v>45261</v>
      </c>
      <c r="S576" s="151"/>
      <c r="T576" s="151"/>
      <c r="U576" s="151"/>
      <c r="V576" s="151"/>
      <c r="W576" s="2">
        <f>VLOOKUP(Table1[[#This Row],[Status]],Auxiliar!$B$16:$D$24,3,0)*Table1[[#This Row],[Estimação (horas)]]</f>
        <v>2</v>
      </c>
      <c r="X576" s="166">
        <f>+VLOOKUP(CONCATENATE(Table1[[#This Row],[Tabela]],Table1[[#This Row],[Campo]]),'2. Status Detalhe Campos FY24'!A:J,9,FALSE)</f>
        <v>0</v>
      </c>
    </row>
    <row r="577" spans="2:24" ht="17.850000000000001" hidden="1" customHeight="1">
      <c r="B577" s="2" t="s">
        <v>26</v>
      </c>
      <c r="C577" s="2" t="s">
        <v>310</v>
      </c>
      <c r="D577" s="2" t="s">
        <v>312</v>
      </c>
      <c r="E577" s="2" t="s">
        <v>38</v>
      </c>
      <c r="F577" s="2" t="s">
        <v>311</v>
      </c>
      <c r="G577" s="2" t="s">
        <v>316</v>
      </c>
      <c r="H577" s="56" t="str">
        <f>Table1[[#This Row],[Tabela]]&amp;Table1[[#This Row],[Campo]]</f>
        <v>modesg_out_bens_imoveisckrefbem</v>
      </c>
      <c r="I577" s="3" t="s">
        <v>612</v>
      </c>
      <c r="J577" s="54">
        <f>VLOOKUP(Table1[[#This Row],[Status]],Auxiliar!$B$16:$C$24,2,0)</f>
        <v>1</v>
      </c>
      <c r="K577" s="2" t="s">
        <v>1174</v>
      </c>
      <c r="L577" s="28" t="s">
        <v>1177</v>
      </c>
      <c r="M577" s="20" t="s">
        <v>1178</v>
      </c>
      <c r="N577" s="47">
        <v>45485</v>
      </c>
      <c r="O577" s="20">
        <f>INDEX(Auxiliar!$D$5:$F$13,MATCH(Table1[[#This Row],[Tipologia_Testes]],Auxiliar!$B$5:$B$13,0),MATCH(Table1[[#This Row],[Complexidade]],Auxiliar!$D$4:$F$4,0))</f>
        <v>0.1</v>
      </c>
      <c r="P577" s="2" t="s">
        <v>1191</v>
      </c>
      <c r="Q577" s="2" t="s">
        <v>1188</v>
      </c>
      <c r="R577" s="151">
        <v>45261</v>
      </c>
      <c r="S577" s="151"/>
      <c r="T577" s="151"/>
      <c r="U577" s="151"/>
      <c r="V577" s="151"/>
      <c r="W577" s="2">
        <f>VLOOKUP(Table1[[#This Row],[Status]],Auxiliar!$B$16:$D$24,3,0)*Table1[[#This Row],[Estimação (horas)]]</f>
        <v>0.1</v>
      </c>
      <c r="X577" s="166">
        <f>+VLOOKUP(CONCATENATE(Table1[[#This Row],[Tabela]],Table1[[#This Row],[Campo]]),'2. Status Detalhe Campos FY24'!A:J,9,FALSE)</f>
        <v>0</v>
      </c>
    </row>
    <row r="578" spans="2:24" ht="17.850000000000001" hidden="1" customHeight="1">
      <c r="B578" s="2" t="s">
        <v>26</v>
      </c>
      <c r="C578" s="2" t="s">
        <v>310</v>
      </c>
      <c r="D578" s="2" t="s">
        <v>312</v>
      </c>
      <c r="E578" s="2" t="s">
        <v>38</v>
      </c>
      <c r="F578" s="2" t="s">
        <v>311</v>
      </c>
      <c r="G578" s="2" t="s">
        <v>282</v>
      </c>
      <c r="H578" s="56" t="str">
        <f>Table1[[#This Row],[Tabela]]&amp;Table1[[#This Row],[Campo]]</f>
        <v>modesg_out_bens_imoveisflg_rsc_fsc_agd</v>
      </c>
      <c r="I578" s="2" t="s">
        <v>1845</v>
      </c>
      <c r="J578" s="42">
        <f>VLOOKUP(Table1[[#This Row],[Status]],Auxiliar!$B$16:$C$24,2,0)</f>
        <v>2</v>
      </c>
      <c r="K578" s="2" t="s">
        <v>1171</v>
      </c>
      <c r="L578" s="28" t="s">
        <v>1177</v>
      </c>
      <c r="M578" s="20" t="s">
        <v>1170</v>
      </c>
      <c r="N578" s="47">
        <v>45695</v>
      </c>
      <c r="O578" s="20">
        <f>INDEX(Auxiliar!$D$5:$F$13,MATCH(Table1[[#This Row],[Tipologia_Testes]],Auxiliar!$B$5:$B$13,0),MATCH(Table1[[#This Row],[Complexidade]],Auxiliar!$D$4:$F$4,0))</f>
        <v>8</v>
      </c>
      <c r="P578" s="2"/>
      <c r="Q578" s="2"/>
      <c r="R578" s="151">
        <v>45561</v>
      </c>
      <c r="S578" s="151"/>
      <c r="T578" s="151">
        <v>45569</v>
      </c>
      <c r="U578" s="151">
        <v>45621</v>
      </c>
      <c r="V578" s="151">
        <v>45631</v>
      </c>
      <c r="W578" s="2">
        <f>VLOOKUP(Table1[[#This Row],[Status]],Auxiliar!$B$16:$D$24,3,0)*Table1[[#This Row],[Estimação (horas)]]</f>
        <v>4</v>
      </c>
      <c r="X578" s="166">
        <f>+VLOOKUP(CONCATENATE(Table1[[#This Row],[Tabela]],Table1[[#This Row],[Campo]]),'2. Status Detalhe Campos FY24'!A:J,9,FALSE)</f>
        <v>0</v>
      </c>
    </row>
    <row r="579" spans="2:24" ht="17.850000000000001" hidden="1" customHeight="1">
      <c r="B579" s="2" t="s">
        <v>26</v>
      </c>
      <c r="C579" s="2" t="s">
        <v>310</v>
      </c>
      <c r="D579" s="2" t="s">
        <v>312</v>
      </c>
      <c r="E579" s="2" t="s">
        <v>38</v>
      </c>
      <c r="F579" s="2" t="s">
        <v>311</v>
      </c>
      <c r="G579" s="2" t="s">
        <v>282</v>
      </c>
      <c r="H579" s="56" t="str">
        <f>Table1[[#This Row],[Tabela]]&amp;Table1[[#This Row],[Campo]]</f>
        <v>modesg_out_bens_imoveisflg_rsc_fsc_agd</v>
      </c>
      <c r="I579" s="2" t="s">
        <v>1845</v>
      </c>
      <c r="J579" s="42">
        <f>VLOOKUP(Table1[[#This Row],[Status]],Auxiliar!$B$16:$C$24,2,0)</f>
        <v>2</v>
      </c>
      <c r="K579" s="2" t="s">
        <v>1172</v>
      </c>
      <c r="L579" s="28" t="s">
        <v>1177</v>
      </c>
      <c r="M579" s="20" t="s">
        <v>1170</v>
      </c>
      <c r="N579" s="47">
        <v>45695</v>
      </c>
      <c r="O579" s="20">
        <f>INDEX(Auxiliar!$D$5:$F$13,MATCH(Table1[[#This Row],[Tipologia_Testes]],Auxiliar!$B$5:$B$13,0),MATCH(Table1[[#This Row],[Complexidade]],Auxiliar!$D$4:$F$4,0))</f>
        <v>8</v>
      </c>
      <c r="P579" s="2"/>
      <c r="Q579" s="2"/>
      <c r="R579" s="151">
        <v>45561</v>
      </c>
      <c r="S579" s="151"/>
      <c r="T579" s="151">
        <v>45569</v>
      </c>
      <c r="U579" s="151">
        <v>45621</v>
      </c>
      <c r="V579" s="151">
        <v>45631</v>
      </c>
      <c r="W579" s="2">
        <f>VLOOKUP(Table1[[#This Row],[Status]],Auxiliar!$B$16:$D$24,3,0)*Table1[[#This Row],[Estimação (horas)]]</f>
        <v>4</v>
      </c>
      <c r="X579" s="166">
        <f>+VLOOKUP(CONCATENATE(Table1[[#This Row],[Tabela]],Table1[[#This Row],[Campo]]),'2. Status Detalhe Campos FY24'!A:J,9,FALSE)</f>
        <v>0</v>
      </c>
    </row>
    <row r="580" spans="2:24" ht="17.850000000000001" hidden="1" customHeight="1">
      <c r="B580" s="2" t="s">
        <v>26</v>
      </c>
      <c r="C580" s="2" t="s">
        <v>310</v>
      </c>
      <c r="D580" s="2" t="s">
        <v>312</v>
      </c>
      <c r="E580" s="2" t="s">
        <v>38</v>
      </c>
      <c r="F580" s="2" t="s">
        <v>311</v>
      </c>
      <c r="G580" s="2" t="s">
        <v>282</v>
      </c>
      <c r="H580" s="56" t="str">
        <f>Table1[[#This Row],[Tabela]]&amp;Table1[[#This Row],[Campo]]</f>
        <v>modesg_out_bens_imoveisflg_rsc_fsc_agd</v>
      </c>
      <c r="I580" s="2" t="s">
        <v>1845</v>
      </c>
      <c r="J580" s="42">
        <f>VLOOKUP(Table1[[#This Row],[Status]],Auxiliar!$B$16:$C$24,2,0)</f>
        <v>2</v>
      </c>
      <c r="K580" s="2" t="s">
        <v>1174</v>
      </c>
      <c r="L580" s="28" t="s">
        <v>1177</v>
      </c>
      <c r="M580" s="20" t="s">
        <v>1170</v>
      </c>
      <c r="N580" s="47">
        <v>45695</v>
      </c>
      <c r="O580" s="20">
        <f>INDEX(Auxiliar!$D$5:$F$13,MATCH(Table1[[#This Row],[Tipologia_Testes]],Auxiliar!$B$5:$B$13,0),MATCH(Table1[[#This Row],[Complexidade]],Auxiliar!$D$4:$F$4,0))</f>
        <v>0.1</v>
      </c>
      <c r="P580" s="2"/>
      <c r="Q580" s="2"/>
      <c r="R580" s="151">
        <v>45561</v>
      </c>
      <c r="S580" s="151"/>
      <c r="T580" s="151">
        <v>45569</v>
      </c>
      <c r="U580" s="151">
        <v>45621</v>
      </c>
      <c r="V580" s="151">
        <v>45631</v>
      </c>
      <c r="W580" s="2">
        <f>VLOOKUP(Table1[[#This Row],[Status]],Auxiliar!$B$16:$D$24,3,0)*Table1[[#This Row],[Estimação (horas)]]</f>
        <v>0.05</v>
      </c>
      <c r="X580" s="166">
        <f>+VLOOKUP(CONCATENATE(Table1[[#This Row],[Tabela]],Table1[[#This Row],[Campo]]),'2. Status Detalhe Campos FY24'!A:J,9,FALSE)</f>
        <v>0</v>
      </c>
    </row>
    <row r="581" spans="2:24" ht="17.850000000000001" hidden="1" customHeight="1">
      <c r="B581" s="2" t="s">
        <v>26</v>
      </c>
      <c r="C581" s="2" t="s">
        <v>310</v>
      </c>
      <c r="D581" s="2" t="s">
        <v>312</v>
      </c>
      <c r="E581" s="2" t="s">
        <v>38</v>
      </c>
      <c r="F581" s="2" t="s">
        <v>311</v>
      </c>
      <c r="G581" s="2" t="s">
        <v>283</v>
      </c>
      <c r="H581" s="56" t="str">
        <f>Table1[[#This Row],[Tabela]]&amp;Table1[[#This Row],[Campo]]</f>
        <v>modesg_out_bens_imoveisflg_rsc_fsc_crnc</v>
      </c>
      <c r="I581" s="2" t="s">
        <v>1845</v>
      </c>
      <c r="J581" s="42">
        <f>VLOOKUP(Table1[[#This Row],[Status]],Auxiliar!$B$16:$C$24,2,0)</f>
        <v>2</v>
      </c>
      <c r="K581" s="2" t="s">
        <v>1171</v>
      </c>
      <c r="L581" s="28" t="s">
        <v>1177</v>
      </c>
      <c r="M581" s="20" t="s">
        <v>1170</v>
      </c>
      <c r="N581" s="47">
        <v>45695</v>
      </c>
      <c r="O581" s="20">
        <f>INDEX(Auxiliar!$D$5:$F$13,MATCH(Table1[[#This Row],[Tipologia_Testes]],Auxiliar!$B$5:$B$13,0),MATCH(Table1[[#This Row],[Complexidade]],Auxiliar!$D$4:$F$4,0))</f>
        <v>8</v>
      </c>
      <c r="P581" s="2"/>
      <c r="Q581" s="2"/>
      <c r="R581" s="151">
        <v>45561</v>
      </c>
      <c r="S581" s="151"/>
      <c r="T581" s="151">
        <v>45569</v>
      </c>
      <c r="U581" s="151">
        <v>45621</v>
      </c>
      <c r="V581" s="151">
        <v>45631</v>
      </c>
      <c r="W581" s="2">
        <f>VLOOKUP(Table1[[#This Row],[Status]],Auxiliar!$B$16:$D$24,3,0)*Table1[[#This Row],[Estimação (horas)]]</f>
        <v>4</v>
      </c>
      <c r="X581" s="166">
        <f>+VLOOKUP(CONCATENATE(Table1[[#This Row],[Tabela]],Table1[[#This Row],[Campo]]),'2. Status Detalhe Campos FY24'!A:J,9,FALSE)</f>
        <v>0</v>
      </c>
    </row>
    <row r="582" spans="2:24" ht="17.850000000000001" hidden="1" customHeight="1">
      <c r="B582" s="2" t="s">
        <v>26</v>
      </c>
      <c r="C582" s="2" t="s">
        <v>310</v>
      </c>
      <c r="D582" s="2" t="s">
        <v>312</v>
      </c>
      <c r="E582" s="2" t="s">
        <v>38</v>
      </c>
      <c r="F582" s="2" t="s">
        <v>311</v>
      </c>
      <c r="G582" s="2" t="s">
        <v>283</v>
      </c>
      <c r="H582" s="56" t="str">
        <f>Table1[[#This Row],[Tabela]]&amp;Table1[[#This Row],[Campo]]</f>
        <v>modesg_out_bens_imoveisflg_rsc_fsc_crnc</v>
      </c>
      <c r="I582" s="2" t="s">
        <v>1845</v>
      </c>
      <c r="J582" s="42">
        <f>VLOOKUP(Table1[[#This Row],[Status]],Auxiliar!$B$16:$C$24,2,0)</f>
        <v>2</v>
      </c>
      <c r="K582" s="2" t="s">
        <v>1172</v>
      </c>
      <c r="L582" s="28" t="s">
        <v>1177</v>
      </c>
      <c r="M582" s="20" t="s">
        <v>1170</v>
      </c>
      <c r="N582" s="47">
        <v>45695</v>
      </c>
      <c r="O582" s="20">
        <f>INDEX(Auxiliar!$D$5:$F$13,MATCH(Table1[[#This Row],[Tipologia_Testes]],Auxiliar!$B$5:$B$13,0),MATCH(Table1[[#This Row],[Complexidade]],Auxiliar!$D$4:$F$4,0))</f>
        <v>8</v>
      </c>
      <c r="P582" s="2"/>
      <c r="Q582" s="2"/>
      <c r="R582" s="151">
        <v>45561</v>
      </c>
      <c r="S582" s="151"/>
      <c r="T582" s="151">
        <v>45569</v>
      </c>
      <c r="U582" s="151">
        <v>45621</v>
      </c>
      <c r="V582" s="151">
        <v>45631</v>
      </c>
      <c r="W582" s="2">
        <f>VLOOKUP(Table1[[#This Row],[Status]],Auxiliar!$B$16:$D$24,3,0)*Table1[[#This Row],[Estimação (horas)]]</f>
        <v>4</v>
      </c>
      <c r="X582" s="166">
        <f>+VLOOKUP(CONCATENATE(Table1[[#This Row],[Tabela]],Table1[[#This Row],[Campo]]),'2. Status Detalhe Campos FY24'!A:J,9,FALSE)</f>
        <v>0</v>
      </c>
    </row>
    <row r="583" spans="2:24" ht="52.35" hidden="1" customHeight="1">
      <c r="B583" s="2" t="s">
        <v>26</v>
      </c>
      <c r="C583" s="2" t="s">
        <v>310</v>
      </c>
      <c r="D583" s="2" t="s">
        <v>312</v>
      </c>
      <c r="E583" s="2" t="s">
        <v>38</v>
      </c>
      <c r="F583" s="2" t="s">
        <v>311</v>
      </c>
      <c r="G583" s="2" t="s">
        <v>283</v>
      </c>
      <c r="H583" s="56" t="str">
        <f>Table1[[#This Row],[Tabela]]&amp;Table1[[#This Row],[Campo]]</f>
        <v>modesg_out_bens_imoveisflg_rsc_fsc_crnc</v>
      </c>
      <c r="I583" s="2" t="s">
        <v>1845</v>
      </c>
      <c r="J583" s="42">
        <f>VLOOKUP(Table1[[#This Row],[Status]],Auxiliar!$B$16:$C$24,2,0)</f>
        <v>2</v>
      </c>
      <c r="K583" s="2" t="s">
        <v>1174</v>
      </c>
      <c r="L583" s="28" t="s">
        <v>1177</v>
      </c>
      <c r="M583" s="20" t="s">
        <v>1170</v>
      </c>
      <c r="N583" s="47">
        <v>45695</v>
      </c>
      <c r="O583" s="20">
        <f>INDEX(Auxiliar!$D$5:$F$13,MATCH(Table1[[#This Row],[Tipologia_Testes]],Auxiliar!$B$5:$B$13,0),MATCH(Table1[[#This Row],[Complexidade]],Auxiliar!$D$4:$F$4,0))</f>
        <v>0.1</v>
      </c>
      <c r="P583" s="2"/>
      <c r="Q583" s="2"/>
      <c r="R583" s="151">
        <v>45561</v>
      </c>
      <c r="S583" s="151"/>
      <c r="T583" s="151">
        <v>45569</v>
      </c>
      <c r="U583" s="151">
        <v>45621</v>
      </c>
      <c r="V583" s="151">
        <v>45631</v>
      </c>
      <c r="W583" s="2">
        <f>VLOOKUP(Table1[[#This Row],[Status]],Auxiliar!$B$16:$D$24,3,0)*Table1[[#This Row],[Estimação (horas)]]</f>
        <v>0.05</v>
      </c>
      <c r="X583" s="166">
        <f>+VLOOKUP(CONCATENATE(Table1[[#This Row],[Tabela]],Table1[[#This Row],[Campo]]),'2. Status Detalhe Campos FY24'!A:J,9,FALSE)</f>
        <v>0</v>
      </c>
    </row>
    <row r="584" spans="2:24" ht="52.35" hidden="1" customHeight="1">
      <c r="B584" s="2" t="s">
        <v>26</v>
      </c>
      <c r="C584" s="2" t="s">
        <v>310</v>
      </c>
      <c r="D584" s="2" t="s">
        <v>312</v>
      </c>
      <c r="E584" s="2" t="s">
        <v>38</v>
      </c>
      <c r="F584" s="2" t="s">
        <v>311</v>
      </c>
      <c r="G584" s="2" t="s">
        <v>317</v>
      </c>
      <c r="H584" s="56" t="str">
        <f>Table1[[#This Row],[Tabela]]&amp;Table1[[#This Row],[Campo]]</f>
        <v>modesg_out_bens_imoveisorigem_flg_rsc_fsc_agd</v>
      </c>
      <c r="I584" s="2" t="s">
        <v>1845</v>
      </c>
      <c r="J584" s="42">
        <f>VLOOKUP(Table1[[#This Row],[Status]],Auxiliar!$B$16:$C$24,2,0)</f>
        <v>2</v>
      </c>
      <c r="K584" s="2" t="s">
        <v>1171</v>
      </c>
      <c r="L584" s="28" t="s">
        <v>1169</v>
      </c>
      <c r="M584" s="20" t="s">
        <v>1178</v>
      </c>
      <c r="N584" s="47">
        <v>45695</v>
      </c>
      <c r="O584" s="20">
        <f>INDEX(Auxiliar!$D$5:$F$13,MATCH(Table1[[#This Row],[Tipologia_Testes]],Auxiliar!$B$5:$B$13,0),MATCH(Table1[[#This Row],[Complexidade]],Auxiliar!$D$4:$F$4,0))</f>
        <v>2</v>
      </c>
      <c r="P584" s="22" t="s">
        <v>1201</v>
      </c>
      <c r="Q584" s="2"/>
      <c r="R584" s="151">
        <v>45561</v>
      </c>
      <c r="S584" s="151"/>
      <c r="T584" s="151">
        <v>45569</v>
      </c>
      <c r="U584" s="151">
        <v>45621</v>
      </c>
      <c r="V584" s="151">
        <v>45631</v>
      </c>
      <c r="W584" s="2">
        <f>VLOOKUP(Table1[[#This Row],[Status]],Auxiliar!$B$16:$D$24,3,0)*Table1[[#This Row],[Estimação (horas)]]</f>
        <v>1</v>
      </c>
      <c r="X584" s="166">
        <f>+VLOOKUP(CONCATENATE(Table1[[#This Row],[Tabela]],Table1[[#This Row],[Campo]]),'2. Status Detalhe Campos FY24'!A:J,9,FALSE)</f>
        <v>0</v>
      </c>
    </row>
    <row r="585" spans="2:24" ht="52.35" hidden="1" customHeight="1">
      <c r="B585" s="2" t="s">
        <v>26</v>
      </c>
      <c r="C585" s="2" t="s">
        <v>310</v>
      </c>
      <c r="D585" s="2" t="s">
        <v>312</v>
      </c>
      <c r="E585" s="2" t="s">
        <v>38</v>
      </c>
      <c r="F585" s="2" t="s">
        <v>311</v>
      </c>
      <c r="G585" s="2" t="s">
        <v>317</v>
      </c>
      <c r="H585" s="56" t="str">
        <f>Table1[[#This Row],[Tabela]]&amp;Table1[[#This Row],[Campo]]</f>
        <v>modesg_out_bens_imoveisorigem_flg_rsc_fsc_agd</v>
      </c>
      <c r="I585" s="2" t="s">
        <v>1845</v>
      </c>
      <c r="J585" s="42">
        <f>VLOOKUP(Table1[[#This Row],[Status]],Auxiliar!$B$16:$C$24,2,0)</f>
        <v>2</v>
      </c>
      <c r="K585" s="2" t="s">
        <v>1172</v>
      </c>
      <c r="L585" s="28" t="s">
        <v>1169</v>
      </c>
      <c r="M585" s="20" t="s">
        <v>1178</v>
      </c>
      <c r="N585" s="47">
        <v>45695</v>
      </c>
      <c r="O585" s="20">
        <f>INDEX(Auxiliar!$D$5:$F$13,MATCH(Table1[[#This Row],[Tipologia_Testes]],Auxiliar!$B$5:$B$13,0),MATCH(Table1[[#This Row],[Complexidade]],Auxiliar!$D$4:$F$4,0))</f>
        <v>2</v>
      </c>
      <c r="P585" s="22" t="s">
        <v>1201</v>
      </c>
      <c r="Q585" s="2"/>
      <c r="R585" s="151">
        <v>45561</v>
      </c>
      <c r="S585" s="151"/>
      <c r="T585" s="151">
        <v>45569</v>
      </c>
      <c r="U585" s="151">
        <v>45621</v>
      </c>
      <c r="V585" s="151">
        <v>45631</v>
      </c>
      <c r="W585" s="2">
        <f>VLOOKUP(Table1[[#This Row],[Status]],Auxiliar!$B$16:$D$24,3,0)*Table1[[#This Row],[Estimação (horas)]]</f>
        <v>1</v>
      </c>
      <c r="X585" s="166">
        <f>+VLOOKUP(CONCATENATE(Table1[[#This Row],[Tabela]],Table1[[#This Row],[Campo]]),'2. Status Detalhe Campos FY24'!A:J,9,FALSE)</f>
        <v>0</v>
      </c>
    </row>
    <row r="586" spans="2:24" ht="52.35" hidden="1" customHeight="1">
      <c r="B586" s="2" t="s">
        <v>26</v>
      </c>
      <c r="C586" s="2" t="s">
        <v>310</v>
      </c>
      <c r="D586" s="2" t="s">
        <v>312</v>
      </c>
      <c r="E586" s="2" t="s">
        <v>38</v>
      </c>
      <c r="F586" s="2" t="s">
        <v>311</v>
      </c>
      <c r="G586" s="2" t="s">
        <v>317</v>
      </c>
      <c r="H586" s="56" t="str">
        <f>Table1[[#This Row],[Tabela]]&amp;Table1[[#This Row],[Campo]]</f>
        <v>modesg_out_bens_imoveisorigem_flg_rsc_fsc_agd</v>
      </c>
      <c r="I586" s="2" t="s">
        <v>1845</v>
      </c>
      <c r="J586" s="42">
        <f>VLOOKUP(Table1[[#This Row],[Status]],Auxiliar!$B$16:$C$24,2,0)</f>
        <v>2</v>
      </c>
      <c r="K586" s="2" t="s">
        <v>1174</v>
      </c>
      <c r="L586" s="28" t="s">
        <v>1169</v>
      </c>
      <c r="M586" s="20" t="s">
        <v>1178</v>
      </c>
      <c r="N586" s="47">
        <v>45695</v>
      </c>
      <c r="O586" s="20">
        <f>INDEX(Auxiliar!$D$5:$F$13,MATCH(Table1[[#This Row],[Tipologia_Testes]],Auxiliar!$B$5:$B$13,0),MATCH(Table1[[#This Row],[Complexidade]],Auxiliar!$D$4:$F$4,0))</f>
        <v>0.1</v>
      </c>
      <c r="P586" s="22" t="s">
        <v>1201</v>
      </c>
      <c r="Q586" s="2"/>
      <c r="R586" s="151">
        <v>45561</v>
      </c>
      <c r="S586" s="151"/>
      <c r="T586" s="151">
        <v>45569</v>
      </c>
      <c r="U586" s="151">
        <v>45621</v>
      </c>
      <c r="V586" s="151">
        <v>45631</v>
      </c>
      <c r="W586" s="2">
        <f>VLOOKUP(Table1[[#This Row],[Status]],Auxiliar!$B$16:$D$24,3,0)*Table1[[#This Row],[Estimação (horas)]]</f>
        <v>0.05</v>
      </c>
      <c r="X586" s="166">
        <f>+VLOOKUP(CONCATENATE(Table1[[#This Row],[Tabela]],Table1[[#This Row],[Campo]]),'2. Status Detalhe Campos FY24'!A:J,9,FALSE)</f>
        <v>0</v>
      </c>
    </row>
    <row r="587" spans="2:24" ht="52.35" hidden="1" customHeight="1">
      <c r="B587" s="2" t="s">
        <v>26</v>
      </c>
      <c r="C587" s="2" t="s">
        <v>310</v>
      </c>
      <c r="D587" s="2" t="s">
        <v>312</v>
      </c>
      <c r="E587" s="2" t="s">
        <v>38</v>
      </c>
      <c r="F587" s="2" t="s">
        <v>311</v>
      </c>
      <c r="G587" s="2" t="s">
        <v>318</v>
      </c>
      <c r="H587" s="56" t="str">
        <f>Table1[[#This Row],[Tabela]]&amp;Table1[[#This Row],[Campo]]</f>
        <v>modesg_out_bens_imoveisorigem_flg_rsc_fsc_crnc</v>
      </c>
      <c r="I587" s="2" t="s">
        <v>1845</v>
      </c>
      <c r="J587" s="42">
        <f>VLOOKUP(Table1[[#This Row],[Status]],Auxiliar!$B$16:$C$24,2,0)</f>
        <v>2</v>
      </c>
      <c r="K587" s="2" t="s">
        <v>1171</v>
      </c>
      <c r="L587" s="28" t="s">
        <v>1169</v>
      </c>
      <c r="M587" s="20" t="s">
        <v>1178</v>
      </c>
      <c r="N587" s="47">
        <v>45695</v>
      </c>
      <c r="O587" s="20">
        <f>INDEX(Auxiliar!$D$5:$F$13,MATCH(Table1[[#This Row],[Tipologia_Testes]],Auxiliar!$B$5:$B$13,0),MATCH(Table1[[#This Row],[Complexidade]],Auxiliar!$D$4:$F$4,0))</f>
        <v>2</v>
      </c>
      <c r="P587" s="22" t="s">
        <v>1201</v>
      </c>
      <c r="Q587" s="2"/>
      <c r="R587" s="151">
        <v>45561</v>
      </c>
      <c r="S587" s="151"/>
      <c r="T587" s="151">
        <v>45569</v>
      </c>
      <c r="U587" s="151">
        <v>45621</v>
      </c>
      <c r="V587" s="151">
        <v>45631</v>
      </c>
      <c r="W587" s="2">
        <f>VLOOKUP(Table1[[#This Row],[Status]],Auxiliar!$B$16:$D$24,3,0)*Table1[[#This Row],[Estimação (horas)]]</f>
        <v>1</v>
      </c>
      <c r="X587" s="166">
        <f>+VLOOKUP(CONCATENATE(Table1[[#This Row],[Tabela]],Table1[[#This Row],[Campo]]),'2. Status Detalhe Campos FY24'!A:J,9,FALSE)</f>
        <v>0</v>
      </c>
    </row>
    <row r="588" spans="2:24" ht="52.35" hidden="1" customHeight="1">
      <c r="B588" s="2" t="s">
        <v>26</v>
      </c>
      <c r="C588" s="2" t="s">
        <v>310</v>
      </c>
      <c r="D588" s="2" t="s">
        <v>312</v>
      </c>
      <c r="E588" s="2" t="s">
        <v>38</v>
      </c>
      <c r="F588" s="2" t="s">
        <v>311</v>
      </c>
      <c r="G588" s="2" t="s">
        <v>318</v>
      </c>
      <c r="H588" s="56" t="str">
        <f>Table1[[#This Row],[Tabela]]&amp;Table1[[#This Row],[Campo]]</f>
        <v>modesg_out_bens_imoveisorigem_flg_rsc_fsc_crnc</v>
      </c>
      <c r="I588" s="2" t="s">
        <v>1845</v>
      </c>
      <c r="J588" s="42">
        <f>VLOOKUP(Table1[[#This Row],[Status]],Auxiliar!$B$16:$C$24,2,0)</f>
        <v>2</v>
      </c>
      <c r="K588" s="2" t="s">
        <v>1172</v>
      </c>
      <c r="L588" s="28" t="s">
        <v>1169</v>
      </c>
      <c r="M588" s="20" t="s">
        <v>1178</v>
      </c>
      <c r="N588" s="47">
        <v>45695</v>
      </c>
      <c r="O588" s="20">
        <f>INDEX(Auxiliar!$D$5:$F$13,MATCH(Table1[[#This Row],[Tipologia_Testes]],Auxiliar!$B$5:$B$13,0),MATCH(Table1[[#This Row],[Complexidade]],Auxiliar!$D$4:$F$4,0))</f>
        <v>2</v>
      </c>
      <c r="P588" s="22" t="s">
        <v>1201</v>
      </c>
      <c r="Q588" s="2"/>
      <c r="R588" s="151">
        <v>45561</v>
      </c>
      <c r="S588" s="151"/>
      <c r="T588" s="151">
        <v>45569</v>
      </c>
      <c r="U588" s="151">
        <v>45621</v>
      </c>
      <c r="V588" s="151">
        <v>45631</v>
      </c>
      <c r="W588" s="2">
        <f>VLOOKUP(Table1[[#This Row],[Status]],Auxiliar!$B$16:$D$24,3,0)*Table1[[#This Row],[Estimação (horas)]]</f>
        <v>1</v>
      </c>
      <c r="X588" s="166">
        <f>+VLOOKUP(CONCATENATE(Table1[[#This Row],[Tabela]],Table1[[#This Row],[Campo]]),'2. Status Detalhe Campos FY24'!A:J,9,FALSE)</f>
        <v>0</v>
      </c>
    </row>
    <row r="589" spans="2:24" ht="52.35" hidden="1" customHeight="1">
      <c r="B589" s="2" t="s">
        <v>26</v>
      </c>
      <c r="C589" s="2" t="s">
        <v>310</v>
      </c>
      <c r="D589" s="2" t="s">
        <v>312</v>
      </c>
      <c r="E589" s="2" t="s">
        <v>38</v>
      </c>
      <c r="F589" s="2" t="s">
        <v>311</v>
      </c>
      <c r="G589" s="2" t="s">
        <v>318</v>
      </c>
      <c r="H589" s="56" t="str">
        <f>Table1[[#This Row],[Tabela]]&amp;Table1[[#This Row],[Campo]]</f>
        <v>modesg_out_bens_imoveisorigem_flg_rsc_fsc_crnc</v>
      </c>
      <c r="I589" s="2" t="s">
        <v>1845</v>
      </c>
      <c r="J589" s="42">
        <f>VLOOKUP(Table1[[#This Row],[Status]],Auxiliar!$B$16:$C$24,2,0)</f>
        <v>2</v>
      </c>
      <c r="K589" s="2" t="s">
        <v>1174</v>
      </c>
      <c r="L589" s="28" t="s">
        <v>1169</v>
      </c>
      <c r="M589" s="20" t="s">
        <v>1178</v>
      </c>
      <c r="N589" s="47">
        <v>45695</v>
      </c>
      <c r="O589" s="20">
        <f>INDEX(Auxiliar!$D$5:$F$13,MATCH(Table1[[#This Row],[Tipologia_Testes]],Auxiliar!$B$5:$B$13,0),MATCH(Table1[[#This Row],[Complexidade]],Auxiliar!$D$4:$F$4,0))</f>
        <v>0.1</v>
      </c>
      <c r="P589" s="22" t="s">
        <v>1201</v>
      </c>
      <c r="Q589" s="2"/>
      <c r="R589" s="151">
        <v>45561</v>
      </c>
      <c r="S589" s="151"/>
      <c r="T589" s="151">
        <v>45569</v>
      </c>
      <c r="U589" s="151">
        <v>45621</v>
      </c>
      <c r="V589" s="151">
        <v>45631</v>
      </c>
      <c r="W589" s="2">
        <f>VLOOKUP(Table1[[#This Row],[Status]],Auxiliar!$B$16:$D$24,3,0)*Table1[[#This Row],[Estimação (horas)]]</f>
        <v>0.05</v>
      </c>
      <c r="X589" s="166">
        <f>+VLOOKUP(CONCATENATE(Table1[[#This Row],[Tabela]],Table1[[#This Row],[Campo]]),'2. Status Detalhe Campos FY24'!A:J,9,FALSE)</f>
        <v>0</v>
      </c>
    </row>
    <row r="590" spans="2:24" ht="52.35" hidden="1" customHeight="1">
      <c r="B590" s="2" t="s">
        <v>26</v>
      </c>
      <c r="C590" s="2" t="s">
        <v>310</v>
      </c>
      <c r="D590" s="2" t="s">
        <v>312</v>
      </c>
      <c r="E590" s="2" t="s">
        <v>38</v>
      </c>
      <c r="F590" s="2" t="s">
        <v>311</v>
      </c>
      <c r="G590" s="2" t="s">
        <v>319</v>
      </c>
      <c r="H590" s="56" t="str">
        <f>Table1[[#This Row],[Tabela]]&amp;Table1[[#This Row],[Campo]]</f>
        <v>modesg_out_bens_imoveisorigem_scp1_emss</v>
      </c>
      <c r="I590" s="2" t="s">
        <v>612</v>
      </c>
      <c r="J590" s="42">
        <f>VLOOKUP(Table1[[#This Row],[Status]],Auxiliar!$B$16:$C$24,2,0)</f>
        <v>1</v>
      </c>
      <c r="K590" s="2" t="s">
        <v>1171</v>
      </c>
      <c r="L590" s="28" t="s">
        <v>1169</v>
      </c>
      <c r="M590" s="20" t="s">
        <v>1178</v>
      </c>
      <c r="N590" s="47">
        <v>45611</v>
      </c>
      <c r="O590" s="20">
        <f>INDEX(Auxiliar!$D$5:$F$13,MATCH(Table1[[#This Row],[Tipologia_Testes]],Auxiliar!$B$5:$B$13,0),MATCH(Table1[[#This Row],[Complexidade]],Auxiliar!$D$4:$F$4,0))</f>
        <v>2</v>
      </c>
      <c r="P590" s="22"/>
      <c r="Q590" s="2"/>
      <c r="R590" s="151">
        <v>45569</v>
      </c>
      <c r="S590" s="151"/>
      <c r="T590" s="151">
        <v>45604</v>
      </c>
      <c r="U590" s="151">
        <v>45600</v>
      </c>
      <c r="V590" s="151">
        <v>45601</v>
      </c>
      <c r="W590" s="2">
        <f>VLOOKUP(Table1[[#This Row],[Status]],Auxiliar!$B$16:$D$24,3,0)*Table1[[#This Row],[Estimação (horas)]]</f>
        <v>2</v>
      </c>
      <c r="X590" s="166">
        <f>+VLOOKUP(CONCATENATE(Table1[[#This Row],[Tabela]],Table1[[#This Row],[Campo]]),'2. Status Detalhe Campos FY24'!A:J,9,FALSE)</f>
        <v>0</v>
      </c>
    </row>
    <row r="591" spans="2:24" ht="52.35" hidden="1" customHeight="1">
      <c r="B591" s="2" t="s">
        <v>26</v>
      </c>
      <c r="C591" s="2" t="s">
        <v>310</v>
      </c>
      <c r="D591" s="2" t="s">
        <v>312</v>
      </c>
      <c r="E591" s="2" t="s">
        <v>38</v>
      </c>
      <c r="F591" s="2" t="s">
        <v>311</v>
      </c>
      <c r="G591" s="2" t="s">
        <v>319</v>
      </c>
      <c r="H591" s="56" t="str">
        <f>Table1[[#This Row],[Tabela]]&amp;Table1[[#This Row],[Campo]]</f>
        <v>modesg_out_bens_imoveisorigem_scp1_emss</v>
      </c>
      <c r="I591" s="2" t="s">
        <v>612</v>
      </c>
      <c r="J591" s="42">
        <f>VLOOKUP(Table1[[#This Row],[Status]],Auxiliar!$B$16:$C$24,2,0)</f>
        <v>1</v>
      </c>
      <c r="K591" s="2" t="s">
        <v>1172</v>
      </c>
      <c r="L591" s="28" t="s">
        <v>1169</v>
      </c>
      <c r="M591" s="20" t="s">
        <v>1178</v>
      </c>
      <c r="N591" s="47">
        <v>45611</v>
      </c>
      <c r="O591" s="20">
        <f>INDEX(Auxiliar!$D$5:$F$13,MATCH(Table1[[#This Row],[Tipologia_Testes]],Auxiliar!$B$5:$B$13,0),MATCH(Table1[[#This Row],[Complexidade]],Auxiliar!$D$4:$F$4,0))</f>
        <v>2</v>
      </c>
      <c r="P591" s="22"/>
      <c r="Q591" s="2"/>
      <c r="R591" s="151">
        <v>45569</v>
      </c>
      <c r="S591" s="151"/>
      <c r="T591" s="151">
        <v>45604</v>
      </c>
      <c r="U591" s="151">
        <v>45600</v>
      </c>
      <c r="V591" s="151">
        <v>45601</v>
      </c>
      <c r="W591" s="2">
        <f>VLOOKUP(Table1[[#This Row],[Status]],Auxiliar!$B$16:$D$24,3,0)*Table1[[#This Row],[Estimação (horas)]]</f>
        <v>2</v>
      </c>
      <c r="X591" s="166">
        <f>+VLOOKUP(CONCATENATE(Table1[[#This Row],[Tabela]],Table1[[#This Row],[Campo]]),'2. Status Detalhe Campos FY24'!A:J,9,FALSE)</f>
        <v>0</v>
      </c>
    </row>
    <row r="592" spans="2:24" ht="52.35" hidden="1" customHeight="1">
      <c r="B592" s="2" t="s">
        <v>26</v>
      </c>
      <c r="C592" s="2" t="s">
        <v>310</v>
      </c>
      <c r="D592" s="2" t="s">
        <v>312</v>
      </c>
      <c r="E592" s="2" t="s">
        <v>38</v>
      </c>
      <c r="F592" s="2" t="s">
        <v>311</v>
      </c>
      <c r="G592" s="2" t="s">
        <v>319</v>
      </c>
      <c r="H592" s="56" t="str">
        <f>Table1[[#This Row],[Tabela]]&amp;Table1[[#This Row],[Campo]]</f>
        <v>modesg_out_bens_imoveisorigem_scp1_emss</v>
      </c>
      <c r="I592" s="2" t="s">
        <v>612</v>
      </c>
      <c r="J592" s="42">
        <f>VLOOKUP(Table1[[#This Row],[Status]],Auxiliar!$B$16:$C$24,2,0)</f>
        <v>1</v>
      </c>
      <c r="K592" s="2" t="s">
        <v>1174</v>
      </c>
      <c r="L592" s="28" t="s">
        <v>1169</v>
      </c>
      <c r="M592" s="20" t="s">
        <v>1178</v>
      </c>
      <c r="N592" s="47">
        <v>45611</v>
      </c>
      <c r="O592" s="20">
        <f>INDEX(Auxiliar!$D$5:$F$13,MATCH(Table1[[#This Row],[Tipologia_Testes]],Auxiliar!$B$5:$B$13,0),MATCH(Table1[[#This Row],[Complexidade]],Auxiliar!$D$4:$F$4,0))</f>
        <v>0.1</v>
      </c>
      <c r="P592" s="22"/>
      <c r="Q592" s="2"/>
      <c r="R592" s="151">
        <v>45569</v>
      </c>
      <c r="S592" s="151"/>
      <c r="T592" s="151">
        <v>45604</v>
      </c>
      <c r="U592" s="151">
        <v>45600</v>
      </c>
      <c r="V592" s="151">
        <v>45601</v>
      </c>
      <c r="W592" s="2">
        <f>VLOOKUP(Table1[[#This Row],[Status]],Auxiliar!$B$16:$D$24,3,0)*Table1[[#This Row],[Estimação (horas)]]</f>
        <v>0.1</v>
      </c>
      <c r="X592" s="166">
        <f>+VLOOKUP(CONCATENATE(Table1[[#This Row],[Tabela]],Table1[[#This Row],[Campo]]),'2. Status Detalhe Campos FY24'!A:J,9,FALSE)</f>
        <v>0</v>
      </c>
    </row>
    <row r="593" spans="2:24" ht="52.35" hidden="1" customHeight="1">
      <c r="B593" s="2" t="s">
        <v>26</v>
      </c>
      <c r="C593" s="2" t="s">
        <v>310</v>
      </c>
      <c r="D593" s="2" t="s">
        <v>312</v>
      </c>
      <c r="E593" s="2" t="s">
        <v>38</v>
      </c>
      <c r="F593" s="2" t="s">
        <v>311</v>
      </c>
      <c r="G593" s="2" t="s">
        <v>320</v>
      </c>
      <c r="H593" s="56" t="str">
        <f>Table1[[#This Row],[Tabela]]&amp;Table1[[#This Row],[Campo]]</f>
        <v>modesg_out_bens_imoveisorigem_scp2_emss</v>
      </c>
      <c r="I593" s="2" t="s">
        <v>612</v>
      </c>
      <c r="J593" s="42">
        <f>VLOOKUP(Table1[[#This Row],[Status]],Auxiliar!$B$16:$C$24,2,0)</f>
        <v>1</v>
      </c>
      <c r="K593" s="2" t="s">
        <v>1171</v>
      </c>
      <c r="L593" s="28" t="s">
        <v>1169</v>
      </c>
      <c r="M593" s="20" t="s">
        <v>1178</v>
      </c>
      <c r="N593" s="47">
        <v>45611</v>
      </c>
      <c r="O593" s="20">
        <f>INDEX(Auxiliar!$D$5:$F$13,MATCH(Table1[[#This Row],[Tipologia_Testes]],Auxiliar!$B$5:$B$13,0),MATCH(Table1[[#This Row],[Complexidade]],Auxiliar!$D$4:$F$4,0))</f>
        <v>2</v>
      </c>
      <c r="P593" s="22"/>
      <c r="Q593" s="2"/>
      <c r="R593" s="151">
        <v>45569</v>
      </c>
      <c r="S593" s="151"/>
      <c r="T593" s="151">
        <v>45604</v>
      </c>
      <c r="U593" s="151">
        <v>45600</v>
      </c>
      <c r="V593" s="151">
        <v>45601</v>
      </c>
      <c r="W593" s="2">
        <f>VLOOKUP(Table1[[#This Row],[Status]],Auxiliar!$B$16:$D$24,3,0)*Table1[[#This Row],[Estimação (horas)]]</f>
        <v>2</v>
      </c>
      <c r="X593" s="166">
        <f>+VLOOKUP(CONCATENATE(Table1[[#This Row],[Tabela]],Table1[[#This Row],[Campo]]),'2. Status Detalhe Campos FY24'!A:J,9,FALSE)</f>
        <v>0</v>
      </c>
    </row>
    <row r="594" spans="2:24" ht="52.35" hidden="1" customHeight="1">
      <c r="B594" s="2" t="s">
        <v>26</v>
      </c>
      <c r="C594" s="2" t="s">
        <v>310</v>
      </c>
      <c r="D594" s="2" t="s">
        <v>312</v>
      </c>
      <c r="E594" s="2" t="s">
        <v>38</v>
      </c>
      <c r="F594" s="2" t="s">
        <v>311</v>
      </c>
      <c r="G594" s="2" t="s">
        <v>320</v>
      </c>
      <c r="H594" s="56" t="str">
        <f>Table1[[#This Row],[Tabela]]&amp;Table1[[#This Row],[Campo]]</f>
        <v>modesg_out_bens_imoveisorigem_scp2_emss</v>
      </c>
      <c r="I594" s="2" t="s">
        <v>612</v>
      </c>
      <c r="J594" s="42">
        <f>VLOOKUP(Table1[[#This Row],[Status]],Auxiliar!$B$16:$C$24,2,0)</f>
        <v>1</v>
      </c>
      <c r="K594" s="2" t="s">
        <v>1172</v>
      </c>
      <c r="L594" s="28" t="s">
        <v>1169</v>
      </c>
      <c r="M594" s="20" t="s">
        <v>1178</v>
      </c>
      <c r="N594" s="47">
        <v>45611</v>
      </c>
      <c r="O594" s="20">
        <f>INDEX(Auxiliar!$D$5:$F$13,MATCH(Table1[[#This Row],[Tipologia_Testes]],Auxiliar!$B$5:$B$13,0),MATCH(Table1[[#This Row],[Complexidade]],Auxiliar!$D$4:$F$4,0))</f>
        <v>2</v>
      </c>
      <c r="P594" s="22"/>
      <c r="Q594" s="2"/>
      <c r="R594" s="151">
        <v>45569</v>
      </c>
      <c r="S594" s="151"/>
      <c r="T594" s="151">
        <v>45604</v>
      </c>
      <c r="U594" s="151">
        <v>45600</v>
      </c>
      <c r="V594" s="151">
        <v>45601</v>
      </c>
      <c r="W594" s="2">
        <f>VLOOKUP(Table1[[#This Row],[Status]],Auxiliar!$B$16:$D$24,3,0)*Table1[[#This Row],[Estimação (horas)]]</f>
        <v>2</v>
      </c>
      <c r="X594" s="166">
        <f>+VLOOKUP(CONCATENATE(Table1[[#This Row],[Tabela]],Table1[[#This Row],[Campo]]),'2. Status Detalhe Campos FY24'!A:J,9,FALSE)</f>
        <v>0</v>
      </c>
    </row>
    <row r="595" spans="2:24" ht="52.35" hidden="1" customHeight="1">
      <c r="B595" s="2" t="s">
        <v>26</v>
      </c>
      <c r="C595" s="2" t="s">
        <v>310</v>
      </c>
      <c r="D595" s="2" t="s">
        <v>312</v>
      </c>
      <c r="E595" s="2" t="s">
        <v>38</v>
      </c>
      <c r="F595" s="2" t="s">
        <v>311</v>
      </c>
      <c r="G595" s="2" t="s">
        <v>320</v>
      </c>
      <c r="H595" s="56" t="str">
        <f>Table1[[#This Row],[Tabela]]&amp;Table1[[#This Row],[Campo]]</f>
        <v>modesg_out_bens_imoveisorigem_scp2_emss</v>
      </c>
      <c r="I595" s="2" t="s">
        <v>612</v>
      </c>
      <c r="J595" s="42">
        <f>VLOOKUP(Table1[[#This Row],[Status]],Auxiliar!$B$16:$C$24,2,0)</f>
        <v>1</v>
      </c>
      <c r="K595" s="2" t="s">
        <v>1174</v>
      </c>
      <c r="L595" s="28" t="s">
        <v>1169</v>
      </c>
      <c r="M595" s="20" t="s">
        <v>1178</v>
      </c>
      <c r="N595" s="47">
        <v>45611</v>
      </c>
      <c r="O595" s="20">
        <f>INDEX(Auxiliar!$D$5:$F$13,MATCH(Table1[[#This Row],[Tipologia_Testes]],Auxiliar!$B$5:$B$13,0),MATCH(Table1[[#This Row],[Complexidade]],Auxiliar!$D$4:$F$4,0))</f>
        <v>0.1</v>
      </c>
      <c r="P595" s="22"/>
      <c r="Q595" s="2"/>
      <c r="R595" s="151">
        <v>45569</v>
      </c>
      <c r="S595" s="151"/>
      <c r="T595" s="151">
        <v>45604</v>
      </c>
      <c r="U595" s="151">
        <v>45600</v>
      </c>
      <c r="V595" s="151">
        <v>45601</v>
      </c>
      <c r="W595" s="2">
        <f>VLOOKUP(Table1[[#This Row],[Status]],Auxiliar!$B$16:$D$24,3,0)*Table1[[#This Row],[Estimação (horas)]]</f>
        <v>0.1</v>
      </c>
      <c r="X595" s="166">
        <f>+VLOOKUP(CONCATENATE(Table1[[#This Row],[Tabela]],Table1[[#This Row],[Campo]]),'2. Status Detalhe Campos FY24'!A:J,9,FALSE)</f>
        <v>0</v>
      </c>
    </row>
    <row r="596" spans="2:24" ht="52.35" hidden="1" customHeight="1">
      <c r="B596" s="2" t="s">
        <v>26</v>
      </c>
      <c r="C596" s="2" t="s">
        <v>310</v>
      </c>
      <c r="D596" s="2" t="s">
        <v>312</v>
      </c>
      <c r="E596" s="2" t="s">
        <v>38</v>
      </c>
      <c r="F596" s="2" t="s">
        <v>311</v>
      </c>
      <c r="G596" s="2" t="s">
        <v>321</v>
      </c>
      <c r="H596" s="56" t="str">
        <f>Table1[[#This Row],[Tabela]]&amp;Table1[[#This Row],[Campo]]</f>
        <v>modesg_out_bens_imoveisorigem_scp3_emss</v>
      </c>
      <c r="I596" s="2" t="s">
        <v>612</v>
      </c>
      <c r="J596" s="42">
        <f>VLOOKUP(Table1[[#This Row],[Status]],Auxiliar!$B$16:$C$24,2,0)</f>
        <v>1</v>
      </c>
      <c r="K596" s="2" t="s">
        <v>1171</v>
      </c>
      <c r="L596" s="28" t="s">
        <v>1177</v>
      </c>
      <c r="M596" s="20" t="s">
        <v>1178</v>
      </c>
      <c r="N596" s="47">
        <v>45604</v>
      </c>
      <c r="O596" s="20">
        <f>INDEX(Auxiliar!$D$5:$F$13,MATCH(Table1[[#This Row],[Tipologia_Testes]],Auxiliar!$B$5:$B$13,0),MATCH(Table1[[#This Row],[Complexidade]],Auxiliar!$D$4:$F$4,0))</f>
        <v>2</v>
      </c>
      <c r="P596" s="22"/>
      <c r="Q596" s="2"/>
      <c r="R596" s="151">
        <v>45569</v>
      </c>
      <c r="S596" s="151"/>
      <c r="T596" s="151">
        <v>45569</v>
      </c>
      <c r="U596" s="151">
        <v>45600</v>
      </c>
      <c r="V596" s="151">
        <v>45601</v>
      </c>
      <c r="W596" s="2">
        <f>VLOOKUP(Table1[[#This Row],[Status]],Auxiliar!$B$16:$D$24,3,0)*Table1[[#This Row],[Estimação (horas)]]</f>
        <v>2</v>
      </c>
      <c r="X596" s="166">
        <f>+VLOOKUP(CONCATENATE(Table1[[#This Row],[Tabela]],Table1[[#This Row],[Campo]]),'2. Status Detalhe Campos FY24'!A:J,9,FALSE)</f>
        <v>0</v>
      </c>
    </row>
    <row r="597" spans="2:24" ht="52.35" hidden="1" customHeight="1">
      <c r="B597" s="2" t="s">
        <v>26</v>
      </c>
      <c r="C597" s="2" t="s">
        <v>310</v>
      </c>
      <c r="D597" s="2" t="s">
        <v>312</v>
      </c>
      <c r="E597" s="2" t="s">
        <v>38</v>
      </c>
      <c r="F597" s="2" t="s">
        <v>311</v>
      </c>
      <c r="G597" s="2" t="s">
        <v>321</v>
      </c>
      <c r="H597" s="56" t="str">
        <f>Table1[[#This Row],[Tabela]]&amp;Table1[[#This Row],[Campo]]</f>
        <v>modesg_out_bens_imoveisorigem_scp3_emss</v>
      </c>
      <c r="I597" s="2" t="s">
        <v>612</v>
      </c>
      <c r="J597" s="42">
        <f>VLOOKUP(Table1[[#This Row],[Status]],Auxiliar!$B$16:$C$24,2,0)</f>
        <v>1</v>
      </c>
      <c r="K597" s="2" t="s">
        <v>1172</v>
      </c>
      <c r="L597" s="28" t="s">
        <v>1177</v>
      </c>
      <c r="M597" s="20" t="s">
        <v>1178</v>
      </c>
      <c r="N597" s="47">
        <v>45604</v>
      </c>
      <c r="O597" s="20">
        <f>INDEX(Auxiliar!$D$5:$F$13,MATCH(Table1[[#This Row],[Tipologia_Testes]],Auxiliar!$B$5:$B$13,0),MATCH(Table1[[#This Row],[Complexidade]],Auxiliar!$D$4:$F$4,0))</f>
        <v>2</v>
      </c>
      <c r="P597" s="22"/>
      <c r="Q597" s="2"/>
      <c r="R597" s="151">
        <v>45569</v>
      </c>
      <c r="S597" s="151"/>
      <c r="T597" s="151">
        <v>45569</v>
      </c>
      <c r="U597" s="151">
        <v>45600</v>
      </c>
      <c r="V597" s="151">
        <v>45601</v>
      </c>
      <c r="W597" s="2">
        <f>VLOOKUP(Table1[[#This Row],[Status]],Auxiliar!$B$16:$D$24,3,0)*Table1[[#This Row],[Estimação (horas)]]</f>
        <v>2</v>
      </c>
      <c r="X597" s="166">
        <f>+VLOOKUP(CONCATENATE(Table1[[#This Row],[Tabela]],Table1[[#This Row],[Campo]]),'2. Status Detalhe Campos FY24'!A:J,9,FALSE)</f>
        <v>0</v>
      </c>
    </row>
    <row r="598" spans="2:24" ht="17.850000000000001" hidden="1" customHeight="1">
      <c r="B598" s="2" t="s">
        <v>26</v>
      </c>
      <c r="C598" s="2" t="s">
        <v>310</v>
      </c>
      <c r="D598" s="2" t="s">
        <v>312</v>
      </c>
      <c r="E598" s="2" t="s">
        <v>38</v>
      </c>
      <c r="F598" s="2" t="s">
        <v>311</v>
      </c>
      <c r="G598" s="2" t="s">
        <v>321</v>
      </c>
      <c r="H598" s="56" t="str">
        <f>Table1[[#This Row],[Tabela]]&amp;Table1[[#This Row],[Campo]]</f>
        <v>modesg_out_bens_imoveisorigem_scp3_emss</v>
      </c>
      <c r="I598" s="2" t="s">
        <v>612</v>
      </c>
      <c r="J598" s="42">
        <f>VLOOKUP(Table1[[#This Row],[Status]],Auxiliar!$B$16:$C$24,2,0)</f>
        <v>1</v>
      </c>
      <c r="K598" s="2" t="s">
        <v>1174</v>
      </c>
      <c r="L598" s="28" t="s">
        <v>1177</v>
      </c>
      <c r="M598" s="20" t="s">
        <v>1178</v>
      </c>
      <c r="N598" s="47">
        <v>45604</v>
      </c>
      <c r="O598" s="20">
        <f>INDEX(Auxiliar!$D$5:$F$13,MATCH(Table1[[#This Row],[Tipologia_Testes]],Auxiliar!$B$5:$B$13,0),MATCH(Table1[[#This Row],[Complexidade]],Auxiliar!$D$4:$F$4,0))</f>
        <v>0.1</v>
      </c>
      <c r="P598" s="22"/>
      <c r="Q598" s="2"/>
      <c r="R598" s="151">
        <v>45569</v>
      </c>
      <c r="S598" s="151"/>
      <c r="T598" s="151">
        <v>45569</v>
      </c>
      <c r="U598" s="151">
        <v>45600</v>
      </c>
      <c r="V598" s="151">
        <v>45601</v>
      </c>
      <c r="W598" s="2">
        <f>VLOOKUP(Table1[[#This Row],[Status]],Auxiliar!$B$16:$D$24,3,0)*Table1[[#This Row],[Estimação (horas)]]</f>
        <v>0.1</v>
      </c>
      <c r="X598" s="166">
        <f>+VLOOKUP(CONCATENATE(Table1[[#This Row],[Tabela]],Table1[[#This Row],[Campo]]),'2. Status Detalhe Campos FY24'!A:J,9,FALSE)</f>
        <v>0</v>
      </c>
    </row>
    <row r="599" spans="2:24" ht="17.850000000000001" hidden="1" customHeight="1">
      <c r="B599" s="2" t="s">
        <v>26</v>
      </c>
      <c r="C599" s="2" t="s">
        <v>310</v>
      </c>
      <c r="D599" s="2" t="s">
        <v>312</v>
      </c>
      <c r="E599" s="2" t="s">
        <v>38</v>
      </c>
      <c r="F599" s="2" t="s">
        <v>311</v>
      </c>
      <c r="G599" s="2" t="s">
        <v>208</v>
      </c>
      <c r="H599" s="56" t="str">
        <f>Table1[[#This Row],[Tabela]]&amp;Table1[[#This Row],[Campo]]</f>
        <v>modesg_out_bens_imoveisref_date</v>
      </c>
      <c r="I599" s="3" t="s">
        <v>612</v>
      </c>
      <c r="J599" s="54">
        <f>VLOOKUP(Table1[[#This Row],[Status]],Auxiliar!$B$16:$C$24,2,0)</f>
        <v>1</v>
      </c>
      <c r="K599" s="2" t="s">
        <v>1171</v>
      </c>
      <c r="L599" s="28" t="s">
        <v>1177</v>
      </c>
      <c r="M599" s="20" t="s">
        <v>1178</v>
      </c>
      <c r="N599" s="47">
        <v>45485</v>
      </c>
      <c r="O599" s="20">
        <f>INDEX(Auxiliar!$D$5:$F$13,MATCH(Table1[[#This Row],[Tipologia_Testes]],Auxiliar!$B$5:$B$13,0),MATCH(Table1[[#This Row],[Complexidade]],Auxiliar!$D$4:$F$4,0))</f>
        <v>2</v>
      </c>
      <c r="P599" s="2"/>
      <c r="Q599" s="2" t="s">
        <v>1188</v>
      </c>
      <c r="R599" s="151">
        <v>45261</v>
      </c>
      <c r="S599" s="151"/>
      <c r="T599" s="151"/>
      <c r="U599" s="151"/>
      <c r="V599" s="151"/>
      <c r="W599" s="2">
        <f>VLOOKUP(Table1[[#This Row],[Status]],Auxiliar!$B$16:$D$24,3,0)*Table1[[#This Row],[Estimação (horas)]]</f>
        <v>2</v>
      </c>
      <c r="X599" s="166">
        <f>+VLOOKUP(CONCATENATE(Table1[[#This Row],[Tabela]],Table1[[#This Row],[Campo]]),'2. Status Detalhe Campos FY24'!A:J,9,FALSE)</f>
        <v>0</v>
      </c>
    </row>
    <row r="600" spans="2:24" ht="17.850000000000001" hidden="1" customHeight="1">
      <c r="B600" s="2" t="s">
        <v>26</v>
      </c>
      <c r="C600" s="2" t="s">
        <v>310</v>
      </c>
      <c r="D600" s="2" t="s">
        <v>312</v>
      </c>
      <c r="E600" s="2" t="s">
        <v>38</v>
      </c>
      <c r="F600" s="2" t="s">
        <v>311</v>
      </c>
      <c r="G600" s="2" t="s">
        <v>208</v>
      </c>
      <c r="H600" s="56" t="str">
        <f>Table1[[#This Row],[Tabela]]&amp;Table1[[#This Row],[Campo]]</f>
        <v>modesg_out_bens_imoveisref_date</v>
      </c>
      <c r="I600" s="3" t="s">
        <v>612</v>
      </c>
      <c r="J600" s="54">
        <f>VLOOKUP(Table1[[#This Row],[Status]],Auxiliar!$B$16:$C$24,2,0)</f>
        <v>1</v>
      </c>
      <c r="K600" s="2" t="s">
        <v>1172</v>
      </c>
      <c r="L600" s="28" t="s">
        <v>1177</v>
      </c>
      <c r="M600" s="20" t="s">
        <v>1178</v>
      </c>
      <c r="N600" s="47">
        <v>45485</v>
      </c>
      <c r="O600" s="20">
        <f>INDEX(Auxiliar!$D$5:$F$13,MATCH(Table1[[#This Row],[Tipologia_Testes]],Auxiliar!$B$5:$B$13,0),MATCH(Table1[[#This Row],[Complexidade]],Auxiliar!$D$4:$F$4,0))</f>
        <v>2</v>
      </c>
      <c r="P600" s="2"/>
      <c r="Q600" s="2" t="s">
        <v>1188</v>
      </c>
      <c r="R600" s="151">
        <v>45261</v>
      </c>
      <c r="S600" s="151"/>
      <c r="T600" s="151"/>
      <c r="U600" s="151"/>
      <c r="V600" s="151"/>
      <c r="W600" s="2">
        <f>VLOOKUP(Table1[[#This Row],[Status]],Auxiliar!$B$16:$D$24,3,0)*Table1[[#This Row],[Estimação (horas)]]</f>
        <v>2</v>
      </c>
      <c r="X600" s="166">
        <f>+VLOOKUP(CONCATENATE(Table1[[#This Row],[Tabela]],Table1[[#This Row],[Campo]]),'2. Status Detalhe Campos FY24'!A:J,9,FALSE)</f>
        <v>0</v>
      </c>
    </row>
    <row r="601" spans="2:24" ht="69.599999999999994" hidden="1" customHeight="1">
      <c r="B601" s="2" t="s">
        <v>26</v>
      </c>
      <c r="C601" s="2" t="s">
        <v>310</v>
      </c>
      <c r="D601" s="2" t="s">
        <v>312</v>
      </c>
      <c r="E601" s="2" t="s">
        <v>38</v>
      </c>
      <c r="F601" s="2" t="s">
        <v>311</v>
      </c>
      <c r="G601" s="2" t="s">
        <v>208</v>
      </c>
      <c r="H601" s="56" t="str">
        <f>Table1[[#This Row],[Tabela]]&amp;Table1[[#This Row],[Campo]]</f>
        <v>modesg_out_bens_imoveisref_date</v>
      </c>
      <c r="I601" s="3" t="s">
        <v>612</v>
      </c>
      <c r="J601" s="54">
        <f>VLOOKUP(Table1[[#This Row],[Status]],Auxiliar!$B$16:$C$24,2,0)</f>
        <v>1</v>
      </c>
      <c r="K601" s="2" t="s">
        <v>1174</v>
      </c>
      <c r="L601" s="28" t="s">
        <v>1177</v>
      </c>
      <c r="M601" s="20" t="s">
        <v>1178</v>
      </c>
      <c r="N601" s="47">
        <v>45485</v>
      </c>
      <c r="O601" s="20">
        <f>INDEX(Auxiliar!$D$5:$F$13,MATCH(Table1[[#This Row],[Tipologia_Testes]],Auxiliar!$B$5:$B$13,0),MATCH(Table1[[#This Row],[Complexidade]],Auxiliar!$D$4:$F$4,0))</f>
        <v>0.1</v>
      </c>
      <c r="P601" s="2"/>
      <c r="Q601" s="2" t="s">
        <v>1188</v>
      </c>
      <c r="R601" s="151">
        <v>45261</v>
      </c>
      <c r="S601" s="151"/>
      <c r="T601" s="151"/>
      <c r="U601" s="151"/>
      <c r="V601" s="151"/>
      <c r="W601" s="2">
        <f>VLOOKUP(Table1[[#This Row],[Status]],Auxiliar!$B$16:$D$24,3,0)*Table1[[#This Row],[Estimação (horas)]]</f>
        <v>0.1</v>
      </c>
      <c r="X601" s="166">
        <f>+VLOOKUP(CONCATENATE(Table1[[#This Row],[Tabela]],Table1[[#This Row],[Campo]]),'2. Status Detalhe Campos FY24'!A:J,9,FALSE)</f>
        <v>0</v>
      </c>
    </row>
    <row r="602" spans="2:24" ht="69.599999999999994" hidden="1" customHeight="1">
      <c r="B602" s="2" t="s">
        <v>26</v>
      </c>
      <c r="C602" s="2" t="s">
        <v>310</v>
      </c>
      <c r="D602" s="2" t="s">
        <v>312</v>
      </c>
      <c r="E602" s="2" t="s">
        <v>38</v>
      </c>
      <c r="F602" s="2" t="s">
        <v>311</v>
      </c>
      <c r="G602" s="2" t="s">
        <v>285</v>
      </c>
      <c r="H602" s="56" t="str">
        <f>Table1[[#This Row],[Tabela]]&amp;Table1[[#This Row],[Campo]]</f>
        <v>modesg_out_bens_imoveisscp1_emss</v>
      </c>
      <c r="I602" s="2" t="s">
        <v>612</v>
      </c>
      <c r="J602" s="42">
        <f>VLOOKUP(Table1[[#This Row],[Status]],Auxiliar!$B$16:$C$24,2,0)</f>
        <v>1</v>
      </c>
      <c r="K602" s="2" t="s">
        <v>1171</v>
      </c>
      <c r="L602" s="28" t="s">
        <v>1169</v>
      </c>
      <c r="M602" s="20" t="s">
        <v>1179</v>
      </c>
      <c r="N602" s="47">
        <v>45611</v>
      </c>
      <c r="O602" s="20">
        <f>INDEX(Auxiliar!$D$5:$F$13,MATCH(Table1[[#This Row],[Tipologia_Testes]],Auxiliar!$B$5:$B$13,0),MATCH(Table1[[#This Row],[Complexidade]],Auxiliar!$D$4:$F$4,0))</f>
        <v>4</v>
      </c>
      <c r="P602" s="22"/>
      <c r="Q602" s="2"/>
      <c r="R602" s="151">
        <v>45569</v>
      </c>
      <c r="S602" s="151"/>
      <c r="T602" s="151">
        <v>45604</v>
      </c>
      <c r="U602" s="151">
        <v>45600</v>
      </c>
      <c r="V602" s="151">
        <v>45601</v>
      </c>
      <c r="W602" s="2">
        <f>VLOOKUP(Table1[[#This Row],[Status]],Auxiliar!$B$16:$D$24,3,0)*Table1[[#This Row],[Estimação (horas)]]</f>
        <v>4</v>
      </c>
      <c r="X602" s="166">
        <f>+VLOOKUP(CONCATENATE(Table1[[#This Row],[Tabela]],Table1[[#This Row],[Campo]]),'2. Status Detalhe Campos FY24'!A:J,9,FALSE)</f>
        <v>0</v>
      </c>
    </row>
    <row r="603" spans="2:24" ht="69.599999999999994" hidden="1" customHeight="1">
      <c r="B603" s="2" t="s">
        <v>26</v>
      </c>
      <c r="C603" s="2" t="s">
        <v>310</v>
      </c>
      <c r="D603" s="2" t="s">
        <v>312</v>
      </c>
      <c r="E603" s="2" t="s">
        <v>38</v>
      </c>
      <c r="F603" s="2" t="s">
        <v>311</v>
      </c>
      <c r="G603" s="2" t="s">
        <v>285</v>
      </c>
      <c r="H603" s="56" t="str">
        <f>Table1[[#This Row],[Tabela]]&amp;Table1[[#This Row],[Campo]]</f>
        <v>modesg_out_bens_imoveisscp1_emss</v>
      </c>
      <c r="I603" s="2" t="s">
        <v>612</v>
      </c>
      <c r="J603" s="42">
        <f>VLOOKUP(Table1[[#This Row],[Status]],Auxiliar!$B$16:$C$24,2,0)</f>
        <v>1</v>
      </c>
      <c r="K603" s="2" t="s">
        <v>1172</v>
      </c>
      <c r="L603" s="28" t="s">
        <v>1169</v>
      </c>
      <c r="M603" s="20" t="s">
        <v>1179</v>
      </c>
      <c r="N603" s="47">
        <v>45611</v>
      </c>
      <c r="O603" s="20">
        <f>INDEX(Auxiliar!$D$5:$F$13,MATCH(Table1[[#This Row],[Tipologia_Testes]],Auxiliar!$B$5:$B$13,0),MATCH(Table1[[#This Row],[Complexidade]],Auxiliar!$D$4:$F$4,0))</f>
        <v>4</v>
      </c>
      <c r="P603" s="22"/>
      <c r="Q603" s="2"/>
      <c r="R603" s="151">
        <v>45569</v>
      </c>
      <c r="S603" s="151"/>
      <c r="T603" s="151">
        <v>45604</v>
      </c>
      <c r="U603" s="151">
        <v>45600</v>
      </c>
      <c r="V603" s="151">
        <v>45601</v>
      </c>
      <c r="W603" s="2">
        <f>VLOOKUP(Table1[[#This Row],[Status]],Auxiliar!$B$16:$D$24,3,0)*Table1[[#This Row],[Estimação (horas)]]</f>
        <v>4</v>
      </c>
      <c r="X603" s="166">
        <f>+VLOOKUP(CONCATENATE(Table1[[#This Row],[Tabela]],Table1[[#This Row],[Campo]]),'2. Status Detalhe Campos FY24'!A:J,9,FALSE)</f>
        <v>0</v>
      </c>
    </row>
    <row r="604" spans="2:24" ht="69.599999999999994" hidden="1" customHeight="1">
      <c r="B604" s="2" t="s">
        <v>26</v>
      </c>
      <c r="C604" s="2" t="s">
        <v>310</v>
      </c>
      <c r="D604" s="2" t="s">
        <v>312</v>
      </c>
      <c r="E604" s="2" t="s">
        <v>38</v>
      </c>
      <c r="F604" s="2" t="s">
        <v>311</v>
      </c>
      <c r="G604" s="2" t="s">
        <v>285</v>
      </c>
      <c r="H604" s="56" t="str">
        <f>Table1[[#This Row],[Tabela]]&amp;Table1[[#This Row],[Campo]]</f>
        <v>modesg_out_bens_imoveisscp1_emss</v>
      </c>
      <c r="I604" s="2" t="s">
        <v>612</v>
      </c>
      <c r="J604" s="42">
        <f>VLOOKUP(Table1[[#This Row],[Status]],Auxiliar!$B$16:$C$24,2,0)</f>
        <v>1</v>
      </c>
      <c r="K604" s="2" t="s">
        <v>1174</v>
      </c>
      <c r="L604" s="28" t="s">
        <v>1169</v>
      </c>
      <c r="M604" s="20" t="s">
        <v>1179</v>
      </c>
      <c r="N604" s="47">
        <v>45611</v>
      </c>
      <c r="O604" s="20">
        <f>INDEX(Auxiliar!$D$5:$F$13,MATCH(Table1[[#This Row],[Tipologia_Testes]],Auxiliar!$B$5:$B$13,0),MATCH(Table1[[#This Row],[Complexidade]],Auxiliar!$D$4:$F$4,0))</f>
        <v>0.1</v>
      </c>
      <c r="P604" s="22"/>
      <c r="Q604" s="2"/>
      <c r="R604" s="151">
        <v>45569</v>
      </c>
      <c r="S604" s="151"/>
      <c r="T604" s="151">
        <v>45604</v>
      </c>
      <c r="U604" s="151">
        <v>45600</v>
      </c>
      <c r="V604" s="151">
        <v>45601</v>
      </c>
      <c r="W604" s="2">
        <f>VLOOKUP(Table1[[#This Row],[Status]],Auxiliar!$B$16:$D$24,3,0)*Table1[[#This Row],[Estimação (horas)]]</f>
        <v>0.1</v>
      </c>
      <c r="X604" s="166">
        <f>+VLOOKUP(CONCATENATE(Table1[[#This Row],[Tabela]],Table1[[#This Row],[Campo]]),'2. Status Detalhe Campos FY24'!A:J,9,FALSE)</f>
        <v>0</v>
      </c>
    </row>
    <row r="605" spans="2:24" ht="69.599999999999994" hidden="1" customHeight="1">
      <c r="B605" s="2" t="s">
        <v>26</v>
      </c>
      <c r="C605" s="2" t="s">
        <v>310</v>
      </c>
      <c r="D605" s="2" t="s">
        <v>312</v>
      </c>
      <c r="E605" s="2" t="s">
        <v>38</v>
      </c>
      <c r="F605" s="2" t="s">
        <v>311</v>
      </c>
      <c r="G605" s="2" t="s">
        <v>286</v>
      </c>
      <c r="H605" s="56" t="str">
        <f>Table1[[#This Row],[Tabela]]&amp;Table1[[#This Row],[Campo]]</f>
        <v>modesg_out_bens_imoveisscp2_emss</v>
      </c>
      <c r="I605" s="2" t="s">
        <v>612</v>
      </c>
      <c r="J605" s="42">
        <f>VLOOKUP(Table1[[#This Row],[Status]],Auxiliar!$B$16:$C$24,2,0)</f>
        <v>1</v>
      </c>
      <c r="K605" s="2" t="s">
        <v>1171</v>
      </c>
      <c r="L605" s="28" t="s">
        <v>1169</v>
      </c>
      <c r="M605" s="20" t="s">
        <v>1179</v>
      </c>
      <c r="N605" s="47">
        <v>45611</v>
      </c>
      <c r="O605" s="20">
        <f>INDEX(Auxiliar!$D$5:$F$13,MATCH(Table1[[#This Row],[Tipologia_Testes]],Auxiliar!$B$5:$B$13,0),MATCH(Table1[[#This Row],[Complexidade]],Auxiliar!$D$4:$F$4,0))</f>
        <v>4</v>
      </c>
      <c r="P605" s="22"/>
      <c r="Q605" s="2"/>
      <c r="R605" s="151">
        <v>45569</v>
      </c>
      <c r="S605" s="151"/>
      <c r="T605" s="151">
        <v>45604</v>
      </c>
      <c r="U605" s="151">
        <v>45600</v>
      </c>
      <c r="V605" s="151">
        <v>45601</v>
      </c>
      <c r="W605" s="2">
        <f>VLOOKUP(Table1[[#This Row],[Status]],Auxiliar!$B$16:$D$24,3,0)*Table1[[#This Row],[Estimação (horas)]]</f>
        <v>4</v>
      </c>
      <c r="X605" s="166">
        <f>+VLOOKUP(CONCATENATE(Table1[[#This Row],[Tabela]],Table1[[#This Row],[Campo]]),'2. Status Detalhe Campos FY24'!A:J,9,FALSE)</f>
        <v>0</v>
      </c>
    </row>
    <row r="606" spans="2:24" ht="69.599999999999994" hidden="1" customHeight="1">
      <c r="B606" s="2" t="s">
        <v>26</v>
      </c>
      <c r="C606" s="2" t="s">
        <v>310</v>
      </c>
      <c r="D606" s="2" t="s">
        <v>312</v>
      </c>
      <c r="E606" s="2" t="s">
        <v>38</v>
      </c>
      <c r="F606" s="2" t="s">
        <v>311</v>
      </c>
      <c r="G606" s="2" t="s">
        <v>286</v>
      </c>
      <c r="H606" s="56" t="str">
        <f>Table1[[#This Row],[Tabela]]&amp;Table1[[#This Row],[Campo]]</f>
        <v>modesg_out_bens_imoveisscp2_emss</v>
      </c>
      <c r="I606" s="2" t="s">
        <v>612</v>
      </c>
      <c r="J606" s="42">
        <f>VLOOKUP(Table1[[#This Row],[Status]],Auxiliar!$B$16:$C$24,2,0)</f>
        <v>1</v>
      </c>
      <c r="K606" s="2" t="s">
        <v>1172</v>
      </c>
      <c r="L606" s="28" t="s">
        <v>1169</v>
      </c>
      <c r="M606" s="20" t="s">
        <v>1179</v>
      </c>
      <c r="N606" s="47">
        <v>45611</v>
      </c>
      <c r="O606" s="20">
        <f>INDEX(Auxiliar!$D$5:$F$13,MATCH(Table1[[#This Row],[Tipologia_Testes]],Auxiliar!$B$5:$B$13,0),MATCH(Table1[[#This Row],[Complexidade]],Auxiliar!$D$4:$F$4,0))</f>
        <v>4</v>
      </c>
      <c r="P606" s="22"/>
      <c r="Q606" s="2"/>
      <c r="R606" s="151">
        <v>45569</v>
      </c>
      <c r="S606" s="151"/>
      <c r="T606" s="151">
        <v>45604</v>
      </c>
      <c r="U606" s="151">
        <v>45600</v>
      </c>
      <c r="V606" s="151">
        <v>45601</v>
      </c>
      <c r="W606" s="2">
        <f>VLOOKUP(Table1[[#This Row],[Status]],Auxiliar!$B$16:$D$24,3,0)*Table1[[#This Row],[Estimação (horas)]]</f>
        <v>4</v>
      </c>
      <c r="X606" s="166">
        <f>+VLOOKUP(CONCATENATE(Table1[[#This Row],[Tabela]],Table1[[#This Row],[Campo]]),'2. Status Detalhe Campos FY24'!A:J,9,FALSE)</f>
        <v>0</v>
      </c>
    </row>
    <row r="607" spans="2:24" ht="17.850000000000001" hidden="1" customHeight="1">
      <c r="B607" s="2" t="s">
        <v>26</v>
      </c>
      <c r="C607" s="2" t="s">
        <v>310</v>
      </c>
      <c r="D607" s="2" t="s">
        <v>312</v>
      </c>
      <c r="E607" s="2" t="s">
        <v>38</v>
      </c>
      <c r="F607" s="2" t="s">
        <v>311</v>
      </c>
      <c r="G607" s="2" t="s">
        <v>286</v>
      </c>
      <c r="H607" s="56" t="str">
        <f>Table1[[#This Row],[Tabela]]&amp;Table1[[#This Row],[Campo]]</f>
        <v>modesg_out_bens_imoveisscp2_emss</v>
      </c>
      <c r="I607" s="2" t="s">
        <v>612</v>
      </c>
      <c r="J607" s="42">
        <f>VLOOKUP(Table1[[#This Row],[Status]],Auxiliar!$B$16:$C$24,2,0)</f>
        <v>1</v>
      </c>
      <c r="K607" s="2" t="s">
        <v>1174</v>
      </c>
      <c r="L607" s="28" t="s">
        <v>1169</v>
      </c>
      <c r="M607" s="20" t="s">
        <v>1179</v>
      </c>
      <c r="N607" s="47">
        <v>45611</v>
      </c>
      <c r="O607" s="20">
        <f>INDEX(Auxiliar!$D$5:$F$13,MATCH(Table1[[#This Row],[Tipologia_Testes]],Auxiliar!$B$5:$B$13,0),MATCH(Table1[[#This Row],[Complexidade]],Auxiliar!$D$4:$F$4,0))</f>
        <v>0.1</v>
      </c>
      <c r="P607" s="22"/>
      <c r="Q607" s="2"/>
      <c r="R607" s="151">
        <v>45569</v>
      </c>
      <c r="S607" s="151"/>
      <c r="T607" s="151">
        <v>45604</v>
      </c>
      <c r="U607" s="151">
        <v>45600</v>
      </c>
      <c r="V607" s="151">
        <v>45601</v>
      </c>
      <c r="W607" s="2">
        <f>VLOOKUP(Table1[[#This Row],[Status]],Auxiliar!$B$16:$D$24,3,0)*Table1[[#This Row],[Estimação (horas)]]</f>
        <v>0.1</v>
      </c>
      <c r="X607" s="166">
        <f>+VLOOKUP(CONCATENATE(Table1[[#This Row],[Tabela]],Table1[[#This Row],[Campo]]),'2. Status Detalhe Campos FY24'!A:J,9,FALSE)</f>
        <v>0</v>
      </c>
    </row>
    <row r="608" spans="2:24" ht="17.850000000000001" hidden="1" customHeight="1">
      <c r="B608" s="2" t="s">
        <v>26</v>
      </c>
      <c r="C608" s="2" t="s">
        <v>310</v>
      </c>
      <c r="D608" s="2" t="s">
        <v>312</v>
      </c>
      <c r="E608" s="2" t="s">
        <v>38</v>
      </c>
      <c r="F608" s="2" t="s">
        <v>311</v>
      </c>
      <c r="G608" s="2" t="s">
        <v>287</v>
      </c>
      <c r="H608" s="56" t="str">
        <f>Table1[[#This Row],[Tabela]]&amp;Table1[[#This Row],[Campo]]</f>
        <v>modesg_out_bens_imoveisscp3_emss</v>
      </c>
      <c r="I608" s="3" t="s">
        <v>612</v>
      </c>
      <c r="J608" s="54">
        <f>VLOOKUP(Table1[[#This Row],[Status]],Auxiliar!$B$16:$C$24,2,0)</f>
        <v>1</v>
      </c>
      <c r="K608" s="2" t="s">
        <v>1171</v>
      </c>
      <c r="L608" s="28" t="s">
        <v>1177</v>
      </c>
      <c r="M608" s="20" t="s">
        <v>1178</v>
      </c>
      <c r="N608" s="47">
        <v>45485</v>
      </c>
      <c r="O608" s="20">
        <f>INDEX(Auxiliar!$D$5:$F$13,MATCH(Table1[[#This Row],[Tipologia_Testes]],Auxiliar!$B$5:$B$13,0),MATCH(Table1[[#This Row],[Complexidade]],Auxiliar!$D$4:$F$4,0))</f>
        <v>2</v>
      </c>
      <c r="P608" s="22"/>
      <c r="Q608" s="2" t="s">
        <v>1188</v>
      </c>
      <c r="R608" s="151">
        <v>45261</v>
      </c>
      <c r="S608" s="151"/>
      <c r="T608" s="151"/>
      <c r="U608" s="151"/>
      <c r="V608" s="151"/>
      <c r="W608" s="2">
        <f>VLOOKUP(Table1[[#This Row],[Status]],Auxiliar!$B$16:$D$24,3,0)*Table1[[#This Row],[Estimação (horas)]]</f>
        <v>2</v>
      </c>
      <c r="X608" s="166">
        <f>+VLOOKUP(CONCATENATE(Table1[[#This Row],[Tabela]],Table1[[#This Row],[Campo]]),'2. Status Detalhe Campos FY24'!A:J,9,FALSE)</f>
        <v>0</v>
      </c>
    </row>
    <row r="609" spans="2:24" ht="17.850000000000001" hidden="1" customHeight="1">
      <c r="B609" s="2" t="s">
        <v>26</v>
      </c>
      <c r="C609" s="2" t="s">
        <v>310</v>
      </c>
      <c r="D609" s="2" t="s">
        <v>312</v>
      </c>
      <c r="E609" s="2" t="s">
        <v>38</v>
      </c>
      <c r="F609" s="2" t="s">
        <v>311</v>
      </c>
      <c r="G609" s="2" t="s">
        <v>287</v>
      </c>
      <c r="H609" s="56" t="str">
        <f>Table1[[#This Row],[Tabela]]&amp;Table1[[#This Row],[Campo]]</f>
        <v>modesg_out_bens_imoveisscp3_emss</v>
      </c>
      <c r="I609" s="3" t="s">
        <v>612</v>
      </c>
      <c r="J609" s="54">
        <f>VLOOKUP(Table1[[#This Row],[Status]],Auxiliar!$B$16:$C$24,2,0)</f>
        <v>1</v>
      </c>
      <c r="K609" s="2" t="s">
        <v>1172</v>
      </c>
      <c r="L609" s="28" t="s">
        <v>1177</v>
      </c>
      <c r="M609" s="20" t="s">
        <v>1178</v>
      </c>
      <c r="N609" s="47">
        <v>45485</v>
      </c>
      <c r="O609" s="20">
        <f>INDEX(Auxiliar!$D$5:$F$13,MATCH(Table1[[#This Row],[Tipologia_Testes]],Auxiliar!$B$5:$B$13,0),MATCH(Table1[[#This Row],[Complexidade]],Auxiliar!$D$4:$F$4,0))</f>
        <v>2</v>
      </c>
      <c r="P609" s="22"/>
      <c r="Q609" s="2" t="s">
        <v>1188</v>
      </c>
      <c r="R609" s="151">
        <v>45261</v>
      </c>
      <c r="S609" s="151"/>
      <c r="T609" s="151"/>
      <c r="U609" s="151"/>
      <c r="V609" s="151"/>
      <c r="W609" s="2">
        <f>VLOOKUP(Table1[[#This Row],[Status]],Auxiliar!$B$16:$D$24,3,0)*Table1[[#This Row],[Estimação (horas)]]</f>
        <v>2</v>
      </c>
      <c r="X609" s="166">
        <f>+VLOOKUP(CONCATENATE(Table1[[#This Row],[Tabela]],Table1[[#This Row],[Campo]]),'2. Status Detalhe Campos FY24'!A:J,9,FALSE)</f>
        <v>0</v>
      </c>
    </row>
    <row r="610" spans="2:24" ht="52.35" hidden="1" customHeight="1">
      <c r="B610" s="2" t="s">
        <v>26</v>
      </c>
      <c r="C610" s="2" t="s">
        <v>310</v>
      </c>
      <c r="D610" s="2" t="s">
        <v>312</v>
      </c>
      <c r="E610" s="2" t="s">
        <v>38</v>
      </c>
      <c r="F610" s="2" t="s">
        <v>311</v>
      </c>
      <c r="G610" s="2" t="s">
        <v>287</v>
      </c>
      <c r="H610" s="56" t="str">
        <f>Table1[[#This Row],[Tabela]]&amp;Table1[[#This Row],[Campo]]</f>
        <v>modesg_out_bens_imoveisscp3_emss</v>
      </c>
      <c r="I610" s="3" t="s">
        <v>612</v>
      </c>
      <c r="J610" s="54">
        <f>VLOOKUP(Table1[[#This Row],[Status]],Auxiliar!$B$16:$C$24,2,0)</f>
        <v>1</v>
      </c>
      <c r="K610" s="2" t="s">
        <v>1174</v>
      </c>
      <c r="L610" s="28" t="s">
        <v>1177</v>
      </c>
      <c r="M610" s="20" t="s">
        <v>1178</v>
      </c>
      <c r="N610" s="47">
        <v>45485</v>
      </c>
      <c r="O610" s="20">
        <f>INDEX(Auxiliar!$D$5:$F$13,MATCH(Table1[[#This Row],[Tipologia_Testes]],Auxiliar!$B$5:$B$13,0),MATCH(Table1[[#This Row],[Complexidade]],Auxiliar!$D$4:$F$4,0))</f>
        <v>0.1</v>
      </c>
      <c r="P610" s="22"/>
      <c r="Q610" s="2" t="s">
        <v>1188</v>
      </c>
      <c r="R610" s="151">
        <v>45261</v>
      </c>
      <c r="S610" s="151"/>
      <c r="T610" s="151"/>
      <c r="U610" s="151"/>
      <c r="V610" s="151"/>
      <c r="W610" s="2">
        <f>VLOOKUP(Table1[[#This Row],[Status]],Auxiliar!$B$16:$D$24,3,0)*Table1[[#This Row],[Estimação (horas)]]</f>
        <v>0.1</v>
      </c>
      <c r="X610" s="166">
        <f>+VLOOKUP(CONCATENATE(Table1[[#This Row],[Tabela]],Table1[[#This Row],[Campo]]),'2. Status Detalhe Campos FY24'!A:J,9,FALSE)</f>
        <v>0</v>
      </c>
    </row>
    <row r="611" spans="2:24" ht="52.35" hidden="1" customHeight="1">
      <c r="B611" s="2" t="s">
        <v>26</v>
      </c>
      <c r="C611" s="2" t="s">
        <v>310</v>
      </c>
      <c r="D611" s="2" t="s">
        <v>312</v>
      </c>
      <c r="E611" s="2" t="s">
        <v>38</v>
      </c>
      <c r="F611" s="2" t="s">
        <v>311</v>
      </c>
      <c r="G611" s="2" t="s">
        <v>322</v>
      </c>
      <c r="H611" s="56" t="str">
        <f>Table1[[#This Row],[Tabela]]&amp;Table1[[#This Row],[Campo]]</f>
        <v>modesg_out_bens_imoveisunidade_funcional_scp1_emss</v>
      </c>
      <c r="I611" s="2" t="s">
        <v>612</v>
      </c>
      <c r="J611" s="42">
        <f>VLOOKUP(Table1[[#This Row],[Status]],Auxiliar!$B$16:$C$24,2,0)</f>
        <v>1</v>
      </c>
      <c r="K611" s="2" t="s">
        <v>1171</v>
      </c>
      <c r="L611" s="28" t="s">
        <v>1169</v>
      </c>
      <c r="M611" s="20" t="s">
        <v>1178</v>
      </c>
      <c r="N611" s="47">
        <v>45611</v>
      </c>
      <c r="O611" s="20">
        <f>INDEX(Auxiliar!$D$5:$F$13,MATCH(Table1[[#This Row],[Tipologia_Testes]],Auxiliar!$B$5:$B$13,0),MATCH(Table1[[#This Row],[Complexidade]],Auxiliar!$D$4:$F$4,0))</f>
        <v>2</v>
      </c>
      <c r="P611" s="22"/>
      <c r="Q611" s="2"/>
      <c r="R611" s="151">
        <v>45569</v>
      </c>
      <c r="S611" s="151"/>
      <c r="T611" s="151">
        <v>45604</v>
      </c>
      <c r="U611" s="151">
        <v>45600</v>
      </c>
      <c r="V611" s="151">
        <v>45601</v>
      </c>
      <c r="W611" s="2">
        <f>VLOOKUP(Table1[[#This Row],[Status]],Auxiliar!$B$16:$D$24,3,0)*Table1[[#This Row],[Estimação (horas)]]</f>
        <v>2</v>
      </c>
      <c r="X611" s="166">
        <f>+VLOOKUP(CONCATENATE(Table1[[#This Row],[Tabela]],Table1[[#This Row],[Campo]]),'2. Status Detalhe Campos FY24'!A:J,9,FALSE)</f>
        <v>0</v>
      </c>
    </row>
    <row r="612" spans="2:24" ht="52.35" hidden="1" customHeight="1">
      <c r="B612" s="2" t="s">
        <v>26</v>
      </c>
      <c r="C612" s="2" t="s">
        <v>310</v>
      </c>
      <c r="D612" s="2" t="s">
        <v>312</v>
      </c>
      <c r="E612" s="2" t="s">
        <v>38</v>
      </c>
      <c r="F612" s="2" t="s">
        <v>311</v>
      </c>
      <c r="G612" s="2" t="s">
        <v>322</v>
      </c>
      <c r="H612" s="56" t="str">
        <f>Table1[[#This Row],[Tabela]]&amp;Table1[[#This Row],[Campo]]</f>
        <v>modesg_out_bens_imoveisunidade_funcional_scp1_emss</v>
      </c>
      <c r="I612" s="2" t="s">
        <v>612</v>
      </c>
      <c r="J612" s="42">
        <f>VLOOKUP(Table1[[#This Row],[Status]],Auxiliar!$B$16:$C$24,2,0)</f>
        <v>1</v>
      </c>
      <c r="K612" s="2" t="s">
        <v>1172</v>
      </c>
      <c r="L612" s="28" t="s">
        <v>1169</v>
      </c>
      <c r="M612" s="20" t="s">
        <v>1178</v>
      </c>
      <c r="N612" s="47">
        <v>45611</v>
      </c>
      <c r="O612" s="20">
        <f>INDEX(Auxiliar!$D$5:$F$13,MATCH(Table1[[#This Row],[Tipologia_Testes]],Auxiliar!$B$5:$B$13,0),MATCH(Table1[[#This Row],[Complexidade]],Auxiliar!$D$4:$F$4,0))</f>
        <v>2</v>
      </c>
      <c r="P612" s="22"/>
      <c r="Q612" s="2"/>
      <c r="R612" s="151">
        <v>45569</v>
      </c>
      <c r="S612" s="151"/>
      <c r="T612" s="151">
        <v>45604</v>
      </c>
      <c r="U612" s="151">
        <v>45600</v>
      </c>
      <c r="V612" s="151">
        <v>45601</v>
      </c>
      <c r="W612" s="2">
        <f>VLOOKUP(Table1[[#This Row],[Status]],Auxiliar!$B$16:$D$24,3,0)*Table1[[#This Row],[Estimação (horas)]]</f>
        <v>2</v>
      </c>
      <c r="X612" s="166">
        <f>+VLOOKUP(CONCATENATE(Table1[[#This Row],[Tabela]],Table1[[#This Row],[Campo]]),'2. Status Detalhe Campos FY24'!A:J,9,FALSE)</f>
        <v>0</v>
      </c>
    </row>
    <row r="613" spans="2:24" ht="52.35" hidden="1" customHeight="1">
      <c r="B613" s="2" t="s">
        <v>26</v>
      </c>
      <c r="C613" s="2" t="s">
        <v>310</v>
      </c>
      <c r="D613" s="2" t="s">
        <v>312</v>
      </c>
      <c r="E613" s="2" t="s">
        <v>38</v>
      </c>
      <c r="F613" s="2" t="s">
        <v>311</v>
      </c>
      <c r="G613" s="2" t="s">
        <v>322</v>
      </c>
      <c r="H613" s="56" t="str">
        <f>Table1[[#This Row],[Tabela]]&amp;Table1[[#This Row],[Campo]]</f>
        <v>modesg_out_bens_imoveisunidade_funcional_scp1_emss</v>
      </c>
      <c r="I613" s="2" t="s">
        <v>612</v>
      </c>
      <c r="J613" s="42">
        <f>VLOOKUP(Table1[[#This Row],[Status]],Auxiliar!$B$16:$C$24,2,0)</f>
        <v>1</v>
      </c>
      <c r="K613" s="2" t="s">
        <v>1174</v>
      </c>
      <c r="L613" s="28" t="s">
        <v>1169</v>
      </c>
      <c r="M613" s="20" t="s">
        <v>1178</v>
      </c>
      <c r="N613" s="47">
        <v>45611</v>
      </c>
      <c r="O613" s="20">
        <f>INDEX(Auxiliar!$D$5:$F$13,MATCH(Table1[[#This Row],[Tipologia_Testes]],Auxiliar!$B$5:$B$13,0),MATCH(Table1[[#This Row],[Complexidade]],Auxiliar!$D$4:$F$4,0))</f>
        <v>0.1</v>
      </c>
      <c r="P613" s="22"/>
      <c r="Q613" s="2"/>
      <c r="R613" s="151">
        <v>45569</v>
      </c>
      <c r="S613" s="151"/>
      <c r="T613" s="151">
        <v>45604</v>
      </c>
      <c r="U613" s="151">
        <v>45600</v>
      </c>
      <c r="V613" s="151">
        <v>45601</v>
      </c>
      <c r="W613" s="2">
        <f>VLOOKUP(Table1[[#This Row],[Status]],Auxiliar!$B$16:$D$24,3,0)*Table1[[#This Row],[Estimação (horas)]]</f>
        <v>0.1</v>
      </c>
      <c r="X613" s="166">
        <f>+VLOOKUP(CONCATENATE(Table1[[#This Row],[Tabela]],Table1[[#This Row],[Campo]]),'2. Status Detalhe Campos FY24'!A:J,9,FALSE)</f>
        <v>0</v>
      </c>
    </row>
    <row r="614" spans="2:24" ht="52.35" hidden="1" customHeight="1">
      <c r="B614" s="2" t="s">
        <v>26</v>
      </c>
      <c r="C614" s="2" t="s">
        <v>310</v>
      </c>
      <c r="D614" s="2" t="s">
        <v>312</v>
      </c>
      <c r="E614" s="2" t="s">
        <v>38</v>
      </c>
      <c r="F614" s="2" t="s">
        <v>311</v>
      </c>
      <c r="G614" s="2" t="s">
        <v>323</v>
      </c>
      <c r="H614" s="56" t="str">
        <f>Table1[[#This Row],[Tabela]]&amp;Table1[[#This Row],[Campo]]</f>
        <v>modesg_out_bens_imoveisunidade_funcional_scp2_emss</v>
      </c>
      <c r="I614" s="2" t="s">
        <v>612</v>
      </c>
      <c r="J614" s="42">
        <f>VLOOKUP(Table1[[#This Row],[Status]],Auxiliar!$B$16:$C$24,2,0)</f>
        <v>1</v>
      </c>
      <c r="K614" s="2" t="s">
        <v>1171</v>
      </c>
      <c r="L614" s="28" t="s">
        <v>1169</v>
      </c>
      <c r="M614" s="20" t="s">
        <v>1178</v>
      </c>
      <c r="N614" s="47">
        <v>45611</v>
      </c>
      <c r="O614" s="20">
        <f>INDEX(Auxiliar!$D$5:$F$13,MATCH(Table1[[#This Row],[Tipologia_Testes]],Auxiliar!$B$5:$B$13,0),MATCH(Table1[[#This Row],[Complexidade]],Auxiliar!$D$4:$F$4,0))</f>
        <v>2</v>
      </c>
      <c r="P614" s="22"/>
      <c r="Q614" s="2"/>
      <c r="R614" s="151">
        <v>45569</v>
      </c>
      <c r="S614" s="151"/>
      <c r="T614" s="151">
        <v>45604</v>
      </c>
      <c r="U614" s="151">
        <v>45600</v>
      </c>
      <c r="V614" s="151">
        <v>45601</v>
      </c>
      <c r="W614" s="2">
        <f>VLOOKUP(Table1[[#This Row],[Status]],Auxiliar!$B$16:$D$24,3,0)*Table1[[#This Row],[Estimação (horas)]]</f>
        <v>2</v>
      </c>
      <c r="X614" s="166">
        <f>+VLOOKUP(CONCATENATE(Table1[[#This Row],[Tabela]],Table1[[#This Row],[Campo]]),'2. Status Detalhe Campos FY24'!A:J,9,FALSE)</f>
        <v>0</v>
      </c>
    </row>
    <row r="615" spans="2:24" ht="52.35" hidden="1" customHeight="1">
      <c r="B615" s="2" t="s">
        <v>26</v>
      </c>
      <c r="C615" s="2" t="s">
        <v>310</v>
      </c>
      <c r="D615" s="2" t="s">
        <v>312</v>
      </c>
      <c r="E615" s="2" t="s">
        <v>38</v>
      </c>
      <c r="F615" s="2" t="s">
        <v>311</v>
      </c>
      <c r="G615" s="2" t="s">
        <v>323</v>
      </c>
      <c r="H615" s="56" t="str">
        <f>Table1[[#This Row],[Tabela]]&amp;Table1[[#This Row],[Campo]]</f>
        <v>modesg_out_bens_imoveisunidade_funcional_scp2_emss</v>
      </c>
      <c r="I615" s="2" t="s">
        <v>612</v>
      </c>
      <c r="J615" s="42">
        <f>VLOOKUP(Table1[[#This Row],[Status]],Auxiliar!$B$16:$C$24,2,0)</f>
        <v>1</v>
      </c>
      <c r="K615" s="2" t="s">
        <v>1172</v>
      </c>
      <c r="L615" s="28" t="s">
        <v>1169</v>
      </c>
      <c r="M615" s="20" t="s">
        <v>1178</v>
      </c>
      <c r="N615" s="47">
        <v>45611</v>
      </c>
      <c r="O615" s="20">
        <f>INDEX(Auxiliar!$D$5:$F$13,MATCH(Table1[[#This Row],[Tipologia_Testes]],Auxiliar!$B$5:$B$13,0),MATCH(Table1[[#This Row],[Complexidade]],Auxiliar!$D$4:$F$4,0))</f>
        <v>2</v>
      </c>
      <c r="P615" s="22"/>
      <c r="Q615" s="2"/>
      <c r="R615" s="151">
        <v>45569</v>
      </c>
      <c r="S615" s="151"/>
      <c r="T615" s="151">
        <v>45604</v>
      </c>
      <c r="U615" s="151">
        <v>45600</v>
      </c>
      <c r="V615" s="151">
        <v>45601</v>
      </c>
      <c r="W615" s="2">
        <f>VLOOKUP(Table1[[#This Row],[Status]],Auxiliar!$B$16:$D$24,3,0)*Table1[[#This Row],[Estimação (horas)]]</f>
        <v>2</v>
      </c>
      <c r="X615" s="166">
        <f>+VLOOKUP(CONCATENATE(Table1[[#This Row],[Tabela]],Table1[[#This Row],[Campo]]),'2. Status Detalhe Campos FY24'!A:J,9,FALSE)</f>
        <v>0</v>
      </c>
    </row>
    <row r="616" spans="2:24" ht="52.35" hidden="1" customHeight="1">
      <c r="B616" s="2" t="s">
        <v>26</v>
      </c>
      <c r="C616" s="2" t="s">
        <v>310</v>
      </c>
      <c r="D616" s="2" t="s">
        <v>312</v>
      </c>
      <c r="E616" s="2" t="s">
        <v>38</v>
      </c>
      <c r="F616" s="2" t="s">
        <v>311</v>
      </c>
      <c r="G616" s="2" t="s">
        <v>323</v>
      </c>
      <c r="H616" s="56" t="str">
        <f>Table1[[#This Row],[Tabela]]&amp;Table1[[#This Row],[Campo]]</f>
        <v>modesg_out_bens_imoveisunidade_funcional_scp2_emss</v>
      </c>
      <c r="I616" s="2" t="s">
        <v>612</v>
      </c>
      <c r="J616" s="42">
        <f>VLOOKUP(Table1[[#This Row],[Status]],Auxiliar!$B$16:$C$24,2,0)</f>
        <v>1</v>
      </c>
      <c r="K616" s="2" t="s">
        <v>1174</v>
      </c>
      <c r="L616" s="28" t="s">
        <v>1169</v>
      </c>
      <c r="M616" s="20" t="s">
        <v>1178</v>
      </c>
      <c r="N616" s="47">
        <v>45611</v>
      </c>
      <c r="O616" s="20">
        <f>INDEX(Auxiliar!$D$5:$F$13,MATCH(Table1[[#This Row],[Tipologia_Testes]],Auxiliar!$B$5:$B$13,0),MATCH(Table1[[#This Row],[Complexidade]],Auxiliar!$D$4:$F$4,0))</f>
        <v>0.1</v>
      </c>
      <c r="P616" s="22"/>
      <c r="Q616" s="2"/>
      <c r="R616" s="151">
        <v>45569</v>
      </c>
      <c r="S616" s="151"/>
      <c r="T616" s="151">
        <v>45604</v>
      </c>
      <c r="U616" s="151">
        <v>45600</v>
      </c>
      <c r="V616" s="151">
        <v>45601</v>
      </c>
      <c r="W616" s="2">
        <f>VLOOKUP(Table1[[#This Row],[Status]],Auxiliar!$B$16:$D$24,3,0)*Table1[[#This Row],[Estimação (horas)]]</f>
        <v>0.1</v>
      </c>
      <c r="X616" s="166">
        <f>+VLOOKUP(CONCATENATE(Table1[[#This Row],[Tabela]],Table1[[#This Row],[Campo]]),'2. Status Detalhe Campos FY24'!A:J,9,FALSE)</f>
        <v>0</v>
      </c>
    </row>
    <row r="617" spans="2:24" ht="52.35" hidden="1" customHeight="1">
      <c r="B617" s="2" t="s">
        <v>26</v>
      </c>
      <c r="C617" s="2" t="s">
        <v>310</v>
      </c>
      <c r="D617" s="2" t="s">
        <v>312</v>
      </c>
      <c r="E617" s="2" t="s">
        <v>38</v>
      </c>
      <c r="F617" s="2" t="s">
        <v>311</v>
      </c>
      <c r="G617" s="2" t="s">
        <v>324</v>
      </c>
      <c r="H617" s="56" t="str">
        <f>Table1[[#This Row],[Tabela]]&amp;Table1[[#This Row],[Campo]]</f>
        <v>modesg_out_bens_imoveisunidade_funcional_scp3_emss</v>
      </c>
      <c r="I617" s="2" t="s">
        <v>612</v>
      </c>
      <c r="J617" s="42">
        <f>VLOOKUP(Table1[[#This Row],[Status]],Auxiliar!$B$16:$C$24,2,0)</f>
        <v>1</v>
      </c>
      <c r="K617" s="2" t="s">
        <v>1171</v>
      </c>
      <c r="L617" s="28" t="s">
        <v>1169</v>
      </c>
      <c r="M617" s="20" t="s">
        <v>1178</v>
      </c>
      <c r="N617" s="47">
        <v>45604</v>
      </c>
      <c r="O617" s="20">
        <f>INDEX(Auxiliar!$D$5:$F$13,MATCH(Table1[[#This Row],[Tipologia_Testes]],Auxiliar!$B$5:$B$13,0),MATCH(Table1[[#This Row],[Complexidade]],Auxiliar!$D$4:$F$4,0))</f>
        <v>2</v>
      </c>
      <c r="P617" s="22"/>
      <c r="Q617" s="2"/>
      <c r="R617" s="151">
        <v>45569</v>
      </c>
      <c r="S617" s="151"/>
      <c r="T617" s="151">
        <v>45569</v>
      </c>
      <c r="U617" s="151">
        <v>45600</v>
      </c>
      <c r="V617" s="151">
        <v>45601</v>
      </c>
      <c r="W617" s="2">
        <f>VLOOKUP(Table1[[#This Row],[Status]],Auxiliar!$B$16:$D$24,3,0)*Table1[[#This Row],[Estimação (horas)]]</f>
        <v>2</v>
      </c>
      <c r="X617" s="166">
        <f>+VLOOKUP(CONCATENATE(Table1[[#This Row],[Tabela]],Table1[[#This Row],[Campo]]),'2. Status Detalhe Campos FY24'!A:J,9,FALSE)</f>
        <v>0</v>
      </c>
    </row>
    <row r="618" spans="2:24" ht="52.35" hidden="1" customHeight="1">
      <c r="B618" s="2" t="s">
        <v>26</v>
      </c>
      <c r="C618" s="2" t="s">
        <v>310</v>
      </c>
      <c r="D618" s="2" t="s">
        <v>312</v>
      </c>
      <c r="E618" s="2" t="s">
        <v>38</v>
      </c>
      <c r="F618" s="2" t="s">
        <v>311</v>
      </c>
      <c r="G618" s="2" t="s">
        <v>324</v>
      </c>
      <c r="H618" s="56" t="str">
        <f>Table1[[#This Row],[Tabela]]&amp;Table1[[#This Row],[Campo]]</f>
        <v>modesg_out_bens_imoveisunidade_funcional_scp3_emss</v>
      </c>
      <c r="I618" s="2" t="s">
        <v>612</v>
      </c>
      <c r="J618" s="42">
        <f>VLOOKUP(Table1[[#This Row],[Status]],Auxiliar!$B$16:$C$24,2,0)</f>
        <v>1</v>
      </c>
      <c r="K618" s="2" t="s">
        <v>1172</v>
      </c>
      <c r="L618" s="28" t="s">
        <v>1169</v>
      </c>
      <c r="M618" s="20" t="s">
        <v>1178</v>
      </c>
      <c r="N618" s="47">
        <v>45604</v>
      </c>
      <c r="O618" s="20">
        <f>INDEX(Auxiliar!$D$5:$F$13,MATCH(Table1[[#This Row],[Tipologia_Testes]],Auxiliar!$B$5:$B$13,0),MATCH(Table1[[#This Row],[Complexidade]],Auxiliar!$D$4:$F$4,0))</f>
        <v>2</v>
      </c>
      <c r="P618" s="22"/>
      <c r="Q618" s="2"/>
      <c r="R618" s="151">
        <v>45569</v>
      </c>
      <c r="S618" s="151"/>
      <c r="T618" s="151">
        <v>45569</v>
      </c>
      <c r="U618" s="151">
        <v>45600</v>
      </c>
      <c r="V618" s="151">
        <v>45601</v>
      </c>
      <c r="W618" s="2">
        <f>VLOOKUP(Table1[[#This Row],[Status]],Auxiliar!$B$16:$D$24,3,0)*Table1[[#This Row],[Estimação (horas)]]</f>
        <v>2</v>
      </c>
      <c r="X618" s="166">
        <f>+VLOOKUP(CONCATENATE(Table1[[#This Row],[Tabela]],Table1[[#This Row],[Campo]]),'2. Status Detalhe Campos FY24'!A:J,9,FALSE)</f>
        <v>0</v>
      </c>
    </row>
    <row r="619" spans="2:24" ht="17.100000000000001" hidden="1" customHeight="1">
      <c r="B619" s="2" t="s">
        <v>26</v>
      </c>
      <c r="C619" s="2" t="s">
        <v>310</v>
      </c>
      <c r="D619" s="2" t="s">
        <v>312</v>
      </c>
      <c r="E619" s="2" t="s">
        <v>38</v>
      </c>
      <c r="F619" s="2" t="s">
        <v>311</v>
      </c>
      <c r="G619" s="2" t="s">
        <v>324</v>
      </c>
      <c r="H619" s="56" t="str">
        <f>Table1[[#This Row],[Tabela]]&amp;Table1[[#This Row],[Campo]]</f>
        <v>modesg_out_bens_imoveisunidade_funcional_scp3_emss</v>
      </c>
      <c r="I619" s="2" t="s">
        <v>612</v>
      </c>
      <c r="J619" s="42">
        <f>VLOOKUP(Table1[[#This Row],[Status]],Auxiliar!$B$16:$C$24,2,0)</f>
        <v>1</v>
      </c>
      <c r="K619" s="2" t="s">
        <v>1174</v>
      </c>
      <c r="L619" s="28" t="s">
        <v>1169</v>
      </c>
      <c r="M619" s="20" t="s">
        <v>1178</v>
      </c>
      <c r="N619" s="47">
        <v>45604</v>
      </c>
      <c r="O619" s="20">
        <f>INDEX(Auxiliar!$D$5:$F$13,MATCH(Table1[[#This Row],[Tipologia_Testes]],Auxiliar!$B$5:$B$13,0),MATCH(Table1[[#This Row],[Complexidade]],Auxiliar!$D$4:$F$4,0))</f>
        <v>0.1</v>
      </c>
      <c r="P619" s="22"/>
      <c r="Q619" s="2"/>
      <c r="R619" s="151">
        <v>45569</v>
      </c>
      <c r="S619" s="151"/>
      <c r="T619" s="151">
        <v>45569</v>
      </c>
      <c r="U619" s="151">
        <v>45600</v>
      </c>
      <c r="V619" s="151">
        <v>45601</v>
      </c>
      <c r="W619" s="2">
        <f>VLOOKUP(Table1[[#This Row],[Status]],Auxiliar!$B$16:$D$24,3,0)*Table1[[#This Row],[Estimação (horas)]]</f>
        <v>0.1</v>
      </c>
      <c r="X619" s="166">
        <f>+VLOOKUP(CONCATENATE(Table1[[#This Row],[Tabela]],Table1[[#This Row],[Campo]]),'2. Status Detalhe Campos FY24'!A:J,9,FALSE)</f>
        <v>0</v>
      </c>
    </row>
    <row r="620" spans="2:24" ht="17.850000000000001" hidden="1" customHeight="1">
      <c r="B620" s="2" t="s">
        <v>26</v>
      </c>
      <c r="C620" s="2" t="s">
        <v>310</v>
      </c>
      <c r="D620" s="2" t="s">
        <v>326</v>
      </c>
      <c r="E620" s="2" t="s">
        <v>38</v>
      </c>
      <c r="F620" s="2" t="s">
        <v>325</v>
      </c>
      <c r="G620" s="2" t="s">
        <v>38</v>
      </c>
      <c r="H620" s="56" t="str">
        <f>Table1[[#This Row],[Tabela]]&amp;Table1[[#This Row],[Campo]]</f>
        <v>modesg_out_empr_info_nfinn.a.</v>
      </c>
      <c r="I620" s="3" t="s">
        <v>612</v>
      </c>
      <c r="J620" s="54">
        <f>VLOOKUP(Table1[[#This Row],[Status]],Auxiliar!$B$16:$C$24,2,0)</f>
        <v>1</v>
      </c>
      <c r="K620" s="2" t="s">
        <v>1168</v>
      </c>
      <c r="L620" s="28" t="s">
        <v>1177</v>
      </c>
      <c r="M620" s="20" t="s">
        <v>1179</v>
      </c>
      <c r="N620" s="47">
        <v>45561</v>
      </c>
      <c r="O620" s="20">
        <f>INDEX(Auxiliar!$D$5:$F$13,MATCH(Table1[[#This Row],[Tipologia_Testes]],Auxiliar!$B$5:$B$13,0),MATCH(Table1[[#This Row],[Complexidade]],Auxiliar!$D$4:$F$4,0))</f>
        <v>8</v>
      </c>
      <c r="P620" s="22" t="s">
        <v>1202</v>
      </c>
      <c r="Q620" s="2"/>
      <c r="R620" s="151">
        <v>45512</v>
      </c>
      <c r="S620" s="151"/>
      <c r="T620" s="151">
        <v>45512</v>
      </c>
      <c r="U620" s="151"/>
      <c r="V620" s="151"/>
      <c r="W620" s="2">
        <f>VLOOKUP(Table1[[#This Row],[Status]],Auxiliar!$B$16:$D$24,3,0)*Table1[[#This Row],[Estimação (horas)]]</f>
        <v>8</v>
      </c>
      <c r="X620" s="166">
        <f>+VLOOKUP(CONCATENATE(Table1[[#This Row],[Tabela]],Table1[[#This Row],[Campo]]),'2. Status Detalhe Campos FY24'!A:J,9,FALSE)</f>
        <v>0</v>
      </c>
    </row>
    <row r="621" spans="2:24" ht="17.850000000000001" hidden="1" customHeight="1">
      <c r="B621" s="2" t="s">
        <v>26</v>
      </c>
      <c r="C621" s="2" t="s">
        <v>310</v>
      </c>
      <c r="D621" s="2" t="s">
        <v>326</v>
      </c>
      <c r="E621" s="2" t="s">
        <v>38</v>
      </c>
      <c r="F621" s="2" t="s">
        <v>325</v>
      </c>
      <c r="G621" s="2" t="s">
        <v>249</v>
      </c>
      <c r="H621" s="56" t="str">
        <f>Table1[[#This Row],[Tabela]]&amp;Table1[[#This Row],[Campo]]</f>
        <v>modesg_out_empr_info_nfincca_capex_enblng_algnd</v>
      </c>
      <c r="I621" s="2" t="s">
        <v>612</v>
      </c>
      <c r="J621" s="42">
        <f>VLOOKUP(Table1[[#This Row],[Status]],Auxiliar!$B$16:$C$24,2,0)</f>
        <v>1</v>
      </c>
      <c r="K621" s="2" t="s">
        <v>1171</v>
      </c>
      <c r="L621" s="28" t="s">
        <v>1177</v>
      </c>
      <c r="M621" s="20" t="s">
        <v>1170</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166">
        <f>+VLOOKUP(CONCATENATE(Table1[[#This Row],[Tabela]],Table1[[#This Row],[Campo]]),'2. Status Detalhe Campos FY24'!A:J,9,FALSE)</f>
        <v>0</v>
      </c>
    </row>
    <row r="622" spans="2:24" ht="17.850000000000001" hidden="1" customHeight="1">
      <c r="B622" s="2" t="s">
        <v>26</v>
      </c>
      <c r="C622" s="2" t="s">
        <v>310</v>
      </c>
      <c r="D622" s="2" t="s">
        <v>326</v>
      </c>
      <c r="E622" s="2" t="s">
        <v>38</v>
      </c>
      <c r="F622" s="2" t="s">
        <v>325</v>
      </c>
      <c r="G622" s="2" t="s">
        <v>249</v>
      </c>
      <c r="H622" s="56" t="str">
        <f>Table1[[#This Row],[Tabela]]&amp;Table1[[#This Row],[Campo]]</f>
        <v>modesg_out_empr_info_nfincca_capex_enblng_algnd</v>
      </c>
      <c r="I622" s="2" t="s">
        <v>612</v>
      </c>
      <c r="J622" s="42">
        <f>VLOOKUP(Table1[[#This Row],[Status]],Auxiliar!$B$16:$C$24,2,0)</f>
        <v>1</v>
      </c>
      <c r="K622" s="2" t="s">
        <v>1172</v>
      </c>
      <c r="L622" s="28" t="s">
        <v>1177</v>
      </c>
      <c r="M622" s="20" t="s">
        <v>1170</v>
      </c>
      <c r="N622" s="47">
        <v>45642</v>
      </c>
      <c r="O622" s="20">
        <f>INDEX(Auxiliar!$D$5:$F$13,MATCH(Table1[[#This Row],[Tipologia_Testes]],Auxiliar!$B$5:$B$13,0),MATCH(Table1[[#This Row],[Complexidade]],Auxiliar!$D$4:$F$4,0))</f>
        <v>8</v>
      </c>
      <c r="P622" s="2"/>
      <c r="Q622" s="2"/>
      <c r="R622" s="151">
        <v>45561</v>
      </c>
      <c r="S622" s="151"/>
      <c r="T622" s="151">
        <v>45561</v>
      </c>
      <c r="U622" s="151">
        <v>45614</v>
      </c>
      <c r="V622" s="151">
        <v>45615</v>
      </c>
      <c r="W622" s="2">
        <f>VLOOKUP(Table1[[#This Row],[Status]],Auxiliar!$B$16:$D$24,3,0)*Table1[[#This Row],[Estimação (horas)]]</f>
        <v>8</v>
      </c>
      <c r="X622" s="166">
        <f>+VLOOKUP(CONCATENATE(Table1[[#This Row],[Tabela]],Table1[[#This Row],[Campo]]),'2. Status Detalhe Campos FY24'!A:J,9,FALSE)</f>
        <v>0</v>
      </c>
    </row>
    <row r="623" spans="2:24" ht="17.850000000000001" hidden="1" customHeight="1">
      <c r="B623" s="2" t="s">
        <v>26</v>
      </c>
      <c r="C623" s="2" t="s">
        <v>310</v>
      </c>
      <c r="D623" s="2" t="s">
        <v>326</v>
      </c>
      <c r="E623" s="2" t="s">
        <v>38</v>
      </c>
      <c r="F623" s="2" t="s">
        <v>325</v>
      </c>
      <c r="G623" s="2" t="s">
        <v>249</v>
      </c>
      <c r="H623" s="56" t="str">
        <f>Table1[[#This Row],[Tabela]]&amp;Table1[[#This Row],[Campo]]</f>
        <v>modesg_out_empr_info_nfincca_capex_enblng_algnd</v>
      </c>
      <c r="I623" s="2" t="s">
        <v>612</v>
      </c>
      <c r="J623" s="42">
        <f>VLOOKUP(Table1[[#This Row],[Status]],Auxiliar!$B$16:$C$24,2,0)</f>
        <v>1</v>
      </c>
      <c r="K623" s="2" t="s">
        <v>1174</v>
      </c>
      <c r="L623" s="28" t="s">
        <v>1177</v>
      </c>
      <c r="M623" s="20" t="s">
        <v>1170</v>
      </c>
      <c r="N623" s="47">
        <v>45642</v>
      </c>
      <c r="O623" s="20">
        <f>INDEX(Auxiliar!$D$5:$F$13,MATCH(Table1[[#This Row],[Tipologia_Testes]],Auxiliar!$B$5:$B$13,0),MATCH(Table1[[#This Row],[Complexidade]],Auxiliar!$D$4:$F$4,0))</f>
        <v>0.1</v>
      </c>
      <c r="P623" s="2"/>
      <c r="Q623" s="2"/>
      <c r="R623" s="151">
        <v>45561</v>
      </c>
      <c r="S623" s="151"/>
      <c r="T623" s="151">
        <v>45561</v>
      </c>
      <c r="U623" s="151">
        <v>45614</v>
      </c>
      <c r="V623" s="151">
        <v>45615</v>
      </c>
      <c r="W623" s="2">
        <f>VLOOKUP(Table1[[#This Row],[Status]],Auxiliar!$B$16:$D$24,3,0)*Table1[[#This Row],[Estimação (horas)]]</f>
        <v>0.1</v>
      </c>
      <c r="X623" s="166">
        <f>+VLOOKUP(CONCATENATE(Table1[[#This Row],[Tabela]],Table1[[#This Row],[Campo]]),'2. Status Detalhe Campos FY24'!A:J,9,FALSE)</f>
        <v>0</v>
      </c>
    </row>
    <row r="624" spans="2:24" ht="17.850000000000001" hidden="1" customHeight="1">
      <c r="B624" s="2" t="s">
        <v>26</v>
      </c>
      <c r="C624" s="2" t="s">
        <v>310</v>
      </c>
      <c r="D624" s="2" t="s">
        <v>326</v>
      </c>
      <c r="E624" s="2" t="s">
        <v>38</v>
      </c>
      <c r="F624" s="2" t="s">
        <v>325</v>
      </c>
      <c r="G624" s="2" t="s">
        <v>250</v>
      </c>
      <c r="H624" s="56" t="str">
        <f>Table1[[#This Row],[Tabela]]&amp;Table1[[#This Row],[Campo]]</f>
        <v>modesg_out_empr_info_nfincca_capex_own_prfrmnce_algnd</v>
      </c>
      <c r="I624" s="2" t="s">
        <v>612</v>
      </c>
      <c r="J624" s="42">
        <f>VLOOKUP(Table1[[#This Row],[Status]],Auxiliar!$B$16:$C$24,2,0)</f>
        <v>1</v>
      </c>
      <c r="K624" s="2" t="s">
        <v>1171</v>
      </c>
      <c r="L624" s="28" t="s">
        <v>1177</v>
      </c>
      <c r="M624" s="20" t="s">
        <v>1170</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166">
        <f>+VLOOKUP(CONCATENATE(Table1[[#This Row],[Tabela]],Table1[[#This Row],[Campo]]),'2. Status Detalhe Campos FY24'!A:J,9,FALSE)</f>
        <v>0</v>
      </c>
    </row>
    <row r="625" spans="2:24" ht="17.850000000000001" hidden="1" customHeight="1">
      <c r="B625" s="2" t="s">
        <v>26</v>
      </c>
      <c r="C625" s="2" t="s">
        <v>310</v>
      </c>
      <c r="D625" s="2" t="s">
        <v>326</v>
      </c>
      <c r="E625" s="2" t="s">
        <v>38</v>
      </c>
      <c r="F625" s="2" t="s">
        <v>325</v>
      </c>
      <c r="G625" s="2" t="s">
        <v>250</v>
      </c>
      <c r="H625" s="56" t="str">
        <f>Table1[[#This Row],[Tabela]]&amp;Table1[[#This Row],[Campo]]</f>
        <v>modesg_out_empr_info_nfincca_capex_own_prfrmnce_algnd</v>
      </c>
      <c r="I625" s="2" t="s">
        <v>612</v>
      </c>
      <c r="J625" s="42">
        <f>VLOOKUP(Table1[[#This Row],[Status]],Auxiliar!$B$16:$C$24,2,0)</f>
        <v>1</v>
      </c>
      <c r="K625" s="2" t="s">
        <v>1172</v>
      </c>
      <c r="L625" s="28" t="s">
        <v>1177</v>
      </c>
      <c r="M625" s="20" t="s">
        <v>1170</v>
      </c>
      <c r="N625" s="47">
        <v>45642</v>
      </c>
      <c r="O625" s="20">
        <f>INDEX(Auxiliar!$D$5:$F$13,MATCH(Table1[[#This Row],[Tipologia_Testes]],Auxiliar!$B$5:$B$13,0),MATCH(Table1[[#This Row],[Complexidade]],Auxiliar!$D$4:$F$4,0))</f>
        <v>8</v>
      </c>
      <c r="P625" s="2"/>
      <c r="Q625" s="2"/>
      <c r="R625" s="151">
        <v>45561</v>
      </c>
      <c r="S625" s="151"/>
      <c r="T625" s="151">
        <v>45561</v>
      </c>
      <c r="U625" s="151">
        <v>45614</v>
      </c>
      <c r="V625" s="151">
        <v>45615</v>
      </c>
      <c r="W625" s="2">
        <f>VLOOKUP(Table1[[#This Row],[Status]],Auxiliar!$B$16:$D$24,3,0)*Table1[[#This Row],[Estimação (horas)]]</f>
        <v>8</v>
      </c>
      <c r="X625" s="166">
        <f>+VLOOKUP(CONCATENATE(Table1[[#This Row],[Tabela]],Table1[[#This Row],[Campo]]),'2. Status Detalhe Campos FY24'!A:J,9,FALSE)</f>
        <v>0</v>
      </c>
    </row>
    <row r="626" spans="2:24" ht="17.850000000000001" hidden="1" customHeight="1">
      <c r="B626" s="2" t="s">
        <v>26</v>
      </c>
      <c r="C626" s="2" t="s">
        <v>310</v>
      </c>
      <c r="D626" s="2" t="s">
        <v>326</v>
      </c>
      <c r="E626" s="2" t="s">
        <v>38</v>
      </c>
      <c r="F626" s="2" t="s">
        <v>325</v>
      </c>
      <c r="G626" s="2" t="s">
        <v>250</v>
      </c>
      <c r="H626" s="56" t="str">
        <f>Table1[[#This Row],[Tabela]]&amp;Table1[[#This Row],[Campo]]</f>
        <v>modesg_out_empr_info_nfincca_capex_own_prfrmnce_algnd</v>
      </c>
      <c r="I626" s="2" t="s">
        <v>612</v>
      </c>
      <c r="J626" s="42">
        <f>VLOOKUP(Table1[[#This Row],[Status]],Auxiliar!$B$16:$C$24,2,0)</f>
        <v>1</v>
      </c>
      <c r="K626" s="2" t="s">
        <v>1174</v>
      </c>
      <c r="L626" s="28" t="s">
        <v>1177</v>
      </c>
      <c r="M626" s="20" t="s">
        <v>1170</v>
      </c>
      <c r="N626" s="47">
        <v>45642</v>
      </c>
      <c r="O626" s="20">
        <f>INDEX(Auxiliar!$D$5:$F$13,MATCH(Table1[[#This Row],[Tipologia_Testes]],Auxiliar!$B$5:$B$13,0),MATCH(Table1[[#This Row],[Complexidade]],Auxiliar!$D$4:$F$4,0))</f>
        <v>0.1</v>
      </c>
      <c r="P626" s="2"/>
      <c r="Q626" s="2"/>
      <c r="R626" s="151">
        <v>45561</v>
      </c>
      <c r="S626" s="151"/>
      <c r="T626" s="151">
        <v>45561</v>
      </c>
      <c r="U626" s="151">
        <v>45614</v>
      </c>
      <c r="V626" s="151">
        <v>45615</v>
      </c>
      <c r="W626" s="2">
        <f>VLOOKUP(Table1[[#This Row],[Status]],Auxiliar!$B$16:$D$24,3,0)*Table1[[#This Row],[Estimação (horas)]]</f>
        <v>0.1</v>
      </c>
      <c r="X626" s="166">
        <f>+VLOOKUP(CONCATENATE(Table1[[#This Row],[Tabela]],Table1[[#This Row],[Campo]]),'2. Status Detalhe Campos FY24'!A:J,9,FALSE)</f>
        <v>0</v>
      </c>
    </row>
    <row r="627" spans="2:24" ht="17.850000000000001" hidden="1" customHeight="1">
      <c r="B627" s="2" t="s">
        <v>26</v>
      </c>
      <c r="C627" s="2" t="s">
        <v>310</v>
      </c>
      <c r="D627" s="2" t="s">
        <v>326</v>
      </c>
      <c r="E627" s="2" t="s">
        <v>38</v>
      </c>
      <c r="F627" s="2" t="s">
        <v>325</v>
      </c>
      <c r="G627" s="2" t="s">
        <v>248</v>
      </c>
      <c r="H627" s="56" t="str">
        <f>Table1[[#This Row],[Tabela]]&amp;Table1[[#This Row],[Campo]]</f>
        <v>modesg_out_empr_info_nfincca_capex_ttl_elgbl</v>
      </c>
      <c r="I627" s="2" t="s">
        <v>612</v>
      </c>
      <c r="J627" s="42">
        <f>VLOOKUP(Table1[[#This Row],[Status]],Auxiliar!$B$16:$C$24,2,0)</f>
        <v>1</v>
      </c>
      <c r="K627" s="2" t="s">
        <v>1171</v>
      </c>
      <c r="L627" s="28" t="s">
        <v>1177</v>
      </c>
      <c r="M627" s="20" t="s">
        <v>1170</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166">
        <f>+VLOOKUP(CONCATENATE(Table1[[#This Row],[Tabela]],Table1[[#This Row],[Campo]]),'2. Status Detalhe Campos FY24'!A:J,9,FALSE)</f>
        <v>0</v>
      </c>
    </row>
    <row r="628" spans="2:24" ht="17.850000000000001" hidden="1" customHeight="1">
      <c r="B628" s="2" t="s">
        <v>26</v>
      </c>
      <c r="C628" s="2" t="s">
        <v>310</v>
      </c>
      <c r="D628" s="2" t="s">
        <v>326</v>
      </c>
      <c r="E628" s="2" t="s">
        <v>38</v>
      </c>
      <c r="F628" s="2" t="s">
        <v>325</v>
      </c>
      <c r="G628" s="2" t="s">
        <v>248</v>
      </c>
      <c r="H628" s="56" t="str">
        <f>Table1[[#This Row],[Tabela]]&amp;Table1[[#This Row],[Campo]]</f>
        <v>modesg_out_empr_info_nfincca_capex_ttl_elgbl</v>
      </c>
      <c r="I628" s="2" t="s">
        <v>612</v>
      </c>
      <c r="J628" s="42">
        <f>VLOOKUP(Table1[[#This Row],[Status]],Auxiliar!$B$16:$C$24,2,0)</f>
        <v>1</v>
      </c>
      <c r="K628" s="2" t="s">
        <v>1172</v>
      </c>
      <c r="L628" s="28" t="s">
        <v>1177</v>
      </c>
      <c r="M628" s="20" t="s">
        <v>1170</v>
      </c>
      <c r="N628" s="47">
        <v>45642</v>
      </c>
      <c r="O628" s="20">
        <f>INDEX(Auxiliar!$D$5:$F$13,MATCH(Table1[[#This Row],[Tipologia_Testes]],Auxiliar!$B$5:$B$13,0),MATCH(Table1[[#This Row],[Complexidade]],Auxiliar!$D$4:$F$4,0))</f>
        <v>8</v>
      </c>
      <c r="P628" s="2"/>
      <c r="Q628" s="2"/>
      <c r="R628" s="151">
        <v>45561</v>
      </c>
      <c r="S628" s="151"/>
      <c r="T628" s="151">
        <v>45561</v>
      </c>
      <c r="U628" s="151">
        <v>45614</v>
      </c>
      <c r="V628" s="151">
        <v>45615</v>
      </c>
      <c r="W628" s="2">
        <f>VLOOKUP(Table1[[#This Row],[Status]],Auxiliar!$B$16:$D$24,3,0)*Table1[[#This Row],[Estimação (horas)]]</f>
        <v>8</v>
      </c>
      <c r="X628" s="166">
        <f>+VLOOKUP(CONCATENATE(Table1[[#This Row],[Tabela]],Table1[[#This Row],[Campo]]),'2. Status Detalhe Campos FY24'!A:J,9,FALSE)</f>
        <v>0</v>
      </c>
    </row>
    <row r="629" spans="2:24" ht="17.850000000000001" hidden="1" customHeight="1">
      <c r="B629" s="2" t="s">
        <v>26</v>
      </c>
      <c r="C629" s="2" t="s">
        <v>310</v>
      </c>
      <c r="D629" s="2" t="s">
        <v>326</v>
      </c>
      <c r="E629" s="2" t="s">
        <v>38</v>
      </c>
      <c r="F629" s="2" t="s">
        <v>325</v>
      </c>
      <c r="G629" s="2" t="s">
        <v>248</v>
      </c>
      <c r="H629" s="56" t="str">
        <f>Table1[[#This Row],[Tabela]]&amp;Table1[[#This Row],[Campo]]</f>
        <v>modesg_out_empr_info_nfincca_capex_ttl_elgbl</v>
      </c>
      <c r="I629" s="2" t="s">
        <v>612</v>
      </c>
      <c r="J629" s="42">
        <f>VLOOKUP(Table1[[#This Row],[Status]],Auxiliar!$B$16:$C$24,2,0)</f>
        <v>1</v>
      </c>
      <c r="K629" s="2" t="s">
        <v>1174</v>
      </c>
      <c r="L629" s="28" t="s">
        <v>1177</v>
      </c>
      <c r="M629" s="20" t="s">
        <v>1170</v>
      </c>
      <c r="N629" s="47">
        <v>45642</v>
      </c>
      <c r="O629" s="20">
        <f>INDEX(Auxiliar!$D$5:$F$13,MATCH(Table1[[#This Row],[Tipologia_Testes]],Auxiliar!$B$5:$B$13,0),MATCH(Table1[[#This Row],[Complexidade]],Auxiliar!$D$4:$F$4,0))</f>
        <v>0.1</v>
      </c>
      <c r="P629" s="2"/>
      <c r="Q629" s="2"/>
      <c r="R629" s="151">
        <v>45561</v>
      </c>
      <c r="S629" s="151"/>
      <c r="T629" s="151">
        <v>45561</v>
      </c>
      <c r="U629" s="151">
        <v>45614</v>
      </c>
      <c r="V629" s="151">
        <v>45615</v>
      </c>
      <c r="W629" s="2">
        <f>VLOOKUP(Table1[[#This Row],[Status]],Auxiliar!$B$16:$D$24,3,0)*Table1[[#This Row],[Estimação (horas)]]</f>
        <v>0.1</v>
      </c>
      <c r="X629" s="166">
        <f>+VLOOKUP(CONCATENATE(Table1[[#This Row],[Tabela]],Table1[[#This Row],[Campo]]),'2. Status Detalhe Campos FY24'!A:J,9,FALSE)</f>
        <v>0</v>
      </c>
    </row>
    <row r="630" spans="2:24" ht="17.850000000000001" hidden="1" customHeight="1">
      <c r="B630" s="2" t="s">
        <v>26</v>
      </c>
      <c r="C630" s="2" t="s">
        <v>310</v>
      </c>
      <c r="D630" s="2" t="s">
        <v>326</v>
      </c>
      <c r="E630" s="2" t="s">
        <v>38</v>
      </c>
      <c r="F630" s="2" t="s">
        <v>325</v>
      </c>
      <c r="G630" s="2" t="s">
        <v>246</v>
      </c>
      <c r="H630" s="56" t="str">
        <f>Table1[[#This Row],[Tabela]]&amp;Table1[[#This Row],[Campo]]</f>
        <v>modesg_out_empr_info_nfincca_trnvr_enblng_alignd</v>
      </c>
      <c r="I630" s="2" t="s">
        <v>612</v>
      </c>
      <c r="J630" s="42">
        <f>VLOOKUP(Table1[[#This Row],[Status]],Auxiliar!$B$16:$C$24,2,0)</f>
        <v>1</v>
      </c>
      <c r="K630" s="2" t="s">
        <v>1171</v>
      </c>
      <c r="L630" s="28" t="s">
        <v>1177</v>
      </c>
      <c r="M630" s="20" t="s">
        <v>1170</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166">
        <f>+VLOOKUP(CONCATENATE(Table1[[#This Row],[Tabela]],Table1[[#This Row],[Campo]]),'2. Status Detalhe Campos FY24'!A:J,9,FALSE)</f>
        <v>0</v>
      </c>
    </row>
    <row r="631" spans="2:24" ht="17.850000000000001" hidden="1" customHeight="1">
      <c r="B631" s="2" t="s">
        <v>26</v>
      </c>
      <c r="C631" s="2" t="s">
        <v>310</v>
      </c>
      <c r="D631" s="2" t="s">
        <v>326</v>
      </c>
      <c r="E631" s="2" t="s">
        <v>38</v>
      </c>
      <c r="F631" s="2" t="s">
        <v>325</v>
      </c>
      <c r="G631" s="2" t="s">
        <v>246</v>
      </c>
      <c r="H631" s="56" t="str">
        <f>Table1[[#This Row],[Tabela]]&amp;Table1[[#This Row],[Campo]]</f>
        <v>modesg_out_empr_info_nfincca_trnvr_enblng_alignd</v>
      </c>
      <c r="I631" s="2" t="s">
        <v>612</v>
      </c>
      <c r="J631" s="42">
        <f>VLOOKUP(Table1[[#This Row],[Status]],Auxiliar!$B$16:$C$24,2,0)</f>
        <v>1</v>
      </c>
      <c r="K631" s="2" t="s">
        <v>1172</v>
      </c>
      <c r="L631" s="28" t="s">
        <v>1177</v>
      </c>
      <c r="M631" s="20" t="s">
        <v>1170</v>
      </c>
      <c r="N631" s="47">
        <v>45642</v>
      </c>
      <c r="O631" s="20">
        <f>INDEX(Auxiliar!$D$5:$F$13,MATCH(Table1[[#This Row],[Tipologia_Testes]],Auxiliar!$B$5:$B$13,0),MATCH(Table1[[#This Row],[Complexidade]],Auxiliar!$D$4:$F$4,0))</f>
        <v>8</v>
      </c>
      <c r="P631" s="2"/>
      <c r="Q631" s="2"/>
      <c r="R631" s="151">
        <v>45561</v>
      </c>
      <c r="S631" s="151"/>
      <c r="T631" s="151">
        <v>45561</v>
      </c>
      <c r="U631" s="151">
        <v>45614</v>
      </c>
      <c r="V631" s="151">
        <v>45615</v>
      </c>
      <c r="W631" s="2">
        <f>VLOOKUP(Table1[[#This Row],[Status]],Auxiliar!$B$16:$D$24,3,0)*Table1[[#This Row],[Estimação (horas)]]</f>
        <v>8</v>
      </c>
      <c r="X631" s="166">
        <f>+VLOOKUP(CONCATENATE(Table1[[#This Row],[Tabela]],Table1[[#This Row],[Campo]]),'2. Status Detalhe Campos FY24'!A:J,9,FALSE)</f>
        <v>0</v>
      </c>
    </row>
    <row r="632" spans="2:24" ht="17.850000000000001" hidden="1" customHeight="1">
      <c r="B632" s="2" t="s">
        <v>26</v>
      </c>
      <c r="C632" s="2" t="s">
        <v>310</v>
      </c>
      <c r="D632" s="2" t="s">
        <v>326</v>
      </c>
      <c r="E632" s="2" t="s">
        <v>38</v>
      </c>
      <c r="F632" s="2" t="s">
        <v>325</v>
      </c>
      <c r="G632" s="2" t="s">
        <v>246</v>
      </c>
      <c r="H632" s="56" t="str">
        <f>Table1[[#This Row],[Tabela]]&amp;Table1[[#This Row],[Campo]]</f>
        <v>modesg_out_empr_info_nfincca_trnvr_enblng_alignd</v>
      </c>
      <c r="I632" s="2" t="s">
        <v>612</v>
      </c>
      <c r="J632" s="42">
        <f>VLOOKUP(Table1[[#This Row],[Status]],Auxiliar!$B$16:$C$24,2,0)</f>
        <v>1</v>
      </c>
      <c r="K632" s="2" t="s">
        <v>1174</v>
      </c>
      <c r="L632" s="28" t="s">
        <v>1177</v>
      </c>
      <c r="M632" s="20" t="s">
        <v>1170</v>
      </c>
      <c r="N632" s="47">
        <v>45642</v>
      </c>
      <c r="O632" s="20">
        <f>INDEX(Auxiliar!$D$5:$F$13,MATCH(Table1[[#This Row],[Tipologia_Testes]],Auxiliar!$B$5:$B$13,0),MATCH(Table1[[#This Row],[Complexidade]],Auxiliar!$D$4:$F$4,0))</f>
        <v>0.1</v>
      </c>
      <c r="P632" s="2"/>
      <c r="Q632" s="2"/>
      <c r="R632" s="151">
        <v>45561</v>
      </c>
      <c r="S632" s="151"/>
      <c r="T632" s="151">
        <v>45561</v>
      </c>
      <c r="U632" s="151">
        <v>45614</v>
      </c>
      <c r="V632" s="151">
        <v>45615</v>
      </c>
      <c r="W632" s="2">
        <f>VLOOKUP(Table1[[#This Row],[Status]],Auxiliar!$B$16:$D$24,3,0)*Table1[[#This Row],[Estimação (horas)]]</f>
        <v>0.1</v>
      </c>
      <c r="X632" s="166">
        <f>+VLOOKUP(CONCATENATE(Table1[[#This Row],[Tabela]],Table1[[#This Row],[Campo]]),'2. Status Detalhe Campos FY24'!A:J,9,FALSE)</f>
        <v>0</v>
      </c>
    </row>
    <row r="633" spans="2:24" ht="17.850000000000001" hidden="1" customHeight="1">
      <c r="B633" s="2" t="s">
        <v>26</v>
      </c>
      <c r="C633" s="2" t="s">
        <v>310</v>
      </c>
      <c r="D633" s="2" t="s">
        <v>326</v>
      </c>
      <c r="E633" s="2" t="s">
        <v>38</v>
      </c>
      <c r="F633" s="2" t="s">
        <v>325</v>
      </c>
      <c r="G633" s="2" t="s">
        <v>245</v>
      </c>
      <c r="H633" s="56" t="str">
        <f>Table1[[#This Row],[Tabela]]&amp;Table1[[#This Row],[Campo]]</f>
        <v>modesg_out_empr_info_nfincca_trnvr_ttl_elgbl</v>
      </c>
      <c r="I633" s="2" t="s">
        <v>612</v>
      </c>
      <c r="J633" s="42">
        <f>VLOOKUP(Table1[[#This Row],[Status]],Auxiliar!$B$16:$C$24,2,0)</f>
        <v>1</v>
      </c>
      <c r="K633" s="2" t="s">
        <v>1171</v>
      </c>
      <c r="L633" s="28" t="s">
        <v>1177</v>
      </c>
      <c r="M633" s="20" t="s">
        <v>1170</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166">
        <f>+VLOOKUP(CONCATENATE(Table1[[#This Row],[Tabela]],Table1[[#This Row],[Campo]]),'2. Status Detalhe Campos FY24'!A:J,9,FALSE)</f>
        <v>0</v>
      </c>
    </row>
    <row r="634" spans="2:24" ht="17.850000000000001" hidden="1" customHeight="1">
      <c r="B634" s="2" t="s">
        <v>26</v>
      </c>
      <c r="C634" s="2" t="s">
        <v>310</v>
      </c>
      <c r="D634" s="2" t="s">
        <v>326</v>
      </c>
      <c r="E634" s="2" t="s">
        <v>38</v>
      </c>
      <c r="F634" s="2" t="s">
        <v>325</v>
      </c>
      <c r="G634" s="2" t="s">
        <v>245</v>
      </c>
      <c r="H634" s="56" t="str">
        <f>Table1[[#This Row],[Tabela]]&amp;Table1[[#This Row],[Campo]]</f>
        <v>modesg_out_empr_info_nfincca_trnvr_ttl_elgbl</v>
      </c>
      <c r="I634" s="2" t="s">
        <v>612</v>
      </c>
      <c r="J634" s="42">
        <f>VLOOKUP(Table1[[#This Row],[Status]],Auxiliar!$B$16:$C$24,2,0)</f>
        <v>1</v>
      </c>
      <c r="K634" s="2" t="s">
        <v>1172</v>
      </c>
      <c r="L634" s="28" t="s">
        <v>1177</v>
      </c>
      <c r="M634" s="20" t="s">
        <v>1170</v>
      </c>
      <c r="N634" s="47">
        <v>45642</v>
      </c>
      <c r="O634" s="20">
        <f>INDEX(Auxiliar!$D$5:$F$13,MATCH(Table1[[#This Row],[Tipologia_Testes]],Auxiliar!$B$5:$B$13,0),MATCH(Table1[[#This Row],[Complexidade]],Auxiliar!$D$4:$F$4,0))</f>
        <v>8</v>
      </c>
      <c r="P634" s="2"/>
      <c r="Q634" s="2"/>
      <c r="R634" s="151">
        <v>45561</v>
      </c>
      <c r="S634" s="151"/>
      <c r="T634" s="151">
        <v>45561</v>
      </c>
      <c r="U634" s="151">
        <v>45614</v>
      </c>
      <c r="V634" s="151">
        <v>45615</v>
      </c>
      <c r="W634" s="2">
        <f>VLOOKUP(Table1[[#This Row],[Status]],Auxiliar!$B$16:$D$24,3,0)*Table1[[#This Row],[Estimação (horas)]]</f>
        <v>8</v>
      </c>
      <c r="X634" s="166">
        <f>+VLOOKUP(CONCATENATE(Table1[[#This Row],[Tabela]],Table1[[#This Row],[Campo]]),'2. Status Detalhe Campos FY24'!A:J,9,FALSE)</f>
        <v>0</v>
      </c>
    </row>
    <row r="635" spans="2:24" ht="17.850000000000001" hidden="1" customHeight="1">
      <c r="B635" s="2" t="s">
        <v>26</v>
      </c>
      <c r="C635" s="2" t="s">
        <v>310</v>
      </c>
      <c r="D635" s="2" t="s">
        <v>326</v>
      </c>
      <c r="E635" s="2" t="s">
        <v>38</v>
      </c>
      <c r="F635" s="2" t="s">
        <v>325</v>
      </c>
      <c r="G635" s="2" t="s">
        <v>245</v>
      </c>
      <c r="H635" s="56" t="str">
        <f>Table1[[#This Row],[Tabela]]&amp;Table1[[#This Row],[Campo]]</f>
        <v>modesg_out_empr_info_nfincca_trnvr_ttl_elgbl</v>
      </c>
      <c r="I635" s="2" t="s">
        <v>612</v>
      </c>
      <c r="J635" s="42">
        <f>VLOOKUP(Table1[[#This Row],[Status]],Auxiliar!$B$16:$C$24,2,0)</f>
        <v>1</v>
      </c>
      <c r="K635" s="2" t="s">
        <v>1174</v>
      </c>
      <c r="L635" s="28" t="s">
        <v>1177</v>
      </c>
      <c r="M635" s="20" t="s">
        <v>1170</v>
      </c>
      <c r="N635" s="47">
        <v>45642</v>
      </c>
      <c r="O635" s="20">
        <f>INDEX(Auxiliar!$D$5:$F$13,MATCH(Table1[[#This Row],[Tipologia_Testes]],Auxiliar!$B$5:$B$13,0),MATCH(Table1[[#This Row],[Complexidade]],Auxiliar!$D$4:$F$4,0))</f>
        <v>0.1</v>
      </c>
      <c r="P635" s="2"/>
      <c r="Q635" s="2"/>
      <c r="R635" s="151">
        <v>45561</v>
      </c>
      <c r="S635" s="151"/>
      <c r="T635" s="151">
        <v>45561</v>
      </c>
      <c r="U635" s="151">
        <v>45614</v>
      </c>
      <c r="V635" s="151">
        <v>45615</v>
      </c>
      <c r="W635" s="2">
        <f>VLOOKUP(Table1[[#This Row],[Status]],Auxiliar!$B$16:$D$24,3,0)*Table1[[#This Row],[Estimação (horas)]]</f>
        <v>0.1</v>
      </c>
      <c r="X635" s="166">
        <f>+VLOOKUP(CONCATENATE(Table1[[#This Row],[Tabela]],Table1[[#This Row],[Campo]]),'2. Status Detalhe Campos FY24'!A:J,9,FALSE)</f>
        <v>0</v>
      </c>
    </row>
    <row r="636" spans="2:24" ht="17.850000000000001" hidden="1" customHeight="1">
      <c r="B636" s="2" t="s">
        <v>26</v>
      </c>
      <c r="C636" s="2" t="s">
        <v>310</v>
      </c>
      <c r="D636" s="2" t="s">
        <v>326</v>
      </c>
      <c r="E636" s="2" t="s">
        <v>38</v>
      </c>
      <c r="F636" s="2" t="s">
        <v>325</v>
      </c>
      <c r="G636" s="2" t="s">
        <v>247</v>
      </c>
      <c r="H636" s="56" t="str">
        <f>Table1[[#This Row],[Tabela]]&amp;Table1[[#This Row],[Campo]]</f>
        <v>modesg_out_empr_info_nfincca_turnover_own_prfrmnce_algnd</v>
      </c>
      <c r="I636" s="2" t="s">
        <v>612</v>
      </c>
      <c r="J636" s="42">
        <f>VLOOKUP(Table1[[#This Row],[Status]],Auxiliar!$B$16:$C$24,2,0)</f>
        <v>1</v>
      </c>
      <c r="K636" s="2" t="s">
        <v>1171</v>
      </c>
      <c r="L636" s="28" t="s">
        <v>1177</v>
      </c>
      <c r="M636" s="20" t="s">
        <v>1170</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166">
        <f>+VLOOKUP(CONCATENATE(Table1[[#This Row],[Tabela]],Table1[[#This Row],[Campo]]),'2. Status Detalhe Campos FY24'!A:J,9,FALSE)</f>
        <v>0</v>
      </c>
    </row>
    <row r="637" spans="2:24" ht="17.850000000000001" hidden="1" customHeight="1">
      <c r="B637" s="2" t="s">
        <v>26</v>
      </c>
      <c r="C637" s="2" t="s">
        <v>310</v>
      </c>
      <c r="D637" s="2" t="s">
        <v>326</v>
      </c>
      <c r="E637" s="2" t="s">
        <v>38</v>
      </c>
      <c r="F637" s="2" t="s">
        <v>325</v>
      </c>
      <c r="G637" s="2" t="s">
        <v>247</v>
      </c>
      <c r="H637" s="56" t="str">
        <f>Table1[[#This Row],[Tabela]]&amp;Table1[[#This Row],[Campo]]</f>
        <v>modesg_out_empr_info_nfincca_turnover_own_prfrmnce_algnd</v>
      </c>
      <c r="I637" s="2" t="s">
        <v>612</v>
      </c>
      <c r="J637" s="42">
        <f>VLOOKUP(Table1[[#This Row],[Status]],Auxiliar!$B$16:$C$24,2,0)</f>
        <v>1</v>
      </c>
      <c r="K637" s="2" t="s">
        <v>1172</v>
      </c>
      <c r="L637" s="28" t="s">
        <v>1177</v>
      </c>
      <c r="M637" s="20" t="s">
        <v>1170</v>
      </c>
      <c r="N637" s="47">
        <v>45642</v>
      </c>
      <c r="O637" s="20">
        <f>INDEX(Auxiliar!$D$5:$F$13,MATCH(Table1[[#This Row],[Tipologia_Testes]],Auxiliar!$B$5:$B$13,0),MATCH(Table1[[#This Row],[Complexidade]],Auxiliar!$D$4:$F$4,0))</f>
        <v>8</v>
      </c>
      <c r="P637" s="2"/>
      <c r="Q637" s="2"/>
      <c r="R637" s="151">
        <v>45561</v>
      </c>
      <c r="S637" s="151"/>
      <c r="T637" s="151">
        <v>45561</v>
      </c>
      <c r="U637" s="151">
        <v>45614</v>
      </c>
      <c r="V637" s="151">
        <v>45615</v>
      </c>
      <c r="W637" s="2">
        <f>VLOOKUP(Table1[[#This Row],[Status]],Auxiliar!$B$16:$D$24,3,0)*Table1[[#This Row],[Estimação (horas)]]</f>
        <v>8</v>
      </c>
      <c r="X637" s="166">
        <f>+VLOOKUP(CONCATENATE(Table1[[#This Row],[Tabela]],Table1[[#This Row],[Campo]]),'2. Status Detalhe Campos FY24'!A:J,9,FALSE)</f>
        <v>0</v>
      </c>
    </row>
    <row r="638" spans="2:24" ht="17.850000000000001" hidden="1" customHeight="1">
      <c r="B638" s="2" t="s">
        <v>26</v>
      </c>
      <c r="C638" s="2" t="s">
        <v>310</v>
      </c>
      <c r="D638" s="2" t="s">
        <v>326</v>
      </c>
      <c r="E638" s="2" t="s">
        <v>38</v>
      </c>
      <c r="F638" s="2" t="s">
        <v>325</v>
      </c>
      <c r="G638" s="2" t="s">
        <v>247</v>
      </c>
      <c r="H638" s="56" t="str">
        <f>Table1[[#This Row],[Tabela]]&amp;Table1[[#This Row],[Campo]]</f>
        <v>modesg_out_empr_info_nfincca_turnover_own_prfrmnce_algnd</v>
      </c>
      <c r="I638" s="2" t="s">
        <v>612</v>
      </c>
      <c r="J638" s="42">
        <f>VLOOKUP(Table1[[#This Row],[Status]],Auxiliar!$B$16:$C$24,2,0)</f>
        <v>1</v>
      </c>
      <c r="K638" s="2" t="s">
        <v>1174</v>
      </c>
      <c r="L638" s="28" t="s">
        <v>1177</v>
      </c>
      <c r="M638" s="20" t="s">
        <v>1170</v>
      </c>
      <c r="N638" s="47">
        <v>45642</v>
      </c>
      <c r="O638" s="20">
        <f>INDEX(Auxiliar!$D$5:$F$13,MATCH(Table1[[#This Row],[Tipologia_Testes]],Auxiliar!$B$5:$B$13,0),MATCH(Table1[[#This Row],[Complexidade]],Auxiliar!$D$4:$F$4,0))</f>
        <v>0.1</v>
      </c>
      <c r="P638" s="2"/>
      <c r="Q638" s="2"/>
      <c r="R638" s="151">
        <v>45561</v>
      </c>
      <c r="S638" s="151"/>
      <c r="T638" s="151">
        <v>45561</v>
      </c>
      <c r="U638" s="151">
        <v>45614</v>
      </c>
      <c r="V638" s="151">
        <v>45615</v>
      </c>
      <c r="W638" s="2">
        <f>VLOOKUP(Table1[[#This Row],[Status]],Auxiliar!$B$16:$D$24,3,0)*Table1[[#This Row],[Estimação (horas)]]</f>
        <v>0.1</v>
      </c>
      <c r="X638" s="166">
        <f>+VLOOKUP(CONCATENATE(Table1[[#This Row],[Tabela]],Table1[[#This Row],[Campo]]),'2. Status Detalhe Campos FY24'!A:J,9,FALSE)</f>
        <v>0</v>
      </c>
    </row>
    <row r="639" spans="2:24" ht="17.850000000000001" hidden="1" customHeight="1">
      <c r="B639" s="2" t="s">
        <v>26</v>
      </c>
      <c r="C639" s="2" t="s">
        <v>310</v>
      </c>
      <c r="D639" s="2" t="s">
        <v>326</v>
      </c>
      <c r="E639" s="2" t="s">
        <v>38</v>
      </c>
      <c r="F639" s="2" t="s">
        <v>325</v>
      </c>
      <c r="G639" s="2" t="s">
        <v>256</v>
      </c>
      <c r="H639" s="56" t="str">
        <f>Table1[[#This Row],[Tabela]]&amp;Table1[[#This Row],[Campo]]</f>
        <v>modesg_out_empr_info_nfinccm_capex_enblng_algnd</v>
      </c>
      <c r="I639" s="2" t="s">
        <v>612</v>
      </c>
      <c r="J639" s="42">
        <f>VLOOKUP(Table1[[#This Row],[Status]],Auxiliar!$B$16:$C$24,2,0)</f>
        <v>1</v>
      </c>
      <c r="K639" s="2" t="s">
        <v>1171</v>
      </c>
      <c r="L639" s="28" t="s">
        <v>1177</v>
      </c>
      <c r="M639" s="20" t="s">
        <v>1170</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166">
        <f>+VLOOKUP(CONCATENATE(Table1[[#This Row],[Tabela]],Table1[[#This Row],[Campo]]),'2. Status Detalhe Campos FY24'!A:J,9,FALSE)</f>
        <v>0</v>
      </c>
    </row>
    <row r="640" spans="2:24" ht="17.850000000000001" hidden="1" customHeight="1">
      <c r="B640" s="2" t="s">
        <v>26</v>
      </c>
      <c r="C640" s="2" t="s">
        <v>310</v>
      </c>
      <c r="D640" s="2" t="s">
        <v>326</v>
      </c>
      <c r="E640" s="2" t="s">
        <v>38</v>
      </c>
      <c r="F640" s="2" t="s">
        <v>325</v>
      </c>
      <c r="G640" s="2" t="s">
        <v>256</v>
      </c>
      <c r="H640" s="56" t="str">
        <f>Table1[[#This Row],[Tabela]]&amp;Table1[[#This Row],[Campo]]</f>
        <v>modesg_out_empr_info_nfinccm_capex_enblng_algnd</v>
      </c>
      <c r="I640" s="2" t="s">
        <v>612</v>
      </c>
      <c r="J640" s="42">
        <f>VLOOKUP(Table1[[#This Row],[Status]],Auxiliar!$B$16:$C$24,2,0)</f>
        <v>1</v>
      </c>
      <c r="K640" s="2" t="s">
        <v>1172</v>
      </c>
      <c r="L640" s="28" t="s">
        <v>1177</v>
      </c>
      <c r="M640" s="20" t="s">
        <v>1170</v>
      </c>
      <c r="N640" s="47">
        <v>45642</v>
      </c>
      <c r="O640" s="20">
        <f>INDEX(Auxiliar!$D$5:$F$13,MATCH(Table1[[#This Row],[Tipologia_Testes]],Auxiliar!$B$5:$B$13,0),MATCH(Table1[[#This Row],[Complexidade]],Auxiliar!$D$4:$F$4,0))</f>
        <v>8</v>
      </c>
      <c r="P640" s="2"/>
      <c r="Q640" s="2"/>
      <c r="R640" s="151">
        <v>45561</v>
      </c>
      <c r="S640" s="151"/>
      <c r="T640" s="151">
        <v>45561</v>
      </c>
      <c r="U640" s="151">
        <v>45614</v>
      </c>
      <c r="V640" s="151">
        <v>45615</v>
      </c>
      <c r="W640" s="2">
        <f>VLOOKUP(Table1[[#This Row],[Status]],Auxiliar!$B$16:$D$24,3,0)*Table1[[#This Row],[Estimação (horas)]]</f>
        <v>8</v>
      </c>
      <c r="X640" s="166">
        <f>+VLOOKUP(CONCATENATE(Table1[[#This Row],[Tabela]],Table1[[#This Row],[Campo]]),'2. Status Detalhe Campos FY24'!A:J,9,FALSE)</f>
        <v>0</v>
      </c>
    </row>
    <row r="641" spans="2:24" ht="17.850000000000001" hidden="1" customHeight="1">
      <c r="B641" s="2" t="s">
        <v>26</v>
      </c>
      <c r="C641" s="2" t="s">
        <v>310</v>
      </c>
      <c r="D641" s="2" t="s">
        <v>326</v>
      </c>
      <c r="E641" s="2" t="s">
        <v>38</v>
      </c>
      <c r="F641" s="2" t="s">
        <v>325</v>
      </c>
      <c r="G641" s="2" t="s">
        <v>256</v>
      </c>
      <c r="H641" s="56" t="str">
        <f>Table1[[#This Row],[Tabela]]&amp;Table1[[#This Row],[Campo]]</f>
        <v>modesg_out_empr_info_nfinccm_capex_enblng_algnd</v>
      </c>
      <c r="I641" s="2" t="s">
        <v>612</v>
      </c>
      <c r="J641" s="42">
        <f>VLOOKUP(Table1[[#This Row],[Status]],Auxiliar!$B$16:$C$24,2,0)</f>
        <v>1</v>
      </c>
      <c r="K641" s="2" t="s">
        <v>1174</v>
      </c>
      <c r="L641" s="28" t="s">
        <v>1177</v>
      </c>
      <c r="M641" s="20" t="s">
        <v>1170</v>
      </c>
      <c r="N641" s="47">
        <v>45642</v>
      </c>
      <c r="O641" s="20">
        <f>INDEX(Auxiliar!$D$5:$F$13,MATCH(Table1[[#This Row],[Tipologia_Testes]],Auxiliar!$B$5:$B$13,0),MATCH(Table1[[#This Row],[Complexidade]],Auxiliar!$D$4:$F$4,0))</f>
        <v>0.1</v>
      </c>
      <c r="P641" s="2"/>
      <c r="Q641" s="2"/>
      <c r="R641" s="151">
        <v>45561</v>
      </c>
      <c r="S641" s="151"/>
      <c r="T641" s="151">
        <v>45561</v>
      </c>
      <c r="U641" s="151">
        <v>45614</v>
      </c>
      <c r="V641" s="151">
        <v>45615</v>
      </c>
      <c r="W641" s="2">
        <f>VLOOKUP(Table1[[#This Row],[Status]],Auxiliar!$B$16:$D$24,3,0)*Table1[[#This Row],[Estimação (horas)]]</f>
        <v>0.1</v>
      </c>
      <c r="X641" s="166">
        <f>+VLOOKUP(CONCATENATE(Table1[[#This Row],[Tabela]],Table1[[#This Row],[Campo]]),'2. Status Detalhe Campos FY24'!A:J,9,FALSE)</f>
        <v>0</v>
      </c>
    </row>
    <row r="642" spans="2:24" ht="17.850000000000001" hidden="1" customHeight="1">
      <c r="B642" s="2" t="s">
        <v>26</v>
      </c>
      <c r="C642" s="2" t="s">
        <v>310</v>
      </c>
      <c r="D642" s="2" t="s">
        <v>326</v>
      </c>
      <c r="E642" s="2" t="s">
        <v>38</v>
      </c>
      <c r="F642" s="2" t="s">
        <v>325</v>
      </c>
      <c r="G642" s="2" t="s">
        <v>258</v>
      </c>
      <c r="H642" s="56" t="str">
        <f>Table1[[#This Row],[Tabela]]&amp;Table1[[#This Row],[Campo]]</f>
        <v>modesg_out_empr_info_nfinccm_capex_own_prfrmnce_algnd</v>
      </c>
      <c r="I642" s="2" t="s">
        <v>612</v>
      </c>
      <c r="J642" s="42">
        <f>VLOOKUP(Table1[[#This Row],[Status]],Auxiliar!$B$16:$C$24,2,0)</f>
        <v>1</v>
      </c>
      <c r="K642" s="2" t="s">
        <v>1171</v>
      </c>
      <c r="L642" s="28" t="s">
        <v>1177</v>
      </c>
      <c r="M642" s="20" t="s">
        <v>1170</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166">
        <f>+VLOOKUP(CONCATENATE(Table1[[#This Row],[Tabela]],Table1[[#This Row],[Campo]]),'2. Status Detalhe Campos FY24'!A:J,9,FALSE)</f>
        <v>0</v>
      </c>
    </row>
    <row r="643" spans="2:24" ht="17.850000000000001" hidden="1" customHeight="1">
      <c r="B643" s="2" t="s">
        <v>26</v>
      </c>
      <c r="C643" s="2" t="s">
        <v>310</v>
      </c>
      <c r="D643" s="2" t="s">
        <v>326</v>
      </c>
      <c r="E643" s="2" t="s">
        <v>38</v>
      </c>
      <c r="F643" s="2" t="s">
        <v>325</v>
      </c>
      <c r="G643" s="2" t="s">
        <v>258</v>
      </c>
      <c r="H643" s="56" t="str">
        <f>Table1[[#This Row],[Tabela]]&amp;Table1[[#This Row],[Campo]]</f>
        <v>modesg_out_empr_info_nfinccm_capex_own_prfrmnce_algnd</v>
      </c>
      <c r="I643" s="2" t="s">
        <v>612</v>
      </c>
      <c r="J643" s="42">
        <f>VLOOKUP(Table1[[#This Row],[Status]],Auxiliar!$B$16:$C$24,2,0)</f>
        <v>1</v>
      </c>
      <c r="K643" s="2" t="s">
        <v>1172</v>
      </c>
      <c r="L643" s="28" t="s">
        <v>1177</v>
      </c>
      <c r="M643" s="20" t="s">
        <v>1170</v>
      </c>
      <c r="N643" s="47">
        <v>45642</v>
      </c>
      <c r="O643" s="20">
        <f>INDEX(Auxiliar!$D$5:$F$13,MATCH(Table1[[#This Row],[Tipologia_Testes]],Auxiliar!$B$5:$B$13,0),MATCH(Table1[[#This Row],[Complexidade]],Auxiliar!$D$4:$F$4,0))</f>
        <v>8</v>
      </c>
      <c r="P643" s="2"/>
      <c r="Q643" s="2"/>
      <c r="R643" s="151">
        <v>45561</v>
      </c>
      <c r="S643" s="151"/>
      <c r="T643" s="151">
        <v>45561</v>
      </c>
      <c r="U643" s="151">
        <v>45614</v>
      </c>
      <c r="V643" s="151">
        <v>45615</v>
      </c>
      <c r="W643" s="2">
        <f>VLOOKUP(Table1[[#This Row],[Status]],Auxiliar!$B$16:$D$24,3,0)*Table1[[#This Row],[Estimação (horas)]]</f>
        <v>8</v>
      </c>
      <c r="X643" s="166">
        <f>+VLOOKUP(CONCATENATE(Table1[[#This Row],[Tabela]],Table1[[#This Row],[Campo]]),'2. Status Detalhe Campos FY24'!A:J,9,FALSE)</f>
        <v>0</v>
      </c>
    </row>
    <row r="644" spans="2:24" ht="17.850000000000001" hidden="1" customHeight="1">
      <c r="B644" s="2" t="s">
        <v>26</v>
      </c>
      <c r="C644" s="2" t="s">
        <v>310</v>
      </c>
      <c r="D644" s="2" t="s">
        <v>326</v>
      </c>
      <c r="E644" s="2" t="s">
        <v>38</v>
      </c>
      <c r="F644" s="2" t="s">
        <v>325</v>
      </c>
      <c r="G644" s="2" t="s">
        <v>258</v>
      </c>
      <c r="H644" s="56" t="str">
        <f>Table1[[#This Row],[Tabela]]&amp;Table1[[#This Row],[Campo]]</f>
        <v>modesg_out_empr_info_nfinccm_capex_own_prfrmnce_algnd</v>
      </c>
      <c r="I644" s="2" t="s">
        <v>612</v>
      </c>
      <c r="J644" s="42">
        <f>VLOOKUP(Table1[[#This Row],[Status]],Auxiliar!$B$16:$C$24,2,0)</f>
        <v>1</v>
      </c>
      <c r="K644" s="2" t="s">
        <v>1174</v>
      </c>
      <c r="L644" s="28" t="s">
        <v>1177</v>
      </c>
      <c r="M644" s="20" t="s">
        <v>1170</v>
      </c>
      <c r="N644" s="47">
        <v>45642</v>
      </c>
      <c r="O644" s="20">
        <f>INDEX(Auxiliar!$D$5:$F$13,MATCH(Table1[[#This Row],[Tipologia_Testes]],Auxiliar!$B$5:$B$13,0),MATCH(Table1[[#This Row],[Complexidade]],Auxiliar!$D$4:$F$4,0))</f>
        <v>0.1</v>
      </c>
      <c r="P644" s="2"/>
      <c r="Q644" s="2"/>
      <c r="R644" s="151">
        <v>45561</v>
      </c>
      <c r="S644" s="151"/>
      <c r="T644" s="151">
        <v>45561</v>
      </c>
      <c r="U644" s="151">
        <v>45614</v>
      </c>
      <c r="V644" s="151">
        <v>45615</v>
      </c>
      <c r="W644" s="2">
        <f>VLOOKUP(Table1[[#This Row],[Status]],Auxiliar!$B$16:$D$24,3,0)*Table1[[#This Row],[Estimação (horas)]]</f>
        <v>0.1</v>
      </c>
      <c r="X644" s="166">
        <f>+VLOOKUP(CONCATENATE(Table1[[#This Row],[Tabela]],Table1[[#This Row],[Campo]]),'2. Status Detalhe Campos FY24'!A:J,9,FALSE)</f>
        <v>0</v>
      </c>
    </row>
    <row r="645" spans="2:24" ht="17.850000000000001" hidden="1" customHeight="1">
      <c r="B645" s="2" t="s">
        <v>26</v>
      </c>
      <c r="C645" s="2" t="s">
        <v>310</v>
      </c>
      <c r="D645" s="2" t="s">
        <v>326</v>
      </c>
      <c r="E645" s="2" t="s">
        <v>38</v>
      </c>
      <c r="F645" s="2" t="s">
        <v>325</v>
      </c>
      <c r="G645" s="2" t="s">
        <v>257</v>
      </c>
      <c r="H645" s="56" t="str">
        <f>Table1[[#This Row],[Tabela]]&amp;Table1[[#This Row],[Campo]]</f>
        <v>modesg_out_empr_info_nfinccm_capex_trnstn_algnd</v>
      </c>
      <c r="I645" s="2" t="s">
        <v>612</v>
      </c>
      <c r="J645" s="42">
        <f>VLOOKUP(Table1[[#This Row],[Status]],Auxiliar!$B$16:$C$24,2,0)</f>
        <v>1</v>
      </c>
      <c r="K645" s="2" t="s">
        <v>1171</v>
      </c>
      <c r="L645" s="28" t="s">
        <v>1177</v>
      </c>
      <c r="M645" s="20" t="s">
        <v>1170</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166">
        <f>+VLOOKUP(CONCATENATE(Table1[[#This Row],[Tabela]],Table1[[#This Row],[Campo]]),'2. Status Detalhe Campos FY24'!A:J,9,FALSE)</f>
        <v>0</v>
      </c>
    </row>
    <row r="646" spans="2:24" ht="17.850000000000001" hidden="1" customHeight="1">
      <c r="B646" s="2" t="s">
        <v>26</v>
      </c>
      <c r="C646" s="2" t="s">
        <v>310</v>
      </c>
      <c r="D646" s="2" t="s">
        <v>326</v>
      </c>
      <c r="E646" s="2" t="s">
        <v>38</v>
      </c>
      <c r="F646" s="2" t="s">
        <v>325</v>
      </c>
      <c r="G646" s="2" t="s">
        <v>257</v>
      </c>
      <c r="H646" s="56" t="str">
        <f>Table1[[#This Row],[Tabela]]&amp;Table1[[#This Row],[Campo]]</f>
        <v>modesg_out_empr_info_nfinccm_capex_trnstn_algnd</v>
      </c>
      <c r="I646" s="2" t="s">
        <v>612</v>
      </c>
      <c r="J646" s="42">
        <f>VLOOKUP(Table1[[#This Row],[Status]],Auxiliar!$B$16:$C$24,2,0)</f>
        <v>1</v>
      </c>
      <c r="K646" s="2" t="s">
        <v>1172</v>
      </c>
      <c r="L646" s="28" t="s">
        <v>1177</v>
      </c>
      <c r="M646" s="20" t="s">
        <v>1170</v>
      </c>
      <c r="N646" s="47">
        <v>45642</v>
      </c>
      <c r="O646" s="20">
        <f>INDEX(Auxiliar!$D$5:$F$13,MATCH(Table1[[#This Row],[Tipologia_Testes]],Auxiliar!$B$5:$B$13,0),MATCH(Table1[[#This Row],[Complexidade]],Auxiliar!$D$4:$F$4,0))</f>
        <v>8</v>
      </c>
      <c r="P646" s="2"/>
      <c r="Q646" s="2"/>
      <c r="R646" s="151">
        <v>45561</v>
      </c>
      <c r="S646" s="151"/>
      <c r="T646" s="151">
        <v>45561</v>
      </c>
      <c r="U646" s="151">
        <v>45614</v>
      </c>
      <c r="V646" s="151">
        <v>45615</v>
      </c>
      <c r="W646" s="2">
        <f>VLOOKUP(Table1[[#This Row],[Status]],Auxiliar!$B$16:$D$24,3,0)*Table1[[#This Row],[Estimação (horas)]]</f>
        <v>8</v>
      </c>
      <c r="X646" s="166">
        <f>+VLOOKUP(CONCATENATE(Table1[[#This Row],[Tabela]],Table1[[#This Row],[Campo]]),'2. Status Detalhe Campos FY24'!A:J,9,FALSE)</f>
        <v>0</v>
      </c>
    </row>
    <row r="647" spans="2:24" ht="17.850000000000001" hidden="1" customHeight="1">
      <c r="B647" s="2" t="s">
        <v>26</v>
      </c>
      <c r="C647" s="2" t="s">
        <v>310</v>
      </c>
      <c r="D647" s="2" t="s">
        <v>326</v>
      </c>
      <c r="E647" s="2" t="s">
        <v>38</v>
      </c>
      <c r="F647" s="2" t="s">
        <v>325</v>
      </c>
      <c r="G647" s="2" t="s">
        <v>257</v>
      </c>
      <c r="H647" s="56" t="str">
        <f>Table1[[#This Row],[Tabela]]&amp;Table1[[#This Row],[Campo]]</f>
        <v>modesg_out_empr_info_nfinccm_capex_trnstn_algnd</v>
      </c>
      <c r="I647" s="2" t="s">
        <v>612</v>
      </c>
      <c r="J647" s="42">
        <f>VLOOKUP(Table1[[#This Row],[Status]],Auxiliar!$B$16:$C$24,2,0)</f>
        <v>1</v>
      </c>
      <c r="K647" s="2" t="s">
        <v>1174</v>
      </c>
      <c r="L647" s="28" t="s">
        <v>1177</v>
      </c>
      <c r="M647" s="20" t="s">
        <v>1170</v>
      </c>
      <c r="N647" s="47">
        <v>45642</v>
      </c>
      <c r="O647" s="20">
        <f>INDEX(Auxiliar!$D$5:$F$13,MATCH(Table1[[#This Row],[Tipologia_Testes]],Auxiliar!$B$5:$B$13,0),MATCH(Table1[[#This Row],[Complexidade]],Auxiliar!$D$4:$F$4,0))</f>
        <v>0.1</v>
      </c>
      <c r="P647" s="2"/>
      <c r="Q647" s="2"/>
      <c r="R647" s="151">
        <v>45561</v>
      </c>
      <c r="S647" s="151"/>
      <c r="T647" s="151">
        <v>45561</v>
      </c>
      <c r="U647" s="151">
        <v>45614</v>
      </c>
      <c r="V647" s="151">
        <v>45615</v>
      </c>
      <c r="W647" s="2">
        <f>VLOOKUP(Table1[[#This Row],[Status]],Auxiliar!$B$16:$D$24,3,0)*Table1[[#This Row],[Estimação (horas)]]</f>
        <v>0.1</v>
      </c>
      <c r="X647" s="166">
        <f>+VLOOKUP(CONCATENATE(Table1[[#This Row],[Tabela]],Table1[[#This Row],[Campo]]),'2. Status Detalhe Campos FY24'!A:J,9,FALSE)</f>
        <v>0</v>
      </c>
    </row>
    <row r="648" spans="2:24" ht="17.850000000000001" hidden="1" customHeight="1">
      <c r="B648" s="2" t="s">
        <v>26</v>
      </c>
      <c r="C648" s="2" t="s">
        <v>310</v>
      </c>
      <c r="D648" s="2" t="s">
        <v>326</v>
      </c>
      <c r="E648" s="2" t="s">
        <v>38</v>
      </c>
      <c r="F648" s="2" t="s">
        <v>325</v>
      </c>
      <c r="G648" s="2" t="s">
        <v>255</v>
      </c>
      <c r="H648" s="56" t="str">
        <f>Table1[[#This Row],[Tabela]]&amp;Table1[[#This Row],[Campo]]</f>
        <v>modesg_out_empr_info_nfinccm_capex_ttl_elgbl</v>
      </c>
      <c r="I648" s="2" t="s">
        <v>612</v>
      </c>
      <c r="J648" s="42">
        <f>VLOOKUP(Table1[[#This Row],[Status]],Auxiliar!$B$16:$C$24,2,0)</f>
        <v>1</v>
      </c>
      <c r="K648" s="2" t="s">
        <v>1171</v>
      </c>
      <c r="L648" s="28" t="s">
        <v>1177</v>
      </c>
      <c r="M648" s="20" t="s">
        <v>1170</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166">
        <f>+VLOOKUP(CONCATENATE(Table1[[#This Row],[Tabela]],Table1[[#This Row],[Campo]]),'2. Status Detalhe Campos FY24'!A:J,9,FALSE)</f>
        <v>0</v>
      </c>
    </row>
    <row r="649" spans="2:24" ht="17.850000000000001" hidden="1" customHeight="1">
      <c r="B649" s="2" t="s">
        <v>26</v>
      </c>
      <c r="C649" s="2" t="s">
        <v>310</v>
      </c>
      <c r="D649" s="2" t="s">
        <v>326</v>
      </c>
      <c r="E649" s="2" t="s">
        <v>38</v>
      </c>
      <c r="F649" s="2" t="s">
        <v>325</v>
      </c>
      <c r="G649" s="2" t="s">
        <v>255</v>
      </c>
      <c r="H649" s="56" t="str">
        <f>Table1[[#This Row],[Tabela]]&amp;Table1[[#This Row],[Campo]]</f>
        <v>modesg_out_empr_info_nfinccm_capex_ttl_elgbl</v>
      </c>
      <c r="I649" s="2" t="s">
        <v>612</v>
      </c>
      <c r="J649" s="42">
        <f>VLOOKUP(Table1[[#This Row],[Status]],Auxiliar!$B$16:$C$24,2,0)</f>
        <v>1</v>
      </c>
      <c r="K649" s="2" t="s">
        <v>1172</v>
      </c>
      <c r="L649" s="28" t="s">
        <v>1177</v>
      </c>
      <c r="M649" s="20" t="s">
        <v>1170</v>
      </c>
      <c r="N649" s="47">
        <v>45642</v>
      </c>
      <c r="O649" s="20">
        <f>INDEX(Auxiliar!$D$5:$F$13,MATCH(Table1[[#This Row],[Tipologia_Testes]],Auxiliar!$B$5:$B$13,0),MATCH(Table1[[#This Row],[Complexidade]],Auxiliar!$D$4:$F$4,0))</f>
        <v>8</v>
      </c>
      <c r="P649" s="2"/>
      <c r="Q649" s="2"/>
      <c r="R649" s="151">
        <v>45561</v>
      </c>
      <c r="S649" s="151"/>
      <c r="T649" s="151">
        <v>45561</v>
      </c>
      <c r="U649" s="151">
        <v>45614</v>
      </c>
      <c r="V649" s="151">
        <v>45615</v>
      </c>
      <c r="W649" s="2">
        <f>VLOOKUP(Table1[[#This Row],[Status]],Auxiliar!$B$16:$D$24,3,0)*Table1[[#This Row],[Estimação (horas)]]</f>
        <v>8</v>
      </c>
      <c r="X649" s="166">
        <f>+VLOOKUP(CONCATENATE(Table1[[#This Row],[Tabela]],Table1[[#This Row],[Campo]]),'2. Status Detalhe Campos FY24'!A:J,9,FALSE)</f>
        <v>0</v>
      </c>
    </row>
    <row r="650" spans="2:24" ht="17.850000000000001" hidden="1" customHeight="1">
      <c r="B650" s="2" t="s">
        <v>26</v>
      </c>
      <c r="C650" s="2" t="s">
        <v>310</v>
      </c>
      <c r="D650" s="2" t="s">
        <v>326</v>
      </c>
      <c r="E650" s="2" t="s">
        <v>38</v>
      </c>
      <c r="F650" s="2" t="s">
        <v>325</v>
      </c>
      <c r="G650" s="2" t="s">
        <v>255</v>
      </c>
      <c r="H650" s="56" t="str">
        <f>Table1[[#This Row],[Tabela]]&amp;Table1[[#This Row],[Campo]]</f>
        <v>modesg_out_empr_info_nfinccm_capex_ttl_elgbl</v>
      </c>
      <c r="I650" s="2" t="s">
        <v>612</v>
      </c>
      <c r="J650" s="42">
        <f>VLOOKUP(Table1[[#This Row],[Status]],Auxiliar!$B$16:$C$24,2,0)</f>
        <v>1</v>
      </c>
      <c r="K650" s="2" t="s">
        <v>1174</v>
      </c>
      <c r="L650" s="28" t="s">
        <v>1177</v>
      </c>
      <c r="M650" s="20" t="s">
        <v>1170</v>
      </c>
      <c r="N650" s="47">
        <v>45642</v>
      </c>
      <c r="O650" s="20">
        <f>INDEX(Auxiliar!$D$5:$F$13,MATCH(Table1[[#This Row],[Tipologia_Testes]],Auxiliar!$B$5:$B$13,0),MATCH(Table1[[#This Row],[Complexidade]],Auxiliar!$D$4:$F$4,0))</f>
        <v>0.1</v>
      </c>
      <c r="P650" s="2"/>
      <c r="Q650" s="2"/>
      <c r="R650" s="151">
        <v>45561</v>
      </c>
      <c r="S650" s="151"/>
      <c r="T650" s="151">
        <v>45561</v>
      </c>
      <c r="U650" s="151">
        <v>45614</v>
      </c>
      <c r="V650" s="151">
        <v>45615</v>
      </c>
      <c r="W650" s="2">
        <f>VLOOKUP(Table1[[#This Row],[Status]],Auxiliar!$B$16:$D$24,3,0)*Table1[[#This Row],[Estimação (horas)]]</f>
        <v>0.1</v>
      </c>
      <c r="X650" s="166">
        <f>+VLOOKUP(CONCATENATE(Table1[[#This Row],[Tabela]],Table1[[#This Row],[Campo]]),'2. Status Detalhe Campos FY24'!A:J,9,FALSE)</f>
        <v>0</v>
      </c>
    </row>
    <row r="651" spans="2:24" ht="17.850000000000001" hidden="1" customHeight="1">
      <c r="B651" s="2" t="s">
        <v>26</v>
      </c>
      <c r="C651" s="2" t="s">
        <v>310</v>
      </c>
      <c r="D651" s="2" t="s">
        <v>326</v>
      </c>
      <c r="E651" s="2" t="s">
        <v>38</v>
      </c>
      <c r="F651" s="2" t="s">
        <v>325</v>
      </c>
      <c r="G651" s="2" t="s">
        <v>252</v>
      </c>
      <c r="H651" s="56" t="str">
        <f>Table1[[#This Row],[Tabela]]&amp;Table1[[#This Row],[Campo]]</f>
        <v>modesg_out_empr_info_nfinccm_trnvr_enblng_algnd</v>
      </c>
      <c r="I651" s="2" t="s">
        <v>612</v>
      </c>
      <c r="J651" s="42">
        <f>VLOOKUP(Table1[[#This Row],[Status]],Auxiliar!$B$16:$C$24,2,0)</f>
        <v>1</v>
      </c>
      <c r="K651" s="2" t="s">
        <v>1171</v>
      </c>
      <c r="L651" s="28" t="s">
        <v>1177</v>
      </c>
      <c r="M651" s="20" t="s">
        <v>1170</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166">
        <f>+VLOOKUP(CONCATENATE(Table1[[#This Row],[Tabela]],Table1[[#This Row],[Campo]]),'2. Status Detalhe Campos FY24'!A:J,9,FALSE)</f>
        <v>0</v>
      </c>
    </row>
    <row r="652" spans="2:24" ht="17.850000000000001" hidden="1" customHeight="1">
      <c r="B652" s="2" t="s">
        <v>26</v>
      </c>
      <c r="C652" s="2" t="s">
        <v>310</v>
      </c>
      <c r="D652" s="2" t="s">
        <v>326</v>
      </c>
      <c r="E652" s="2" t="s">
        <v>38</v>
      </c>
      <c r="F652" s="2" t="s">
        <v>325</v>
      </c>
      <c r="G652" s="2" t="s">
        <v>252</v>
      </c>
      <c r="H652" s="56" t="str">
        <f>Table1[[#This Row],[Tabela]]&amp;Table1[[#This Row],[Campo]]</f>
        <v>modesg_out_empr_info_nfinccm_trnvr_enblng_algnd</v>
      </c>
      <c r="I652" s="2" t="s">
        <v>612</v>
      </c>
      <c r="J652" s="42">
        <f>VLOOKUP(Table1[[#This Row],[Status]],Auxiliar!$B$16:$C$24,2,0)</f>
        <v>1</v>
      </c>
      <c r="K652" s="2" t="s">
        <v>1172</v>
      </c>
      <c r="L652" s="28" t="s">
        <v>1177</v>
      </c>
      <c r="M652" s="20" t="s">
        <v>1170</v>
      </c>
      <c r="N652" s="47">
        <v>45642</v>
      </c>
      <c r="O652" s="20">
        <f>INDEX(Auxiliar!$D$5:$F$13,MATCH(Table1[[#This Row],[Tipologia_Testes]],Auxiliar!$B$5:$B$13,0),MATCH(Table1[[#This Row],[Complexidade]],Auxiliar!$D$4:$F$4,0))</f>
        <v>8</v>
      </c>
      <c r="P652" s="2"/>
      <c r="Q652" s="2"/>
      <c r="R652" s="151">
        <v>45561</v>
      </c>
      <c r="S652" s="151"/>
      <c r="T652" s="151">
        <v>45561</v>
      </c>
      <c r="U652" s="151">
        <v>45614</v>
      </c>
      <c r="V652" s="151">
        <v>45615</v>
      </c>
      <c r="W652" s="2">
        <f>VLOOKUP(Table1[[#This Row],[Status]],Auxiliar!$B$16:$D$24,3,0)*Table1[[#This Row],[Estimação (horas)]]</f>
        <v>8</v>
      </c>
      <c r="X652" s="166">
        <f>+VLOOKUP(CONCATENATE(Table1[[#This Row],[Tabela]],Table1[[#This Row],[Campo]]),'2. Status Detalhe Campos FY24'!A:J,9,FALSE)</f>
        <v>0</v>
      </c>
    </row>
    <row r="653" spans="2:24" ht="17.850000000000001" hidden="1" customHeight="1">
      <c r="B653" s="2" t="s">
        <v>26</v>
      </c>
      <c r="C653" s="2" t="s">
        <v>310</v>
      </c>
      <c r="D653" s="2" t="s">
        <v>326</v>
      </c>
      <c r="E653" s="2" t="s">
        <v>38</v>
      </c>
      <c r="F653" s="2" t="s">
        <v>325</v>
      </c>
      <c r="G653" s="2" t="s">
        <v>252</v>
      </c>
      <c r="H653" s="56" t="str">
        <f>Table1[[#This Row],[Tabela]]&amp;Table1[[#This Row],[Campo]]</f>
        <v>modesg_out_empr_info_nfinccm_trnvr_enblng_algnd</v>
      </c>
      <c r="I653" s="2" t="s">
        <v>612</v>
      </c>
      <c r="J653" s="42">
        <f>VLOOKUP(Table1[[#This Row],[Status]],Auxiliar!$B$16:$C$24,2,0)</f>
        <v>1</v>
      </c>
      <c r="K653" s="2" t="s">
        <v>1174</v>
      </c>
      <c r="L653" s="28" t="s">
        <v>1177</v>
      </c>
      <c r="M653" s="20" t="s">
        <v>1170</v>
      </c>
      <c r="N653" s="47">
        <v>45642</v>
      </c>
      <c r="O653" s="20">
        <f>INDEX(Auxiliar!$D$5:$F$13,MATCH(Table1[[#This Row],[Tipologia_Testes]],Auxiliar!$B$5:$B$13,0),MATCH(Table1[[#This Row],[Complexidade]],Auxiliar!$D$4:$F$4,0))</f>
        <v>0.1</v>
      </c>
      <c r="P653" s="2"/>
      <c r="Q653" s="2"/>
      <c r="R653" s="151">
        <v>45561</v>
      </c>
      <c r="S653" s="151"/>
      <c r="T653" s="151">
        <v>45561</v>
      </c>
      <c r="U653" s="151">
        <v>45614</v>
      </c>
      <c r="V653" s="151">
        <v>45615</v>
      </c>
      <c r="W653" s="2">
        <f>VLOOKUP(Table1[[#This Row],[Status]],Auxiliar!$B$16:$D$24,3,0)*Table1[[#This Row],[Estimação (horas)]]</f>
        <v>0.1</v>
      </c>
      <c r="X653" s="166">
        <f>+VLOOKUP(CONCATENATE(Table1[[#This Row],[Tabela]],Table1[[#This Row],[Campo]]),'2. Status Detalhe Campos FY24'!A:J,9,FALSE)</f>
        <v>0</v>
      </c>
    </row>
    <row r="654" spans="2:24" ht="17.850000000000001" hidden="1" customHeight="1">
      <c r="B654" s="2" t="s">
        <v>26</v>
      </c>
      <c r="C654" s="2" t="s">
        <v>310</v>
      </c>
      <c r="D654" s="2" t="s">
        <v>326</v>
      </c>
      <c r="E654" s="2" t="s">
        <v>38</v>
      </c>
      <c r="F654" s="2" t="s">
        <v>325</v>
      </c>
      <c r="G654" s="2" t="s">
        <v>254</v>
      </c>
      <c r="H654" s="56" t="str">
        <f>Table1[[#This Row],[Tabela]]&amp;Table1[[#This Row],[Campo]]</f>
        <v>modesg_out_empr_info_nfinccm_trnvr_own_prfrmnce_algnd</v>
      </c>
      <c r="I654" s="2" t="s">
        <v>612</v>
      </c>
      <c r="J654" s="42">
        <f>VLOOKUP(Table1[[#This Row],[Status]],Auxiliar!$B$16:$C$24,2,0)</f>
        <v>1</v>
      </c>
      <c r="K654" s="2" t="s">
        <v>1171</v>
      </c>
      <c r="L654" s="28" t="s">
        <v>1177</v>
      </c>
      <c r="M654" s="20" t="s">
        <v>1170</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166">
        <f>+VLOOKUP(CONCATENATE(Table1[[#This Row],[Tabela]],Table1[[#This Row],[Campo]]),'2. Status Detalhe Campos FY24'!A:J,9,FALSE)</f>
        <v>0</v>
      </c>
    </row>
    <row r="655" spans="2:24" ht="17.850000000000001" hidden="1" customHeight="1">
      <c r="B655" s="2" t="s">
        <v>26</v>
      </c>
      <c r="C655" s="2" t="s">
        <v>310</v>
      </c>
      <c r="D655" s="2" t="s">
        <v>326</v>
      </c>
      <c r="E655" s="2" t="s">
        <v>38</v>
      </c>
      <c r="F655" s="2" t="s">
        <v>325</v>
      </c>
      <c r="G655" s="2" t="s">
        <v>254</v>
      </c>
      <c r="H655" s="56" t="str">
        <f>Table1[[#This Row],[Tabela]]&amp;Table1[[#This Row],[Campo]]</f>
        <v>modesg_out_empr_info_nfinccm_trnvr_own_prfrmnce_algnd</v>
      </c>
      <c r="I655" s="2" t="s">
        <v>612</v>
      </c>
      <c r="J655" s="42">
        <f>VLOOKUP(Table1[[#This Row],[Status]],Auxiliar!$B$16:$C$24,2,0)</f>
        <v>1</v>
      </c>
      <c r="K655" s="2" t="s">
        <v>1172</v>
      </c>
      <c r="L655" s="28" t="s">
        <v>1177</v>
      </c>
      <c r="M655" s="20" t="s">
        <v>1170</v>
      </c>
      <c r="N655" s="47">
        <v>45642</v>
      </c>
      <c r="O655" s="20">
        <f>INDEX(Auxiliar!$D$5:$F$13,MATCH(Table1[[#This Row],[Tipologia_Testes]],Auxiliar!$B$5:$B$13,0),MATCH(Table1[[#This Row],[Complexidade]],Auxiliar!$D$4:$F$4,0))</f>
        <v>8</v>
      </c>
      <c r="P655" s="2"/>
      <c r="Q655" s="2"/>
      <c r="R655" s="151">
        <v>45561</v>
      </c>
      <c r="S655" s="151"/>
      <c r="T655" s="151">
        <v>45561</v>
      </c>
      <c r="U655" s="151">
        <v>45614</v>
      </c>
      <c r="V655" s="151">
        <v>45615</v>
      </c>
      <c r="W655" s="2">
        <f>VLOOKUP(Table1[[#This Row],[Status]],Auxiliar!$B$16:$D$24,3,0)*Table1[[#This Row],[Estimação (horas)]]</f>
        <v>8</v>
      </c>
      <c r="X655" s="166">
        <f>+VLOOKUP(CONCATENATE(Table1[[#This Row],[Tabela]],Table1[[#This Row],[Campo]]),'2. Status Detalhe Campos FY24'!A:J,9,FALSE)</f>
        <v>0</v>
      </c>
    </row>
    <row r="656" spans="2:24" ht="17.850000000000001" hidden="1" customHeight="1">
      <c r="B656" s="2" t="s">
        <v>26</v>
      </c>
      <c r="C656" s="2" t="s">
        <v>310</v>
      </c>
      <c r="D656" s="2" t="s">
        <v>326</v>
      </c>
      <c r="E656" s="2" t="s">
        <v>38</v>
      </c>
      <c r="F656" s="2" t="s">
        <v>325</v>
      </c>
      <c r="G656" s="2" t="s">
        <v>254</v>
      </c>
      <c r="H656" s="56" t="str">
        <f>Table1[[#This Row],[Tabela]]&amp;Table1[[#This Row],[Campo]]</f>
        <v>modesg_out_empr_info_nfinccm_trnvr_own_prfrmnce_algnd</v>
      </c>
      <c r="I656" s="2" t="s">
        <v>612</v>
      </c>
      <c r="J656" s="42">
        <f>VLOOKUP(Table1[[#This Row],[Status]],Auxiliar!$B$16:$C$24,2,0)</f>
        <v>1</v>
      </c>
      <c r="K656" s="2" t="s">
        <v>1174</v>
      </c>
      <c r="L656" s="28" t="s">
        <v>1177</v>
      </c>
      <c r="M656" s="20" t="s">
        <v>1170</v>
      </c>
      <c r="N656" s="47">
        <v>45642</v>
      </c>
      <c r="O656" s="20">
        <f>INDEX(Auxiliar!$D$5:$F$13,MATCH(Table1[[#This Row],[Tipologia_Testes]],Auxiliar!$B$5:$B$13,0),MATCH(Table1[[#This Row],[Complexidade]],Auxiliar!$D$4:$F$4,0))</f>
        <v>0.1</v>
      </c>
      <c r="P656" s="2"/>
      <c r="Q656" s="2"/>
      <c r="R656" s="151">
        <v>45561</v>
      </c>
      <c r="S656" s="151"/>
      <c r="T656" s="151">
        <v>45561</v>
      </c>
      <c r="U656" s="151">
        <v>45614</v>
      </c>
      <c r="V656" s="151">
        <v>45615</v>
      </c>
      <c r="W656" s="2">
        <f>VLOOKUP(Table1[[#This Row],[Status]],Auxiliar!$B$16:$D$24,3,0)*Table1[[#This Row],[Estimação (horas)]]</f>
        <v>0.1</v>
      </c>
      <c r="X656" s="166">
        <f>+VLOOKUP(CONCATENATE(Table1[[#This Row],[Tabela]],Table1[[#This Row],[Campo]]),'2. Status Detalhe Campos FY24'!A:J,9,FALSE)</f>
        <v>0</v>
      </c>
    </row>
    <row r="657" spans="2:24" ht="17.850000000000001" hidden="1" customHeight="1">
      <c r="B657" s="2" t="s">
        <v>26</v>
      </c>
      <c r="C657" s="2" t="s">
        <v>310</v>
      </c>
      <c r="D657" s="2" t="s">
        <v>326</v>
      </c>
      <c r="E657" s="2" t="s">
        <v>38</v>
      </c>
      <c r="F657" s="2" t="s">
        <v>325</v>
      </c>
      <c r="G657" s="2" t="s">
        <v>253</v>
      </c>
      <c r="H657" s="56" t="str">
        <f>Table1[[#This Row],[Tabela]]&amp;Table1[[#This Row],[Campo]]</f>
        <v>modesg_out_empr_info_nfinccm_trnvr_trnstn_alignd</v>
      </c>
      <c r="I657" s="2" t="s">
        <v>612</v>
      </c>
      <c r="J657" s="42">
        <f>VLOOKUP(Table1[[#This Row],[Status]],Auxiliar!$B$16:$C$24,2,0)</f>
        <v>1</v>
      </c>
      <c r="K657" s="2" t="s">
        <v>1171</v>
      </c>
      <c r="L657" s="28" t="s">
        <v>1177</v>
      </c>
      <c r="M657" s="20" t="s">
        <v>1170</v>
      </c>
      <c r="N657" s="47">
        <v>45642</v>
      </c>
      <c r="O657" s="20">
        <f>INDEX(Auxiliar!$D$5:$F$13,MATCH(Table1[[#This Row],[Tipologia_Testes]],Auxiliar!$B$5:$B$13,0),MATCH(Table1[[#This Row],[Complexidade]],Auxiliar!$D$4:$F$4,0))</f>
        <v>8</v>
      </c>
      <c r="P657" s="2"/>
      <c r="Q657" s="2"/>
      <c r="R657" s="151">
        <v>45561</v>
      </c>
      <c r="S657" s="151"/>
      <c r="T657" s="151">
        <v>45561</v>
      </c>
      <c r="U657" s="151">
        <v>45614</v>
      </c>
      <c r="V657" s="151">
        <v>45615</v>
      </c>
      <c r="W657" s="2">
        <f>VLOOKUP(Table1[[#This Row],[Status]],Auxiliar!$B$16:$D$24,3,0)*Table1[[#This Row],[Estimação (horas)]]</f>
        <v>8</v>
      </c>
      <c r="X657" s="166">
        <f>+VLOOKUP(CONCATENATE(Table1[[#This Row],[Tabela]],Table1[[#This Row],[Campo]]),'2. Status Detalhe Campos FY24'!A:J,9,FALSE)</f>
        <v>0</v>
      </c>
    </row>
    <row r="658" spans="2:24" ht="17.850000000000001" hidden="1" customHeight="1">
      <c r="B658" s="2" t="s">
        <v>26</v>
      </c>
      <c r="C658" s="2" t="s">
        <v>310</v>
      </c>
      <c r="D658" s="2" t="s">
        <v>326</v>
      </c>
      <c r="E658" s="2" t="s">
        <v>38</v>
      </c>
      <c r="F658" s="2" t="s">
        <v>325</v>
      </c>
      <c r="G658" s="2" t="s">
        <v>253</v>
      </c>
      <c r="H658" s="56" t="str">
        <f>Table1[[#This Row],[Tabela]]&amp;Table1[[#This Row],[Campo]]</f>
        <v>modesg_out_empr_info_nfinccm_trnvr_trnstn_alignd</v>
      </c>
      <c r="I658" s="2" t="s">
        <v>612</v>
      </c>
      <c r="J658" s="42">
        <f>VLOOKUP(Table1[[#This Row],[Status]],Auxiliar!$B$16:$C$24,2,0)</f>
        <v>1</v>
      </c>
      <c r="K658" s="2" t="s">
        <v>1172</v>
      </c>
      <c r="L658" s="28" t="s">
        <v>1177</v>
      </c>
      <c r="M658" s="20" t="s">
        <v>1170</v>
      </c>
      <c r="N658" s="47">
        <v>45642</v>
      </c>
      <c r="O658" s="20">
        <f>INDEX(Auxiliar!$D$5:$F$13,MATCH(Table1[[#This Row],[Tipologia_Testes]],Auxiliar!$B$5:$B$13,0),MATCH(Table1[[#This Row],[Complexidade]],Auxiliar!$D$4:$F$4,0))</f>
        <v>8</v>
      </c>
      <c r="P658" s="2"/>
      <c r="Q658" s="2"/>
      <c r="R658" s="151">
        <v>45561</v>
      </c>
      <c r="S658" s="151"/>
      <c r="T658" s="151">
        <v>45561</v>
      </c>
      <c r="U658" s="151">
        <v>45614</v>
      </c>
      <c r="V658" s="151">
        <v>45615</v>
      </c>
      <c r="W658" s="2">
        <f>VLOOKUP(Table1[[#This Row],[Status]],Auxiliar!$B$16:$D$24,3,0)*Table1[[#This Row],[Estimação (horas)]]</f>
        <v>8</v>
      </c>
      <c r="X658" s="166">
        <f>+VLOOKUP(CONCATENATE(Table1[[#This Row],[Tabela]],Table1[[#This Row],[Campo]]),'2. Status Detalhe Campos FY24'!A:J,9,FALSE)</f>
        <v>0</v>
      </c>
    </row>
    <row r="659" spans="2:24" ht="17.850000000000001" hidden="1" customHeight="1">
      <c r="B659" s="2" t="s">
        <v>26</v>
      </c>
      <c r="C659" s="2" t="s">
        <v>310</v>
      </c>
      <c r="D659" s="2" t="s">
        <v>326</v>
      </c>
      <c r="E659" s="2" t="s">
        <v>38</v>
      </c>
      <c r="F659" s="2" t="s">
        <v>325</v>
      </c>
      <c r="G659" s="2" t="s">
        <v>253</v>
      </c>
      <c r="H659" s="56" t="str">
        <f>Table1[[#This Row],[Tabela]]&amp;Table1[[#This Row],[Campo]]</f>
        <v>modesg_out_empr_info_nfinccm_trnvr_trnstn_alignd</v>
      </c>
      <c r="I659" s="2" t="s">
        <v>612</v>
      </c>
      <c r="J659" s="42">
        <f>VLOOKUP(Table1[[#This Row],[Status]],Auxiliar!$B$16:$C$24,2,0)</f>
        <v>1</v>
      </c>
      <c r="K659" s="2" t="s">
        <v>1174</v>
      </c>
      <c r="L659" s="28" t="s">
        <v>1177</v>
      </c>
      <c r="M659" s="20" t="s">
        <v>1170</v>
      </c>
      <c r="N659" s="47">
        <v>45642</v>
      </c>
      <c r="O659" s="20">
        <f>INDEX(Auxiliar!$D$5:$F$13,MATCH(Table1[[#This Row],[Tipologia_Testes]],Auxiliar!$B$5:$B$13,0),MATCH(Table1[[#This Row],[Complexidade]],Auxiliar!$D$4:$F$4,0))</f>
        <v>0.1</v>
      </c>
      <c r="P659" s="2"/>
      <c r="Q659" s="2"/>
      <c r="R659" s="151">
        <v>45561</v>
      </c>
      <c r="S659" s="151"/>
      <c r="T659" s="151">
        <v>45561</v>
      </c>
      <c r="U659" s="151">
        <v>45614</v>
      </c>
      <c r="V659" s="151">
        <v>45615</v>
      </c>
      <c r="W659" s="2">
        <f>VLOOKUP(Table1[[#This Row],[Status]],Auxiliar!$B$16:$D$24,3,0)*Table1[[#This Row],[Estimação (horas)]]</f>
        <v>0.1</v>
      </c>
      <c r="X659" s="166">
        <f>+VLOOKUP(CONCATENATE(Table1[[#This Row],[Tabela]],Table1[[#This Row],[Campo]]),'2. Status Detalhe Campos FY24'!A:J,9,FALSE)</f>
        <v>0</v>
      </c>
    </row>
    <row r="660" spans="2:24" ht="17.850000000000001" hidden="1" customHeight="1">
      <c r="B660" s="2" t="s">
        <v>26</v>
      </c>
      <c r="C660" s="2" t="s">
        <v>310</v>
      </c>
      <c r="D660" s="2" t="s">
        <v>326</v>
      </c>
      <c r="E660" s="2" t="s">
        <v>38</v>
      </c>
      <c r="F660" s="2" t="s">
        <v>325</v>
      </c>
      <c r="G660" s="2" t="s">
        <v>251</v>
      </c>
      <c r="H660" s="56" t="str">
        <f>Table1[[#This Row],[Tabela]]&amp;Table1[[#This Row],[Campo]]</f>
        <v>modesg_out_empr_info_nfinccm_trnvr_ttl_elgbl</v>
      </c>
      <c r="I660" s="2" t="s">
        <v>612</v>
      </c>
      <c r="J660" s="42">
        <f>VLOOKUP(Table1[[#This Row],[Status]],Auxiliar!$B$16:$C$24,2,0)</f>
        <v>1</v>
      </c>
      <c r="K660" s="2" t="s">
        <v>1171</v>
      </c>
      <c r="L660" s="28" t="s">
        <v>1177</v>
      </c>
      <c r="M660" s="20" t="s">
        <v>1170</v>
      </c>
      <c r="N660" s="47">
        <v>45642</v>
      </c>
      <c r="O660" s="20">
        <f>INDEX(Auxiliar!$D$5:$F$13,MATCH(Table1[[#This Row],[Tipologia_Testes]],Auxiliar!$B$5:$B$13,0),MATCH(Table1[[#This Row],[Complexidade]],Auxiliar!$D$4:$F$4,0))</f>
        <v>8</v>
      </c>
      <c r="P660" s="2"/>
      <c r="Q660" s="2"/>
      <c r="R660" s="151">
        <v>45561</v>
      </c>
      <c r="S660" s="151"/>
      <c r="T660" s="151">
        <v>45561</v>
      </c>
      <c r="U660" s="151">
        <v>45614</v>
      </c>
      <c r="V660" s="151">
        <v>45615</v>
      </c>
      <c r="W660" s="2">
        <f>VLOOKUP(Table1[[#This Row],[Status]],Auxiliar!$B$16:$D$24,3,0)*Table1[[#This Row],[Estimação (horas)]]</f>
        <v>8</v>
      </c>
      <c r="X660" s="166">
        <f>+VLOOKUP(CONCATENATE(Table1[[#This Row],[Tabela]],Table1[[#This Row],[Campo]]),'2. Status Detalhe Campos FY24'!A:J,9,FALSE)</f>
        <v>0</v>
      </c>
    </row>
    <row r="661" spans="2:24" ht="17.850000000000001" hidden="1" customHeight="1">
      <c r="B661" s="2" t="s">
        <v>26</v>
      </c>
      <c r="C661" s="2" t="s">
        <v>310</v>
      </c>
      <c r="D661" s="2" t="s">
        <v>326</v>
      </c>
      <c r="E661" s="2" t="s">
        <v>38</v>
      </c>
      <c r="F661" s="2" t="s">
        <v>325</v>
      </c>
      <c r="G661" s="2" t="s">
        <v>251</v>
      </c>
      <c r="H661" s="56" t="str">
        <f>Table1[[#This Row],[Tabela]]&amp;Table1[[#This Row],[Campo]]</f>
        <v>modesg_out_empr_info_nfinccm_trnvr_ttl_elgbl</v>
      </c>
      <c r="I661" s="2" t="s">
        <v>612</v>
      </c>
      <c r="J661" s="42">
        <f>VLOOKUP(Table1[[#This Row],[Status]],Auxiliar!$B$16:$C$24,2,0)</f>
        <v>1</v>
      </c>
      <c r="K661" s="2" t="s">
        <v>1172</v>
      </c>
      <c r="L661" s="28" t="s">
        <v>1177</v>
      </c>
      <c r="M661" s="20" t="s">
        <v>1170</v>
      </c>
      <c r="N661" s="47">
        <v>45642</v>
      </c>
      <c r="O661" s="20">
        <f>INDEX(Auxiliar!$D$5:$F$13,MATCH(Table1[[#This Row],[Tipologia_Testes]],Auxiliar!$B$5:$B$13,0),MATCH(Table1[[#This Row],[Complexidade]],Auxiliar!$D$4:$F$4,0))</f>
        <v>8</v>
      </c>
      <c r="P661" s="2"/>
      <c r="Q661" s="2"/>
      <c r="R661" s="151">
        <v>45561</v>
      </c>
      <c r="S661" s="151"/>
      <c r="T661" s="151">
        <v>45561</v>
      </c>
      <c r="U661" s="151">
        <v>45614</v>
      </c>
      <c r="V661" s="151">
        <v>45615</v>
      </c>
      <c r="W661" s="2">
        <f>VLOOKUP(Table1[[#This Row],[Status]],Auxiliar!$B$16:$D$24,3,0)*Table1[[#This Row],[Estimação (horas)]]</f>
        <v>8</v>
      </c>
      <c r="X661" s="166">
        <f>+VLOOKUP(CONCATENATE(Table1[[#This Row],[Tabela]],Table1[[#This Row],[Campo]]),'2. Status Detalhe Campos FY24'!A:J,9,FALSE)</f>
        <v>0</v>
      </c>
    </row>
    <row r="662" spans="2:24" ht="17.850000000000001" hidden="1" customHeight="1">
      <c r="B662" s="2" t="s">
        <v>26</v>
      </c>
      <c r="C662" s="2" t="s">
        <v>310</v>
      </c>
      <c r="D662" s="2" t="s">
        <v>326</v>
      </c>
      <c r="E662" s="2" t="s">
        <v>38</v>
      </c>
      <c r="F662" s="2" t="s">
        <v>325</v>
      </c>
      <c r="G662" s="2" t="s">
        <v>251</v>
      </c>
      <c r="H662" s="56" t="str">
        <f>Table1[[#This Row],[Tabela]]&amp;Table1[[#This Row],[Campo]]</f>
        <v>modesg_out_empr_info_nfinccm_trnvr_ttl_elgbl</v>
      </c>
      <c r="I662" s="2" t="s">
        <v>612</v>
      </c>
      <c r="J662" s="42">
        <f>VLOOKUP(Table1[[#This Row],[Status]],Auxiliar!$B$16:$C$24,2,0)</f>
        <v>1</v>
      </c>
      <c r="K662" s="2" t="s">
        <v>1174</v>
      </c>
      <c r="L662" s="28" t="s">
        <v>1177</v>
      </c>
      <c r="M662" s="20" t="s">
        <v>1170</v>
      </c>
      <c r="N662" s="47">
        <v>45642</v>
      </c>
      <c r="O662" s="20">
        <f>INDEX(Auxiliar!$D$5:$F$13,MATCH(Table1[[#This Row],[Tipologia_Testes]],Auxiliar!$B$5:$B$13,0),MATCH(Table1[[#This Row],[Complexidade]],Auxiliar!$D$4:$F$4,0))</f>
        <v>0.1</v>
      </c>
      <c r="P662" s="2"/>
      <c r="Q662" s="2"/>
      <c r="R662" s="151">
        <v>45561</v>
      </c>
      <c r="S662" s="151"/>
      <c r="T662" s="151">
        <v>45561</v>
      </c>
      <c r="U662" s="151">
        <v>45614</v>
      </c>
      <c r="V662" s="151">
        <v>45615</v>
      </c>
      <c r="W662" s="2">
        <f>VLOOKUP(Table1[[#This Row],[Status]],Auxiliar!$B$16:$D$24,3,0)*Table1[[#This Row],[Estimação (horas)]]</f>
        <v>0.1</v>
      </c>
      <c r="X662" s="166">
        <f>+VLOOKUP(CONCATENATE(Table1[[#This Row],[Tabela]],Table1[[#This Row],[Campo]]),'2. Status Detalhe Campos FY24'!A:J,9,FALSE)</f>
        <v>0</v>
      </c>
    </row>
    <row r="663" spans="2:24" ht="17.850000000000001" hidden="1" customHeight="1">
      <c r="B663" s="2" t="s">
        <v>26</v>
      </c>
      <c r="C663" s="2" t="s">
        <v>310</v>
      </c>
      <c r="D663" s="2" t="s">
        <v>326</v>
      </c>
      <c r="E663" s="2" t="s">
        <v>38</v>
      </c>
      <c r="F663" s="2" t="s">
        <v>325</v>
      </c>
      <c r="G663" s="12" t="s">
        <v>259</v>
      </c>
      <c r="H663" s="56" t="str">
        <f>Table1[[#This Row],[Tabela]]&amp;Table1[[#This Row],[Campo]]</f>
        <v>modesg_out_empr_info_nfinppc_trnvr_ttl_elgbl</v>
      </c>
      <c r="I663" s="2" t="s">
        <v>612</v>
      </c>
      <c r="J663" s="44">
        <f>VLOOKUP(Table1[[#This Row],[Status]],Auxiliar!$B$16:$C$24,2,0)</f>
        <v>1</v>
      </c>
      <c r="K663" s="20"/>
      <c r="L663" s="244"/>
      <c r="M663" s="20"/>
      <c r="N663" s="47">
        <v>45695</v>
      </c>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166">
        <f>+VLOOKUP(CONCATENATE(Table1[[#This Row],[Tabela]],Table1[[#This Row],[Campo]]),'2. Status Detalhe Campos FY24'!A:J,9,FALSE)</f>
        <v>0</v>
      </c>
    </row>
    <row r="664" spans="2:24" ht="17.850000000000001" hidden="1" customHeight="1">
      <c r="B664" s="2" t="s">
        <v>26</v>
      </c>
      <c r="C664" s="2" t="s">
        <v>310</v>
      </c>
      <c r="D664" s="2" t="s">
        <v>326</v>
      </c>
      <c r="E664" s="2" t="s">
        <v>38</v>
      </c>
      <c r="F664" s="2" t="s">
        <v>325</v>
      </c>
      <c r="G664" s="12" t="s">
        <v>260</v>
      </c>
      <c r="H664" s="56" t="str">
        <f>Table1[[#This Row],[Tabela]]&amp;Table1[[#This Row],[Campo]]</f>
        <v>modesg_out_empr_info_nfinppc_turnover_own_prfrmnce_algnd</v>
      </c>
      <c r="I664" s="2" t="s">
        <v>612</v>
      </c>
      <c r="J664" s="44">
        <f>VLOOKUP(Table1[[#This Row],[Status]],Auxiliar!$B$16:$C$24,2,0)</f>
        <v>1</v>
      </c>
      <c r="K664" s="20"/>
      <c r="L664" s="244"/>
      <c r="M664" s="20"/>
      <c r="N664" s="47">
        <v>45695</v>
      </c>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166">
        <f>+VLOOKUP(CONCATENATE(Table1[[#This Row],[Tabela]],Table1[[#This Row],[Campo]]),'2. Status Detalhe Campos FY24'!A:J,9,FALSE)</f>
        <v>0</v>
      </c>
    </row>
    <row r="665" spans="2:24" ht="17.850000000000001" hidden="1" customHeight="1">
      <c r="B665" s="2" t="s">
        <v>26</v>
      </c>
      <c r="C665" s="2" t="s">
        <v>310</v>
      </c>
      <c r="D665" s="2" t="s">
        <v>326</v>
      </c>
      <c r="E665" s="2" t="s">
        <v>38</v>
      </c>
      <c r="F665" s="2" t="s">
        <v>325</v>
      </c>
      <c r="G665" s="12" t="s">
        <v>261</v>
      </c>
      <c r="H665" s="56" t="str">
        <f>Table1[[#This Row],[Tabela]]&amp;Table1[[#This Row],[Campo]]</f>
        <v>modesg_out_empr_info_nfinppc_capex_ttl_elgbl</v>
      </c>
      <c r="I665" s="2" t="s">
        <v>612</v>
      </c>
      <c r="J665" s="44">
        <f>VLOOKUP(Table1[[#This Row],[Status]],Auxiliar!$B$16:$C$24,2,0)</f>
        <v>1</v>
      </c>
      <c r="K665" s="20"/>
      <c r="L665" s="244"/>
      <c r="M665" s="20"/>
      <c r="N665" s="47">
        <v>45695</v>
      </c>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166">
        <f>+VLOOKUP(CONCATENATE(Table1[[#This Row],[Tabela]],Table1[[#This Row],[Campo]]),'2. Status Detalhe Campos FY24'!A:J,9,FALSE)</f>
        <v>0</v>
      </c>
    </row>
    <row r="666" spans="2:24" ht="17.850000000000001" hidden="1" customHeight="1">
      <c r="B666" s="2" t="s">
        <v>26</v>
      </c>
      <c r="C666" s="2" t="s">
        <v>310</v>
      </c>
      <c r="D666" s="2" t="s">
        <v>326</v>
      </c>
      <c r="E666" s="2" t="s">
        <v>38</v>
      </c>
      <c r="F666" s="2" t="s">
        <v>325</v>
      </c>
      <c r="G666" s="12" t="s">
        <v>262</v>
      </c>
      <c r="H666" s="56" t="str">
        <f>Table1[[#This Row],[Tabela]]&amp;Table1[[#This Row],[Campo]]</f>
        <v>modesg_out_empr_info_nfinppc_capex_own_prfrmnce_algnd</v>
      </c>
      <c r="I666" s="2" t="s">
        <v>612</v>
      </c>
      <c r="J666" s="44">
        <f>VLOOKUP(Table1[[#This Row],[Status]],Auxiliar!$B$16:$C$24,2,0)</f>
        <v>1</v>
      </c>
      <c r="K666" s="20"/>
      <c r="L666" s="244"/>
      <c r="M666" s="20"/>
      <c r="N666" s="47">
        <v>45695</v>
      </c>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166">
        <f>+VLOOKUP(CONCATENATE(Table1[[#This Row],[Tabela]],Table1[[#This Row],[Campo]]),'2. Status Detalhe Campos FY24'!A:J,9,FALSE)</f>
        <v>0</v>
      </c>
    </row>
    <row r="667" spans="2:24" ht="17.850000000000001" hidden="1" customHeight="1">
      <c r="B667" s="2" t="s">
        <v>26</v>
      </c>
      <c r="C667" s="2" t="s">
        <v>310</v>
      </c>
      <c r="D667" s="2" t="s">
        <v>326</v>
      </c>
      <c r="E667" s="2" t="s">
        <v>38</v>
      </c>
      <c r="F667" s="2" t="s">
        <v>325</v>
      </c>
      <c r="G667" s="12" t="s">
        <v>263</v>
      </c>
      <c r="H667" s="56" t="str">
        <f>Table1[[#This Row],[Tabela]]&amp;Table1[[#This Row],[Campo]]</f>
        <v>modesg_out_empr_info_nfinbio_trnvr_ttl_elgbl</v>
      </c>
      <c r="I667" s="2" t="s">
        <v>612</v>
      </c>
      <c r="J667" s="44">
        <f>VLOOKUP(Table1[[#This Row],[Status]],Auxiliar!$B$16:$C$24,2,0)</f>
        <v>1</v>
      </c>
      <c r="K667" s="20"/>
      <c r="L667" s="244"/>
      <c r="M667" s="20"/>
      <c r="N667" s="47">
        <v>45695</v>
      </c>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166">
        <f>+VLOOKUP(CONCATENATE(Table1[[#This Row],[Tabela]],Table1[[#This Row],[Campo]]),'2. Status Detalhe Campos FY24'!A:J,9,FALSE)</f>
        <v>0</v>
      </c>
    </row>
    <row r="668" spans="2:24" ht="17.850000000000001" hidden="1" customHeight="1">
      <c r="B668" s="2" t="s">
        <v>26</v>
      </c>
      <c r="C668" s="2" t="s">
        <v>310</v>
      </c>
      <c r="D668" s="2" t="s">
        <v>326</v>
      </c>
      <c r="E668" s="2" t="s">
        <v>38</v>
      </c>
      <c r="F668" s="2" t="s">
        <v>325</v>
      </c>
      <c r="G668" s="12" t="s">
        <v>264</v>
      </c>
      <c r="H668" s="56" t="str">
        <f>Table1[[#This Row],[Tabela]]&amp;Table1[[#This Row],[Campo]]</f>
        <v>modesg_out_empr_info_nfinbio_turnover_own_prfrmnce_algnd</v>
      </c>
      <c r="I668" s="2" t="s">
        <v>612</v>
      </c>
      <c r="J668" s="44">
        <f>VLOOKUP(Table1[[#This Row],[Status]],Auxiliar!$B$16:$C$24,2,0)</f>
        <v>1</v>
      </c>
      <c r="K668" s="20"/>
      <c r="L668" s="244"/>
      <c r="M668" s="20"/>
      <c r="N668" s="47">
        <v>45695</v>
      </c>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166">
        <f>+VLOOKUP(CONCATENATE(Table1[[#This Row],[Tabela]],Table1[[#This Row],[Campo]]),'2. Status Detalhe Campos FY24'!A:J,9,FALSE)</f>
        <v>0</v>
      </c>
    </row>
    <row r="669" spans="2:24" ht="17.850000000000001" hidden="1" customHeight="1">
      <c r="B669" s="2" t="s">
        <v>26</v>
      </c>
      <c r="C669" s="2" t="s">
        <v>310</v>
      </c>
      <c r="D669" s="2" t="s">
        <v>326</v>
      </c>
      <c r="E669" s="2" t="s">
        <v>38</v>
      </c>
      <c r="F669" s="2" t="s">
        <v>325</v>
      </c>
      <c r="G669" s="12" t="s">
        <v>265</v>
      </c>
      <c r="H669" s="56" t="str">
        <f>Table1[[#This Row],[Tabela]]&amp;Table1[[#This Row],[Campo]]</f>
        <v>modesg_out_empr_info_nfinbio_capex_ttl_elgbl</v>
      </c>
      <c r="I669" s="2" t="s">
        <v>612</v>
      </c>
      <c r="J669" s="44">
        <f>VLOOKUP(Table1[[#This Row],[Status]],Auxiliar!$B$16:$C$24,2,0)</f>
        <v>1</v>
      </c>
      <c r="K669" s="20"/>
      <c r="L669" s="244"/>
      <c r="M669" s="20"/>
      <c r="N669" s="47">
        <v>45695</v>
      </c>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166">
        <f>+VLOOKUP(CONCATENATE(Table1[[#This Row],[Tabela]],Table1[[#This Row],[Campo]]),'2. Status Detalhe Campos FY24'!A:J,9,FALSE)</f>
        <v>0</v>
      </c>
    </row>
    <row r="670" spans="2:24" ht="17.850000000000001" hidden="1" customHeight="1">
      <c r="B670" s="2" t="s">
        <v>26</v>
      </c>
      <c r="C670" s="2" t="s">
        <v>310</v>
      </c>
      <c r="D670" s="2" t="s">
        <v>326</v>
      </c>
      <c r="E670" s="2" t="s">
        <v>38</v>
      </c>
      <c r="F670" s="2" t="s">
        <v>325</v>
      </c>
      <c r="G670" s="12" t="s">
        <v>266</v>
      </c>
      <c r="H670" s="56" t="str">
        <f>Table1[[#This Row],[Tabela]]&amp;Table1[[#This Row],[Campo]]</f>
        <v>modesg_out_empr_info_nfinbio_capex_own_prfrmnce_algnd</v>
      </c>
      <c r="I670" s="2" t="s">
        <v>612</v>
      </c>
      <c r="J670" s="44">
        <f>VLOOKUP(Table1[[#This Row],[Status]],Auxiliar!$B$16:$C$24,2,0)</f>
        <v>1</v>
      </c>
      <c r="K670" s="20"/>
      <c r="L670" s="244"/>
      <c r="M670" s="20"/>
      <c r="N670" s="47">
        <v>45695</v>
      </c>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166">
        <f>+VLOOKUP(CONCATENATE(Table1[[#This Row],[Tabela]],Table1[[#This Row],[Campo]]),'2. Status Detalhe Campos FY24'!A:J,9,FALSE)</f>
        <v>0</v>
      </c>
    </row>
    <row r="671" spans="2:24" ht="17.850000000000001" hidden="1" customHeight="1">
      <c r="B671" s="2" t="s">
        <v>26</v>
      </c>
      <c r="C671" s="2" t="s">
        <v>310</v>
      </c>
      <c r="D671" s="2" t="s">
        <v>326</v>
      </c>
      <c r="E671" s="2" t="s">
        <v>38</v>
      </c>
      <c r="F671" s="2" t="s">
        <v>325</v>
      </c>
      <c r="G671" s="12" t="s">
        <v>267</v>
      </c>
      <c r="H671" s="56" t="str">
        <f>Table1[[#This Row],[Tabela]]&amp;Table1[[#This Row],[Campo]]</f>
        <v>modesg_out_empr_info_nfinwtr_trnvr_ttl_elgbl</v>
      </c>
      <c r="I671" s="2" t="s">
        <v>612</v>
      </c>
      <c r="J671" s="44">
        <f>VLOOKUP(Table1[[#This Row],[Status]],Auxiliar!$B$16:$C$24,2,0)</f>
        <v>1</v>
      </c>
      <c r="K671" s="20"/>
      <c r="L671" s="244"/>
      <c r="M671" s="20"/>
      <c r="N671" s="47">
        <v>45695</v>
      </c>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166">
        <f>+VLOOKUP(CONCATENATE(Table1[[#This Row],[Tabela]],Table1[[#This Row],[Campo]]),'2. Status Detalhe Campos FY24'!A:J,9,FALSE)</f>
        <v>0</v>
      </c>
    </row>
    <row r="672" spans="2:24" ht="17.850000000000001" hidden="1" customHeight="1">
      <c r="B672" s="2" t="s">
        <v>26</v>
      </c>
      <c r="C672" s="2" t="s">
        <v>310</v>
      </c>
      <c r="D672" s="2" t="s">
        <v>326</v>
      </c>
      <c r="E672" s="2" t="s">
        <v>38</v>
      </c>
      <c r="F672" s="2" t="s">
        <v>325</v>
      </c>
      <c r="G672" s="12" t="s">
        <v>268</v>
      </c>
      <c r="H672" s="56" t="str">
        <f>Table1[[#This Row],[Tabela]]&amp;Table1[[#This Row],[Campo]]</f>
        <v>modesg_out_empr_info_nfinwtr_trnvr_enblng_alignd</v>
      </c>
      <c r="I672" s="2" t="s">
        <v>612</v>
      </c>
      <c r="J672" s="44">
        <f>VLOOKUP(Table1[[#This Row],[Status]],Auxiliar!$B$16:$C$24,2,0)</f>
        <v>1</v>
      </c>
      <c r="K672" s="20"/>
      <c r="L672" s="244"/>
      <c r="M672" s="20"/>
      <c r="N672" s="47">
        <v>45695</v>
      </c>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166">
        <f>+VLOOKUP(CONCATENATE(Table1[[#This Row],[Tabela]],Table1[[#This Row],[Campo]]),'2. Status Detalhe Campos FY24'!A:J,9,FALSE)</f>
        <v>0</v>
      </c>
    </row>
    <row r="673" spans="2:24" ht="17.850000000000001" hidden="1" customHeight="1">
      <c r="B673" s="2" t="s">
        <v>26</v>
      </c>
      <c r="C673" s="2" t="s">
        <v>310</v>
      </c>
      <c r="D673" s="2" t="s">
        <v>326</v>
      </c>
      <c r="E673" s="2" t="s">
        <v>38</v>
      </c>
      <c r="F673" s="2" t="s">
        <v>325</v>
      </c>
      <c r="G673" s="12" t="s">
        <v>269</v>
      </c>
      <c r="H673" s="56" t="str">
        <f>Table1[[#This Row],[Tabela]]&amp;Table1[[#This Row],[Campo]]</f>
        <v>modesg_out_empr_info_nfinwtr_turnover_own_prfrmnce_algnd</v>
      </c>
      <c r="I673" s="2" t="s">
        <v>612</v>
      </c>
      <c r="J673" s="44">
        <f>VLOOKUP(Table1[[#This Row],[Status]],Auxiliar!$B$16:$C$24,2,0)</f>
        <v>1</v>
      </c>
      <c r="K673" s="20"/>
      <c r="L673" s="244"/>
      <c r="M673" s="20"/>
      <c r="N673" s="47">
        <v>45695</v>
      </c>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166">
        <f>+VLOOKUP(CONCATENATE(Table1[[#This Row],[Tabela]],Table1[[#This Row],[Campo]]),'2. Status Detalhe Campos FY24'!A:J,9,FALSE)</f>
        <v>0</v>
      </c>
    </row>
    <row r="674" spans="2:24" ht="17.850000000000001" hidden="1" customHeight="1">
      <c r="B674" s="2" t="s">
        <v>26</v>
      </c>
      <c r="C674" s="2" t="s">
        <v>310</v>
      </c>
      <c r="D674" s="2" t="s">
        <v>326</v>
      </c>
      <c r="E674" s="2" t="s">
        <v>38</v>
      </c>
      <c r="F674" s="2" t="s">
        <v>325</v>
      </c>
      <c r="G674" s="12" t="s">
        <v>270</v>
      </c>
      <c r="H674" s="56" t="str">
        <f>Table1[[#This Row],[Tabela]]&amp;Table1[[#This Row],[Campo]]</f>
        <v>modesg_out_empr_info_nfinwtr_capex_ttl_elgbl</v>
      </c>
      <c r="I674" s="2" t="s">
        <v>612</v>
      </c>
      <c r="J674" s="44">
        <f>VLOOKUP(Table1[[#This Row],[Status]],Auxiliar!$B$16:$C$24,2,0)</f>
        <v>1</v>
      </c>
      <c r="K674" s="20"/>
      <c r="L674" s="244"/>
      <c r="M674" s="20"/>
      <c r="N674" s="47">
        <v>45695</v>
      </c>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166">
        <f>+VLOOKUP(CONCATENATE(Table1[[#This Row],[Tabela]],Table1[[#This Row],[Campo]]),'2. Status Detalhe Campos FY24'!A:J,9,FALSE)</f>
        <v>0</v>
      </c>
    </row>
    <row r="675" spans="2:24" ht="17.850000000000001" hidden="1" customHeight="1">
      <c r="B675" s="2" t="s">
        <v>26</v>
      </c>
      <c r="C675" s="2" t="s">
        <v>310</v>
      </c>
      <c r="D675" s="2" t="s">
        <v>326</v>
      </c>
      <c r="E675" s="2" t="s">
        <v>38</v>
      </c>
      <c r="F675" s="2" t="s">
        <v>325</v>
      </c>
      <c r="G675" s="12" t="s">
        <v>271</v>
      </c>
      <c r="H675" s="56" t="str">
        <f>Table1[[#This Row],[Tabela]]&amp;Table1[[#This Row],[Campo]]</f>
        <v>modesg_out_empr_info_nfinwtr_capex_enblng_algnd</v>
      </c>
      <c r="I675" s="2" t="s">
        <v>612</v>
      </c>
      <c r="J675" s="44">
        <f>VLOOKUP(Table1[[#This Row],[Status]],Auxiliar!$B$16:$C$24,2,0)</f>
        <v>1</v>
      </c>
      <c r="K675" s="20"/>
      <c r="L675" s="244"/>
      <c r="M675" s="20"/>
      <c r="N675" s="47">
        <v>45695</v>
      </c>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166">
        <f>+VLOOKUP(CONCATENATE(Table1[[#This Row],[Tabela]],Table1[[#This Row],[Campo]]),'2. Status Detalhe Campos FY24'!A:J,9,FALSE)</f>
        <v>0</v>
      </c>
    </row>
    <row r="676" spans="2:24" ht="17.850000000000001" hidden="1" customHeight="1">
      <c r="B676" s="2" t="s">
        <v>26</v>
      </c>
      <c r="C676" s="2" t="s">
        <v>310</v>
      </c>
      <c r="D676" s="2" t="s">
        <v>326</v>
      </c>
      <c r="E676" s="2" t="s">
        <v>38</v>
      </c>
      <c r="F676" s="2" t="s">
        <v>325</v>
      </c>
      <c r="G676" s="12" t="s">
        <v>272</v>
      </c>
      <c r="H676" s="56" t="str">
        <f>Table1[[#This Row],[Tabela]]&amp;Table1[[#This Row],[Campo]]</f>
        <v>modesg_out_empr_info_nfinwtr_capex_own_prfrmnce_algnd</v>
      </c>
      <c r="I676" s="2" t="s">
        <v>612</v>
      </c>
      <c r="J676" s="44">
        <f>VLOOKUP(Table1[[#This Row],[Status]],Auxiliar!$B$16:$C$24,2,0)</f>
        <v>1</v>
      </c>
      <c r="K676" s="20"/>
      <c r="L676" s="244"/>
      <c r="M676" s="20"/>
      <c r="N676" s="47">
        <v>45695</v>
      </c>
      <c r="O676" s="20" t="e">
        <f>INDEX(Auxiliar!$D$5:$F$11,MATCH(Table1[[#This Row],[Tipologia_Testes]],Auxiliar!$B$5:$B$11,0),MATCH(Table1[[#This Row],[Complexidade]],Auxiliar!$D$4:$F$4,0))</f>
        <v>#N/A</v>
      </c>
      <c r="P676" s="2"/>
      <c r="Q676" s="2"/>
      <c r="R676" s="151"/>
      <c r="S676" s="151"/>
      <c r="T676" s="151"/>
      <c r="U676" s="151"/>
      <c r="V676" s="151"/>
      <c r="W676" s="2" t="e">
        <f>VLOOKUP(Table1[[#This Row],[Status]],Auxiliar!$B$16:$D$24,3,0)*Table1[[#This Row],[Estimação (horas)]]</f>
        <v>#N/A</v>
      </c>
      <c r="X676" s="166">
        <f>+VLOOKUP(CONCATENATE(Table1[[#This Row],[Tabela]],Table1[[#This Row],[Campo]]),'2. Status Detalhe Campos FY24'!A:J,9,FALSE)</f>
        <v>0</v>
      </c>
    </row>
    <row r="677" spans="2:24" ht="17.850000000000001" hidden="1" customHeight="1">
      <c r="B677" s="2" t="s">
        <v>26</v>
      </c>
      <c r="C677" s="2" t="s">
        <v>310</v>
      </c>
      <c r="D677" s="2" t="s">
        <v>326</v>
      </c>
      <c r="E677" s="2" t="s">
        <v>38</v>
      </c>
      <c r="F677" s="2" t="s">
        <v>325</v>
      </c>
      <c r="G677" s="12" t="s">
        <v>273</v>
      </c>
      <c r="H677" s="56" t="str">
        <f>Table1[[#This Row],[Tabela]]&amp;Table1[[#This Row],[Campo]]</f>
        <v>modesg_out_empr_info_nfince_trnvr_ttl_elgbl</v>
      </c>
      <c r="I677" s="2" t="s">
        <v>612</v>
      </c>
      <c r="J677" s="44">
        <f>VLOOKUP(Table1[[#This Row],[Status]],Auxiliar!$B$16:$C$24,2,0)</f>
        <v>1</v>
      </c>
      <c r="K677" s="20"/>
      <c r="L677" s="244"/>
      <c r="M677" s="20"/>
      <c r="N677" s="47">
        <v>45695</v>
      </c>
      <c r="O677" s="20" t="e">
        <f>INDEX(Auxiliar!$D$5:$F$11,MATCH(Table1[[#This Row],[Tipologia_Testes]],Auxiliar!$B$5:$B$11,0),MATCH(Table1[[#This Row],[Complexidade]],Auxiliar!$D$4:$F$4,0))</f>
        <v>#N/A</v>
      </c>
      <c r="P677" s="2"/>
      <c r="Q677" s="2"/>
      <c r="R677" s="151"/>
      <c r="S677" s="151"/>
      <c r="T677" s="151"/>
      <c r="U677" s="151"/>
      <c r="V677" s="151"/>
      <c r="W677" s="2" t="e">
        <f>VLOOKUP(Table1[[#This Row],[Status]],Auxiliar!$B$16:$D$24,3,0)*Table1[[#This Row],[Estimação (horas)]]</f>
        <v>#N/A</v>
      </c>
      <c r="X677" s="166">
        <f>+VLOOKUP(CONCATENATE(Table1[[#This Row],[Tabela]],Table1[[#This Row],[Campo]]),'2. Status Detalhe Campos FY24'!A:J,9,FALSE)</f>
        <v>0</v>
      </c>
    </row>
    <row r="678" spans="2:24" ht="17.850000000000001" hidden="1" customHeight="1">
      <c r="B678" s="2" t="s">
        <v>26</v>
      </c>
      <c r="C678" s="2" t="s">
        <v>310</v>
      </c>
      <c r="D678" s="2" t="s">
        <v>326</v>
      </c>
      <c r="E678" s="2" t="s">
        <v>38</v>
      </c>
      <c r="F678" s="2" t="s">
        <v>325</v>
      </c>
      <c r="G678" s="12" t="s">
        <v>274</v>
      </c>
      <c r="H678" s="56" t="str">
        <f>Table1[[#This Row],[Tabela]]&amp;Table1[[#This Row],[Campo]]</f>
        <v>modesg_out_empr_info_nfince_trnvr_enblng_alignd</v>
      </c>
      <c r="I678" s="2" t="s">
        <v>612</v>
      </c>
      <c r="J678" s="44">
        <f>VLOOKUP(Table1[[#This Row],[Status]],Auxiliar!$B$16:$C$24,2,0)</f>
        <v>1</v>
      </c>
      <c r="K678" s="20"/>
      <c r="L678" s="244"/>
      <c r="M678" s="20"/>
      <c r="N678" s="47">
        <v>45695</v>
      </c>
      <c r="O678" s="20" t="e">
        <f>INDEX(Auxiliar!$D$5:$F$11,MATCH(Table1[[#This Row],[Tipologia_Testes]],Auxiliar!$B$5:$B$11,0),MATCH(Table1[[#This Row],[Complexidade]],Auxiliar!$D$4:$F$4,0))</f>
        <v>#N/A</v>
      </c>
      <c r="P678" s="2"/>
      <c r="Q678" s="2"/>
      <c r="R678" s="151"/>
      <c r="S678" s="151"/>
      <c r="T678" s="151"/>
      <c r="U678" s="151"/>
      <c r="V678" s="151"/>
      <c r="W678" s="2" t="e">
        <f>VLOOKUP(Table1[[#This Row],[Status]],Auxiliar!$B$16:$D$24,3,0)*Table1[[#This Row],[Estimação (horas)]]</f>
        <v>#N/A</v>
      </c>
      <c r="X678" s="166">
        <f>+VLOOKUP(CONCATENATE(Table1[[#This Row],[Tabela]],Table1[[#This Row],[Campo]]),'2. Status Detalhe Campos FY24'!A:J,9,FALSE)</f>
        <v>0</v>
      </c>
    </row>
    <row r="679" spans="2:24" ht="17.850000000000001" hidden="1" customHeight="1">
      <c r="B679" s="2" t="s">
        <v>26</v>
      </c>
      <c r="C679" s="2" t="s">
        <v>310</v>
      </c>
      <c r="D679" s="2" t="s">
        <v>326</v>
      </c>
      <c r="E679" s="2" t="s">
        <v>38</v>
      </c>
      <c r="F679" s="2" t="s">
        <v>325</v>
      </c>
      <c r="G679" s="12" t="s">
        <v>275</v>
      </c>
      <c r="H679" s="56" t="str">
        <f>Table1[[#This Row],[Tabela]]&amp;Table1[[#This Row],[Campo]]</f>
        <v>modesg_out_empr_info_nfince_turnover_own_prfrmnce_algnd</v>
      </c>
      <c r="I679" s="2" t="s">
        <v>612</v>
      </c>
      <c r="J679" s="44">
        <f>VLOOKUP(Table1[[#This Row],[Status]],Auxiliar!$B$16:$C$24,2,0)</f>
        <v>1</v>
      </c>
      <c r="K679" s="20"/>
      <c r="L679" s="244"/>
      <c r="M679" s="20"/>
      <c r="N679" s="47">
        <v>45695</v>
      </c>
      <c r="O679" s="20" t="e">
        <f>INDEX(Auxiliar!$D$5:$F$11,MATCH(Table1[[#This Row],[Tipologia_Testes]],Auxiliar!$B$5:$B$11,0),MATCH(Table1[[#This Row],[Complexidade]],Auxiliar!$D$4:$F$4,0))</f>
        <v>#N/A</v>
      </c>
      <c r="P679" s="2"/>
      <c r="Q679" s="2"/>
      <c r="R679" s="151"/>
      <c r="S679" s="151"/>
      <c r="T679" s="151"/>
      <c r="U679" s="151"/>
      <c r="V679" s="151"/>
      <c r="W679" s="2" t="e">
        <f>VLOOKUP(Table1[[#This Row],[Status]],Auxiliar!$B$16:$D$24,3,0)*Table1[[#This Row],[Estimação (horas)]]</f>
        <v>#N/A</v>
      </c>
      <c r="X679" s="166">
        <f>+VLOOKUP(CONCATENATE(Table1[[#This Row],[Tabela]],Table1[[#This Row],[Campo]]),'2. Status Detalhe Campos FY24'!A:J,9,FALSE)</f>
        <v>0</v>
      </c>
    </row>
    <row r="680" spans="2:24" ht="17.850000000000001" hidden="1" customHeight="1">
      <c r="B680" s="2" t="s">
        <v>26</v>
      </c>
      <c r="C680" s="2" t="s">
        <v>310</v>
      </c>
      <c r="D680" s="2" t="s">
        <v>326</v>
      </c>
      <c r="E680" s="2" t="s">
        <v>38</v>
      </c>
      <c r="F680" s="2" t="s">
        <v>325</v>
      </c>
      <c r="G680" s="12" t="s">
        <v>276</v>
      </c>
      <c r="H680" s="56" t="str">
        <f>Table1[[#This Row],[Tabela]]&amp;Table1[[#This Row],[Campo]]</f>
        <v>modesg_out_empr_info_nfince_capex_ttl_elgbl</v>
      </c>
      <c r="I680" s="2" t="s">
        <v>612</v>
      </c>
      <c r="J680" s="44">
        <f>VLOOKUP(Table1[[#This Row],[Status]],Auxiliar!$B$16:$C$24,2,0)</f>
        <v>1</v>
      </c>
      <c r="K680" s="20"/>
      <c r="L680" s="244"/>
      <c r="M680" s="20"/>
      <c r="N680" s="47">
        <v>45695</v>
      </c>
      <c r="O680" s="20" t="e">
        <f>INDEX(Auxiliar!$D$5:$F$11,MATCH(Table1[[#This Row],[Tipologia_Testes]],Auxiliar!$B$5:$B$11,0),MATCH(Table1[[#This Row],[Complexidade]],Auxiliar!$D$4:$F$4,0))</f>
        <v>#N/A</v>
      </c>
      <c r="P680" s="2"/>
      <c r="Q680" s="2"/>
      <c r="R680" s="151"/>
      <c r="S680" s="151"/>
      <c r="T680" s="151"/>
      <c r="U680" s="151"/>
      <c r="V680" s="151"/>
      <c r="W680" s="2" t="e">
        <f>VLOOKUP(Table1[[#This Row],[Status]],Auxiliar!$B$16:$D$24,3,0)*Table1[[#This Row],[Estimação (horas)]]</f>
        <v>#N/A</v>
      </c>
      <c r="X680" s="166">
        <f>+VLOOKUP(CONCATENATE(Table1[[#This Row],[Tabela]],Table1[[#This Row],[Campo]]),'2. Status Detalhe Campos FY24'!A:J,9,FALSE)</f>
        <v>0</v>
      </c>
    </row>
    <row r="681" spans="2:24" ht="17.850000000000001" hidden="1" customHeight="1">
      <c r="B681" s="2" t="s">
        <v>26</v>
      </c>
      <c r="C681" s="2" t="s">
        <v>310</v>
      </c>
      <c r="D681" s="2" t="s">
        <v>326</v>
      </c>
      <c r="E681" s="2" t="s">
        <v>38</v>
      </c>
      <c r="F681" s="2" t="s">
        <v>325</v>
      </c>
      <c r="G681" s="12" t="s">
        <v>277</v>
      </c>
      <c r="H681" s="56" t="str">
        <f>Table1[[#This Row],[Tabela]]&amp;Table1[[#This Row],[Campo]]</f>
        <v>modesg_out_empr_info_nfince_capex_enblng_algnd</v>
      </c>
      <c r="I681" s="2" t="s">
        <v>612</v>
      </c>
      <c r="J681" s="44">
        <f>VLOOKUP(Table1[[#This Row],[Status]],Auxiliar!$B$16:$C$24,2,0)</f>
        <v>1</v>
      </c>
      <c r="K681" s="20"/>
      <c r="L681" s="244"/>
      <c r="M681" s="20"/>
      <c r="N681" s="47">
        <v>45695</v>
      </c>
      <c r="O681" s="20" t="e">
        <f>INDEX(Auxiliar!$D$5:$F$11,MATCH(Table1[[#This Row],[Tipologia_Testes]],Auxiliar!$B$5:$B$11,0),MATCH(Table1[[#This Row],[Complexidade]],Auxiliar!$D$4:$F$4,0))</f>
        <v>#N/A</v>
      </c>
      <c r="P681" s="2"/>
      <c r="Q681" s="2"/>
      <c r="R681" s="151"/>
      <c r="S681" s="151"/>
      <c r="T681" s="151"/>
      <c r="U681" s="151"/>
      <c r="V681" s="151"/>
      <c r="W681" s="2" t="e">
        <f>VLOOKUP(Table1[[#This Row],[Status]],Auxiliar!$B$16:$D$24,3,0)*Table1[[#This Row],[Estimação (horas)]]</f>
        <v>#N/A</v>
      </c>
      <c r="X681" s="166">
        <f>+VLOOKUP(CONCATENATE(Table1[[#This Row],[Tabela]],Table1[[#This Row],[Campo]]),'2. Status Detalhe Campos FY24'!A:J,9,FALSE)</f>
        <v>0</v>
      </c>
    </row>
    <row r="682" spans="2:24" ht="17.850000000000001" hidden="1" customHeight="1">
      <c r="B682" s="2" t="s">
        <v>26</v>
      </c>
      <c r="C682" s="2" t="s">
        <v>310</v>
      </c>
      <c r="D682" s="2" t="s">
        <v>326</v>
      </c>
      <c r="E682" s="2" t="s">
        <v>38</v>
      </c>
      <c r="F682" s="2" t="s">
        <v>325</v>
      </c>
      <c r="G682" s="12" t="s">
        <v>278</v>
      </c>
      <c r="H682" s="56" t="str">
        <f>Table1[[#This Row],[Tabela]]&amp;Table1[[#This Row],[Campo]]</f>
        <v>modesg_out_empr_info_nfince_capex_own_prfrmnce_algnd</v>
      </c>
      <c r="I682" s="2" t="s">
        <v>612</v>
      </c>
      <c r="J682" s="44">
        <f>VLOOKUP(Table1[[#This Row],[Status]],Auxiliar!$B$16:$C$24,2,0)</f>
        <v>1</v>
      </c>
      <c r="K682" s="20"/>
      <c r="L682" s="244"/>
      <c r="M682" s="20"/>
      <c r="N682" s="47">
        <v>45695</v>
      </c>
      <c r="O682" s="20" t="e">
        <f>INDEX(Auxiliar!$D$5:$F$11,MATCH(Table1[[#This Row],[Tipologia_Testes]],Auxiliar!$B$5:$B$11,0),MATCH(Table1[[#This Row],[Complexidade]],Auxiliar!$D$4:$F$4,0))</f>
        <v>#N/A</v>
      </c>
      <c r="P682" s="2"/>
      <c r="Q682" s="2"/>
      <c r="R682" s="356"/>
      <c r="S682" s="151"/>
      <c r="T682" s="151"/>
      <c r="U682" s="151"/>
      <c r="V682" s="151"/>
      <c r="W682" s="2" t="e">
        <f>VLOOKUP(Table1[[#This Row],[Status]],Auxiliar!$B$16:$D$24,3,0)*Table1[[#This Row],[Estimação (horas)]]</f>
        <v>#N/A</v>
      </c>
      <c r="X682" s="166">
        <f>+VLOOKUP(CONCATENATE(Table1[[#This Row],[Tabela]],Table1[[#This Row],[Campo]]),'2. Status Detalhe Campos FY24'!A:J,9,FALSE)</f>
        <v>0</v>
      </c>
    </row>
    <row r="683" spans="2:24" ht="17.850000000000001" hidden="1" customHeight="1">
      <c r="B683" s="2" t="s">
        <v>26</v>
      </c>
      <c r="C683" s="2" t="s">
        <v>310</v>
      </c>
      <c r="D683" s="2" t="s">
        <v>326</v>
      </c>
      <c r="E683" s="2" t="s">
        <v>38</v>
      </c>
      <c r="F683" s="2" t="s">
        <v>325</v>
      </c>
      <c r="G683" s="2" t="s">
        <v>281</v>
      </c>
      <c r="H683" s="56" t="str">
        <f>Table1[[#This Row],[Tabela]]&amp;Table1[[#This Row],[Campo]]</f>
        <v>modesg_out_empr_info_nfincod_nace_esg</v>
      </c>
      <c r="I683" s="2" t="s">
        <v>2325</v>
      </c>
      <c r="J683" s="42">
        <f>VLOOKUP(Table1[[#This Row],[Status]],Auxiliar!$B$16:$C$24,2,0)</f>
        <v>7</v>
      </c>
      <c r="K683" s="2" t="s">
        <v>1171</v>
      </c>
      <c r="L683" s="28" t="s">
        <v>1169</v>
      </c>
      <c r="M683" s="20" t="s">
        <v>1170</v>
      </c>
      <c r="N683" s="47">
        <v>45322</v>
      </c>
      <c r="O683" s="20">
        <f>INDEX(Auxiliar!$D$5:$F$13,MATCH(Table1[[#This Row],[Tipologia_Testes]],Auxiliar!$B$5:$B$13,0),MATCH(Table1[[#This Row],[Complexidade]],Auxiliar!$D$4:$F$4,0))</f>
        <v>8</v>
      </c>
      <c r="P683" s="2"/>
      <c r="Q683" s="2"/>
      <c r="R683" s="151">
        <v>45560</v>
      </c>
      <c r="S683" s="151"/>
      <c r="T683" s="151">
        <v>45561</v>
      </c>
      <c r="U683" s="151">
        <v>45614</v>
      </c>
      <c r="V683" s="151">
        <v>45615</v>
      </c>
      <c r="W683" s="2">
        <f>VLOOKUP(Table1[[#This Row],[Status]],Auxiliar!$B$16:$D$24,3,0)*Table1[[#This Row],[Estimação (horas)]]</f>
        <v>2</v>
      </c>
      <c r="X683" s="166">
        <f>+VLOOKUP(CONCATENATE(Table1[[#This Row],[Tabela]],Table1[[#This Row],[Campo]]),'2. Status Detalhe Campos FY24'!A:J,9,FALSE)</f>
        <v>0</v>
      </c>
    </row>
    <row r="684" spans="2:24" ht="17.850000000000001" hidden="1" customHeight="1">
      <c r="B684" s="2" t="s">
        <v>26</v>
      </c>
      <c r="C684" s="2" t="s">
        <v>310</v>
      </c>
      <c r="D684" s="2" t="s">
        <v>326</v>
      </c>
      <c r="E684" s="2" t="s">
        <v>38</v>
      </c>
      <c r="F684" s="2" t="s">
        <v>325</v>
      </c>
      <c r="G684" s="2" t="s">
        <v>281</v>
      </c>
      <c r="H684" s="56" t="str">
        <f>Table1[[#This Row],[Tabela]]&amp;Table1[[#This Row],[Campo]]</f>
        <v>modesg_out_empr_info_nfincod_nace_esg</v>
      </c>
      <c r="I684" s="2" t="s">
        <v>2325</v>
      </c>
      <c r="J684" s="42">
        <f>VLOOKUP(Table1[[#This Row],[Status]],Auxiliar!$B$16:$C$24,2,0)</f>
        <v>7</v>
      </c>
      <c r="K684" s="2" t="s">
        <v>1172</v>
      </c>
      <c r="L684" s="28" t="s">
        <v>1169</v>
      </c>
      <c r="M684" s="20" t="s">
        <v>1170</v>
      </c>
      <c r="N684" s="47">
        <v>45322</v>
      </c>
      <c r="O684" s="20">
        <f>INDEX(Auxiliar!$D$5:$F$13,MATCH(Table1[[#This Row],[Tipologia_Testes]],Auxiliar!$B$5:$B$13,0),MATCH(Table1[[#This Row],[Complexidade]],Auxiliar!$D$4:$F$4,0))</f>
        <v>8</v>
      </c>
      <c r="P684" s="2"/>
      <c r="Q684" s="2"/>
      <c r="R684" s="151">
        <v>45560</v>
      </c>
      <c r="S684" s="151"/>
      <c r="T684" s="151">
        <v>45561</v>
      </c>
      <c r="U684" s="151">
        <v>45614</v>
      </c>
      <c r="V684" s="151">
        <v>45615</v>
      </c>
      <c r="W684" s="2">
        <f>VLOOKUP(Table1[[#This Row],[Status]],Auxiliar!$B$16:$D$24,3,0)*Table1[[#This Row],[Estimação (horas)]]</f>
        <v>2</v>
      </c>
      <c r="X684" s="166">
        <f>+VLOOKUP(CONCATENATE(Table1[[#This Row],[Tabela]],Table1[[#This Row],[Campo]]),'2. Status Detalhe Campos FY24'!A:J,9,FALSE)</f>
        <v>0</v>
      </c>
    </row>
    <row r="685" spans="2:24" ht="17.850000000000001" hidden="1" customHeight="1">
      <c r="B685" s="2" t="s">
        <v>26</v>
      </c>
      <c r="C685" s="2" t="s">
        <v>310</v>
      </c>
      <c r="D685" s="2" t="s">
        <v>326</v>
      </c>
      <c r="E685" s="2" t="s">
        <v>38</v>
      </c>
      <c r="F685" s="2" t="s">
        <v>325</v>
      </c>
      <c r="G685" s="2" t="s">
        <v>281</v>
      </c>
      <c r="H685" s="56" t="str">
        <f>Table1[[#This Row],[Tabela]]&amp;Table1[[#This Row],[Campo]]</f>
        <v>modesg_out_empr_info_nfincod_nace_esg</v>
      </c>
      <c r="I685" s="2" t="s">
        <v>2325</v>
      </c>
      <c r="J685" s="42">
        <f>VLOOKUP(Table1[[#This Row],[Status]],Auxiliar!$B$16:$C$24,2,0)</f>
        <v>7</v>
      </c>
      <c r="K685" s="2" t="s">
        <v>1174</v>
      </c>
      <c r="L685" s="28" t="s">
        <v>1169</v>
      </c>
      <c r="M685" s="20" t="s">
        <v>1170</v>
      </c>
      <c r="N685" s="47">
        <v>45322</v>
      </c>
      <c r="O685" s="20">
        <f>INDEX(Auxiliar!$D$5:$F$13,MATCH(Table1[[#This Row],[Tipologia_Testes]],Auxiliar!$B$5:$B$13,0),MATCH(Table1[[#This Row],[Complexidade]],Auxiliar!$D$4:$F$4,0))</f>
        <v>0.1</v>
      </c>
      <c r="P685" s="2"/>
      <c r="Q685" s="2"/>
      <c r="R685" s="151">
        <v>45560</v>
      </c>
      <c r="S685" s="151"/>
      <c r="T685" s="151">
        <v>45561</v>
      </c>
      <c r="U685" s="151">
        <v>45614</v>
      </c>
      <c r="V685" s="151">
        <v>45615</v>
      </c>
      <c r="W685" s="2">
        <f>VLOOKUP(Table1[[#This Row],[Status]],Auxiliar!$B$16:$D$24,3,0)*Table1[[#This Row],[Estimação (horas)]]</f>
        <v>2.5000000000000001E-2</v>
      </c>
      <c r="X685" s="166">
        <f>+VLOOKUP(CONCATENATE(Table1[[#This Row],[Tabela]],Table1[[#This Row],[Campo]]),'2. Status Detalhe Campos FY24'!A:J,9,FALSE)</f>
        <v>0</v>
      </c>
    </row>
    <row r="686" spans="2:24" ht="17.850000000000001" hidden="1" customHeight="1">
      <c r="B686" s="2" t="s">
        <v>26</v>
      </c>
      <c r="C686" s="2" t="s">
        <v>310</v>
      </c>
      <c r="D686" s="2" t="s">
        <v>326</v>
      </c>
      <c r="E686" s="2" t="s">
        <v>38</v>
      </c>
      <c r="F686" s="2" t="s">
        <v>325</v>
      </c>
      <c r="G686" s="2" t="s">
        <v>327</v>
      </c>
      <c r="H686" s="56" t="str">
        <f>Table1[[#This Row],[Tabela]]&amp;Table1[[#This Row],[Campo]]</f>
        <v>modesg_out_empr_info_nfinflg_emprs_excl_paris</v>
      </c>
      <c r="I686" s="2" t="s">
        <v>612</v>
      </c>
      <c r="J686" s="42">
        <f>VLOOKUP(Table1[[#This Row],[Status]],Auxiliar!$B$16:$C$24,2,0)</f>
        <v>1</v>
      </c>
      <c r="K686" s="2" t="s">
        <v>1171</v>
      </c>
      <c r="L686" s="28" t="s">
        <v>1177</v>
      </c>
      <c r="M686" s="20" t="s">
        <v>1179</v>
      </c>
      <c r="N686" s="47">
        <v>45674</v>
      </c>
      <c r="O686" s="20">
        <f>INDEX(Auxiliar!$D$5:$F$13,MATCH(Table1[[#This Row],[Tipologia_Testes]],Auxiliar!$B$5:$B$13,0),MATCH(Table1[[#This Row],[Complexidade]],Auxiliar!$D$4:$F$4,0))</f>
        <v>4</v>
      </c>
      <c r="P686" s="169" t="s">
        <v>1203</v>
      </c>
      <c r="Q686" s="2"/>
      <c r="R686" s="151">
        <v>45553</v>
      </c>
      <c r="S686" s="151"/>
      <c r="T686" s="151">
        <v>45553</v>
      </c>
      <c r="U686" s="151">
        <v>45614</v>
      </c>
      <c r="V686" s="151">
        <v>45615</v>
      </c>
      <c r="W686" s="2">
        <f>VLOOKUP(Table1[[#This Row],[Status]],Auxiliar!$B$16:$D$24,3,0)*Table1[[#This Row],[Estimação (horas)]]</f>
        <v>4</v>
      </c>
      <c r="X686" s="166">
        <f>+VLOOKUP(CONCATENATE(Table1[[#This Row],[Tabela]],Table1[[#This Row],[Campo]]),'2. Status Detalhe Campos FY24'!A:J,9,FALSE)</f>
        <v>0</v>
      </c>
    </row>
    <row r="687" spans="2:24" ht="17.850000000000001" hidden="1" customHeight="1">
      <c r="B687" s="2" t="s">
        <v>26</v>
      </c>
      <c r="C687" s="2" t="s">
        <v>310</v>
      </c>
      <c r="D687" s="2" t="s">
        <v>326</v>
      </c>
      <c r="E687" s="2" t="s">
        <v>38</v>
      </c>
      <c r="F687" s="2" t="s">
        <v>325</v>
      </c>
      <c r="G687" s="2" t="s">
        <v>327</v>
      </c>
      <c r="H687" s="56" t="str">
        <f>Table1[[#This Row],[Tabela]]&amp;Table1[[#This Row],[Campo]]</f>
        <v>modesg_out_empr_info_nfinflg_emprs_excl_paris</v>
      </c>
      <c r="I687" s="2" t="s">
        <v>612</v>
      </c>
      <c r="J687" s="42">
        <f>VLOOKUP(Table1[[#This Row],[Status]],Auxiliar!$B$16:$C$24,2,0)</f>
        <v>1</v>
      </c>
      <c r="K687" s="2" t="s">
        <v>1172</v>
      </c>
      <c r="L687" s="28" t="s">
        <v>1177</v>
      </c>
      <c r="M687" s="20" t="s">
        <v>1179</v>
      </c>
      <c r="N687" s="47">
        <v>45674</v>
      </c>
      <c r="O687" s="20">
        <f>INDEX(Auxiliar!$D$5:$F$13,MATCH(Table1[[#This Row],[Tipologia_Testes]],Auxiliar!$B$5:$B$13,0),MATCH(Table1[[#This Row],[Complexidade]],Auxiliar!$D$4:$F$4,0))</f>
        <v>4</v>
      </c>
      <c r="P687" s="169" t="s">
        <v>1203</v>
      </c>
      <c r="Q687" s="2"/>
      <c r="R687" s="151">
        <v>45553</v>
      </c>
      <c r="S687" s="151"/>
      <c r="T687" s="151">
        <v>45553</v>
      </c>
      <c r="U687" s="151">
        <v>45614</v>
      </c>
      <c r="V687" s="151">
        <v>45615</v>
      </c>
      <c r="W687" s="2">
        <f>VLOOKUP(Table1[[#This Row],[Status]],Auxiliar!$B$16:$D$24,3,0)*Table1[[#This Row],[Estimação (horas)]]</f>
        <v>4</v>
      </c>
      <c r="X687" s="166">
        <f>+VLOOKUP(CONCATENATE(Table1[[#This Row],[Tabela]],Table1[[#This Row],[Campo]]),'2. Status Detalhe Campos FY24'!A:J,9,FALSE)</f>
        <v>0</v>
      </c>
    </row>
    <row r="688" spans="2:24" ht="17.850000000000001" hidden="1" customHeight="1">
      <c r="B688" s="2" t="s">
        <v>26</v>
      </c>
      <c r="C688" s="2" t="s">
        <v>310</v>
      </c>
      <c r="D688" s="2" t="s">
        <v>326</v>
      </c>
      <c r="E688" s="2" t="s">
        <v>38</v>
      </c>
      <c r="F688" s="2" t="s">
        <v>325</v>
      </c>
      <c r="G688" s="2" t="s">
        <v>327</v>
      </c>
      <c r="H688" s="56" t="str">
        <f>Table1[[#This Row],[Tabela]]&amp;Table1[[#This Row],[Campo]]</f>
        <v>modesg_out_empr_info_nfinflg_emprs_excl_paris</v>
      </c>
      <c r="I688" s="2" t="s">
        <v>612</v>
      </c>
      <c r="J688" s="42">
        <f>VLOOKUP(Table1[[#This Row],[Status]],Auxiliar!$B$16:$C$24,2,0)</f>
        <v>1</v>
      </c>
      <c r="K688" s="2" t="s">
        <v>1174</v>
      </c>
      <c r="L688" s="28" t="s">
        <v>1177</v>
      </c>
      <c r="M688" s="20" t="s">
        <v>1179</v>
      </c>
      <c r="N688" s="47">
        <v>45674</v>
      </c>
      <c r="O688" s="20">
        <f>INDEX(Auxiliar!$D$5:$F$13,MATCH(Table1[[#This Row],[Tipologia_Testes]],Auxiliar!$B$5:$B$13,0),MATCH(Table1[[#This Row],[Complexidade]],Auxiliar!$D$4:$F$4,0))</f>
        <v>0.1</v>
      </c>
      <c r="P688" s="169" t="s">
        <v>1203</v>
      </c>
      <c r="Q688" s="2"/>
      <c r="R688" s="151">
        <v>45553</v>
      </c>
      <c r="S688" s="151"/>
      <c r="T688" s="151">
        <v>45553</v>
      </c>
      <c r="U688" s="151">
        <v>45614</v>
      </c>
      <c r="V688" s="151">
        <v>45615</v>
      </c>
      <c r="W688" s="2">
        <f>VLOOKUP(Table1[[#This Row],[Status]],Auxiliar!$B$16:$D$24,3,0)*Table1[[#This Row],[Estimação (horas)]]</f>
        <v>0.1</v>
      </c>
      <c r="X688" s="166">
        <f>+VLOOKUP(CONCATENATE(Table1[[#This Row],[Tabela]],Table1[[#This Row],[Campo]]),'2. Status Detalhe Campos FY24'!A:J,9,FALSE)</f>
        <v>0</v>
      </c>
    </row>
    <row r="689" spans="2:24" ht="17.850000000000001" hidden="1" customHeight="1">
      <c r="B689" s="2" t="s">
        <v>26</v>
      </c>
      <c r="C689" s="2" t="s">
        <v>310</v>
      </c>
      <c r="D689" s="2" t="s">
        <v>326</v>
      </c>
      <c r="E689" s="2" t="s">
        <v>38</v>
      </c>
      <c r="F689" s="2" t="s">
        <v>325</v>
      </c>
      <c r="G689" s="2" t="s">
        <v>244</v>
      </c>
      <c r="H689" s="56" t="str">
        <f>Table1[[#This Row],[Tabela]]&amp;Table1[[#This Row],[Campo]]</f>
        <v>modesg_out_empr_info_nfinflg_nfrd</v>
      </c>
      <c r="I689" s="2" t="s">
        <v>612</v>
      </c>
      <c r="J689" s="42">
        <f>VLOOKUP(Table1[[#This Row],[Status]],Auxiliar!$B$16:$C$24,2,0)</f>
        <v>1</v>
      </c>
      <c r="K689" s="2" t="s">
        <v>1171</v>
      </c>
      <c r="L689" s="28" t="s">
        <v>1177</v>
      </c>
      <c r="M689" s="20" t="s">
        <v>1179</v>
      </c>
      <c r="N689" s="47">
        <v>45674</v>
      </c>
      <c r="O689" s="20">
        <f>INDEX(Auxiliar!$D$5:$F$13,MATCH(Table1[[#This Row],[Tipologia_Testes]],Auxiliar!$B$5:$B$13,0),MATCH(Table1[[#This Row],[Complexidade]],Auxiliar!$D$4:$F$4,0))</f>
        <v>4</v>
      </c>
      <c r="P689" s="169" t="s">
        <v>1203</v>
      </c>
      <c r="Q689" s="2"/>
      <c r="R689" s="151">
        <v>45553</v>
      </c>
      <c r="S689" s="151"/>
      <c r="T689" s="151">
        <v>45553</v>
      </c>
      <c r="U689" s="151">
        <v>45614</v>
      </c>
      <c r="V689" s="151">
        <v>45615</v>
      </c>
      <c r="W689" s="2">
        <f>VLOOKUP(Table1[[#This Row],[Status]],Auxiliar!$B$16:$D$24,3,0)*Table1[[#This Row],[Estimação (horas)]]</f>
        <v>4</v>
      </c>
      <c r="X689" s="166">
        <f>+VLOOKUP(CONCATENATE(Table1[[#This Row],[Tabela]],Table1[[#This Row],[Campo]]),'2. Status Detalhe Campos FY24'!A:J,9,FALSE)</f>
        <v>0</v>
      </c>
    </row>
    <row r="690" spans="2:24" ht="17.850000000000001" hidden="1" customHeight="1">
      <c r="B690" s="2" t="s">
        <v>26</v>
      </c>
      <c r="C690" s="2" t="s">
        <v>310</v>
      </c>
      <c r="D690" s="2" t="s">
        <v>326</v>
      </c>
      <c r="E690" s="2" t="s">
        <v>38</v>
      </c>
      <c r="F690" s="2" t="s">
        <v>325</v>
      </c>
      <c r="G690" s="2" t="s">
        <v>244</v>
      </c>
      <c r="H690" s="56" t="str">
        <f>Table1[[#This Row],[Tabela]]&amp;Table1[[#This Row],[Campo]]</f>
        <v>modesg_out_empr_info_nfinflg_nfrd</v>
      </c>
      <c r="I690" s="2" t="s">
        <v>612</v>
      </c>
      <c r="J690" s="42">
        <f>VLOOKUP(Table1[[#This Row],[Status]],Auxiliar!$B$16:$C$24,2,0)</f>
        <v>1</v>
      </c>
      <c r="K690" s="2" t="s">
        <v>1172</v>
      </c>
      <c r="L690" s="28" t="s">
        <v>1177</v>
      </c>
      <c r="M690" s="20" t="s">
        <v>1179</v>
      </c>
      <c r="N690" s="47">
        <v>45674</v>
      </c>
      <c r="O690" s="20">
        <f>INDEX(Auxiliar!$D$5:$F$13,MATCH(Table1[[#This Row],[Tipologia_Testes]],Auxiliar!$B$5:$B$13,0),MATCH(Table1[[#This Row],[Complexidade]],Auxiliar!$D$4:$F$4,0))</f>
        <v>4</v>
      </c>
      <c r="P690" s="169" t="s">
        <v>1203</v>
      </c>
      <c r="Q690" s="2"/>
      <c r="R690" s="151">
        <v>45553</v>
      </c>
      <c r="S690" s="151"/>
      <c r="T690" s="151">
        <v>45553</v>
      </c>
      <c r="U690" s="151">
        <v>45614</v>
      </c>
      <c r="V690" s="151">
        <v>45615</v>
      </c>
      <c r="W690" s="2">
        <f>VLOOKUP(Table1[[#This Row],[Status]],Auxiliar!$B$16:$D$24,3,0)*Table1[[#This Row],[Estimação (horas)]]</f>
        <v>4</v>
      </c>
      <c r="X690" s="166">
        <f>+VLOOKUP(CONCATENATE(Table1[[#This Row],[Tabela]],Table1[[#This Row],[Campo]]),'2. Status Detalhe Campos FY24'!A:J,9,FALSE)</f>
        <v>0</v>
      </c>
    </row>
    <row r="691" spans="2:24" ht="17.850000000000001" hidden="1" customHeight="1">
      <c r="B691" s="2" t="s">
        <v>26</v>
      </c>
      <c r="C691" s="2" t="s">
        <v>310</v>
      </c>
      <c r="D691" s="2" t="s">
        <v>326</v>
      </c>
      <c r="E691" s="2" t="s">
        <v>38</v>
      </c>
      <c r="F691" s="2" t="s">
        <v>325</v>
      </c>
      <c r="G691" s="2" t="s">
        <v>244</v>
      </c>
      <c r="H691" s="56" t="str">
        <f>Table1[[#This Row],[Tabela]]&amp;Table1[[#This Row],[Campo]]</f>
        <v>modesg_out_empr_info_nfinflg_nfrd</v>
      </c>
      <c r="I691" s="2" t="s">
        <v>612</v>
      </c>
      <c r="J691" s="42">
        <f>VLOOKUP(Table1[[#This Row],[Status]],Auxiliar!$B$16:$C$24,2,0)</f>
        <v>1</v>
      </c>
      <c r="K691" s="2" t="s">
        <v>1174</v>
      </c>
      <c r="L691" s="28" t="s">
        <v>1177</v>
      </c>
      <c r="M691" s="20" t="s">
        <v>1179</v>
      </c>
      <c r="N691" s="47">
        <v>45674</v>
      </c>
      <c r="O691" s="20">
        <f>INDEX(Auxiliar!$D$5:$F$13,MATCH(Table1[[#This Row],[Tipologia_Testes]],Auxiliar!$B$5:$B$13,0),MATCH(Table1[[#This Row],[Complexidade]],Auxiliar!$D$4:$F$4,0))</f>
        <v>0.1</v>
      </c>
      <c r="P691" s="169" t="s">
        <v>1203</v>
      </c>
      <c r="Q691" s="2"/>
      <c r="R691" s="151">
        <v>45553</v>
      </c>
      <c r="S691" s="151"/>
      <c r="T691" s="151">
        <v>45553</v>
      </c>
      <c r="U691" s="151">
        <v>45614</v>
      </c>
      <c r="V691" s="151">
        <v>45615</v>
      </c>
      <c r="W691" s="2">
        <f>VLOOKUP(Table1[[#This Row],[Status]],Auxiliar!$B$16:$D$24,3,0)*Table1[[#This Row],[Estimação (horas)]]</f>
        <v>0.1</v>
      </c>
      <c r="X691" s="166">
        <f>+VLOOKUP(CONCATENATE(Table1[[#This Row],[Tabela]],Table1[[#This Row],[Campo]]),'2. Status Detalhe Campos FY24'!A:J,9,FALSE)</f>
        <v>0</v>
      </c>
    </row>
    <row r="692" spans="2:24" ht="17.850000000000001" hidden="1" customHeight="1">
      <c r="B692" s="2" t="s">
        <v>26</v>
      </c>
      <c r="C692" s="2" t="s">
        <v>310</v>
      </c>
      <c r="D692" s="2" t="s">
        <v>326</v>
      </c>
      <c r="E692" s="2" t="s">
        <v>38</v>
      </c>
      <c r="F692" s="2" t="s">
        <v>325</v>
      </c>
      <c r="G692" s="2" t="s">
        <v>282</v>
      </c>
      <c r="H692" s="56" t="str">
        <f>Table1[[#This Row],[Tabela]]&amp;Table1[[#This Row],[Campo]]</f>
        <v>modesg_out_empr_info_nfinflg_rsc_fsc_agd</v>
      </c>
      <c r="I692" s="2" t="s">
        <v>2325</v>
      </c>
      <c r="J692" s="42">
        <f>VLOOKUP(Table1[[#This Row],[Status]],Auxiliar!$B$16:$C$24,2,0)</f>
        <v>7</v>
      </c>
      <c r="K692" s="2" t="s">
        <v>1171</v>
      </c>
      <c r="L692" s="28" t="s">
        <v>1169</v>
      </c>
      <c r="M692" s="20" t="s">
        <v>1170</v>
      </c>
      <c r="N692" s="47">
        <v>45695</v>
      </c>
      <c r="O692" s="20">
        <f>INDEX(Auxiliar!$D$5:$F$13,MATCH(Table1[[#This Row],[Tipologia_Testes]],Auxiliar!$B$5:$B$13,0),MATCH(Table1[[#This Row],[Complexidade]],Auxiliar!$D$4:$F$4,0))</f>
        <v>8</v>
      </c>
      <c r="P692" s="2"/>
      <c r="Q692" s="2"/>
      <c r="R692" s="151">
        <v>45569</v>
      </c>
      <c r="S692" s="151"/>
      <c r="T692" s="151">
        <v>45569</v>
      </c>
      <c r="U692" s="151">
        <v>45624</v>
      </c>
      <c r="V692" s="151">
        <v>45639</v>
      </c>
      <c r="W692" s="2">
        <f>VLOOKUP(Table1[[#This Row],[Status]],Auxiliar!$B$16:$D$24,3,0)*Table1[[#This Row],[Estimação (horas)]]</f>
        <v>2</v>
      </c>
      <c r="X692" s="166">
        <f>+VLOOKUP(CONCATENATE(Table1[[#This Row],[Tabela]],Table1[[#This Row],[Campo]]),'2. Status Detalhe Campos FY24'!A:J,9,FALSE)</f>
        <v>0</v>
      </c>
    </row>
    <row r="693" spans="2:24" ht="17.850000000000001" hidden="1" customHeight="1">
      <c r="B693" s="2" t="s">
        <v>26</v>
      </c>
      <c r="C693" s="2" t="s">
        <v>310</v>
      </c>
      <c r="D693" s="2" t="s">
        <v>326</v>
      </c>
      <c r="E693" s="2" t="s">
        <v>38</v>
      </c>
      <c r="F693" s="2" t="s">
        <v>325</v>
      </c>
      <c r="G693" s="2" t="s">
        <v>282</v>
      </c>
      <c r="H693" s="56" t="str">
        <f>Table1[[#This Row],[Tabela]]&amp;Table1[[#This Row],[Campo]]</f>
        <v>modesg_out_empr_info_nfinflg_rsc_fsc_agd</v>
      </c>
      <c r="I693" s="2" t="s">
        <v>2325</v>
      </c>
      <c r="J693" s="42">
        <f>VLOOKUP(Table1[[#This Row],[Status]],Auxiliar!$B$16:$C$24,2,0)</f>
        <v>7</v>
      </c>
      <c r="K693" s="2" t="s">
        <v>1172</v>
      </c>
      <c r="L693" s="28" t="s">
        <v>1169</v>
      </c>
      <c r="M693" s="20" t="s">
        <v>1170</v>
      </c>
      <c r="N693" s="47">
        <v>45695</v>
      </c>
      <c r="O693" s="20">
        <f>INDEX(Auxiliar!$D$5:$F$13,MATCH(Table1[[#This Row],[Tipologia_Testes]],Auxiliar!$B$5:$B$13,0),MATCH(Table1[[#This Row],[Complexidade]],Auxiliar!$D$4:$F$4,0))</f>
        <v>8</v>
      </c>
      <c r="P693" s="2"/>
      <c r="Q693" s="2"/>
      <c r="R693" s="151">
        <v>45569</v>
      </c>
      <c r="S693" s="151"/>
      <c r="T693" s="151">
        <v>45569</v>
      </c>
      <c r="U693" s="151">
        <v>45624</v>
      </c>
      <c r="V693" s="151">
        <v>45639</v>
      </c>
      <c r="W693" s="2">
        <f>VLOOKUP(Table1[[#This Row],[Status]],Auxiliar!$B$16:$D$24,3,0)*Table1[[#This Row],[Estimação (horas)]]</f>
        <v>2</v>
      </c>
      <c r="X693" s="166">
        <f>+VLOOKUP(CONCATENATE(Table1[[#This Row],[Tabela]],Table1[[#This Row],[Campo]]),'2. Status Detalhe Campos FY24'!A:J,9,FALSE)</f>
        <v>0</v>
      </c>
    </row>
    <row r="694" spans="2:24" ht="17.850000000000001" hidden="1" customHeight="1">
      <c r="B694" s="2" t="s">
        <v>26</v>
      </c>
      <c r="C694" s="2" t="s">
        <v>310</v>
      </c>
      <c r="D694" s="2" t="s">
        <v>326</v>
      </c>
      <c r="E694" s="2" t="s">
        <v>38</v>
      </c>
      <c r="F694" s="2" t="s">
        <v>325</v>
      </c>
      <c r="G694" s="2" t="s">
        <v>282</v>
      </c>
      <c r="H694" s="56" t="str">
        <f>Table1[[#This Row],[Tabela]]&amp;Table1[[#This Row],[Campo]]</f>
        <v>modesg_out_empr_info_nfinflg_rsc_fsc_agd</v>
      </c>
      <c r="I694" s="2" t="s">
        <v>2325</v>
      </c>
      <c r="J694" s="42">
        <f>VLOOKUP(Table1[[#This Row],[Status]],Auxiliar!$B$16:$C$24,2,0)</f>
        <v>7</v>
      </c>
      <c r="K694" s="2" t="s">
        <v>1174</v>
      </c>
      <c r="L694" s="28" t="s">
        <v>1169</v>
      </c>
      <c r="M694" s="20" t="s">
        <v>1170</v>
      </c>
      <c r="N694" s="47">
        <v>45695</v>
      </c>
      <c r="O694" s="20">
        <f>INDEX(Auxiliar!$D$5:$F$13,MATCH(Table1[[#This Row],[Tipologia_Testes]],Auxiliar!$B$5:$B$13,0),MATCH(Table1[[#This Row],[Complexidade]],Auxiliar!$D$4:$F$4,0))</f>
        <v>0.1</v>
      </c>
      <c r="P694" s="2"/>
      <c r="Q694" s="2"/>
      <c r="R694" s="151">
        <v>45569</v>
      </c>
      <c r="S694" s="151"/>
      <c r="T694" s="151">
        <v>45569</v>
      </c>
      <c r="U694" s="151">
        <v>45624</v>
      </c>
      <c r="V694" s="151">
        <v>45639</v>
      </c>
      <c r="W694" s="2">
        <f>VLOOKUP(Table1[[#This Row],[Status]],Auxiliar!$B$16:$D$24,3,0)*Table1[[#This Row],[Estimação (horas)]]</f>
        <v>2.5000000000000001E-2</v>
      </c>
      <c r="X694" s="166">
        <f>+VLOOKUP(CONCATENATE(Table1[[#This Row],[Tabela]],Table1[[#This Row],[Campo]]),'2. Status Detalhe Campos FY24'!A:J,9,FALSE)</f>
        <v>0</v>
      </c>
    </row>
    <row r="695" spans="2:24" ht="17.850000000000001" hidden="1" customHeight="1">
      <c r="B695" s="2" t="s">
        <v>26</v>
      </c>
      <c r="C695" s="2" t="s">
        <v>310</v>
      </c>
      <c r="D695" s="2" t="s">
        <v>326</v>
      </c>
      <c r="E695" s="2" t="s">
        <v>38</v>
      </c>
      <c r="F695" s="2" t="s">
        <v>325</v>
      </c>
      <c r="G695" s="2" t="s">
        <v>283</v>
      </c>
      <c r="H695" s="56" t="str">
        <f>Table1[[#This Row],[Tabela]]&amp;Table1[[#This Row],[Campo]]</f>
        <v>modesg_out_empr_info_nfinflg_rsc_fsc_crnc</v>
      </c>
      <c r="I695" s="2" t="s">
        <v>2325</v>
      </c>
      <c r="J695" s="42">
        <f>VLOOKUP(Table1[[#This Row],[Status]],Auxiliar!$B$16:$C$24,2,0)</f>
        <v>7</v>
      </c>
      <c r="K695" s="2" t="s">
        <v>1171</v>
      </c>
      <c r="L695" s="28" t="s">
        <v>1169</v>
      </c>
      <c r="M695" s="20" t="s">
        <v>1170</v>
      </c>
      <c r="N695" s="47">
        <v>45695</v>
      </c>
      <c r="O695" s="20">
        <f>INDEX(Auxiliar!$D$5:$F$13,MATCH(Table1[[#This Row],[Tipologia_Testes]],Auxiliar!$B$5:$B$13,0),MATCH(Table1[[#This Row],[Complexidade]],Auxiliar!$D$4:$F$4,0))</f>
        <v>8</v>
      </c>
      <c r="P695" s="2"/>
      <c r="Q695" s="2"/>
      <c r="R695" s="151">
        <v>45569</v>
      </c>
      <c r="S695" s="151"/>
      <c r="T695" s="151">
        <v>45569</v>
      </c>
      <c r="U695" s="151">
        <v>45624</v>
      </c>
      <c r="V695" s="151">
        <v>45639</v>
      </c>
      <c r="W695" s="2">
        <f>VLOOKUP(Table1[[#This Row],[Status]],Auxiliar!$B$16:$D$24,3,0)*Table1[[#This Row],[Estimação (horas)]]</f>
        <v>2</v>
      </c>
      <c r="X695" s="166">
        <f>+VLOOKUP(CONCATENATE(Table1[[#This Row],[Tabela]],Table1[[#This Row],[Campo]]),'2. Status Detalhe Campos FY24'!A:J,9,FALSE)</f>
        <v>0</v>
      </c>
    </row>
    <row r="696" spans="2:24" ht="17.850000000000001" hidden="1" customHeight="1">
      <c r="B696" s="2" t="s">
        <v>26</v>
      </c>
      <c r="C696" s="2" t="s">
        <v>310</v>
      </c>
      <c r="D696" s="2" t="s">
        <v>326</v>
      </c>
      <c r="E696" s="2" t="s">
        <v>38</v>
      </c>
      <c r="F696" s="2" t="s">
        <v>325</v>
      </c>
      <c r="G696" s="2" t="s">
        <v>283</v>
      </c>
      <c r="H696" s="56" t="str">
        <f>Table1[[#This Row],[Tabela]]&amp;Table1[[#This Row],[Campo]]</f>
        <v>modesg_out_empr_info_nfinflg_rsc_fsc_crnc</v>
      </c>
      <c r="I696" s="2" t="s">
        <v>2325</v>
      </c>
      <c r="J696" s="42">
        <f>VLOOKUP(Table1[[#This Row],[Status]],Auxiliar!$B$16:$C$24,2,0)</f>
        <v>7</v>
      </c>
      <c r="K696" s="2" t="s">
        <v>1172</v>
      </c>
      <c r="L696" s="28" t="s">
        <v>1169</v>
      </c>
      <c r="M696" s="20" t="s">
        <v>1170</v>
      </c>
      <c r="N696" s="47">
        <v>45695</v>
      </c>
      <c r="O696" s="20">
        <f>INDEX(Auxiliar!$D$5:$F$13,MATCH(Table1[[#This Row],[Tipologia_Testes]],Auxiliar!$B$5:$B$13,0),MATCH(Table1[[#This Row],[Complexidade]],Auxiliar!$D$4:$F$4,0))</f>
        <v>8</v>
      </c>
      <c r="P696" s="2"/>
      <c r="Q696" s="2"/>
      <c r="R696" s="151">
        <v>45569</v>
      </c>
      <c r="S696" s="151"/>
      <c r="T696" s="151">
        <v>45569</v>
      </c>
      <c r="U696" s="151">
        <v>45624</v>
      </c>
      <c r="V696" s="151">
        <v>45639</v>
      </c>
      <c r="W696" s="2">
        <f>VLOOKUP(Table1[[#This Row],[Status]],Auxiliar!$B$16:$D$24,3,0)*Table1[[#This Row],[Estimação (horas)]]</f>
        <v>2</v>
      </c>
      <c r="X696" s="166">
        <f>+VLOOKUP(CONCATENATE(Table1[[#This Row],[Tabela]],Table1[[#This Row],[Campo]]),'2. Status Detalhe Campos FY24'!A:J,9,FALSE)</f>
        <v>0</v>
      </c>
    </row>
    <row r="697" spans="2:24" ht="17.850000000000001" hidden="1" customHeight="1">
      <c r="B697" s="2" t="s">
        <v>26</v>
      </c>
      <c r="C697" s="2" t="s">
        <v>310</v>
      </c>
      <c r="D697" s="2" t="s">
        <v>326</v>
      </c>
      <c r="E697" s="2" t="s">
        <v>38</v>
      </c>
      <c r="F697" s="2" t="s">
        <v>325</v>
      </c>
      <c r="G697" s="2" t="s">
        <v>283</v>
      </c>
      <c r="H697" s="56" t="str">
        <f>Table1[[#This Row],[Tabela]]&amp;Table1[[#This Row],[Campo]]</f>
        <v>modesg_out_empr_info_nfinflg_rsc_fsc_crnc</v>
      </c>
      <c r="I697" s="2" t="s">
        <v>2325</v>
      </c>
      <c r="J697" s="42">
        <f>VLOOKUP(Table1[[#This Row],[Status]],Auxiliar!$B$16:$C$24,2,0)</f>
        <v>7</v>
      </c>
      <c r="K697" s="2" t="s">
        <v>1174</v>
      </c>
      <c r="L697" s="28" t="s">
        <v>1169</v>
      </c>
      <c r="M697" s="20" t="s">
        <v>1170</v>
      </c>
      <c r="N697" s="47">
        <v>45695</v>
      </c>
      <c r="O697" s="20">
        <f>INDEX(Auxiliar!$D$5:$F$13,MATCH(Table1[[#This Row],[Tipologia_Testes]],Auxiliar!$B$5:$B$13,0),MATCH(Table1[[#This Row],[Complexidade]],Auxiliar!$D$4:$F$4,0))</f>
        <v>0.1</v>
      </c>
      <c r="P697" s="2"/>
      <c r="Q697" s="2"/>
      <c r="R697" s="151">
        <v>45569</v>
      </c>
      <c r="S697" s="151"/>
      <c r="T697" s="151">
        <v>45569</v>
      </c>
      <c r="U697" s="151">
        <v>45624</v>
      </c>
      <c r="V697" s="151">
        <v>45639</v>
      </c>
      <c r="W697" s="2">
        <f>VLOOKUP(Table1[[#This Row],[Status]],Auxiliar!$B$16:$D$24,3,0)*Table1[[#This Row],[Estimação (horas)]]</f>
        <v>2.5000000000000001E-2</v>
      </c>
      <c r="X697" s="166">
        <f>+VLOOKUP(CONCATENATE(Table1[[#This Row],[Tabela]],Table1[[#This Row],[Campo]]),'2. Status Detalhe Campos FY24'!A:J,9,FALSE)</f>
        <v>0</v>
      </c>
    </row>
    <row r="698" spans="2:24" ht="17.850000000000001" hidden="1" customHeight="1">
      <c r="B698" s="2" t="s">
        <v>26</v>
      </c>
      <c r="C698" s="2" t="s">
        <v>310</v>
      </c>
      <c r="D698" s="2" t="s">
        <v>326</v>
      </c>
      <c r="E698" s="2" t="s">
        <v>38</v>
      </c>
      <c r="F698" s="2" t="s">
        <v>325</v>
      </c>
      <c r="G698" s="2" t="s">
        <v>328</v>
      </c>
      <c r="H698" s="56" t="str">
        <f>Table1[[#This Row],[Tabela]]&amp;Table1[[#This Row],[Campo]]</f>
        <v>modesg_out_empr_info_nfinorigem_alinhamentos</v>
      </c>
      <c r="I698" s="2" t="s">
        <v>612</v>
      </c>
      <c r="J698" s="42">
        <f>VLOOKUP(Table1[[#This Row],[Status]],Auxiliar!$B$16:$C$24,2,0)</f>
        <v>1</v>
      </c>
      <c r="K698" s="2" t="s">
        <v>1171</v>
      </c>
      <c r="L698" s="28" t="s">
        <v>1177</v>
      </c>
      <c r="M698" s="20" t="s">
        <v>1178</v>
      </c>
      <c r="N698" s="47">
        <v>45667</v>
      </c>
      <c r="O698" s="20">
        <f>INDEX(Auxiliar!$D$5:$F$13,MATCH(Table1[[#This Row],[Tipologia_Testes]],Auxiliar!$B$5:$B$13,0),MATCH(Table1[[#This Row],[Complexidade]],Auxiliar!$D$4:$F$4,0))</f>
        <v>2</v>
      </c>
      <c r="P698" s="2"/>
      <c r="Q698" s="2"/>
      <c r="R698" s="151">
        <v>45569</v>
      </c>
      <c r="S698" s="151"/>
      <c r="T698" s="151">
        <v>45569</v>
      </c>
      <c r="U698" s="151">
        <v>45614</v>
      </c>
      <c r="V698" s="151">
        <v>45615</v>
      </c>
      <c r="W698" s="2">
        <f>VLOOKUP(Table1[[#This Row],[Status]],Auxiliar!$B$16:$D$24,3,0)*Table1[[#This Row],[Estimação (horas)]]</f>
        <v>2</v>
      </c>
      <c r="X698" s="166">
        <f>+VLOOKUP(CONCATENATE(Table1[[#This Row],[Tabela]],Table1[[#This Row],[Campo]]),'2. Status Detalhe Campos FY24'!A:J,9,FALSE)</f>
        <v>0</v>
      </c>
    </row>
    <row r="699" spans="2:24" ht="17.850000000000001" hidden="1" customHeight="1">
      <c r="B699" s="2" t="s">
        <v>26</v>
      </c>
      <c r="C699" s="2" t="s">
        <v>310</v>
      </c>
      <c r="D699" s="2" t="s">
        <v>326</v>
      </c>
      <c r="E699" s="2" t="s">
        <v>38</v>
      </c>
      <c r="F699" s="2" t="s">
        <v>325</v>
      </c>
      <c r="G699" s="2" t="s">
        <v>328</v>
      </c>
      <c r="H699" s="56" t="str">
        <f>Table1[[#This Row],[Tabela]]&amp;Table1[[#This Row],[Campo]]</f>
        <v>modesg_out_empr_info_nfinorigem_alinhamentos</v>
      </c>
      <c r="I699" s="2" t="s">
        <v>612</v>
      </c>
      <c r="J699" s="42">
        <f>VLOOKUP(Table1[[#This Row],[Status]],Auxiliar!$B$16:$C$24,2,0)</f>
        <v>1</v>
      </c>
      <c r="K699" s="2" t="s">
        <v>1172</v>
      </c>
      <c r="L699" s="28" t="s">
        <v>1177</v>
      </c>
      <c r="M699" s="20" t="s">
        <v>1178</v>
      </c>
      <c r="N699" s="47">
        <v>45667</v>
      </c>
      <c r="O699" s="20">
        <f>INDEX(Auxiliar!$D$5:$F$13,MATCH(Table1[[#This Row],[Tipologia_Testes]],Auxiliar!$B$5:$B$13,0),MATCH(Table1[[#This Row],[Complexidade]],Auxiliar!$D$4:$F$4,0))</f>
        <v>2</v>
      </c>
      <c r="P699" s="2"/>
      <c r="Q699" s="2"/>
      <c r="R699" s="151">
        <v>45569</v>
      </c>
      <c r="S699" s="151"/>
      <c r="T699" s="151">
        <v>45569</v>
      </c>
      <c r="U699" s="151">
        <v>45614</v>
      </c>
      <c r="V699" s="151">
        <v>45615</v>
      </c>
      <c r="W699" s="2">
        <f>VLOOKUP(Table1[[#This Row],[Status]],Auxiliar!$B$16:$D$24,3,0)*Table1[[#This Row],[Estimação (horas)]]</f>
        <v>2</v>
      </c>
      <c r="X699" s="166">
        <f>+VLOOKUP(CONCATENATE(Table1[[#This Row],[Tabela]],Table1[[#This Row],[Campo]]),'2. Status Detalhe Campos FY24'!A:J,9,FALSE)</f>
        <v>0</v>
      </c>
    </row>
    <row r="700" spans="2:24" ht="17.850000000000001" hidden="1" customHeight="1">
      <c r="B700" s="2" t="s">
        <v>26</v>
      </c>
      <c r="C700" s="2" t="s">
        <v>310</v>
      </c>
      <c r="D700" s="2" t="s">
        <v>326</v>
      </c>
      <c r="E700" s="2" t="s">
        <v>38</v>
      </c>
      <c r="F700" s="2" t="s">
        <v>325</v>
      </c>
      <c r="G700" s="2" t="s">
        <v>328</v>
      </c>
      <c r="H700" s="56" t="str">
        <f>Table1[[#This Row],[Tabela]]&amp;Table1[[#This Row],[Campo]]</f>
        <v>modesg_out_empr_info_nfinorigem_alinhamentos</v>
      </c>
      <c r="I700" s="2" t="s">
        <v>612</v>
      </c>
      <c r="J700" s="42">
        <f>VLOOKUP(Table1[[#This Row],[Status]],Auxiliar!$B$16:$C$24,2,0)</f>
        <v>1</v>
      </c>
      <c r="K700" s="2" t="s">
        <v>1174</v>
      </c>
      <c r="L700" s="28" t="s">
        <v>1177</v>
      </c>
      <c r="M700" s="20" t="s">
        <v>1178</v>
      </c>
      <c r="N700" s="47">
        <v>45667</v>
      </c>
      <c r="O700" s="20">
        <f>INDEX(Auxiliar!$D$5:$F$13,MATCH(Table1[[#This Row],[Tipologia_Testes]],Auxiliar!$B$5:$B$13,0),MATCH(Table1[[#This Row],[Complexidade]],Auxiliar!$D$4:$F$4,0))</f>
        <v>0.1</v>
      </c>
      <c r="P700" s="2"/>
      <c r="Q700" s="2"/>
      <c r="R700" s="151">
        <v>45569</v>
      </c>
      <c r="S700" s="151"/>
      <c r="T700" s="151">
        <v>45569</v>
      </c>
      <c r="U700" s="151">
        <v>45614</v>
      </c>
      <c r="V700" s="151">
        <v>45615</v>
      </c>
      <c r="W700" s="2">
        <f>VLOOKUP(Table1[[#This Row],[Status]],Auxiliar!$B$16:$D$24,3,0)*Table1[[#This Row],[Estimação (horas)]]</f>
        <v>0.1</v>
      </c>
      <c r="X700" s="166">
        <f>+VLOOKUP(CONCATENATE(Table1[[#This Row],[Tabela]],Table1[[#This Row],[Campo]]),'2. Status Detalhe Campos FY24'!A:J,9,FALSE)</f>
        <v>0</v>
      </c>
    </row>
    <row r="701" spans="2:24" ht="17.850000000000001" hidden="1" customHeight="1">
      <c r="B701" s="2" t="s">
        <v>26</v>
      </c>
      <c r="C701" s="2" t="s">
        <v>310</v>
      </c>
      <c r="D701" s="2" t="s">
        <v>326</v>
      </c>
      <c r="E701" s="2" t="s">
        <v>38</v>
      </c>
      <c r="F701" s="2" t="s">
        <v>325</v>
      </c>
      <c r="G701" s="2" t="s">
        <v>329</v>
      </c>
      <c r="H701" s="56" t="str">
        <f>Table1[[#This Row],[Tabela]]&amp;Table1[[#This Row],[Campo]]</f>
        <v>modesg_out_empr_info_nfinorigem_flg_emprs_excl_paris</v>
      </c>
      <c r="I701" s="2" t="s">
        <v>612</v>
      </c>
      <c r="J701" s="42">
        <f>VLOOKUP(Table1[[#This Row],[Status]],Auxiliar!$B$16:$C$24,2,0)</f>
        <v>1</v>
      </c>
      <c r="K701" s="2" t="s">
        <v>1171</v>
      </c>
      <c r="L701" s="28" t="s">
        <v>1177</v>
      </c>
      <c r="M701" s="20" t="s">
        <v>1178</v>
      </c>
      <c r="N701" s="47">
        <v>45674</v>
      </c>
      <c r="O701" s="20">
        <f>INDEX(Auxiliar!$D$5:$F$13,MATCH(Table1[[#This Row],[Tipologia_Testes]],Auxiliar!$B$5:$B$13,0),MATCH(Table1[[#This Row],[Complexidade]],Auxiliar!$D$4:$F$4,0))</f>
        <v>2</v>
      </c>
      <c r="P701" s="169" t="s">
        <v>1203</v>
      </c>
      <c r="Q701" s="2"/>
      <c r="R701" s="151">
        <v>45553</v>
      </c>
      <c r="S701" s="151"/>
      <c r="T701" s="151">
        <v>45553</v>
      </c>
      <c r="U701" s="151">
        <v>45614</v>
      </c>
      <c r="V701" s="151">
        <v>45615</v>
      </c>
      <c r="W701" s="2">
        <f>VLOOKUP(Table1[[#This Row],[Status]],Auxiliar!$B$16:$D$24,3,0)*Table1[[#This Row],[Estimação (horas)]]</f>
        <v>2</v>
      </c>
      <c r="X701" s="166">
        <f>+VLOOKUP(CONCATENATE(Table1[[#This Row],[Tabela]],Table1[[#This Row],[Campo]]),'2. Status Detalhe Campos FY24'!A:J,9,FALSE)</f>
        <v>0</v>
      </c>
    </row>
    <row r="702" spans="2:24" ht="17.850000000000001" hidden="1" customHeight="1">
      <c r="B702" s="2" t="s">
        <v>26</v>
      </c>
      <c r="C702" s="2" t="s">
        <v>310</v>
      </c>
      <c r="D702" s="2" t="s">
        <v>326</v>
      </c>
      <c r="E702" s="2" t="s">
        <v>38</v>
      </c>
      <c r="F702" s="2" t="s">
        <v>325</v>
      </c>
      <c r="G702" s="2" t="s">
        <v>329</v>
      </c>
      <c r="H702" s="56" t="str">
        <f>Table1[[#This Row],[Tabela]]&amp;Table1[[#This Row],[Campo]]</f>
        <v>modesg_out_empr_info_nfinorigem_flg_emprs_excl_paris</v>
      </c>
      <c r="I702" s="2" t="s">
        <v>612</v>
      </c>
      <c r="J702" s="42">
        <f>VLOOKUP(Table1[[#This Row],[Status]],Auxiliar!$B$16:$C$24,2,0)</f>
        <v>1</v>
      </c>
      <c r="K702" s="2" t="s">
        <v>1172</v>
      </c>
      <c r="L702" s="28" t="s">
        <v>1177</v>
      </c>
      <c r="M702" s="20" t="s">
        <v>1178</v>
      </c>
      <c r="N702" s="47">
        <v>45674</v>
      </c>
      <c r="O702" s="20">
        <f>INDEX(Auxiliar!$D$5:$F$13,MATCH(Table1[[#This Row],[Tipologia_Testes]],Auxiliar!$B$5:$B$13,0),MATCH(Table1[[#This Row],[Complexidade]],Auxiliar!$D$4:$F$4,0))</f>
        <v>2</v>
      </c>
      <c r="P702" s="169" t="s">
        <v>1203</v>
      </c>
      <c r="Q702" s="2"/>
      <c r="R702" s="151">
        <v>45553</v>
      </c>
      <c r="S702" s="151"/>
      <c r="T702" s="151">
        <v>45553</v>
      </c>
      <c r="U702" s="151">
        <v>45614</v>
      </c>
      <c r="V702" s="151">
        <v>45615</v>
      </c>
      <c r="W702" s="2">
        <f>VLOOKUP(Table1[[#This Row],[Status]],Auxiliar!$B$16:$D$24,3,0)*Table1[[#This Row],[Estimação (horas)]]</f>
        <v>2</v>
      </c>
      <c r="X702" s="166">
        <f>+VLOOKUP(CONCATENATE(Table1[[#This Row],[Tabela]],Table1[[#This Row],[Campo]]),'2. Status Detalhe Campos FY24'!A:J,9,FALSE)</f>
        <v>0</v>
      </c>
    </row>
    <row r="703" spans="2:24" ht="17.850000000000001" hidden="1" customHeight="1">
      <c r="B703" s="2" t="s">
        <v>26</v>
      </c>
      <c r="C703" s="2" t="s">
        <v>310</v>
      </c>
      <c r="D703" s="2" t="s">
        <v>326</v>
      </c>
      <c r="E703" s="2" t="s">
        <v>38</v>
      </c>
      <c r="F703" s="2" t="s">
        <v>325</v>
      </c>
      <c r="G703" s="2" t="s">
        <v>329</v>
      </c>
      <c r="H703" s="56" t="str">
        <f>Table1[[#This Row],[Tabela]]&amp;Table1[[#This Row],[Campo]]</f>
        <v>modesg_out_empr_info_nfinorigem_flg_emprs_excl_paris</v>
      </c>
      <c r="I703" s="2" t="s">
        <v>612</v>
      </c>
      <c r="J703" s="42">
        <f>VLOOKUP(Table1[[#This Row],[Status]],Auxiliar!$B$16:$C$24,2,0)</f>
        <v>1</v>
      </c>
      <c r="K703" s="2" t="s">
        <v>1174</v>
      </c>
      <c r="L703" s="28" t="s">
        <v>1177</v>
      </c>
      <c r="M703" s="20" t="s">
        <v>1178</v>
      </c>
      <c r="N703" s="47">
        <v>45674</v>
      </c>
      <c r="O703" s="20">
        <f>INDEX(Auxiliar!$D$5:$F$13,MATCH(Table1[[#This Row],[Tipologia_Testes]],Auxiliar!$B$5:$B$13,0),MATCH(Table1[[#This Row],[Complexidade]],Auxiliar!$D$4:$F$4,0))</f>
        <v>0.1</v>
      </c>
      <c r="P703" s="169" t="s">
        <v>1203</v>
      </c>
      <c r="Q703" s="2"/>
      <c r="R703" s="151">
        <v>45553</v>
      </c>
      <c r="S703" s="151"/>
      <c r="T703" s="151">
        <v>45553</v>
      </c>
      <c r="U703" s="151">
        <v>45614</v>
      </c>
      <c r="V703" s="151">
        <v>45615</v>
      </c>
      <c r="W703" s="2">
        <f>VLOOKUP(Table1[[#This Row],[Status]],Auxiliar!$B$16:$D$24,3,0)*Table1[[#This Row],[Estimação (horas)]]</f>
        <v>0.1</v>
      </c>
      <c r="X703" s="166">
        <f>+VLOOKUP(CONCATENATE(Table1[[#This Row],[Tabela]],Table1[[#This Row],[Campo]]),'2. Status Detalhe Campos FY24'!A:J,9,FALSE)</f>
        <v>0</v>
      </c>
    </row>
    <row r="704" spans="2:24" ht="17.850000000000001" hidden="1" customHeight="1">
      <c r="B704" s="2" t="s">
        <v>26</v>
      </c>
      <c r="C704" s="2" t="s">
        <v>310</v>
      </c>
      <c r="D704" s="2" t="s">
        <v>326</v>
      </c>
      <c r="E704" s="2" t="s">
        <v>38</v>
      </c>
      <c r="F704" s="2" t="s">
        <v>325</v>
      </c>
      <c r="G704" s="2" t="s">
        <v>330</v>
      </c>
      <c r="H704" s="56" t="str">
        <f>Table1[[#This Row],[Tabela]]&amp;Table1[[#This Row],[Campo]]</f>
        <v>modesg_out_empr_info_nfinorigem_flg_nfrd</v>
      </c>
      <c r="I704" s="2" t="s">
        <v>612</v>
      </c>
      <c r="J704" s="42">
        <f>VLOOKUP(Table1[[#This Row],[Status]],Auxiliar!$B$16:$C$24,2,0)</f>
        <v>1</v>
      </c>
      <c r="K704" s="2" t="s">
        <v>1171</v>
      </c>
      <c r="L704" s="28" t="s">
        <v>1177</v>
      </c>
      <c r="M704" s="20" t="s">
        <v>1178</v>
      </c>
      <c r="N704" s="47">
        <v>45667</v>
      </c>
      <c r="O704" s="20">
        <f>INDEX(Auxiliar!$D$5:$F$13,MATCH(Table1[[#This Row],[Tipologia_Testes]],Auxiliar!$B$5:$B$13,0),MATCH(Table1[[#This Row],[Complexidade]],Auxiliar!$D$4:$F$4,0))</f>
        <v>2</v>
      </c>
      <c r="P704" s="169" t="s">
        <v>1203</v>
      </c>
      <c r="Q704" s="2"/>
      <c r="R704" s="151">
        <v>45553</v>
      </c>
      <c r="S704" s="151"/>
      <c r="T704" s="151">
        <v>45553</v>
      </c>
      <c r="U704" s="151">
        <v>45614</v>
      </c>
      <c r="V704" s="151">
        <v>45615</v>
      </c>
      <c r="W704" s="2">
        <f>VLOOKUP(Table1[[#This Row],[Status]],Auxiliar!$B$16:$D$24,3,0)*Table1[[#This Row],[Estimação (horas)]]</f>
        <v>2</v>
      </c>
      <c r="X704" s="166">
        <f>+VLOOKUP(CONCATENATE(Table1[[#This Row],[Tabela]],Table1[[#This Row],[Campo]]),'2. Status Detalhe Campos FY24'!A:J,9,FALSE)</f>
        <v>0</v>
      </c>
    </row>
    <row r="705" spans="2:24" ht="17.850000000000001" hidden="1" customHeight="1">
      <c r="B705" s="2" t="s">
        <v>26</v>
      </c>
      <c r="C705" s="2" t="s">
        <v>310</v>
      </c>
      <c r="D705" s="2" t="s">
        <v>326</v>
      </c>
      <c r="E705" s="2" t="s">
        <v>38</v>
      </c>
      <c r="F705" s="2" t="s">
        <v>325</v>
      </c>
      <c r="G705" s="2" t="s">
        <v>330</v>
      </c>
      <c r="H705" s="56" t="str">
        <f>Table1[[#This Row],[Tabela]]&amp;Table1[[#This Row],[Campo]]</f>
        <v>modesg_out_empr_info_nfinorigem_flg_nfrd</v>
      </c>
      <c r="I705" s="2" t="s">
        <v>612</v>
      </c>
      <c r="J705" s="42">
        <f>VLOOKUP(Table1[[#This Row],[Status]],Auxiliar!$B$16:$C$24,2,0)</f>
        <v>1</v>
      </c>
      <c r="K705" s="2" t="s">
        <v>1172</v>
      </c>
      <c r="L705" s="28" t="s">
        <v>1177</v>
      </c>
      <c r="M705" s="20" t="s">
        <v>1178</v>
      </c>
      <c r="N705" s="47">
        <v>45667</v>
      </c>
      <c r="O705" s="20">
        <f>INDEX(Auxiliar!$D$5:$F$13,MATCH(Table1[[#This Row],[Tipologia_Testes]],Auxiliar!$B$5:$B$13,0),MATCH(Table1[[#This Row],[Complexidade]],Auxiliar!$D$4:$F$4,0))</f>
        <v>2</v>
      </c>
      <c r="P705" s="169" t="s">
        <v>1203</v>
      </c>
      <c r="Q705" s="2"/>
      <c r="R705" s="151">
        <v>45553</v>
      </c>
      <c r="S705" s="151"/>
      <c r="T705" s="151">
        <v>45553</v>
      </c>
      <c r="U705" s="151">
        <v>45614</v>
      </c>
      <c r="V705" s="151">
        <v>45615</v>
      </c>
      <c r="W705" s="2">
        <f>VLOOKUP(Table1[[#This Row],[Status]],Auxiliar!$B$16:$D$24,3,0)*Table1[[#This Row],[Estimação (horas)]]</f>
        <v>2</v>
      </c>
      <c r="X705" s="166">
        <f>+VLOOKUP(CONCATENATE(Table1[[#This Row],[Tabela]],Table1[[#This Row],[Campo]]),'2. Status Detalhe Campos FY24'!A:J,9,FALSE)</f>
        <v>0</v>
      </c>
    </row>
    <row r="706" spans="2:24" ht="17.850000000000001" hidden="1" customHeight="1">
      <c r="B706" s="2" t="s">
        <v>26</v>
      </c>
      <c r="C706" s="2" t="s">
        <v>310</v>
      </c>
      <c r="D706" s="2" t="s">
        <v>326</v>
      </c>
      <c r="E706" s="2" t="s">
        <v>38</v>
      </c>
      <c r="F706" s="2" t="s">
        <v>325</v>
      </c>
      <c r="G706" s="2" t="s">
        <v>330</v>
      </c>
      <c r="H706" s="56" t="str">
        <f>Table1[[#This Row],[Tabela]]&amp;Table1[[#This Row],[Campo]]</f>
        <v>modesg_out_empr_info_nfinorigem_flg_nfrd</v>
      </c>
      <c r="I706" s="2" t="s">
        <v>612</v>
      </c>
      <c r="J706" s="42">
        <f>VLOOKUP(Table1[[#This Row],[Status]],Auxiliar!$B$16:$C$24,2,0)</f>
        <v>1</v>
      </c>
      <c r="K706" s="2" t="s">
        <v>1174</v>
      </c>
      <c r="L706" s="28" t="s">
        <v>1177</v>
      </c>
      <c r="M706" s="20" t="s">
        <v>1178</v>
      </c>
      <c r="N706" s="47">
        <v>45667</v>
      </c>
      <c r="O706" s="20">
        <f>INDEX(Auxiliar!$D$5:$F$13,MATCH(Table1[[#This Row],[Tipologia_Testes]],Auxiliar!$B$5:$B$13,0),MATCH(Table1[[#This Row],[Complexidade]],Auxiliar!$D$4:$F$4,0))</f>
        <v>0.1</v>
      </c>
      <c r="P706" s="169" t="s">
        <v>1203</v>
      </c>
      <c r="Q706" s="2"/>
      <c r="R706" s="151">
        <v>45553</v>
      </c>
      <c r="S706" s="151"/>
      <c r="T706" s="151">
        <v>45553</v>
      </c>
      <c r="U706" s="151">
        <v>45614</v>
      </c>
      <c r="V706" s="151">
        <v>45615</v>
      </c>
      <c r="W706" s="2">
        <f>VLOOKUP(Table1[[#This Row],[Status]],Auxiliar!$B$16:$D$24,3,0)*Table1[[#This Row],[Estimação (horas)]]</f>
        <v>0.1</v>
      </c>
      <c r="X706" s="166">
        <f>+VLOOKUP(CONCATENATE(Table1[[#This Row],[Tabela]],Table1[[#This Row],[Campo]]),'2. Status Detalhe Campos FY24'!A:J,9,FALSE)</f>
        <v>0</v>
      </c>
    </row>
    <row r="707" spans="2:24" ht="17.850000000000001" hidden="1" customHeight="1">
      <c r="B707" s="2" t="s">
        <v>26</v>
      </c>
      <c r="C707" s="2" t="s">
        <v>310</v>
      </c>
      <c r="D707" s="2" t="s">
        <v>326</v>
      </c>
      <c r="E707" s="2" t="s">
        <v>38</v>
      </c>
      <c r="F707" s="2" t="s">
        <v>325</v>
      </c>
      <c r="G707" s="2" t="s">
        <v>317</v>
      </c>
      <c r="H707" s="56" t="str">
        <f>Table1[[#This Row],[Tabela]]&amp;Table1[[#This Row],[Campo]]</f>
        <v>modesg_out_empr_info_nfinorigem_flg_rsc_fsc_agd</v>
      </c>
      <c r="I707" s="2" t="s">
        <v>2325</v>
      </c>
      <c r="J707" s="42">
        <f>VLOOKUP(Table1[[#This Row],[Status]],Auxiliar!$B$16:$C$24,2,0)</f>
        <v>7</v>
      </c>
      <c r="K707" s="2" t="s">
        <v>1171</v>
      </c>
      <c r="L707" s="28" t="s">
        <v>1177</v>
      </c>
      <c r="M707" s="20" t="s">
        <v>1178</v>
      </c>
      <c r="N707" s="47">
        <v>45695</v>
      </c>
      <c r="O707" s="20">
        <f>INDEX(Auxiliar!$D$5:$F$13,MATCH(Table1[[#This Row],[Tipologia_Testes]],Auxiliar!$B$5:$B$13,0),MATCH(Table1[[#This Row],[Complexidade]],Auxiliar!$D$4:$F$4,0))</f>
        <v>2</v>
      </c>
      <c r="P707" s="2"/>
      <c r="Q707" s="2"/>
      <c r="R707" s="151">
        <v>45569</v>
      </c>
      <c r="S707" s="151"/>
      <c r="T707" s="151">
        <v>45569</v>
      </c>
      <c r="U707" s="151">
        <v>45624</v>
      </c>
      <c r="V707" s="151">
        <v>45639</v>
      </c>
      <c r="W707" s="2">
        <f>VLOOKUP(Table1[[#This Row],[Status]],Auxiliar!$B$16:$D$24,3,0)*Table1[[#This Row],[Estimação (horas)]]</f>
        <v>0.5</v>
      </c>
      <c r="X707" s="166">
        <f>+VLOOKUP(CONCATENATE(Table1[[#This Row],[Tabela]],Table1[[#This Row],[Campo]]),'2. Status Detalhe Campos FY24'!A:J,9,FALSE)</f>
        <v>0</v>
      </c>
    </row>
    <row r="708" spans="2:24" ht="17.850000000000001" hidden="1" customHeight="1">
      <c r="B708" s="2" t="s">
        <v>26</v>
      </c>
      <c r="C708" s="2" t="s">
        <v>310</v>
      </c>
      <c r="D708" s="2" t="s">
        <v>326</v>
      </c>
      <c r="E708" s="2" t="s">
        <v>38</v>
      </c>
      <c r="F708" s="2" t="s">
        <v>325</v>
      </c>
      <c r="G708" s="2" t="s">
        <v>317</v>
      </c>
      <c r="H708" s="56" t="str">
        <f>Table1[[#This Row],[Tabela]]&amp;Table1[[#This Row],[Campo]]</f>
        <v>modesg_out_empr_info_nfinorigem_flg_rsc_fsc_agd</v>
      </c>
      <c r="I708" s="2" t="s">
        <v>2325</v>
      </c>
      <c r="J708" s="42">
        <f>VLOOKUP(Table1[[#This Row],[Status]],Auxiliar!$B$16:$C$24,2,0)</f>
        <v>7</v>
      </c>
      <c r="K708" s="2" t="s">
        <v>1172</v>
      </c>
      <c r="L708" s="28" t="s">
        <v>1177</v>
      </c>
      <c r="M708" s="20" t="s">
        <v>1178</v>
      </c>
      <c r="N708" s="47">
        <v>45695</v>
      </c>
      <c r="O708" s="20">
        <f>INDEX(Auxiliar!$D$5:$F$13,MATCH(Table1[[#This Row],[Tipologia_Testes]],Auxiliar!$B$5:$B$13,0),MATCH(Table1[[#This Row],[Complexidade]],Auxiliar!$D$4:$F$4,0))</f>
        <v>2</v>
      </c>
      <c r="P708" s="2"/>
      <c r="Q708" s="2"/>
      <c r="R708" s="151">
        <v>45569</v>
      </c>
      <c r="S708" s="151"/>
      <c r="T708" s="151">
        <v>45569</v>
      </c>
      <c r="U708" s="151">
        <v>45624</v>
      </c>
      <c r="V708" s="151">
        <v>45639</v>
      </c>
      <c r="W708" s="2">
        <f>VLOOKUP(Table1[[#This Row],[Status]],Auxiliar!$B$16:$D$24,3,0)*Table1[[#This Row],[Estimação (horas)]]</f>
        <v>0.5</v>
      </c>
      <c r="X708" s="166">
        <f>+VLOOKUP(CONCATENATE(Table1[[#This Row],[Tabela]],Table1[[#This Row],[Campo]]),'2. Status Detalhe Campos FY24'!A:J,9,FALSE)</f>
        <v>0</v>
      </c>
    </row>
    <row r="709" spans="2:24" ht="17.850000000000001" hidden="1" customHeight="1">
      <c r="B709" s="2" t="s">
        <v>26</v>
      </c>
      <c r="C709" s="2" t="s">
        <v>310</v>
      </c>
      <c r="D709" s="2" t="s">
        <v>326</v>
      </c>
      <c r="E709" s="2" t="s">
        <v>38</v>
      </c>
      <c r="F709" s="2" t="s">
        <v>325</v>
      </c>
      <c r="G709" s="2" t="s">
        <v>317</v>
      </c>
      <c r="H709" s="56" t="str">
        <f>Table1[[#This Row],[Tabela]]&amp;Table1[[#This Row],[Campo]]</f>
        <v>modesg_out_empr_info_nfinorigem_flg_rsc_fsc_agd</v>
      </c>
      <c r="I709" s="2" t="s">
        <v>2325</v>
      </c>
      <c r="J709" s="42">
        <f>VLOOKUP(Table1[[#This Row],[Status]],Auxiliar!$B$16:$C$24,2,0)</f>
        <v>7</v>
      </c>
      <c r="K709" s="2" t="s">
        <v>1174</v>
      </c>
      <c r="L709" s="28" t="s">
        <v>1177</v>
      </c>
      <c r="M709" s="20" t="s">
        <v>1178</v>
      </c>
      <c r="N709" s="47">
        <v>45695</v>
      </c>
      <c r="O709" s="20">
        <f>INDEX(Auxiliar!$D$5:$F$13,MATCH(Table1[[#This Row],[Tipologia_Testes]],Auxiliar!$B$5:$B$13,0),MATCH(Table1[[#This Row],[Complexidade]],Auxiliar!$D$4:$F$4,0))</f>
        <v>0.1</v>
      </c>
      <c r="P709" s="2"/>
      <c r="Q709" s="2"/>
      <c r="R709" s="151">
        <v>45569</v>
      </c>
      <c r="S709" s="151"/>
      <c r="T709" s="151">
        <v>45569</v>
      </c>
      <c r="U709" s="151">
        <v>45624</v>
      </c>
      <c r="V709" s="151">
        <v>45639</v>
      </c>
      <c r="W709" s="2">
        <f>VLOOKUP(Table1[[#This Row],[Status]],Auxiliar!$B$16:$D$24,3,0)*Table1[[#This Row],[Estimação (horas)]]</f>
        <v>2.5000000000000001E-2</v>
      </c>
      <c r="X709" s="166">
        <f>+VLOOKUP(CONCATENATE(Table1[[#This Row],[Tabela]],Table1[[#This Row],[Campo]]),'2. Status Detalhe Campos FY24'!A:J,9,FALSE)</f>
        <v>0</v>
      </c>
    </row>
    <row r="710" spans="2:24" ht="17.850000000000001" hidden="1" customHeight="1">
      <c r="B710" s="2" t="s">
        <v>26</v>
      </c>
      <c r="C710" s="2" t="s">
        <v>310</v>
      </c>
      <c r="D710" s="2" t="s">
        <v>326</v>
      </c>
      <c r="E710" s="2" t="s">
        <v>38</v>
      </c>
      <c r="F710" s="2" t="s">
        <v>325</v>
      </c>
      <c r="G710" s="2" t="s">
        <v>318</v>
      </c>
      <c r="H710" s="56" t="str">
        <f>Table1[[#This Row],[Tabela]]&amp;Table1[[#This Row],[Campo]]</f>
        <v>modesg_out_empr_info_nfinorigem_flg_rsc_fsc_crnc</v>
      </c>
      <c r="I710" s="2" t="s">
        <v>2325</v>
      </c>
      <c r="J710" s="42">
        <f>VLOOKUP(Table1[[#This Row],[Status]],Auxiliar!$B$16:$C$24,2,0)</f>
        <v>7</v>
      </c>
      <c r="K710" s="2" t="s">
        <v>1171</v>
      </c>
      <c r="L710" s="28" t="s">
        <v>1177</v>
      </c>
      <c r="M710" s="20" t="s">
        <v>1178</v>
      </c>
      <c r="N710" s="47">
        <v>45695</v>
      </c>
      <c r="O710" s="20">
        <f>INDEX(Auxiliar!$D$5:$F$13,MATCH(Table1[[#This Row],[Tipologia_Testes]],Auxiliar!$B$5:$B$13,0),MATCH(Table1[[#This Row],[Complexidade]],Auxiliar!$D$4:$F$4,0))</f>
        <v>2</v>
      </c>
      <c r="P710" s="2"/>
      <c r="Q710" s="2"/>
      <c r="R710" s="151">
        <v>45569</v>
      </c>
      <c r="S710" s="151"/>
      <c r="T710" s="151">
        <v>45569</v>
      </c>
      <c r="U710" s="151">
        <v>45624</v>
      </c>
      <c r="V710" s="151">
        <v>45639</v>
      </c>
      <c r="W710" s="2">
        <f>VLOOKUP(Table1[[#This Row],[Status]],Auxiliar!$B$16:$D$24,3,0)*Table1[[#This Row],[Estimação (horas)]]</f>
        <v>0.5</v>
      </c>
      <c r="X710" s="166">
        <f>+VLOOKUP(CONCATENATE(Table1[[#This Row],[Tabela]],Table1[[#This Row],[Campo]]),'2. Status Detalhe Campos FY24'!A:J,9,FALSE)</f>
        <v>0</v>
      </c>
    </row>
    <row r="711" spans="2:24" ht="17.850000000000001" hidden="1" customHeight="1">
      <c r="B711" s="2" t="s">
        <v>26</v>
      </c>
      <c r="C711" s="2" t="s">
        <v>310</v>
      </c>
      <c r="D711" s="2" t="s">
        <v>326</v>
      </c>
      <c r="E711" s="2" t="s">
        <v>38</v>
      </c>
      <c r="F711" s="2" t="s">
        <v>325</v>
      </c>
      <c r="G711" s="2" t="s">
        <v>318</v>
      </c>
      <c r="H711" s="56" t="str">
        <f>Table1[[#This Row],[Tabela]]&amp;Table1[[#This Row],[Campo]]</f>
        <v>modesg_out_empr_info_nfinorigem_flg_rsc_fsc_crnc</v>
      </c>
      <c r="I711" s="2" t="s">
        <v>2325</v>
      </c>
      <c r="J711" s="42">
        <f>VLOOKUP(Table1[[#This Row],[Status]],Auxiliar!$B$16:$C$24,2,0)</f>
        <v>7</v>
      </c>
      <c r="K711" s="2" t="s">
        <v>1172</v>
      </c>
      <c r="L711" s="28" t="s">
        <v>1177</v>
      </c>
      <c r="M711" s="20" t="s">
        <v>1178</v>
      </c>
      <c r="N711" s="47">
        <v>45695</v>
      </c>
      <c r="O711" s="20">
        <f>INDEX(Auxiliar!$D$5:$F$13,MATCH(Table1[[#This Row],[Tipologia_Testes]],Auxiliar!$B$5:$B$13,0),MATCH(Table1[[#This Row],[Complexidade]],Auxiliar!$D$4:$F$4,0))</f>
        <v>2</v>
      </c>
      <c r="P711" s="2"/>
      <c r="Q711" s="2"/>
      <c r="R711" s="151">
        <v>45569</v>
      </c>
      <c r="S711" s="151"/>
      <c r="T711" s="151">
        <v>45569</v>
      </c>
      <c r="U711" s="151">
        <v>45624</v>
      </c>
      <c r="V711" s="151">
        <v>45639</v>
      </c>
      <c r="W711" s="2">
        <f>VLOOKUP(Table1[[#This Row],[Status]],Auxiliar!$B$16:$D$24,3,0)*Table1[[#This Row],[Estimação (horas)]]</f>
        <v>0.5</v>
      </c>
      <c r="X711" s="166">
        <f>+VLOOKUP(CONCATENATE(Table1[[#This Row],[Tabela]],Table1[[#This Row],[Campo]]),'2. Status Detalhe Campos FY24'!A:J,9,FALSE)</f>
        <v>0</v>
      </c>
    </row>
    <row r="712" spans="2:24" ht="17.850000000000001" hidden="1" customHeight="1">
      <c r="B712" s="2" t="s">
        <v>26</v>
      </c>
      <c r="C712" s="2" t="s">
        <v>310</v>
      </c>
      <c r="D712" s="2" t="s">
        <v>326</v>
      </c>
      <c r="E712" s="2" t="s">
        <v>38</v>
      </c>
      <c r="F712" s="2" t="s">
        <v>325</v>
      </c>
      <c r="G712" s="2" t="s">
        <v>318</v>
      </c>
      <c r="H712" s="56" t="str">
        <f>Table1[[#This Row],[Tabela]]&amp;Table1[[#This Row],[Campo]]</f>
        <v>modesg_out_empr_info_nfinorigem_flg_rsc_fsc_crnc</v>
      </c>
      <c r="I712" s="2" t="s">
        <v>2325</v>
      </c>
      <c r="J712" s="42">
        <f>VLOOKUP(Table1[[#This Row],[Status]],Auxiliar!$B$16:$C$24,2,0)</f>
        <v>7</v>
      </c>
      <c r="K712" s="2" t="s">
        <v>1174</v>
      </c>
      <c r="L712" s="28" t="s">
        <v>1177</v>
      </c>
      <c r="M712" s="20" t="s">
        <v>1178</v>
      </c>
      <c r="N712" s="47">
        <v>45695</v>
      </c>
      <c r="O712" s="20">
        <f>INDEX(Auxiliar!$D$5:$F$13,MATCH(Table1[[#This Row],[Tipologia_Testes]],Auxiliar!$B$5:$B$13,0),MATCH(Table1[[#This Row],[Complexidade]],Auxiliar!$D$4:$F$4,0))</f>
        <v>0.1</v>
      </c>
      <c r="P712" s="2"/>
      <c r="Q712" s="2"/>
      <c r="R712" s="151">
        <v>45569</v>
      </c>
      <c r="S712" s="151"/>
      <c r="T712" s="151">
        <v>45569</v>
      </c>
      <c r="U712" s="151">
        <v>45624</v>
      </c>
      <c r="V712" s="151">
        <v>45639</v>
      </c>
      <c r="W712" s="2">
        <f>VLOOKUP(Table1[[#This Row],[Status]],Auxiliar!$B$16:$D$24,3,0)*Table1[[#This Row],[Estimação (horas)]]</f>
        <v>2.5000000000000001E-2</v>
      </c>
      <c r="X712" s="166">
        <f>+VLOOKUP(CONCATENATE(Table1[[#This Row],[Tabela]],Table1[[#This Row],[Campo]]),'2. Status Detalhe Campos FY24'!A:J,9,FALSE)</f>
        <v>0</v>
      </c>
    </row>
    <row r="713" spans="2:24" ht="17.850000000000001" hidden="1" customHeight="1">
      <c r="B713" s="2" t="s">
        <v>26</v>
      </c>
      <c r="C713" s="2" t="s">
        <v>310</v>
      </c>
      <c r="D713" s="2" t="s">
        <v>326</v>
      </c>
      <c r="E713" s="2" t="s">
        <v>38</v>
      </c>
      <c r="F713" s="2" t="s">
        <v>325</v>
      </c>
      <c r="G713" s="2" t="s">
        <v>319</v>
      </c>
      <c r="H713" s="56" t="str">
        <f>Table1[[#This Row],[Tabela]]&amp;Table1[[#This Row],[Campo]]</f>
        <v>modesg_out_empr_info_nfinorigem_scp1_emss</v>
      </c>
      <c r="I713" s="2" t="s">
        <v>1845</v>
      </c>
      <c r="J713" s="42">
        <f>VLOOKUP(Table1[[#This Row],[Status]],Auxiliar!$B$16:$C$24,2,0)</f>
        <v>2</v>
      </c>
      <c r="K713" s="2" t="s">
        <v>1171</v>
      </c>
      <c r="L713" s="28" t="s">
        <v>1177</v>
      </c>
      <c r="M713" s="20" t="s">
        <v>1178</v>
      </c>
      <c r="N713" s="47">
        <v>45695</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1</v>
      </c>
      <c r="X713" s="166">
        <f>+VLOOKUP(CONCATENATE(Table1[[#This Row],[Tabela]],Table1[[#This Row],[Campo]]),'2. Status Detalhe Campos FY24'!A:J,9,FALSE)</f>
        <v>0</v>
      </c>
    </row>
    <row r="714" spans="2:24" ht="17.850000000000001" hidden="1" customHeight="1">
      <c r="B714" s="2" t="s">
        <v>26</v>
      </c>
      <c r="C714" s="2" t="s">
        <v>310</v>
      </c>
      <c r="D714" s="2" t="s">
        <v>326</v>
      </c>
      <c r="E714" s="2" t="s">
        <v>38</v>
      </c>
      <c r="F714" s="2" t="s">
        <v>325</v>
      </c>
      <c r="G714" s="2" t="s">
        <v>319</v>
      </c>
      <c r="H714" s="56" t="str">
        <f>Table1[[#This Row],[Tabela]]&amp;Table1[[#This Row],[Campo]]</f>
        <v>modesg_out_empr_info_nfinorigem_scp1_emss</v>
      </c>
      <c r="I714" s="2" t="s">
        <v>1845</v>
      </c>
      <c r="J714" s="42">
        <f>VLOOKUP(Table1[[#This Row],[Status]],Auxiliar!$B$16:$C$24,2,0)</f>
        <v>2</v>
      </c>
      <c r="K714" s="2" t="s">
        <v>1172</v>
      </c>
      <c r="L714" s="28" t="s">
        <v>1177</v>
      </c>
      <c r="M714" s="20" t="s">
        <v>1178</v>
      </c>
      <c r="N714" s="47">
        <v>45695</v>
      </c>
      <c r="O714" s="20">
        <f>INDEX(Auxiliar!$D$5:$F$13,MATCH(Table1[[#This Row],[Tipologia_Testes]],Auxiliar!$B$5:$B$13,0),MATCH(Table1[[#This Row],[Complexidade]],Auxiliar!$D$4:$F$4,0))</f>
        <v>2</v>
      </c>
      <c r="P714" s="2"/>
      <c r="Q714" s="2"/>
      <c r="R714" s="151">
        <v>45569</v>
      </c>
      <c r="S714" s="151"/>
      <c r="T714" s="151">
        <v>45569</v>
      </c>
      <c r="U714" s="151">
        <v>45621</v>
      </c>
      <c r="V714" s="151">
        <v>45622</v>
      </c>
      <c r="W714" s="2">
        <f>VLOOKUP(Table1[[#This Row],[Status]],Auxiliar!$B$16:$D$24,3,0)*Table1[[#This Row],[Estimação (horas)]]</f>
        <v>1</v>
      </c>
      <c r="X714" s="166">
        <f>+VLOOKUP(CONCATENATE(Table1[[#This Row],[Tabela]],Table1[[#This Row],[Campo]]),'2. Status Detalhe Campos FY24'!A:J,9,FALSE)</f>
        <v>0</v>
      </c>
    </row>
    <row r="715" spans="2:24" ht="17.850000000000001" hidden="1" customHeight="1">
      <c r="B715" s="2" t="s">
        <v>26</v>
      </c>
      <c r="C715" s="2" t="s">
        <v>310</v>
      </c>
      <c r="D715" s="2" t="s">
        <v>326</v>
      </c>
      <c r="E715" s="2" t="s">
        <v>38</v>
      </c>
      <c r="F715" s="2" t="s">
        <v>325</v>
      </c>
      <c r="G715" s="2" t="s">
        <v>319</v>
      </c>
      <c r="H715" s="56" t="str">
        <f>Table1[[#This Row],[Tabela]]&amp;Table1[[#This Row],[Campo]]</f>
        <v>modesg_out_empr_info_nfinorigem_scp1_emss</v>
      </c>
      <c r="I715" s="2" t="s">
        <v>1845</v>
      </c>
      <c r="J715" s="42">
        <f>VLOOKUP(Table1[[#This Row],[Status]],Auxiliar!$B$16:$C$24,2,0)</f>
        <v>2</v>
      </c>
      <c r="K715" s="2" t="s">
        <v>1174</v>
      </c>
      <c r="L715" s="28" t="s">
        <v>1177</v>
      </c>
      <c r="M715" s="20" t="s">
        <v>1178</v>
      </c>
      <c r="N715" s="47">
        <v>45695</v>
      </c>
      <c r="O715" s="20">
        <f>INDEX(Auxiliar!$D$5:$F$13,MATCH(Table1[[#This Row],[Tipologia_Testes]],Auxiliar!$B$5:$B$13,0),MATCH(Table1[[#This Row],[Complexidade]],Auxiliar!$D$4:$F$4,0))</f>
        <v>0.1</v>
      </c>
      <c r="P715" s="2"/>
      <c r="Q715" s="2"/>
      <c r="R715" s="151">
        <v>45569</v>
      </c>
      <c r="S715" s="151"/>
      <c r="T715" s="151">
        <v>45569</v>
      </c>
      <c r="U715" s="151">
        <v>45621</v>
      </c>
      <c r="V715" s="151">
        <v>45622</v>
      </c>
      <c r="W715" s="2">
        <f>VLOOKUP(Table1[[#This Row],[Status]],Auxiliar!$B$16:$D$24,3,0)*Table1[[#This Row],[Estimação (horas)]]</f>
        <v>0.05</v>
      </c>
      <c r="X715" s="166">
        <f>+VLOOKUP(CONCATENATE(Table1[[#This Row],[Tabela]],Table1[[#This Row],[Campo]]),'2. Status Detalhe Campos FY24'!A:J,9,FALSE)</f>
        <v>0</v>
      </c>
    </row>
    <row r="716" spans="2:24" ht="17.850000000000001" hidden="1" customHeight="1">
      <c r="B716" s="2" t="s">
        <v>26</v>
      </c>
      <c r="C716" s="2" t="s">
        <v>310</v>
      </c>
      <c r="D716" s="2" t="s">
        <v>326</v>
      </c>
      <c r="E716" s="2" t="s">
        <v>38</v>
      </c>
      <c r="F716" s="2" t="s">
        <v>325</v>
      </c>
      <c r="G716" s="2" t="s">
        <v>320</v>
      </c>
      <c r="H716" s="56" t="str">
        <f>Table1[[#This Row],[Tabela]]&amp;Table1[[#This Row],[Campo]]</f>
        <v>modesg_out_empr_info_nfinorigem_scp2_emss</v>
      </c>
      <c r="I716" s="2" t="s">
        <v>1845</v>
      </c>
      <c r="J716" s="42">
        <f>VLOOKUP(Table1[[#This Row],[Status]],Auxiliar!$B$16:$C$24,2,0)</f>
        <v>2</v>
      </c>
      <c r="K716" s="2" t="s">
        <v>1171</v>
      </c>
      <c r="L716" s="28" t="s">
        <v>1177</v>
      </c>
      <c r="M716" s="20" t="s">
        <v>1178</v>
      </c>
      <c r="N716" s="47">
        <v>45695</v>
      </c>
      <c r="O716" s="20">
        <f>INDEX(Auxiliar!$D$5:$F$13,MATCH(Table1[[#This Row],[Tipologia_Testes]],Auxiliar!$B$5:$B$13,0),MATCH(Table1[[#This Row],[Complexidade]],Auxiliar!$D$4:$F$4,0))</f>
        <v>2</v>
      </c>
      <c r="P716" s="2"/>
      <c r="Q716" s="2"/>
      <c r="R716" s="151">
        <v>45569</v>
      </c>
      <c r="S716" s="151"/>
      <c r="T716" s="151">
        <v>45569</v>
      </c>
      <c r="U716" s="151">
        <v>45621</v>
      </c>
      <c r="V716" s="151">
        <v>45622</v>
      </c>
      <c r="W716" s="2">
        <f>VLOOKUP(Table1[[#This Row],[Status]],Auxiliar!$B$16:$D$24,3,0)*Table1[[#This Row],[Estimação (horas)]]</f>
        <v>1</v>
      </c>
      <c r="X716" s="166">
        <f>+VLOOKUP(CONCATENATE(Table1[[#This Row],[Tabela]],Table1[[#This Row],[Campo]]),'2. Status Detalhe Campos FY24'!A:J,9,FALSE)</f>
        <v>0</v>
      </c>
    </row>
    <row r="717" spans="2:24" ht="17.850000000000001" hidden="1" customHeight="1">
      <c r="B717" s="2" t="s">
        <v>26</v>
      </c>
      <c r="C717" s="2" t="s">
        <v>310</v>
      </c>
      <c r="D717" s="2" t="s">
        <v>326</v>
      </c>
      <c r="E717" s="2" t="s">
        <v>38</v>
      </c>
      <c r="F717" s="2" t="s">
        <v>325</v>
      </c>
      <c r="G717" s="2" t="s">
        <v>320</v>
      </c>
      <c r="H717" s="56" t="str">
        <f>Table1[[#This Row],[Tabela]]&amp;Table1[[#This Row],[Campo]]</f>
        <v>modesg_out_empr_info_nfinorigem_scp2_emss</v>
      </c>
      <c r="I717" s="2" t="s">
        <v>1845</v>
      </c>
      <c r="J717" s="42">
        <f>VLOOKUP(Table1[[#This Row],[Status]],Auxiliar!$B$16:$C$24,2,0)</f>
        <v>2</v>
      </c>
      <c r="K717" s="2" t="s">
        <v>1172</v>
      </c>
      <c r="L717" s="28" t="s">
        <v>1177</v>
      </c>
      <c r="M717" s="20" t="s">
        <v>1178</v>
      </c>
      <c r="N717" s="47">
        <v>45695</v>
      </c>
      <c r="O717" s="20">
        <f>INDEX(Auxiliar!$D$5:$F$13,MATCH(Table1[[#This Row],[Tipologia_Testes]],Auxiliar!$B$5:$B$13,0),MATCH(Table1[[#This Row],[Complexidade]],Auxiliar!$D$4:$F$4,0))</f>
        <v>2</v>
      </c>
      <c r="P717" s="2"/>
      <c r="Q717" s="2"/>
      <c r="R717" s="151">
        <v>45569</v>
      </c>
      <c r="S717" s="151"/>
      <c r="T717" s="151">
        <v>45569</v>
      </c>
      <c r="U717" s="151">
        <v>45621</v>
      </c>
      <c r="V717" s="151">
        <v>45622</v>
      </c>
      <c r="W717" s="2">
        <f>VLOOKUP(Table1[[#This Row],[Status]],Auxiliar!$B$16:$D$24,3,0)*Table1[[#This Row],[Estimação (horas)]]</f>
        <v>1</v>
      </c>
      <c r="X717" s="166">
        <f>+VLOOKUP(CONCATENATE(Table1[[#This Row],[Tabela]],Table1[[#This Row],[Campo]]),'2. Status Detalhe Campos FY24'!A:J,9,FALSE)</f>
        <v>0</v>
      </c>
    </row>
    <row r="718" spans="2:24" ht="17.850000000000001" hidden="1" customHeight="1">
      <c r="B718" s="2" t="s">
        <v>26</v>
      </c>
      <c r="C718" s="2" t="s">
        <v>310</v>
      </c>
      <c r="D718" s="2" t="s">
        <v>326</v>
      </c>
      <c r="E718" s="2" t="s">
        <v>38</v>
      </c>
      <c r="F718" s="2" t="s">
        <v>325</v>
      </c>
      <c r="G718" s="2" t="s">
        <v>320</v>
      </c>
      <c r="H718" s="56" t="str">
        <f>Table1[[#This Row],[Tabela]]&amp;Table1[[#This Row],[Campo]]</f>
        <v>modesg_out_empr_info_nfinorigem_scp2_emss</v>
      </c>
      <c r="I718" s="2" t="s">
        <v>1845</v>
      </c>
      <c r="J718" s="42">
        <f>VLOOKUP(Table1[[#This Row],[Status]],Auxiliar!$B$16:$C$24,2,0)</f>
        <v>2</v>
      </c>
      <c r="K718" s="2" t="s">
        <v>1174</v>
      </c>
      <c r="L718" s="28" t="s">
        <v>1177</v>
      </c>
      <c r="M718" s="20" t="s">
        <v>1178</v>
      </c>
      <c r="N718" s="47">
        <v>45695</v>
      </c>
      <c r="O718" s="20">
        <f>INDEX(Auxiliar!$D$5:$F$13,MATCH(Table1[[#This Row],[Tipologia_Testes]],Auxiliar!$B$5:$B$13,0),MATCH(Table1[[#This Row],[Complexidade]],Auxiliar!$D$4:$F$4,0))</f>
        <v>0.1</v>
      </c>
      <c r="P718" s="2"/>
      <c r="Q718" s="2"/>
      <c r="R718" s="151">
        <v>45569</v>
      </c>
      <c r="S718" s="151"/>
      <c r="T718" s="151">
        <v>45569</v>
      </c>
      <c r="U718" s="151">
        <v>45621</v>
      </c>
      <c r="V718" s="151">
        <v>45622</v>
      </c>
      <c r="W718" s="2">
        <f>VLOOKUP(Table1[[#This Row],[Status]],Auxiliar!$B$16:$D$24,3,0)*Table1[[#This Row],[Estimação (horas)]]</f>
        <v>0.05</v>
      </c>
      <c r="X718" s="166">
        <f>+VLOOKUP(CONCATENATE(Table1[[#This Row],[Tabela]],Table1[[#This Row],[Campo]]),'2. Status Detalhe Campos FY24'!A:J,9,FALSE)</f>
        <v>0</v>
      </c>
    </row>
    <row r="719" spans="2:24" ht="17.850000000000001" hidden="1" customHeight="1">
      <c r="B719" s="2" t="s">
        <v>26</v>
      </c>
      <c r="C719" s="2" t="s">
        <v>310</v>
      </c>
      <c r="D719" s="2" t="s">
        <v>326</v>
      </c>
      <c r="E719" s="2" t="s">
        <v>38</v>
      </c>
      <c r="F719" s="2" t="s">
        <v>325</v>
      </c>
      <c r="G719" s="2" t="s">
        <v>321</v>
      </c>
      <c r="H719" s="56" t="str">
        <f>Table1[[#This Row],[Tabela]]&amp;Table1[[#This Row],[Campo]]</f>
        <v>modesg_out_empr_info_nfinorigem_scp3_emss</v>
      </c>
      <c r="I719" s="2" t="s">
        <v>1845</v>
      </c>
      <c r="J719" s="42">
        <f>VLOOKUP(Table1[[#This Row],[Status]],Auxiliar!$B$16:$C$24,2,0)</f>
        <v>2</v>
      </c>
      <c r="K719" s="2" t="s">
        <v>1171</v>
      </c>
      <c r="L719" s="28" t="s">
        <v>1177</v>
      </c>
      <c r="M719" s="20" t="s">
        <v>1178</v>
      </c>
      <c r="N719" s="47">
        <v>45695</v>
      </c>
      <c r="O719" s="20">
        <f>INDEX(Auxiliar!$D$5:$F$13,MATCH(Table1[[#This Row],[Tipologia_Testes]],Auxiliar!$B$5:$B$13,0),MATCH(Table1[[#This Row],[Complexidade]],Auxiliar!$D$4:$F$4,0))</f>
        <v>2</v>
      </c>
      <c r="P719" s="2"/>
      <c r="Q719" s="2"/>
      <c r="R719" s="151">
        <v>45569</v>
      </c>
      <c r="S719" s="151"/>
      <c r="T719" s="151">
        <v>45569</v>
      </c>
      <c r="U719" s="151">
        <v>45621</v>
      </c>
      <c r="V719" s="151">
        <v>45622</v>
      </c>
      <c r="W719" s="2">
        <f>VLOOKUP(Table1[[#This Row],[Status]],Auxiliar!$B$16:$D$24,3,0)*Table1[[#This Row],[Estimação (horas)]]</f>
        <v>1</v>
      </c>
      <c r="X719" s="166">
        <f>+VLOOKUP(CONCATENATE(Table1[[#This Row],[Tabela]],Table1[[#This Row],[Campo]]),'2. Status Detalhe Campos FY24'!A:J,9,FALSE)</f>
        <v>0</v>
      </c>
    </row>
    <row r="720" spans="2:24" ht="17.850000000000001" hidden="1" customHeight="1">
      <c r="B720" s="2" t="s">
        <v>26</v>
      </c>
      <c r="C720" s="2" t="s">
        <v>310</v>
      </c>
      <c r="D720" s="2" t="s">
        <v>326</v>
      </c>
      <c r="E720" s="2" t="s">
        <v>38</v>
      </c>
      <c r="F720" s="2" t="s">
        <v>325</v>
      </c>
      <c r="G720" s="2" t="s">
        <v>321</v>
      </c>
      <c r="H720" s="56" t="str">
        <f>Table1[[#This Row],[Tabela]]&amp;Table1[[#This Row],[Campo]]</f>
        <v>modesg_out_empr_info_nfinorigem_scp3_emss</v>
      </c>
      <c r="I720" s="2" t="s">
        <v>1845</v>
      </c>
      <c r="J720" s="42">
        <f>VLOOKUP(Table1[[#This Row],[Status]],Auxiliar!$B$16:$C$24,2,0)</f>
        <v>2</v>
      </c>
      <c r="K720" s="2" t="s">
        <v>1172</v>
      </c>
      <c r="L720" s="28" t="s">
        <v>1177</v>
      </c>
      <c r="M720" s="20" t="s">
        <v>1178</v>
      </c>
      <c r="N720" s="47">
        <v>45695</v>
      </c>
      <c r="O720" s="20">
        <f>INDEX(Auxiliar!$D$5:$F$13,MATCH(Table1[[#This Row],[Tipologia_Testes]],Auxiliar!$B$5:$B$13,0),MATCH(Table1[[#This Row],[Complexidade]],Auxiliar!$D$4:$F$4,0))</f>
        <v>2</v>
      </c>
      <c r="P720" s="2"/>
      <c r="Q720" s="2"/>
      <c r="R720" s="151">
        <v>45569</v>
      </c>
      <c r="S720" s="151"/>
      <c r="T720" s="151">
        <v>45569</v>
      </c>
      <c r="U720" s="151">
        <v>45621</v>
      </c>
      <c r="V720" s="151">
        <v>45622</v>
      </c>
      <c r="W720" s="2">
        <f>VLOOKUP(Table1[[#This Row],[Status]],Auxiliar!$B$16:$D$24,3,0)*Table1[[#This Row],[Estimação (horas)]]</f>
        <v>1</v>
      </c>
      <c r="X720" s="166">
        <f>+VLOOKUP(CONCATENATE(Table1[[#This Row],[Tabela]],Table1[[#This Row],[Campo]]),'2. Status Detalhe Campos FY24'!A:J,9,FALSE)</f>
        <v>0</v>
      </c>
    </row>
    <row r="721" spans="2:24" ht="17.850000000000001" hidden="1" customHeight="1">
      <c r="B721" s="2" t="s">
        <v>26</v>
      </c>
      <c r="C721" s="2" t="s">
        <v>310</v>
      </c>
      <c r="D721" s="2" t="s">
        <v>326</v>
      </c>
      <c r="E721" s="2" t="s">
        <v>38</v>
      </c>
      <c r="F721" s="2" t="s">
        <v>325</v>
      </c>
      <c r="G721" s="2" t="s">
        <v>321</v>
      </c>
      <c r="H721" s="56" t="str">
        <f>Table1[[#This Row],[Tabela]]&amp;Table1[[#This Row],[Campo]]</f>
        <v>modesg_out_empr_info_nfinorigem_scp3_emss</v>
      </c>
      <c r="I721" s="2" t="s">
        <v>1845</v>
      </c>
      <c r="J721" s="42">
        <f>VLOOKUP(Table1[[#This Row],[Status]],Auxiliar!$B$16:$C$24,2,0)</f>
        <v>2</v>
      </c>
      <c r="K721" s="2" t="s">
        <v>1174</v>
      </c>
      <c r="L721" s="28" t="s">
        <v>1177</v>
      </c>
      <c r="M721" s="20" t="s">
        <v>1178</v>
      </c>
      <c r="N721" s="47">
        <v>45695</v>
      </c>
      <c r="O721" s="20">
        <f>INDEX(Auxiliar!$D$5:$F$13,MATCH(Table1[[#This Row],[Tipologia_Testes]],Auxiliar!$B$5:$B$13,0),MATCH(Table1[[#This Row],[Complexidade]],Auxiliar!$D$4:$F$4,0))</f>
        <v>0.1</v>
      </c>
      <c r="P721" s="2"/>
      <c r="Q721" s="2"/>
      <c r="R721" s="151">
        <v>45569</v>
      </c>
      <c r="S721" s="151"/>
      <c r="T721" s="151">
        <v>45569</v>
      </c>
      <c r="U721" s="151">
        <v>45621</v>
      </c>
      <c r="V721" s="151">
        <v>45622</v>
      </c>
      <c r="W721" s="2">
        <f>VLOOKUP(Table1[[#This Row],[Status]],Auxiliar!$B$16:$D$24,3,0)*Table1[[#This Row],[Estimação (horas)]]</f>
        <v>0.05</v>
      </c>
      <c r="X721" s="166">
        <f>+VLOOKUP(CONCATENATE(Table1[[#This Row],[Tabela]],Table1[[#This Row],[Campo]]),'2. Status Detalhe Campos FY24'!A:J,9,FALSE)</f>
        <v>0</v>
      </c>
    </row>
    <row r="722" spans="2:24" ht="17.850000000000001" hidden="1" customHeight="1">
      <c r="B722" s="2" t="s">
        <v>26</v>
      </c>
      <c r="C722" s="2" t="s">
        <v>310</v>
      </c>
      <c r="D722" s="2" t="s">
        <v>326</v>
      </c>
      <c r="E722" s="2" t="s">
        <v>38</v>
      </c>
      <c r="F722" s="2" t="s">
        <v>325</v>
      </c>
      <c r="G722" s="2" t="s">
        <v>208</v>
      </c>
      <c r="H722" s="56" t="str">
        <f>Table1[[#This Row],[Tabela]]&amp;Table1[[#This Row],[Campo]]</f>
        <v>modesg_out_empr_info_nfinref_date</v>
      </c>
      <c r="I722" s="3" t="s">
        <v>612</v>
      </c>
      <c r="J722" s="54">
        <f>VLOOKUP(Table1[[#This Row],[Status]],Auxiliar!$B$16:$C$24,2,0)</f>
        <v>1</v>
      </c>
      <c r="K722" s="2" t="s">
        <v>1171</v>
      </c>
      <c r="L722" s="28" t="s">
        <v>1177</v>
      </c>
      <c r="M722" s="20" t="s">
        <v>1178</v>
      </c>
      <c r="N722" s="47">
        <v>45485</v>
      </c>
      <c r="O722" s="20">
        <f>INDEX(Auxiliar!$D$5:$F$13,MATCH(Table1[[#This Row],[Tipologia_Testes]],Auxiliar!$B$5:$B$13,0),MATCH(Table1[[#This Row],[Complexidade]],Auxiliar!$D$4:$F$4,0))</f>
        <v>2</v>
      </c>
      <c r="P722" s="2"/>
      <c r="Q722" s="2" t="s">
        <v>1188</v>
      </c>
      <c r="R722" s="151">
        <v>45261</v>
      </c>
      <c r="S722" s="151"/>
      <c r="T722" s="151"/>
      <c r="U722" s="151"/>
      <c r="V722" s="151"/>
      <c r="W722" s="2">
        <f>VLOOKUP(Table1[[#This Row],[Status]],Auxiliar!$B$16:$D$24,3,0)*Table1[[#This Row],[Estimação (horas)]]</f>
        <v>2</v>
      </c>
      <c r="X722" s="166">
        <f>+VLOOKUP(CONCATENATE(Table1[[#This Row],[Tabela]],Table1[[#This Row],[Campo]]),'2. Status Detalhe Campos FY24'!A:J,9,FALSE)</f>
        <v>0</v>
      </c>
    </row>
    <row r="723" spans="2:24" ht="17.850000000000001" hidden="1" customHeight="1">
      <c r="B723" s="2" t="s">
        <v>26</v>
      </c>
      <c r="C723" s="2" t="s">
        <v>310</v>
      </c>
      <c r="D723" s="2" t="s">
        <v>326</v>
      </c>
      <c r="E723" s="2" t="s">
        <v>38</v>
      </c>
      <c r="F723" s="2" t="s">
        <v>325</v>
      </c>
      <c r="G723" s="2" t="s">
        <v>208</v>
      </c>
      <c r="H723" s="56" t="str">
        <f>Table1[[#This Row],[Tabela]]&amp;Table1[[#This Row],[Campo]]</f>
        <v>modesg_out_empr_info_nfinref_date</v>
      </c>
      <c r="I723" s="3" t="s">
        <v>612</v>
      </c>
      <c r="J723" s="54">
        <f>VLOOKUP(Table1[[#This Row],[Status]],Auxiliar!$B$16:$C$24,2,0)</f>
        <v>1</v>
      </c>
      <c r="K723" s="2" t="s">
        <v>1172</v>
      </c>
      <c r="L723" s="28" t="s">
        <v>1177</v>
      </c>
      <c r="M723" s="20" t="s">
        <v>1178</v>
      </c>
      <c r="N723" s="47">
        <v>45485</v>
      </c>
      <c r="O723" s="20">
        <f>INDEX(Auxiliar!$D$5:$F$13,MATCH(Table1[[#This Row],[Tipologia_Testes]],Auxiliar!$B$5:$B$13,0),MATCH(Table1[[#This Row],[Complexidade]],Auxiliar!$D$4:$F$4,0))</f>
        <v>2</v>
      </c>
      <c r="P723" s="2"/>
      <c r="Q723" s="2" t="s">
        <v>1188</v>
      </c>
      <c r="R723" s="151">
        <v>45261</v>
      </c>
      <c r="S723" s="151"/>
      <c r="T723" s="151"/>
      <c r="U723" s="151"/>
      <c r="V723" s="151"/>
      <c r="W723" s="2">
        <f>VLOOKUP(Table1[[#This Row],[Status]],Auxiliar!$B$16:$D$24,3,0)*Table1[[#This Row],[Estimação (horas)]]</f>
        <v>2</v>
      </c>
      <c r="X723" s="166">
        <f>+VLOOKUP(CONCATENATE(Table1[[#This Row],[Tabela]],Table1[[#This Row],[Campo]]),'2. Status Detalhe Campos FY24'!A:J,9,FALSE)</f>
        <v>0</v>
      </c>
    </row>
    <row r="724" spans="2:24" ht="17.850000000000001" hidden="1" customHeight="1">
      <c r="B724" s="2" t="s">
        <v>26</v>
      </c>
      <c r="C724" s="2" t="s">
        <v>310</v>
      </c>
      <c r="D724" s="2" t="s">
        <v>326</v>
      </c>
      <c r="E724" s="2" t="s">
        <v>38</v>
      </c>
      <c r="F724" s="2" t="s">
        <v>325</v>
      </c>
      <c r="G724" s="2" t="s">
        <v>208</v>
      </c>
      <c r="H724" s="56" t="str">
        <f>Table1[[#This Row],[Tabela]]&amp;Table1[[#This Row],[Campo]]</f>
        <v>modesg_out_empr_info_nfinref_date</v>
      </c>
      <c r="I724" s="3" t="s">
        <v>612</v>
      </c>
      <c r="J724" s="54">
        <f>VLOOKUP(Table1[[#This Row],[Status]],Auxiliar!$B$16:$C$24,2,0)</f>
        <v>1</v>
      </c>
      <c r="K724" s="2" t="s">
        <v>1174</v>
      </c>
      <c r="L724" s="28" t="s">
        <v>1177</v>
      </c>
      <c r="M724" s="20" t="s">
        <v>1178</v>
      </c>
      <c r="N724" s="47">
        <v>45485</v>
      </c>
      <c r="O724" s="20">
        <f>INDEX(Auxiliar!$D$5:$F$13,MATCH(Table1[[#This Row],[Tipologia_Testes]],Auxiliar!$B$5:$B$13,0),MATCH(Table1[[#This Row],[Complexidade]],Auxiliar!$D$4:$F$4,0))</f>
        <v>0.1</v>
      </c>
      <c r="P724" s="2"/>
      <c r="Q724" s="2" t="s">
        <v>1188</v>
      </c>
      <c r="R724" s="151">
        <v>45261</v>
      </c>
      <c r="S724" s="151"/>
      <c r="T724" s="151"/>
      <c r="U724" s="151"/>
      <c r="V724" s="151"/>
      <c r="W724" s="2">
        <f>VLOOKUP(Table1[[#This Row],[Status]],Auxiliar!$B$16:$D$24,3,0)*Table1[[#This Row],[Estimação (horas)]]</f>
        <v>0.1</v>
      </c>
      <c r="X724" s="166">
        <f>+VLOOKUP(CONCATENATE(Table1[[#This Row],[Tabela]],Table1[[#This Row],[Campo]]),'2. Status Detalhe Campos FY24'!A:J,9,FALSE)</f>
        <v>0</v>
      </c>
    </row>
    <row r="725" spans="2:24" ht="17.850000000000001" hidden="1" customHeight="1">
      <c r="B725" s="2" t="s">
        <v>26</v>
      </c>
      <c r="C725" s="2" t="s">
        <v>310</v>
      </c>
      <c r="D725" s="2" t="s">
        <v>326</v>
      </c>
      <c r="E725" s="2" t="s">
        <v>38</v>
      </c>
      <c r="F725" s="2" t="s">
        <v>325</v>
      </c>
      <c r="G725" s="2" t="s">
        <v>285</v>
      </c>
      <c r="H725" s="56" t="str">
        <f>Table1[[#This Row],[Tabela]]&amp;Table1[[#This Row],[Campo]]</f>
        <v>modesg_out_empr_info_nfinscp1_emss</v>
      </c>
      <c r="I725" s="2" t="s">
        <v>1845</v>
      </c>
      <c r="J725" s="42">
        <f>VLOOKUP(Table1[[#This Row],[Status]],Auxiliar!$B$16:$C$24,2,0)</f>
        <v>2</v>
      </c>
      <c r="K725" s="2" t="s">
        <v>1171</v>
      </c>
      <c r="L725" s="28" t="s">
        <v>1177</v>
      </c>
      <c r="M725" s="20" t="s">
        <v>1179</v>
      </c>
      <c r="N725" s="47">
        <v>45695</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2</v>
      </c>
      <c r="X725" s="166">
        <f>+VLOOKUP(CONCATENATE(Table1[[#This Row],[Tabela]],Table1[[#This Row],[Campo]]),'2. Status Detalhe Campos FY24'!A:J,9,FALSE)</f>
        <v>0</v>
      </c>
    </row>
    <row r="726" spans="2:24" ht="17.850000000000001" hidden="1" customHeight="1">
      <c r="B726" s="2" t="s">
        <v>26</v>
      </c>
      <c r="C726" s="2" t="s">
        <v>310</v>
      </c>
      <c r="D726" s="2" t="s">
        <v>326</v>
      </c>
      <c r="E726" s="2" t="s">
        <v>38</v>
      </c>
      <c r="F726" s="2" t="s">
        <v>325</v>
      </c>
      <c r="G726" s="2" t="s">
        <v>285</v>
      </c>
      <c r="H726" s="56" t="str">
        <f>Table1[[#This Row],[Tabela]]&amp;Table1[[#This Row],[Campo]]</f>
        <v>modesg_out_empr_info_nfinscp1_emss</v>
      </c>
      <c r="I726" s="2" t="s">
        <v>1845</v>
      </c>
      <c r="J726" s="42">
        <f>VLOOKUP(Table1[[#This Row],[Status]],Auxiliar!$B$16:$C$24,2,0)</f>
        <v>2</v>
      </c>
      <c r="K726" s="2" t="s">
        <v>1172</v>
      </c>
      <c r="L726" s="28" t="s">
        <v>1177</v>
      </c>
      <c r="M726" s="20" t="s">
        <v>1179</v>
      </c>
      <c r="N726" s="47">
        <v>45695</v>
      </c>
      <c r="O726" s="20">
        <f>INDEX(Auxiliar!$D$5:$F$13,MATCH(Table1[[#This Row],[Tipologia_Testes]],Auxiliar!$B$5:$B$13,0),MATCH(Table1[[#This Row],[Complexidade]],Auxiliar!$D$4:$F$4,0))</f>
        <v>4</v>
      </c>
      <c r="P726" s="2"/>
      <c r="Q726" s="2"/>
      <c r="R726" s="151">
        <v>45569</v>
      </c>
      <c r="S726" s="151"/>
      <c r="T726" s="151">
        <v>45569</v>
      </c>
      <c r="U726" s="151">
        <v>45621</v>
      </c>
      <c r="V726" s="151">
        <v>45622</v>
      </c>
      <c r="W726" s="2">
        <f>VLOOKUP(Table1[[#This Row],[Status]],Auxiliar!$B$16:$D$24,3,0)*Table1[[#This Row],[Estimação (horas)]]</f>
        <v>2</v>
      </c>
      <c r="X726" s="166">
        <f>+VLOOKUP(CONCATENATE(Table1[[#This Row],[Tabela]],Table1[[#This Row],[Campo]]),'2. Status Detalhe Campos FY24'!A:J,9,FALSE)</f>
        <v>0</v>
      </c>
    </row>
    <row r="727" spans="2:24" ht="17.850000000000001" hidden="1" customHeight="1">
      <c r="B727" s="2" t="s">
        <v>26</v>
      </c>
      <c r="C727" s="2" t="s">
        <v>310</v>
      </c>
      <c r="D727" s="2" t="s">
        <v>326</v>
      </c>
      <c r="E727" s="2" t="s">
        <v>38</v>
      </c>
      <c r="F727" s="2" t="s">
        <v>325</v>
      </c>
      <c r="G727" s="2" t="s">
        <v>285</v>
      </c>
      <c r="H727" s="56" t="str">
        <f>Table1[[#This Row],[Tabela]]&amp;Table1[[#This Row],[Campo]]</f>
        <v>modesg_out_empr_info_nfinscp1_emss</v>
      </c>
      <c r="I727" s="2" t="s">
        <v>1845</v>
      </c>
      <c r="J727" s="42">
        <f>VLOOKUP(Table1[[#This Row],[Status]],Auxiliar!$B$16:$C$24,2,0)</f>
        <v>2</v>
      </c>
      <c r="K727" s="2" t="s">
        <v>1174</v>
      </c>
      <c r="L727" s="28" t="s">
        <v>1177</v>
      </c>
      <c r="M727" s="20" t="s">
        <v>1179</v>
      </c>
      <c r="N727" s="47">
        <v>45695</v>
      </c>
      <c r="O727" s="20">
        <f>INDEX(Auxiliar!$D$5:$F$13,MATCH(Table1[[#This Row],[Tipologia_Testes]],Auxiliar!$B$5:$B$13,0),MATCH(Table1[[#This Row],[Complexidade]],Auxiliar!$D$4:$F$4,0))</f>
        <v>0.1</v>
      </c>
      <c r="P727" s="2"/>
      <c r="Q727" s="2"/>
      <c r="R727" s="151">
        <v>45569</v>
      </c>
      <c r="S727" s="151"/>
      <c r="T727" s="151">
        <v>45569</v>
      </c>
      <c r="U727" s="151">
        <v>45621</v>
      </c>
      <c r="V727" s="151">
        <v>45622</v>
      </c>
      <c r="W727" s="2">
        <f>VLOOKUP(Table1[[#This Row],[Status]],Auxiliar!$B$16:$D$24,3,0)*Table1[[#This Row],[Estimação (horas)]]</f>
        <v>0.05</v>
      </c>
      <c r="X727" s="166">
        <f>+VLOOKUP(CONCATENATE(Table1[[#This Row],[Tabela]],Table1[[#This Row],[Campo]]),'2. Status Detalhe Campos FY24'!A:J,9,FALSE)</f>
        <v>0</v>
      </c>
    </row>
    <row r="728" spans="2:24" ht="17.850000000000001" hidden="1" customHeight="1">
      <c r="B728" s="2" t="s">
        <v>26</v>
      </c>
      <c r="C728" s="2" t="s">
        <v>310</v>
      </c>
      <c r="D728" s="2" t="s">
        <v>326</v>
      </c>
      <c r="E728" s="2" t="s">
        <v>38</v>
      </c>
      <c r="F728" s="2" t="s">
        <v>325</v>
      </c>
      <c r="G728" s="2" t="s">
        <v>286</v>
      </c>
      <c r="H728" s="56" t="str">
        <f>Table1[[#This Row],[Tabela]]&amp;Table1[[#This Row],[Campo]]</f>
        <v>modesg_out_empr_info_nfinscp2_emss</v>
      </c>
      <c r="I728" s="2" t="s">
        <v>1845</v>
      </c>
      <c r="J728" s="42">
        <f>VLOOKUP(Table1[[#This Row],[Status]],Auxiliar!$B$16:$C$24,2,0)</f>
        <v>2</v>
      </c>
      <c r="K728" s="2" t="s">
        <v>1171</v>
      </c>
      <c r="L728" s="28" t="s">
        <v>1177</v>
      </c>
      <c r="M728" s="20" t="s">
        <v>1179</v>
      </c>
      <c r="N728" s="47">
        <v>45695</v>
      </c>
      <c r="O728" s="20">
        <f>INDEX(Auxiliar!$D$5:$F$13,MATCH(Table1[[#This Row],[Tipologia_Testes]],Auxiliar!$B$5:$B$13,0),MATCH(Table1[[#This Row],[Complexidade]],Auxiliar!$D$4:$F$4,0))</f>
        <v>4</v>
      </c>
      <c r="P728" s="2"/>
      <c r="Q728" s="2"/>
      <c r="R728" s="151">
        <v>45569</v>
      </c>
      <c r="S728" s="151"/>
      <c r="T728" s="151">
        <v>45569</v>
      </c>
      <c r="U728" s="151">
        <v>45621</v>
      </c>
      <c r="V728" s="151">
        <v>45622</v>
      </c>
      <c r="W728" s="2">
        <f>VLOOKUP(Table1[[#This Row],[Status]],Auxiliar!$B$16:$D$24,3,0)*Table1[[#This Row],[Estimação (horas)]]</f>
        <v>2</v>
      </c>
      <c r="X728" s="166">
        <f>+VLOOKUP(CONCATENATE(Table1[[#This Row],[Tabela]],Table1[[#This Row],[Campo]]),'2. Status Detalhe Campos FY24'!A:J,9,FALSE)</f>
        <v>0</v>
      </c>
    </row>
    <row r="729" spans="2:24" ht="17.850000000000001" hidden="1" customHeight="1">
      <c r="B729" s="2" t="s">
        <v>26</v>
      </c>
      <c r="C729" s="2" t="s">
        <v>310</v>
      </c>
      <c r="D729" s="2" t="s">
        <v>326</v>
      </c>
      <c r="E729" s="2" t="s">
        <v>38</v>
      </c>
      <c r="F729" s="2" t="s">
        <v>325</v>
      </c>
      <c r="G729" s="2" t="s">
        <v>286</v>
      </c>
      <c r="H729" s="56" t="str">
        <f>Table1[[#This Row],[Tabela]]&amp;Table1[[#This Row],[Campo]]</f>
        <v>modesg_out_empr_info_nfinscp2_emss</v>
      </c>
      <c r="I729" s="2" t="s">
        <v>1845</v>
      </c>
      <c r="J729" s="42">
        <f>VLOOKUP(Table1[[#This Row],[Status]],Auxiliar!$B$16:$C$24,2,0)</f>
        <v>2</v>
      </c>
      <c r="K729" s="2" t="s">
        <v>1172</v>
      </c>
      <c r="L729" s="28" t="s">
        <v>1177</v>
      </c>
      <c r="M729" s="20" t="s">
        <v>1179</v>
      </c>
      <c r="N729" s="47">
        <v>45695</v>
      </c>
      <c r="O729" s="20">
        <f>INDEX(Auxiliar!$D$5:$F$13,MATCH(Table1[[#This Row],[Tipologia_Testes]],Auxiliar!$B$5:$B$13,0),MATCH(Table1[[#This Row],[Complexidade]],Auxiliar!$D$4:$F$4,0))</f>
        <v>4</v>
      </c>
      <c r="P729" s="2"/>
      <c r="Q729" s="2"/>
      <c r="R729" s="151">
        <v>45569</v>
      </c>
      <c r="S729" s="151"/>
      <c r="T729" s="151">
        <v>45569</v>
      </c>
      <c r="U729" s="151">
        <v>45621</v>
      </c>
      <c r="V729" s="151">
        <v>45622</v>
      </c>
      <c r="W729" s="2">
        <f>VLOOKUP(Table1[[#This Row],[Status]],Auxiliar!$B$16:$D$24,3,0)*Table1[[#This Row],[Estimação (horas)]]</f>
        <v>2</v>
      </c>
      <c r="X729" s="166">
        <f>+VLOOKUP(CONCATENATE(Table1[[#This Row],[Tabela]],Table1[[#This Row],[Campo]]),'2. Status Detalhe Campos FY24'!A:J,9,FALSE)</f>
        <v>0</v>
      </c>
    </row>
    <row r="730" spans="2:24" ht="17.850000000000001" hidden="1" customHeight="1">
      <c r="B730" s="2" t="s">
        <v>26</v>
      </c>
      <c r="C730" s="2" t="s">
        <v>310</v>
      </c>
      <c r="D730" s="2" t="s">
        <v>326</v>
      </c>
      <c r="E730" s="2" t="s">
        <v>38</v>
      </c>
      <c r="F730" s="2" t="s">
        <v>325</v>
      </c>
      <c r="G730" s="2" t="s">
        <v>286</v>
      </c>
      <c r="H730" s="56" t="str">
        <f>Table1[[#This Row],[Tabela]]&amp;Table1[[#This Row],[Campo]]</f>
        <v>modesg_out_empr_info_nfinscp2_emss</v>
      </c>
      <c r="I730" s="2" t="s">
        <v>1845</v>
      </c>
      <c r="J730" s="42">
        <f>VLOOKUP(Table1[[#This Row],[Status]],Auxiliar!$B$16:$C$24,2,0)</f>
        <v>2</v>
      </c>
      <c r="K730" s="2" t="s">
        <v>1174</v>
      </c>
      <c r="L730" s="28" t="s">
        <v>1177</v>
      </c>
      <c r="M730" s="20" t="s">
        <v>1179</v>
      </c>
      <c r="N730" s="47">
        <v>45695</v>
      </c>
      <c r="O730" s="20">
        <f>INDEX(Auxiliar!$D$5:$F$13,MATCH(Table1[[#This Row],[Tipologia_Testes]],Auxiliar!$B$5:$B$13,0),MATCH(Table1[[#This Row],[Complexidade]],Auxiliar!$D$4:$F$4,0))</f>
        <v>0.1</v>
      </c>
      <c r="P730" s="2"/>
      <c r="Q730" s="2"/>
      <c r="R730" s="151">
        <v>45569</v>
      </c>
      <c r="S730" s="151"/>
      <c r="T730" s="151">
        <v>45569</v>
      </c>
      <c r="U730" s="151">
        <v>45621</v>
      </c>
      <c r="V730" s="151">
        <v>45622</v>
      </c>
      <c r="W730" s="2">
        <f>VLOOKUP(Table1[[#This Row],[Status]],Auxiliar!$B$16:$D$24,3,0)*Table1[[#This Row],[Estimação (horas)]]</f>
        <v>0.05</v>
      </c>
      <c r="X730" s="166">
        <f>+VLOOKUP(CONCATENATE(Table1[[#This Row],[Tabela]],Table1[[#This Row],[Campo]]),'2. Status Detalhe Campos FY24'!A:J,9,FALSE)</f>
        <v>0</v>
      </c>
    </row>
    <row r="731" spans="2:24" ht="17.850000000000001" hidden="1" customHeight="1">
      <c r="B731" s="2" t="s">
        <v>26</v>
      </c>
      <c r="C731" s="2" t="s">
        <v>310</v>
      </c>
      <c r="D731" s="2" t="s">
        <v>326</v>
      </c>
      <c r="E731" s="2" t="s">
        <v>38</v>
      </c>
      <c r="F731" s="2" t="s">
        <v>325</v>
      </c>
      <c r="G731" s="2" t="s">
        <v>287</v>
      </c>
      <c r="H731" s="56" t="str">
        <f>Table1[[#This Row],[Tabela]]&amp;Table1[[#This Row],[Campo]]</f>
        <v>modesg_out_empr_info_nfinscp3_emss</v>
      </c>
      <c r="I731" s="2" t="s">
        <v>1845</v>
      </c>
      <c r="J731" s="42">
        <f>VLOOKUP(Table1[[#This Row],[Status]],Auxiliar!$B$16:$C$24,2,0)</f>
        <v>2</v>
      </c>
      <c r="K731" s="2" t="s">
        <v>1171</v>
      </c>
      <c r="L731" s="28" t="s">
        <v>1177</v>
      </c>
      <c r="M731" s="20" t="s">
        <v>1179</v>
      </c>
      <c r="N731" s="47">
        <v>45695</v>
      </c>
      <c r="O731" s="20">
        <f>INDEX(Auxiliar!$D$5:$F$13,MATCH(Table1[[#This Row],[Tipologia_Testes]],Auxiliar!$B$5:$B$13,0),MATCH(Table1[[#This Row],[Complexidade]],Auxiliar!$D$4:$F$4,0))</f>
        <v>4</v>
      </c>
      <c r="P731" s="2"/>
      <c r="Q731" s="2"/>
      <c r="R731" s="151">
        <v>45569</v>
      </c>
      <c r="S731" s="151"/>
      <c r="T731" s="151">
        <v>45569</v>
      </c>
      <c r="U731" s="151">
        <v>45621</v>
      </c>
      <c r="V731" s="151">
        <v>45622</v>
      </c>
      <c r="W731" s="2">
        <f>VLOOKUP(Table1[[#This Row],[Status]],Auxiliar!$B$16:$D$24,3,0)*Table1[[#This Row],[Estimação (horas)]]</f>
        <v>2</v>
      </c>
      <c r="X731" s="166">
        <f>+VLOOKUP(CONCATENATE(Table1[[#This Row],[Tabela]],Table1[[#This Row],[Campo]]),'2. Status Detalhe Campos FY24'!A:J,9,FALSE)</f>
        <v>0</v>
      </c>
    </row>
    <row r="732" spans="2:24" ht="17.850000000000001" hidden="1" customHeight="1">
      <c r="B732" s="2" t="s">
        <v>26</v>
      </c>
      <c r="C732" s="2" t="s">
        <v>310</v>
      </c>
      <c r="D732" s="2" t="s">
        <v>326</v>
      </c>
      <c r="E732" s="2" t="s">
        <v>38</v>
      </c>
      <c r="F732" s="2" t="s">
        <v>325</v>
      </c>
      <c r="G732" s="2" t="s">
        <v>287</v>
      </c>
      <c r="H732" s="56" t="str">
        <f>Table1[[#This Row],[Tabela]]&amp;Table1[[#This Row],[Campo]]</f>
        <v>modesg_out_empr_info_nfinscp3_emss</v>
      </c>
      <c r="I732" s="2" t="s">
        <v>1845</v>
      </c>
      <c r="J732" s="42">
        <f>VLOOKUP(Table1[[#This Row],[Status]],Auxiliar!$B$16:$C$24,2,0)</f>
        <v>2</v>
      </c>
      <c r="K732" s="2" t="s">
        <v>1172</v>
      </c>
      <c r="L732" s="28" t="s">
        <v>1177</v>
      </c>
      <c r="M732" s="20" t="s">
        <v>1179</v>
      </c>
      <c r="N732" s="47">
        <v>45695</v>
      </c>
      <c r="O732" s="20">
        <f>INDEX(Auxiliar!$D$5:$F$13,MATCH(Table1[[#This Row],[Tipologia_Testes]],Auxiliar!$B$5:$B$13,0),MATCH(Table1[[#This Row],[Complexidade]],Auxiliar!$D$4:$F$4,0))</f>
        <v>4</v>
      </c>
      <c r="P732" s="2"/>
      <c r="Q732" s="2"/>
      <c r="R732" s="151">
        <v>45569</v>
      </c>
      <c r="S732" s="151"/>
      <c r="T732" s="151">
        <v>45569</v>
      </c>
      <c r="U732" s="151">
        <v>45621</v>
      </c>
      <c r="V732" s="151">
        <v>45622</v>
      </c>
      <c r="W732" s="2">
        <f>VLOOKUP(Table1[[#This Row],[Status]],Auxiliar!$B$16:$D$24,3,0)*Table1[[#This Row],[Estimação (horas)]]</f>
        <v>2</v>
      </c>
      <c r="X732" s="166">
        <f>+VLOOKUP(CONCATENATE(Table1[[#This Row],[Tabela]],Table1[[#This Row],[Campo]]),'2. Status Detalhe Campos FY24'!A:J,9,FALSE)</f>
        <v>0</v>
      </c>
    </row>
    <row r="733" spans="2:24" ht="17.850000000000001" hidden="1" customHeight="1">
      <c r="B733" s="2" t="s">
        <v>26</v>
      </c>
      <c r="C733" s="2" t="s">
        <v>310</v>
      </c>
      <c r="D733" s="2" t="s">
        <v>326</v>
      </c>
      <c r="E733" s="2" t="s">
        <v>38</v>
      </c>
      <c r="F733" s="2" t="s">
        <v>325</v>
      </c>
      <c r="G733" s="2" t="s">
        <v>287</v>
      </c>
      <c r="H733" s="56" t="str">
        <f>Table1[[#This Row],[Tabela]]&amp;Table1[[#This Row],[Campo]]</f>
        <v>modesg_out_empr_info_nfinscp3_emss</v>
      </c>
      <c r="I733" s="2" t="s">
        <v>1845</v>
      </c>
      <c r="J733" s="42">
        <f>VLOOKUP(Table1[[#This Row],[Status]],Auxiliar!$B$16:$C$24,2,0)</f>
        <v>2</v>
      </c>
      <c r="K733" s="2" t="s">
        <v>1174</v>
      </c>
      <c r="L733" s="28" t="s">
        <v>1177</v>
      </c>
      <c r="M733" s="20" t="s">
        <v>1179</v>
      </c>
      <c r="N733" s="47">
        <v>45695</v>
      </c>
      <c r="O733" s="20">
        <f>INDEX(Auxiliar!$D$5:$F$13,MATCH(Table1[[#This Row],[Tipologia_Testes]],Auxiliar!$B$5:$B$13,0),MATCH(Table1[[#This Row],[Complexidade]],Auxiliar!$D$4:$F$4,0))</f>
        <v>0.1</v>
      </c>
      <c r="P733" s="2"/>
      <c r="Q733" s="2"/>
      <c r="R733" s="151">
        <v>45569</v>
      </c>
      <c r="S733" s="151"/>
      <c r="T733" s="151">
        <v>45569</v>
      </c>
      <c r="U733" s="151">
        <v>45621</v>
      </c>
      <c r="V733" s="151">
        <v>45622</v>
      </c>
      <c r="W733" s="2">
        <f>VLOOKUP(Table1[[#This Row],[Status]],Auxiliar!$B$16:$D$24,3,0)*Table1[[#This Row],[Estimação (horas)]]</f>
        <v>0.05</v>
      </c>
      <c r="X733" s="166">
        <f>+VLOOKUP(CONCATENATE(Table1[[#This Row],[Tabela]],Table1[[#This Row],[Campo]]),'2. Status Detalhe Campos FY24'!A:J,9,FALSE)</f>
        <v>0</v>
      </c>
    </row>
    <row r="734" spans="2:24" ht="17.850000000000001" hidden="1" customHeight="1">
      <c r="B734" s="2" t="s">
        <v>26</v>
      </c>
      <c r="C734" s="2" t="s">
        <v>310</v>
      </c>
      <c r="D734" s="2" t="s">
        <v>326</v>
      </c>
      <c r="E734" s="2" t="s">
        <v>38</v>
      </c>
      <c r="F734" s="2" t="s">
        <v>325</v>
      </c>
      <c r="G734" s="476" t="s">
        <v>295</v>
      </c>
      <c r="H734" s="56" t="str">
        <f>Table1[[#This Row],[Tabela]]&amp;Table1[[#This Row],[Campo]]</f>
        <v>modesg_out_empr_info_nfindivida_total</v>
      </c>
      <c r="I734" s="2" t="s">
        <v>1845</v>
      </c>
      <c r="J734" s="42">
        <f>VLOOKUP(Table1[[#This Row],[Status]],Auxiliar!$B$16:$C$24,2,0)</f>
        <v>2</v>
      </c>
      <c r="K734" s="2" t="s">
        <v>1171</v>
      </c>
      <c r="L734" s="28" t="s">
        <v>1177</v>
      </c>
      <c r="M734" s="20" t="s">
        <v>1179</v>
      </c>
      <c r="N734" s="47">
        <v>45695</v>
      </c>
      <c r="O734" s="20">
        <f>INDEX(Auxiliar!$D$5:$F$11,MATCH(Table1[[#This Row],[Tipologia_Testes]],Auxiliar!$B$5:$B$11,0),MATCH(Table1[[#This Row],[Complexidade]],Auxiliar!$D$4:$F$4,0))</f>
        <v>4</v>
      </c>
      <c r="P734" s="2"/>
      <c r="Q734" s="2"/>
      <c r="R734" s="151"/>
      <c r="S734" s="151"/>
      <c r="T734" s="151"/>
      <c r="U734" s="151"/>
      <c r="V734" s="151"/>
      <c r="W734" s="2">
        <f>VLOOKUP(Table1[[#This Row],[Status]],Auxiliar!$B$16:$D$24,3,0)*Table1[[#This Row],[Estimação (horas)]]</f>
        <v>2</v>
      </c>
      <c r="X734" s="166">
        <f>+VLOOKUP(CONCATENATE(Table1[[#This Row],[Tabela]],Table1[[#This Row],[Campo]]),'2. Status Detalhe Campos FY24'!A:J,9,FALSE)</f>
        <v>0</v>
      </c>
    </row>
    <row r="735" spans="2:24" ht="17.850000000000001" hidden="1" customHeight="1">
      <c r="B735" s="2" t="s">
        <v>26</v>
      </c>
      <c r="C735" s="2" t="s">
        <v>310</v>
      </c>
      <c r="D735" s="2" t="s">
        <v>326</v>
      </c>
      <c r="E735" s="2" t="s">
        <v>38</v>
      </c>
      <c r="F735" s="2" t="s">
        <v>325</v>
      </c>
      <c r="G735" s="476" t="s">
        <v>296</v>
      </c>
      <c r="H735" s="56" t="str">
        <f>Table1[[#This Row],[Tabela]]&amp;Table1[[#This Row],[Campo]]</f>
        <v>modesg_out_empr_info_nfincapital_proprio</v>
      </c>
      <c r="I735" s="2" t="s">
        <v>1845</v>
      </c>
      <c r="J735" s="42">
        <f>VLOOKUP(Table1[[#This Row],[Status]],Auxiliar!$B$16:$C$24,2,0)</f>
        <v>2</v>
      </c>
      <c r="K735" s="2" t="s">
        <v>1171</v>
      </c>
      <c r="L735" s="28" t="s">
        <v>1177</v>
      </c>
      <c r="M735" s="20" t="s">
        <v>1179</v>
      </c>
      <c r="N735" s="47">
        <v>45695</v>
      </c>
      <c r="O735" s="20">
        <f>INDEX(Auxiliar!$D$5:$F$11,MATCH(Table1[[#This Row],[Tipologia_Testes]],Auxiliar!$B$5:$B$11,0),MATCH(Table1[[#This Row],[Complexidade]],Auxiliar!$D$4:$F$4,0))</f>
        <v>4</v>
      </c>
      <c r="P735" s="2"/>
      <c r="Q735" s="2"/>
      <c r="R735" s="151"/>
      <c r="S735" s="151"/>
      <c r="T735" s="151"/>
      <c r="U735" s="151"/>
      <c r="V735" s="151"/>
      <c r="W735" s="2">
        <f>VLOOKUP(Table1[[#This Row],[Status]],Auxiliar!$B$16:$D$24,3,0)*Table1[[#This Row],[Estimação (horas)]]</f>
        <v>2</v>
      </c>
      <c r="X735" s="166">
        <f>+VLOOKUP(CONCATENATE(Table1[[#This Row],[Tabela]],Table1[[#This Row],[Campo]]),'2. Status Detalhe Campos FY24'!A:J,9,FALSE)</f>
        <v>0</v>
      </c>
    </row>
    <row r="736" spans="2:24" ht="17.850000000000001" hidden="1" customHeight="1">
      <c r="B736" s="2" t="s">
        <v>26</v>
      </c>
      <c r="C736" s="2" t="s">
        <v>310</v>
      </c>
      <c r="D736" s="2" t="s">
        <v>326</v>
      </c>
      <c r="E736" s="2" t="s">
        <v>38</v>
      </c>
      <c r="F736" s="2" t="s">
        <v>325</v>
      </c>
      <c r="G736" s="2" t="s">
        <v>209</v>
      </c>
      <c r="H736" s="56" t="str">
        <f>Table1[[#This Row],[Tabela]]&amp;Table1[[#This Row],[Campo]]</f>
        <v>modesg_out_empr_info_nfinzcliente</v>
      </c>
      <c r="I736" s="2" t="s">
        <v>612</v>
      </c>
      <c r="J736" s="54">
        <f>VLOOKUP(Table1[[#This Row],[Status]],Auxiliar!$B$16:$C$24,2,0)</f>
        <v>1</v>
      </c>
      <c r="K736" s="2" t="s">
        <v>1171</v>
      </c>
      <c r="L736" s="28" t="s">
        <v>1177</v>
      </c>
      <c r="M736" s="20" t="s">
        <v>1178</v>
      </c>
      <c r="N736" s="47">
        <v>45561</v>
      </c>
      <c r="O736" s="20">
        <f>INDEX(Auxiliar!$D$5:$F$13,MATCH(Table1[[#This Row],[Tipologia_Testes]],Auxiliar!$B$5:$B$13,0),MATCH(Table1[[#This Row],[Complexidade]],Auxiliar!$D$4:$F$4,0))</f>
        <v>2</v>
      </c>
      <c r="P736" s="2" t="s">
        <v>1204</v>
      </c>
      <c r="Q736" s="2"/>
      <c r="R736" s="151"/>
      <c r="S736" s="151"/>
      <c r="T736" s="151"/>
      <c r="U736" s="151"/>
      <c r="V736" s="151"/>
      <c r="W736" s="2">
        <f>VLOOKUP(Table1[[#This Row],[Status]],Auxiliar!$B$16:$D$24,3,0)*Table1[[#This Row],[Estimação (horas)]]</f>
        <v>2</v>
      </c>
      <c r="X736" s="166">
        <f>+VLOOKUP(CONCATENATE(Table1[[#This Row],[Tabela]],Table1[[#This Row],[Campo]]),'2. Status Detalhe Campos FY24'!A:J,9,FALSE)</f>
        <v>0</v>
      </c>
    </row>
    <row r="737" spans="2:24" ht="17.850000000000001" hidden="1" customHeight="1">
      <c r="B737" s="2" t="s">
        <v>26</v>
      </c>
      <c r="C737" s="2" t="s">
        <v>310</v>
      </c>
      <c r="D737" s="2" t="s">
        <v>326</v>
      </c>
      <c r="E737" s="2" t="s">
        <v>38</v>
      </c>
      <c r="F737" s="2" t="s">
        <v>325</v>
      </c>
      <c r="G737" s="2" t="s">
        <v>209</v>
      </c>
      <c r="H737" s="56" t="str">
        <f>Table1[[#This Row],[Tabela]]&amp;Table1[[#This Row],[Campo]]</f>
        <v>modesg_out_empr_info_nfinzcliente</v>
      </c>
      <c r="I737" s="2" t="s">
        <v>612</v>
      </c>
      <c r="J737" s="54">
        <f>VLOOKUP(Table1[[#This Row],[Status]],Auxiliar!$B$16:$C$24,2,0)</f>
        <v>1</v>
      </c>
      <c r="K737" s="2" t="s">
        <v>1172</v>
      </c>
      <c r="L737" s="28" t="s">
        <v>1177</v>
      </c>
      <c r="M737" s="20" t="s">
        <v>1178</v>
      </c>
      <c r="N737" s="47">
        <v>45561</v>
      </c>
      <c r="O737" s="20">
        <f>INDEX(Auxiliar!$D$5:$F$13,MATCH(Table1[[#This Row],[Tipologia_Testes]],Auxiliar!$B$5:$B$13,0),MATCH(Table1[[#This Row],[Complexidade]],Auxiliar!$D$4:$F$4,0))</f>
        <v>2</v>
      </c>
      <c r="P737" s="2" t="s">
        <v>1204</v>
      </c>
      <c r="Q737" s="2"/>
      <c r="R737" s="151"/>
      <c r="S737" s="151"/>
      <c r="T737" s="151"/>
      <c r="U737" s="151"/>
      <c r="V737" s="151"/>
      <c r="W737" s="2">
        <f>VLOOKUP(Table1[[#This Row],[Status]],Auxiliar!$B$16:$D$24,3,0)*Table1[[#This Row],[Estimação (horas)]]</f>
        <v>2</v>
      </c>
      <c r="X737" s="166">
        <f>+VLOOKUP(CONCATENATE(Table1[[#This Row],[Tabela]],Table1[[#This Row],[Campo]]),'2. Status Detalhe Campos FY24'!A:J,9,FALSE)</f>
        <v>0</v>
      </c>
    </row>
    <row r="738" spans="2:24" ht="23.85" hidden="1" customHeight="1">
      <c r="B738" s="2" t="s">
        <v>26</v>
      </c>
      <c r="C738" s="2" t="s">
        <v>310</v>
      </c>
      <c r="D738" s="2" t="s">
        <v>326</v>
      </c>
      <c r="E738" s="2" t="s">
        <v>38</v>
      </c>
      <c r="F738" s="2" t="s">
        <v>325</v>
      </c>
      <c r="G738" s="2" t="s">
        <v>209</v>
      </c>
      <c r="H738" s="56" t="str">
        <f>Table1[[#This Row],[Tabela]]&amp;Table1[[#This Row],[Campo]]</f>
        <v>modesg_out_empr_info_nfinzcliente</v>
      </c>
      <c r="I738" s="2" t="s">
        <v>612</v>
      </c>
      <c r="J738" s="54">
        <f>VLOOKUP(Table1[[#This Row],[Status]],Auxiliar!$B$16:$C$24,2,0)</f>
        <v>1</v>
      </c>
      <c r="K738" s="2" t="s">
        <v>1174</v>
      </c>
      <c r="L738" s="28" t="s">
        <v>1177</v>
      </c>
      <c r="M738" s="20" t="s">
        <v>1178</v>
      </c>
      <c r="N738" s="47">
        <v>45561</v>
      </c>
      <c r="O738" s="20">
        <f>INDEX(Auxiliar!$D$5:$F$13,MATCH(Table1[[#This Row],[Tipologia_Testes]],Auxiliar!$B$5:$B$13,0),MATCH(Table1[[#This Row],[Complexidade]],Auxiliar!$D$4:$F$4,0))</f>
        <v>0.1</v>
      </c>
      <c r="P738" s="2" t="s">
        <v>1204</v>
      </c>
      <c r="Q738" s="2"/>
      <c r="R738" s="151"/>
      <c r="S738" s="151"/>
      <c r="T738" s="151"/>
      <c r="U738" s="151"/>
      <c r="V738" s="151"/>
      <c r="W738" s="2">
        <f>VLOOKUP(Table1[[#This Row],[Status]],Auxiliar!$B$16:$D$24,3,0)*Table1[[#This Row],[Estimação (horas)]]</f>
        <v>0.1</v>
      </c>
      <c r="X738" s="166">
        <f>+VLOOKUP(CONCATENATE(Table1[[#This Row],[Tabela]],Table1[[#This Row],[Campo]]),'2. Status Detalhe Campos FY24'!A:J,9,FALSE)</f>
        <v>0</v>
      </c>
    </row>
    <row r="739" spans="2:24" ht="17.850000000000001" hidden="1" customHeight="1">
      <c r="B739" s="2" t="s">
        <v>26</v>
      </c>
      <c r="C739" s="2" t="s">
        <v>310</v>
      </c>
      <c r="D739" s="2" t="s">
        <v>332</v>
      </c>
      <c r="E739" s="2" t="s">
        <v>38</v>
      </c>
      <c r="F739" s="2" t="s">
        <v>331</v>
      </c>
      <c r="G739" s="2" t="s">
        <v>38</v>
      </c>
      <c r="H739" s="56" t="str">
        <f>Table1[[#This Row],[Tabela]]&amp;Table1[[#This Row],[Campo]]</f>
        <v>modesg_out_emss_vclsn.a.</v>
      </c>
      <c r="I739" s="3" t="s">
        <v>612</v>
      </c>
      <c r="J739" s="42">
        <f>VLOOKUP(Table1[[#This Row],[Status]],Auxiliar!$B$16:$C$24,2,0)</f>
        <v>1</v>
      </c>
      <c r="K739" s="2" t="s">
        <v>1168</v>
      </c>
      <c r="L739" s="28" t="s">
        <v>1177</v>
      </c>
      <c r="M739" s="20" t="s">
        <v>1178</v>
      </c>
      <c r="N739" s="47">
        <v>45632</v>
      </c>
      <c r="O739" s="20">
        <f>INDEX(Auxiliar!$D$5:$F$13,MATCH(Table1[[#This Row],[Tipologia_Testes]],Auxiliar!$B$5:$B$13,0),MATCH(Table1[[#This Row],[Complexidade]],Auxiliar!$D$4:$F$4,0))</f>
        <v>8</v>
      </c>
      <c r="P739" s="22" t="s">
        <v>1205</v>
      </c>
      <c r="Q739" s="2"/>
      <c r="R739" s="151">
        <v>45560</v>
      </c>
      <c r="S739" s="151"/>
      <c r="T739" s="151">
        <v>45560</v>
      </c>
      <c r="U739" s="151">
        <v>45607</v>
      </c>
      <c r="V739" s="151">
        <v>45608</v>
      </c>
      <c r="W739" s="2">
        <f>VLOOKUP(Table1[[#This Row],[Status]],Auxiliar!$B$16:$D$24,3,0)*Table1[[#This Row],[Estimação (horas)]]</f>
        <v>8</v>
      </c>
      <c r="X739" s="166">
        <f>+VLOOKUP(CONCATENATE(Table1[[#This Row],[Tabela]],Table1[[#This Row],[Campo]]),'2. Status Detalhe Campos FY24'!A:J,9,FALSE)</f>
        <v>0</v>
      </c>
    </row>
    <row r="740" spans="2:24" ht="17.850000000000001" hidden="1" customHeight="1">
      <c r="B740" s="2" t="s">
        <v>26</v>
      </c>
      <c r="C740" s="2" t="s">
        <v>310</v>
      </c>
      <c r="D740" s="2" t="s">
        <v>332</v>
      </c>
      <c r="E740" s="2" t="s">
        <v>38</v>
      </c>
      <c r="F740" s="2" t="s">
        <v>331</v>
      </c>
      <c r="G740" s="2" t="s">
        <v>313</v>
      </c>
      <c r="H740" s="56" t="str">
        <f>Table1[[#This Row],[Tabela]]&amp;Table1[[#This Row],[Campo]]</f>
        <v>modesg_out_emss_vclscempbem</v>
      </c>
      <c r="I740" s="3" t="s">
        <v>612</v>
      </c>
      <c r="J740" s="54">
        <f>VLOOKUP(Table1[[#This Row],[Status]],Auxiliar!$B$16:$C$24,2,0)</f>
        <v>1</v>
      </c>
      <c r="K740" s="2" t="s">
        <v>1171</v>
      </c>
      <c r="L740" s="28" t="s">
        <v>1177</v>
      </c>
      <c r="M740" s="20" t="s">
        <v>1178</v>
      </c>
      <c r="N740" s="47">
        <v>45485</v>
      </c>
      <c r="O740" s="20">
        <f>INDEX(Auxiliar!$D$5:$F$13,MATCH(Table1[[#This Row],[Tipologia_Testes]],Auxiliar!$B$5:$B$13,0),MATCH(Table1[[#This Row],[Complexidade]],Auxiliar!$D$4:$F$4,0))</f>
        <v>2</v>
      </c>
      <c r="P740" s="2"/>
      <c r="Q740" s="2"/>
      <c r="R740" s="151">
        <v>45261</v>
      </c>
      <c r="S740" s="151"/>
      <c r="T740" s="151"/>
      <c r="U740" s="151"/>
      <c r="V740" s="151"/>
      <c r="W740" s="2">
        <f>VLOOKUP(Table1[[#This Row],[Status]],Auxiliar!$B$16:$D$24,3,0)*Table1[[#This Row],[Estimação (horas)]]</f>
        <v>2</v>
      </c>
      <c r="X740" s="166">
        <f>+VLOOKUP(CONCATENATE(Table1[[#This Row],[Tabela]],Table1[[#This Row],[Campo]]),'2. Status Detalhe Campos FY24'!A:J,9,FALSE)</f>
        <v>0</v>
      </c>
    </row>
    <row r="741" spans="2:24" ht="17.850000000000001" hidden="1" customHeight="1">
      <c r="B741" s="2" t="s">
        <v>26</v>
      </c>
      <c r="C741" s="2" t="s">
        <v>310</v>
      </c>
      <c r="D741" s="2" t="s">
        <v>332</v>
      </c>
      <c r="E741" s="2" t="s">
        <v>38</v>
      </c>
      <c r="F741" s="2" t="s">
        <v>331</v>
      </c>
      <c r="G741" s="2" t="s">
        <v>313</v>
      </c>
      <c r="H741" s="56" t="str">
        <f>Table1[[#This Row],[Tabela]]&amp;Table1[[#This Row],[Campo]]</f>
        <v>modesg_out_emss_vclscempbem</v>
      </c>
      <c r="I741" s="3" t="s">
        <v>612</v>
      </c>
      <c r="J741" s="54">
        <f>VLOOKUP(Table1[[#This Row],[Status]],Auxiliar!$B$16:$C$24,2,0)</f>
        <v>1</v>
      </c>
      <c r="K741" s="2" t="s">
        <v>1172</v>
      </c>
      <c r="L741" s="28" t="s">
        <v>1177</v>
      </c>
      <c r="M741" s="20" t="s">
        <v>1178</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166">
        <f>+VLOOKUP(CONCATENATE(Table1[[#This Row],[Tabela]],Table1[[#This Row],[Campo]]),'2. Status Detalhe Campos FY24'!A:J,9,FALSE)</f>
        <v>0</v>
      </c>
    </row>
    <row r="742" spans="2:24" ht="17.850000000000001" hidden="1" customHeight="1">
      <c r="B742" s="2" t="s">
        <v>26</v>
      </c>
      <c r="C742" s="2" t="s">
        <v>310</v>
      </c>
      <c r="D742" s="2" t="s">
        <v>332</v>
      </c>
      <c r="E742" s="2" t="s">
        <v>38</v>
      </c>
      <c r="F742" s="2" t="s">
        <v>331</v>
      </c>
      <c r="G742" s="2" t="s">
        <v>313</v>
      </c>
      <c r="H742" s="56" t="str">
        <f>Table1[[#This Row],[Tabela]]&amp;Table1[[#This Row],[Campo]]</f>
        <v>modesg_out_emss_vclscempbem</v>
      </c>
      <c r="I742" s="3" t="s">
        <v>612</v>
      </c>
      <c r="J742" s="54">
        <f>VLOOKUP(Table1[[#This Row],[Status]],Auxiliar!$B$16:$C$24,2,0)</f>
        <v>1</v>
      </c>
      <c r="K742" s="2" t="s">
        <v>1174</v>
      </c>
      <c r="L742" s="28" t="s">
        <v>1177</v>
      </c>
      <c r="M742" s="20" t="s">
        <v>1178</v>
      </c>
      <c r="N742" s="47">
        <v>45485</v>
      </c>
      <c r="O742" s="20">
        <f>INDEX(Auxiliar!$D$5:$F$13,MATCH(Table1[[#This Row],[Tipologia_Testes]],Auxiliar!$B$5:$B$13,0),MATCH(Table1[[#This Row],[Complexidade]],Auxiliar!$D$4:$F$4,0))</f>
        <v>0.1</v>
      </c>
      <c r="P742" s="2"/>
      <c r="Q742" s="2"/>
      <c r="R742" s="151">
        <v>45261</v>
      </c>
      <c r="S742" s="151"/>
      <c r="T742" s="151"/>
      <c r="U742" s="151"/>
      <c r="V742" s="151"/>
      <c r="W742" s="2">
        <f>VLOOKUP(Table1[[#This Row],[Status]],Auxiliar!$B$16:$D$24,3,0)*Table1[[#This Row],[Estimação (horas)]]</f>
        <v>0.1</v>
      </c>
      <c r="X742" s="166">
        <f>+VLOOKUP(CONCATENATE(Table1[[#This Row],[Tabela]],Table1[[#This Row],[Campo]]),'2. Status Detalhe Campos FY24'!A:J,9,FALSE)</f>
        <v>0</v>
      </c>
    </row>
    <row r="743" spans="2:24" ht="17.850000000000001" hidden="1" customHeight="1">
      <c r="B743" s="2" t="s">
        <v>26</v>
      </c>
      <c r="C743" s="2" t="s">
        <v>310</v>
      </c>
      <c r="D743" s="2" t="s">
        <v>332</v>
      </c>
      <c r="E743" s="2" t="s">
        <v>38</v>
      </c>
      <c r="F743" s="2" t="s">
        <v>331</v>
      </c>
      <c r="G743" s="2" t="s">
        <v>314</v>
      </c>
      <c r="H743" s="56" t="str">
        <f>Table1[[#This Row],[Tabela]]&amp;Table1[[#This Row],[Campo]]</f>
        <v>modesg_out_emss_vclsckbalbem</v>
      </c>
      <c r="I743" s="3" t="s">
        <v>612</v>
      </c>
      <c r="J743" s="54">
        <f>VLOOKUP(Table1[[#This Row],[Status]],Auxiliar!$B$16:$C$24,2,0)</f>
        <v>1</v>
      </c>
      <c r="K743" s="2" t="s">
        <v>1171</v>
      </c>
      <c r="L743" s="28" t="s">
        <v>1177</v>
      </c>
      <c r="M743" s="20" t="s">
        <v>1178</v>
      </c>
      <c r="N743" s="47">
        <v>45485</v>
      </c>
      <c r="O743" s="20">
        <f>INDEX(Auxiliar!$D$5:$F$13,MATCH(Table1[[#This Row],[Tipologia_Testes]],Auxiliar!$B$5:$B$13,0),MATCH(Table1[[#This Row],[Complexidade]],Auxiliar!$D$4:$F$4,0))</f>
        <v>2</v>
      </c>
      <c r="P743" s="2"/>
      <c r="Q743" s="2"/>
      <c r="R743" s="151">
        <v>45261</v>
      </c>
      <c r="S743" s="151"/>
      <c r="T743" s="151"/>
      <c r="U743" s="151"/>
      <c r="V743" s="151"/>
      <c r="W743" s="2">
        <f>VLOOKUP(Table1[[#This Row],[Status]],Auxiliar!$B$16:$D$24,3,0)*Table1[[#This Row],[Estimação (horas)]]</f>
        <v>2</v>
      </c>
      <c r="X743" s="166">
        <f>+VLOOKUP(CONCATENATE(Table1[[#This Row],[Tabela]],Table1[[#This Row],[Campo]]),'2. Status Detalhe Campos FY24'!A:J,9,FALSE)</f>
        <v>0</v>
      </c>
    </row>
    <row r="744" spans="2:24" ht="17.850000000000001" hidden="1" customHeight="1">
      <c r="B744" s="2" t="s">
        <v>26</v>
      </c>
      <c r="C744" s="2" t="s">
        <v>310</v>
      </c>
      <c r="D744" s="2" t="s">
        <v>332</v>
      </c>
      <c r="E744" s="2" t="s">
        <v>38</v>
      </c>
      <c r="F744" s="2" t="s">
        <v>331</v>
      </c>
      <c r="G744" s="2" t="s">
        <v>314</v>
      </c>
      <c r="H744" s="56" t="str">
        <f>Table1[[#This Row],[Tabela]]&amp;Table1[[#This Row],[Campo]]</f>
        <v>modesg_out_emss_vclsckbalbem</v>
      </c>
      <c r="I744" s="3" t="s">
        <v>612</v>
      </c>
      <c r="J744" s="54">
        <f>VLOOKUP(Table1[[#This Row],[Status]],Auxiliar!$B$16:$C$24,2,0)</f>
        <v>1</v>
      </c>
      <c r="K744" s="2" t="s">
        <v>1172</v>
      </c>
      <c r="L744" s="28" t="s">
        <v>1177</v>
      </c>
      <c r="M744" s="20" t="s">
        <v>1178</v>
      </c>
      <c r="N744" s="47">
        <v>45485</v>
      </c>
      <c r="O744" s="20">
        <f>INDEX(Auxiliar!$D$5:$F$13,MATCH(Table1[[#This Row],[Tipologia_Testes]],Auxiliar!$B$5:$B$13,0),MATCH(Table1[[#This Row],[Complexidade]],Auxiliar!$D$4:$F$4,0))</f>
        <v>2</v>
      </c>
      <c r="P744" s="2"/>
      <c r="Q744" s="2"/>
      <c r="R744" s="151">
        <v>45261</v>
      </c>
      <c r="S744" s="151"/>
      <c r="T744" s="151"/>
      <c r="U744" s="151"/>
      <c r="V744" s="151"/>
      <c r="W744" s="2">
        <f>VLOOKUP(Table1[[#This Row],[Status]],Auxiliar!$B$16:$D$24,3,0)*Table1[[#This Row],[Estimação (horas)]]</f>
        <v>2</v>
      </c>
      <c r="X744" s="166">
        <f>+VLOOKUP(CONCATENATE(Table1[[#This Row],[Tabela]],Table1[[#This Row],[Campo]]),'2. Status Detalhe Campos FY24'!A:J,9,FALSE)</f>
        <v>0</v>
      </c>
    </row>
    <row r="745" spans="2:24" ht="17.850000000000001" hidden="1" customHeight="1">
      <c r="B745" s="2" t="s">
        <v>26</v>
      </c>
      <c r="C745" s="2" t="s">
        <v>310</v>
      </c>
      <c r="D745" s="2" t="s">
        <v>332</v>
      </c>
      <c r="E745" s="2" t="s">
        <v>38</v>
      </c>
      <c r="F745" s="2" t="s">
        <v>331</v>
      </c>
      <c r="G745" s="2" t="s">
        <v>314</v>
      </c>
      <c r="H745" s="56" t="str">
        <f>Table1[[#This Row],[Tabela]]&amp;Table1[[#This Row],[Campo]]</f>
        <v>modesg_out_emss_vclsckbalbem</v>
      </c>
      <c r="I745" s="3" t="s">
        <v>612</v>
      </c>
      <c r="J745" s="54">
        <f>VLOOKUP(Table1[[#This Row],[Status]],Auxiliar!$B$16:$C$24,2,0)</f>
        <v>1</v>
      </c>
      <c r="K745" s="2" t="s">
        <v>1174</v>
      </c>
      <c r="L745" s="28" t="s">
        <v>1177</v>
      </c>
      <c r="M745" s="20" t="s">
        <v>1178</v>
      </c>
      <c r="N745" s="47">
        <v>45485</v>
      </c>
      <c r="O745" s="20">
        <f>INDEX(Auxiliar!$D$5:$F$13,MATCH(Table1[[#This Row],[Tipologia_Testes]],Auxiliar!$B$5:$B$13,0),MATCH(Table1[[#This Row],[Complexidade]],Auxiliar!$D$4:$F$4,0))</f>
        <v>0.1</v>
      </c>
      <c r="P745" s="2"/>
      <c r="Q745" s="2"/>
      <c r="R745" s="151">
        <v>45261</v>
      </c>
      <c r="S745" s="151"/>
      <c r="T745" s="151"/>
      <c r="U745" s="151"/>
      <c r="V745" s="151"/>
      <c r="W745" s="2">
        <f>VLOOKUP(Table1[[#This Row],[Status]],Auxiliar!$B$16:$D$24,3,0)*Table1[[#This Row],[Estimação (horas)]]</f>
        <v>0.1</v>
      </c>
      <c r="X745" s="166">
        <f>+VLOOKUP(CONCATENATE(Table1[[#This Row],[Tabela]],Table1[[#This Row],[Campo]]),'2. Status Detalhe Campos FY24'!A:J,9,FALSE)</f>
        <v>0</v>
      </c>
    </row>
    <row r="746" spans="2:24" ht="17.850000000000001" hidden="1" customHeight="1">
      <c r="B746" s="2" t="s">
        <v>26</v>
      </c>
      <c r="C746" s="2" t="s">
        <v>310</v>
      </c>
      <c r="D746" s="2" t="s">
        <v>332</v>
      </c>
      <c r="E746" s="2" t="s">
        <v>38</v>
      </c>
      <c r="F746" s="2" t="s">
        <v>331</v>
      </c>
      <c r="G746" s="2" t="s">
        <v>315</v>
      </c>
      <c r="H746" s="56" t="str">
        <f>Table1[[#This Row],[Tabela]]&amp;Table1[[#This Row],[Campo]]</f>
        <v>modesg_out_emss_vclsckctabem</v>
      </c>
      <c r="I746" s="3" t="s">
        <v>612</v>
      </c>
      <c r="J746" s="54">
        <f>VLOOKUP(Table1[[#This Row],[Status]],Auxiliar!$B$16:$C$24,2,0)</f>
        <v>1</v>
      </c>
      <c r="K746" s="2" t="s">
        <v>1171</v>
      </c>
      <c r="L746" s="28" t="s">
        <v>1177</v>
      </c>
      <c r="M746" s="20" t="s">
        <v>1178</v>
      </c>
      <c r="N746" s="47">
        <v>45485</v>
      </c>
      <c r="O746" s="20">
        <f>INDEX(Auxiliar!$D$5:$F$13,MATCH(Table1[[#This Row],[Tipologia_Testes]],Auxiliar!$B$5:$B$13,0),MATCH(Table1[[#This Row],[Complexidade]],Auxiliar!$D$4:$F$4,0))</f>
        <v>2</v>
      </c>
      <c r="P746" s="2"/>
      <c r="Q746" s="2"/>
      <c r="R746" s="151">
        <v>45261</v>
      </c>
      <c r="S746" s="151"/>
      <c r="T746" s="151"/>
      <c r="U746" s="151"/>
      <c r="V746" s="151"/>
      <c r="W746" s="2">
        <f>VLOOKUP(Table1[[#This Row],[Status]],Auxiliar!$B$16:$D$24,3,0)*Table1[[#This Row],[Estimação (horas)]]</f>
        <v>2</v>
      </c>
      <c r="X746" s="166">
        <f>+VLOOKUP(CONCATENATE(Table1[[#This Row],[Tabela]],Table1[[#This Row],[Campo]]),'2. Status Detalhe Campos FY24'!A:J,9,FALSE)</f>
        <v>0</v>
      </c>
    </row>
    <row r="747" spans="2:24" ht="17.850000000000001" hidden="1" customHeight="1">
      <c r="B747" s="2" t="s">
        <v>26</v>
      </c>
      <c r="C747" s="2" t="s">
        <v>310</v>
      </c>
      <c r="D747" s="2" t="s">
        <v>332</v>
      </c>
      <c r="E747" s="2" t="s">
        <v>38</v>
      </c>
      <c r="F747" s="2" t="s">
        <v>331</v>
      </c>
      <c r="G747" s="2" t="s">
        <v>315</v>
      </c>
      <c r="H747" s="56" t="str">
        <f>Table1[[#This Row],[Tabela]]&amp;Table1[[#This Row],[Campo]]</f>
        <v>modesg_out_emss_vclsckctabem</v>
      </c>
      <c r="I747" s="3" t="s">
        <v>612</v>
      </c>
      <c r="J747" s="54">
        <f>VLOOKUP(Table1[[#This Row],[Status]],Auxiliar!$B$16:$C$24,2,0)</f>
        <v>1</v>
      </c>
      <c r="K747" s="2" t="s">
        <v>1172</v>
      </c>
      <c r="L747" s="28" t="s">
        <v>1177</v>
      </c>
      <c r="M747" s="20" t="s">
        <v>1178</v>
      </c>
      <c r="N747" s="47">
        <v>45485</v>
      </c>
      <c r="O747" s="20">
        <f>INDEX(Auxiliar!$D$5:$F$13,MATCH(Table1[[#This Row],[Tipologia_Testes]],Auxiliar!$B$5:$B$13,0),MATCH(Table1[[#This Row],[Complexidade]],Auxiliar!$D$4:$F$4,0))</f>
        <v>2</v>
      </c>
      <c r="P747" s="2"/>
      <c r="Q747" s="2"/>
      <c r="R747" s="151">
        <v>45261</v>
      </c>
      <c r="S747" s="151"/>
      <c r="T747" s="151"/>
      <c r="U747" s="151"/>
      <c r="V747" s="151"/>
      <c r="W747" s="2">
        <f>VLOOKUP(Table1[[#This Row],[Status]],Auxiliar!$B$16:$D$24,3,0)*Table1[[#This Row],[Estimação (horas)]]</f>
        <v>2</v>
      </c>
      <c r="X747" s="166">
        <f>+VLOOKUP(CONCATENATE(Table1[[#This Row],[Tabela]],Table1[[#This Row],[Campo]]),'2. Status Detalhe Campos FY24'!A:J,9,FALSE)</f>
        <v>0</v>
      </c>
    </row>
    <row r="748" spans="2:24" ht="17.850000000000001" hidden="1" customHeight="1">
      <c r="B748" s="2" t="s">
        <v>26</v>
      </c>
      <c r="C748" s="2" t="s">
        <v>310</v>
      </c>
      <c r="D748" s="2" t="s">
        <v>332</v>
      </c>
      <c r="E748" s="2" t="s">
        <v>38</v>
      </c>
      <c r="F748" s="2" t="s">
        <v>331</v>
      </c>
      <c r="G748" s="2" t="s">
        <v>315</v>
      </c>
      <c r="H748" s="56" t="str">
        <f>Table1[[#This Row],[Tabela]]&amp;Table1[[#This Row],[Campo]]</f>
        <v>modesg_out_emss_vclsckctabem</v>
      </c>
      <c r="I748" s="3" t="s">
        <v>612</v>
      </c>
      <c r="J748" s="54">
        <f>VLOOKUP(Table1[[#This Row],[Status]],Auxiliar!$B$16:$C$24,2,0)</f>
        <v>1</v>
      </c>
      <c r="K748" s="2" t="s">
        <v>1174</v>
      </c>
      <c r="L748" s="28" t="s">
        <v>1177</v>
      </c>
      <c r="M748" s="20" t="s">
        <v>1178</v>
      </c>
      <c r="N748" s="47">
        <v>45485</v>
      </c>
      <c r="O748" s="20">
        <f>INDEX(Auxiliar!$D$5:$F$13,MATCH(Table1[[#This Row],[Tipologia_Testes]],Auxiliar!$B$5:$B$13,0),MATCH(Table1[[#This Row],[Complexidade]],Auxiliar!$D$4:$F$4,0))</f>
        <v>0.1</v>
      </c>
      <c r="P748" s="2"/>
      <c r="Q748" s="2"/>
      <c r="R748" s="151">
        <v>45261</v>
      </c>
      <c r="S748" s="151"/>
      <c r="T748" s="151"/>
      <c r="U748" s="151"/>
      <c r="V748" s="151"/>
      <c r="W748" s="2">
        <f>VLOOKUP(Table1[[#This Row],[Status]],Auxiliar!$B$16:$D$24,3,0)*Table1[[#This Row],[Estimação (horas)]]</f>
        <v>0.1</v>
      </c>
      <c r="X748" s="166">
        <f>+VLOOKUP(CONCATENATE(Table1[[#This Row],[Tabela]],Table1[[#This Row],[Campo]]),'2. Status Detalhe Campos FY24'!A:J,9,FALSE)</f>
        <v>0</v>
      </c>
    </row>
    <row r="749" spans="2:24" ht="17.850000000000001" hidden="1" customHeight="1">
      <c r="B749" s="2" t="s">
        <v>26</v>
      </c>
      <c r="C749" s="2" t="s">
        <v>310</v>
      </c>
      <c r="D749" s="2" t="s">
        <v>332</v>
      </c>
      <c r="E749" s="2" t="s">
        <v>38</v>
      </c>
      <c r="F749" s="2" t="s">
        <v>331</v>
      </c>
      <c r="G749" s="2" t="s">
        <v>316</v>
      </c>
      <c r="H749" s="56" t="str">
        <f>Table1[[#This Row],[Tabela]]&amp;Table1[[#This Row],[Campo]]</f>
        <v>modesg_out_emss_vclsckrefbem</v>
      </c>
      <c r="I749" s="3" t="s">
        <v>612</v>
      </c>
      <c r="J749" s="54">
        <f>VLOOKUP(Table1[[#This Row],[Status]],Auxiliar!$B$16:$C$24,2,0)</f>
        <v>1</v>
      </c>
      <c r="K749" s="2" t="s">
        <v>1171</v>
      </c>
      <c r="L749" s="28" t="s">
        <v>1177</v>
      </c>
      <c r="M749" s="20" t="s">
        <v>1178</v>
      </c>
      <c r="N749" s="47">
        <v>45485</v>
      </c>
      <c r="O749" s="20">
        <f>INDEX(Auxiliar!$D$5:$F$13,MATCH(Table1[[#This Row],[Tipologia_Testes]],Auxiliar!$B$5:$B$13,0),MATCH(Table1[[#This Row],[Complexidade]],Auxiliar!$D$4:$F$4,0))</f>
        <v>2</v>
      </c>
      <c r="P749" s="2"/>
      <c r="Q749" s="2"/>
      <c r="R749" s="151">
        <v>45261</v>
      </c>
      <c r="S749" s="151"/>
      <c r="T749" s="151"/>
      <c r="U749" s="151"/>
      <c r="V749" s="151"/>
      <c r="W749" s="2">
        <f>VLOOKUP(Table1[[#This Row],[Status]],Auxiliar!$B$16:$D$24,3,0)*Table1[[#This Row],[Estimação (horas)]]</f>
        <v>2</v>
      </c>
      <c r="X749" s="166">
        <f>+VLOOKUP(CONCATENATE(Table1[[#This Row],[Tabela]],Table1[[#This Row],[Campo]]),'2. Status Detalhe Campos FY24'!A:J,9,FALSE)</f>
        <v>0</v>
      </c>
    </row>
    <row r="750" spans="2:24" ht="17.850000000000001" hidden="1" customHeight="1">
      <c r="B750" s="2" t="s">
        <v>26</v>
      </c>
      <c r="C750" s="2" t="s">
        <v>310</v>
      </c>
      <c r="D750" s="2" t="s">
        <v>332</v>
      </c>
      <c r="E750" s="2" t="s">
        <v>38</v>
      </c>
      <c r="F750" s="2" t="s">
        <v>331</v>
      </c>
      <c r="G750" s="2" t="s">
        <v>316</v>
      </c>
      <c r="H750" s="56" t="str">
        <f>Table1[[#This Row],[Tabela]]&amp;Table1[[#This Row],[Campo]]</f>
        <v>modesg_out_emss_vclsckrefbem</v>
      </c>
      <c r="I750" s="3" t="s">
        <v>612</v>
      </c>
      <c r="J750" s="54">
        <f>VLOOKUP(Table1[[#This Row],[Status]],Auxiliar!$B$16:$C$24,2,0)</f>
        <v>1</v>
      </c>
      <c r="K750" s="2" t="s">
        <v>1172</v>
      </c>
      <c r="L750" s="28" t="s">
        <v>1177</v>
      </c>
      <c r="M750" s="20" t="s">
        <v>1178</v>
      </c>
      <c r="N750" s="47">
        <v>45485</v>
      </c>
      <c r="O750" s="20">
        <f>INDEX(Auxiliar!$D$5:$F$13,MATCH(Table1[[#This Row],[Tipologia_Testes]],Auxiliar!$B$5:$B$13,0),MATCH(Table1[[#This Row],[Complexidade]],Auxiliar!$D$4:$F$4,0))</f>
        <v>2</v>
      </c>
      <c r="P750" s="2"/>
      <c r="Q750" s="2"/>
      <c r="R750" s="151">
        <v>45261</v>
      </c>
      <c r="S750" s="151"/>
      <c r="T750" s="151"/>
      <c r="U750" s="151"/>
      <c r="V750" s="151"/>
      <c r="W750" s="2">
        <f>VLOOKUP(Table1[[#This Row],[Status]],Auxiliar!$B$16:$D$24,3,0)*Table1[[#This Row],[Estimação (horas)]]</f>
        <v>2</v>
      </c>
      <c r="X750" s="166">
        <f>+VLOOKUP(CONCATENATE(Table1[[#This Row],[Tabela]],Table1[[#This Row],[Campo]]),'2. Status Detalhe Campos FY24'!A:J,9,FALSE)</f>
        <v>0</v>
      </c>
    </row>
    <row r="751" spans="2:24" ht="17.850000000000001" hidden="1" customHeight="1">
      <c r="B751" s="2" t="s">
        <v>26</v>
      </c>
      <c r="C751" s="2" t="s">
        <v>310</v>
      </c>
      <c r="D751" s="2" t="s">
        <v>332</v>
      </c>
      <c r="E751" s="2" t="s">
        <v>38</v>
      </c>
      <c r="F751" s="2" t="s">
        <v>331</v>
      </c>
      <c r="G751" s="2" t="s">
        <v>316</v>
      </c>
      <c r="H751" s="56" t="str">
        <f>Table1[[#This Row],[Tabela]]&amp;Table1[[#This Row],[Campo]]</f>
        <v>modesg_out_emss_vclsckrefbem</v>
      </c>
      <c r="I751" s="3" t="s">
        <v>612</v>
      </c>
      <c r="J751" s="54">
        <f>VLOOKUP(Table1[[#This Row],[Status]],Auxiliar!$B$16:$C$24,2,0)</f>
        <v>1</v>
      </c>
      <c r="K751" s="2" t="s">
        <v>1174</v>
      </c>
      <c r="L751" s="28" t="s">
        <v>1177</v>
      </c>
      <c r="M751" s="20" t="s">
        <v>1178</v>
      </c>
      <c r="N751" s="47">
        <v>45485</v>
      </c>
      <c r="O751" s="20">
        <f>INDEX(Auxiliar!$D$5:$F$13,MATCH(Table1[[#This Row],[Tipologia_Testes]],Auxiliar!$B$5:$B$13,0),MATCH(Table1[[#This Row],[Complexidade]],Auxiliar!$D$4:$F$4,0))</f>
        <v>0.1</v>
      </c>
      <c r="P751" s="2"/>
      <c r="Q751" s="2"/>
      <c r="R751" s="151">
        <v>45261</v>
      </c>
      <c r="S751" s="151"/>
      <c r="T751" s="151"/>
      <c r="U751" s="151"/>
      <c r="V751" s="151"/>
      <c r="W751" s="2">
        <f>VLOOKUP(Table1[[#This Row],[Status]],Auxiliar!$B$16:$D$24,3,0)*Table1[[#This Row],[Estimação (horas)]]</f>
        <v>0.1</v>
      </c>
      <c r="X751" s="166">
        <f>+VLOOKUP(CONCATENATE(Table1[[#This Row],[Tabela]],Table1[[#This Row],[Campo]]),'2. Status Detalhe Campos FY24'!A:J,9,FALSE)</f>
        <v>0</v>
      </c>
    </row>
    <row r="752" spans="2:24" ht="17.850000000000001" hidden="1" customHeight="1">
      <c r="B752" s="2" t="s">
        <v>26</v>
      </c>
      <c r="C752" s="2" t="s">
        <v>310</v>
      </c>
      <c r="D752" s="2" t="s">
        <v>332</v>
      </c>
      <c r="E752" s="2" t="s">
        <v>38</v>
      </c>
      <c r="F752" s="2" t="s">
        <v>331</v>
      </c>
      <c r="G752" s="2" t="s">
        <v>188</v>
      </c>
      <c r="H752" s="56" t="str">
        <f>Table1[[#This Row],[Tabela]]&amp;Table1[[#This Row],[Campo]]</f>
        <v>modesg_out_emss_vclscnsm_co2</v>
      </c>
      <c r="I752" s="2" t="s">
        <v>612</v>
      </c>
      <c r="J752" s="42">
        <f>VLOOKUP(Table1[[#This Row],[Status]],Auxiliar!$B$16:$C$24,2,0)</f>
        <v>1</v>
      </c>
      <c r="K752" s="2" t="s">
        <v>1171</v>
      </c>
      <c r="L752" s="28" t="s">
        <v>1169</v>
      </c>
      <c r="M752" s="20" t="s">
        <v>1179</v>
      </c>
      <c r="N752" s="47">
        <v>45618</v>
      </c>
      <c r="O752" s="20">
        <f>INDEX(Auxiliar!$D$5:$F$13,MATCH(Table1[[#This Row],[Tipologia_Testes]],Auxiliar!$B$5:$B$13,0),MATCH(Table1[[#This Row],[Complexidade]],Auxiliar!$D$4:$F$4,0))</f>
        <v>4</v>
      </c>
      <c r="P752" s="2" t="s">
        <v>1206</v>
      </c>
      <c r="Q752" s="2"/>
      <c r="R752" s="151">
        <v>45559</v>
      </c>
      <c r="S752" s="151"/>
      <c r="T752" s="151">
        <v>45559</v>
      </c>
      <c r="U752" s="151">
        <v>45607</v>
      </c>
      <c r="V752" s="151">
        <v>45608</v>
      </c>
      <c r="W752" s="2">
        <f>VLOOKUP(Table1[[#This Row],[Status]],Auxiliar!$B$16:$D$24,3,0)*Table1[[#This Row],[Estimação (horas)]]</f>
        <v>4</v>
      </c>
      <c r="X752" s="166">
        <f>+VLOOKUP(CONCATENATE(Table1[[#This Row],[Tabela]],Table1[[#This Row],[Campo]]),'2. Status Detalhe Campos FY24'!A:J,9,FALSE)</f>
        <v>0</v>
      </c>
    </row>
    <row r="753" spans="2:24" ht="17.850000000000001" hidden="1" customHeight="1">
      <c r="B753" s="2" t="s">
        <v>26</v>
      </c>
      <c r="C753" s="2" t="s">
        <v>310</v>
      </c>
      <c r="D753" s="2" t="s">
        <v>332</v>
      </c>
      <c r="E753" s="2" t="s">
        <v>38</v>
      </c>
      <c r="F753" s="2" t="s">
        <v>331</v>
      </c>
      <c r="G753" s="2" t="s">
        <v>188</v>
      </c>
      <c r="H753" s="56" t="str">
        <f>Table1[[#This Row],[Tabela]]&amp;Table1[[#This Row],[Campo]]</f>
        <v>modesg_out_emss_vclscnsm_co2</v>
      </c>
      <c r="I753" s="2" t="s">
        <v>612</v>
      </c>
      <c r="J753" s="42">
        <f>VLOOKUP(Table1[[#This Row],[Status]],Auxiliar!$B$16:$C$24,2,0)</f>
        <v>1</v>
      </c>
      <c r="K753" s="2" t="s">
        <v>1172</v>
      </c>
      <c r="L753" s="28" t="s">
        <v>1169</v>
      </c>
      <c r="M753" s="20" t="s">
        <v>1179</v>
      </c>
      <c r="N753" s="47">
        <v>45618</v>
      </c>
      <c r="O753" s="20">
        <f>INDEX(Auxiliar!$D$5:$F$13,MATCH(Table1[[#This Row],[Tipologia_Testes]],Auxiliar!$B$5:$B$13,0),MATCH(Table1[[#This Row],[Complexidade]],Auxiliar!$D$4:$F$4,0))</f>
        <v>4</v>
      </c>
      <c r="P753" s="2" t="s">
        <v>1206</v>
      </c>
      <c r="Q753" s="2"/>
      <c r="R753" s="151">
        <v>45559</v>
      </c>
      <c r="S753" s="151"/>
      <c r="T753" s="151">
        <v>45559</v>
      </c>
      <c r="U753" s="151">
        <v>45607</v>
      </c>
      <c r="V753" s="151">
        <v>45608</v>
      </c>
      <c r="W753" s="2">
        <f>VLOOKUP(Table1[[#This Row],[Status]],Auxiliar!$B$16:$D$24,3,0)*Table1[[#This Row],[Estimação (horas)]]</f>
        <v>4</v>
      </c>
      <c r="X753" s="166">
        <f>+VLOOKUP(CONCATENATE(Table1[[#This Row],[Tabela]],Table1[[#This Row],[Campo]]),'2. Status Detalhe Campos FY24'!A:J,9,FALSE)</f>
        <v>0</v>
      </c>
    </row>
    <row r="754" spans="2:24" ht="17.850000000000001" hidden="1" customHeight="1">
      <c r="B754" s="2" t="s">
        <v>26</v>
      </c>
      <c r="C754" s="2" t="s">
        <v>310</v>
      </c>
      <c r="D754" s="2" t="s">
        <v>332</v>
      </c>
      <c r="E754" s="2" t="s">
        <v>38</v>
      </c>
      <c r="F754" s="2" t="s">
        <v>331</v>
      </c>
      <c r="G754" s="2" t="s">
        <v>188</v>
      </c>
      <c r="H754" s="56" t="str">
        <f>Table1[[#This Row],[Tabela]]&amp;Table1[[#This Row],[Campo]]</f>
        <v>modesg_out_emss_vclscnsm_co2</v>
      </c>
      <c r="I754" s="2" t="s">
        <v>612</v>
      </c>
      <c r="J754" s="42">
        <f>VLOOKUP(Table1[[#This Row],[Status]],Auxiliar!$B$16:$C$24,2,0)</f>
        <v>1</v>
      </c>
      <c r="K754" s="2" t="s">
        <v>1174</v>
      </c>
      <c r="L754" s="28" t="s">
        <v>1169</v>
      </c>
      <c r="M754" s="20" t="s">
        <v>1179</v>
      </c>
      <c r="N754" s="47">
        <v>45618</v>
      </c>
      <c r="O754" s="20">
        <f>INDEX(Auxiliar!$D$5:$F$13,MATCH(Table1[[#This Row],[Tipologia_Testes]],Auxiliar!$B$5:$B$13,0),MATCH(Table1[[#This Row],[Complexidade]],Auxiliar!$D$4:$F$4,0))</f>
        <v>0.1</v>
      </c>
      <c r="P754" s="2" t="s">
        <v>1206</v>
      </c>
      <c r="Q754" s="2"/>
      <c r="R754" s="151">
        <v>45559</v>
      </c>
      <c r="S754" s="151"/>
      <c r="T754" s="151">
        <v>45559</v>
      </c>
      <c r="U754" s="151">
        <v>45607</v>
      </c>
      <c r="V754" s="151">
        <v>45608</v>
      </c>
      <c r="W754" s="2">
        <f>VLOOKUP(Table1[[#This Row],[Status]],Auxiliar!$B$16:$D$24,3,0)*Table1[[#This Row],[Estimação (horas)]]</f>
        <v>0.1</v>
      </c>
      <c r="X754" s="166">
        <f>+VLOOKUP(CONCATENATE(Table1[[#This Row],[Tabela]],Table1[[#This Row],[Campo]]),'2. Status Detalhe Campos FY24'!A:J,9,FALSE)</f>
        <v>0</v>
      </c>
    </row>
    <row r="755" spans="2:24" ht="17.850000000000001" hidden="1" customHeight="1">
      <c r="B755" s="2" t="s">
        <v>26</v>
      </c>
      <c r="C755" s="2" t="s">
        <v>310</v>
      </c>
      <c r="D755" s="2" t="s">
        <v>332</v>
      </c>
      <c r="E755" s="2" t="s">
        <v>38</v>
      </c>
      <c r="F755" s="2" t="s">
        <v>331</v>
      </c>
      <c r="G755" s="2" t="s">
        <v>319</v>
      </c>
      <c r="H755" s="56" t="str">
        <f>Table1[[#This Row],[Tabela]]&amp;Table1[[#This Row],[Campo]]</f>
        <v>modesg_out_emss_vclsorigem_scp1_emss</v>
      </c>
      <c r="I755" s="2" t="s">
        <v>612</v>
      </c>
      <c r="J755" s="42">
        <f>VLOOKUP(Table1[[#This Row],[Status]],Auxiliar!$B$16:$C$24,2,0)</f>
        <v>1</v>
      </c>
      <c r="K755" s="2" t="s">
        <v>1171</v>
      </c>
      <c r="L755" s="28" t="s">
        <v>1169</v>
      </c>
      <c r="M755" s="20" t="s">
        <v>1179</v>
      </c>
      <c r="N755" s="47">
        <v>45632</v>
      </c>
      <c r="O755" s="20">
        <f>INDEX(Auxiliar!$D$5:$F$13,MATCH(Table1[[#This Row],[Tipologia_Testes]],Auxiliar!$B$5:$B$13,0),MATCH(Table1[[#This Row],[Complexidade]],Auxiliar!$D$4:$F$4,0))</f>
        <v>4</v>
      </c>
      <c r="P755" s="2"/>
      <c r="Q755" s="2"/>
      <c r="R755" s="151">
        <v>45566</v>
      </c>
      <c r="S755" s="151"/>
      <c r="T755" s="151">
        <v>45621</v>
      </c>
      <c r="U755" s="151">
        <v>45607</v>
      </c>
      <c r="V755" s="151">
        <v>45608</v>
      </c>
      <c r="W755" s="2">
        <f>VLOOKUP(Table1[[#This Row],[Status]],Auxiliar!$B$16:$D$24,3,0)*Table1[[#This Row],[Estimação (horas)]]</f>
        <v>4</v>
      </c>
      <c r="X755" s="166">
        <f>+VLOOKUP(CONCATENATE(Table1[[#This Row],[Tabela]],Table1[[#This Row],[Campo]]),'2. Status Detalhe Campos FY24'!A:J,9,FALSE)</f>
        <v>0</v>
      </c>
    </row>
    <row r="756" spans="2:24" ht="17.850000000000001" hidden="1" customHeight="1">
      <c r="B756" s="2" t="s">
        <v>26</v>
      </c>
      <c r="C756" s="2" t="s">
        <v>310</v>
      </c>
      <c r="D756" s="2" t="s">
        <v>332</v>
      </c>
      <c r="E756" s="2" t="s">
        <v>38</v>
      </c>
      <c r="F756" s="2" t="s">
        <v>331</v>
      </c>
      <c r="G756" s="2" t="s">
        <v>319</v>
      </c>
      <c r="H756" s="56" t="str">
        <f>Table1[[#This Row],[Tabela]]&amp;Table1[[#This Row],[Campo]]</f>
        <v>modesg_out_emss_vclsorigem_scp1_emss</v>
      </c>
      <c r="I756" s="2" t="s">
        <v>612</v>
      </c>
      <c r="J756" s="42">
        <f>VLOOKUP(Table1[[#This Row],[Status]],Auxiliar!$B$16:$C$24,2,0)</f>
        <v>1</v>
      </c>
      <c r="K756" s="2" t="s">
        <v>1172</v>
      </c>
      <c r="L756" s="28" t="s">
        <v>1169</v>
      </c>
      <c r="M756" s="20" t="s">
        <v>1179</v>
      </c>
      <c r="N756" s="47">
        <v>45632</v>
      </c>
      <c r="O756" s="20">
        <f>INDEX(Auxiliar!$D$5:$F$13,MATCH(Table1[[#This Row],[Tipologia_Testes]],Auxiliar!$B$5:$B$13,0),MATCH(Table1[[#This Row],[Complexidade]],Auxiliar!$D$4:$F$4,0))</f>
        <v>4</v>
      </c>
      <c r="P756" s="2"/>
      <c r="Q756" s="2"/>
      <c r="R756" s="151">
        <v>45566</v>
      </c>
      <c r="S756" s="151"/>
      <c r="T756" s="151">
        <v>45621</v>
      </c>
      <c r="U756" s="151">
        <v>45607</v>
      </c>
      <c r="V756" s="151">
        <v>45608</v>
      </c>
      <c r="W756" s="2">
        <f>VLOOKUP(Table1[[#This Row],[Status]],Auxiliar!$B$16:$D$24,3,0)*Table1[[#This Row],[Estimação (horas)]]</f>
        <v>4</v>
      </c>
      <c r="X756" s="166">
        <f>+VLOOKUP(CONCATENATE(Table1[[#This Row],[Tabela]],Table1[[#This Row],[Campo]]),'2. Status Detalhe Campos FY24'!A:J,9,FALSE)</f>
        <v>0</v>
      </c>
    </row>
    <row r="757" spans="2:24" ht="17.850000000000001" hidden="1" customHeight="1">
      <c r="B757" s="2" t="s">
        <v>26</v>
      </c>
      <c r="C757" s="2" t="s">
        <v>310</v>
      </c>
      <c r="D757" s="2" t="s">
        <v>332</v>
      </c>
      <c r="E757" s="2" t="s">
        <v>38</v>
      </c>
      <c r="F757" s="2" t="s">
        <v>331</v>
      </c>
      <c r="G757" s="2" t="s">
        <v>319</v>
      </c>
      <c r="H757" s="56" t="str">
        <f>Table1[[#This Row],[Tabela]]&amp;Table1[[#This Row],[Campo]]</f>
        <v>modesg_out_emss_vclsorigem_scp1_emss</v>
      </c>
      <c r="I757" s="2" t="s">
        <v>612</v>
      </c>
      <c r="J757" s="42">
        <f>VLOOKUP(Table1[[#This Row],[Status]],Auxiliar!$B$16:$C$24,2,0)</f>
        <v>1</v>
      </c>
      <c r="K757" s="2" t="s">
        <v>1174</v>
      </c>
      <c r="L757" s="28" t="s">
        <v>1169</v>
      </c>
      <c r="M757" s="20" t="s">
        <v>1179</v>
      </c>
      <c r="N757" s="47">
        <v>45632</v>
      </c>
      <c r="O757" s="20">
        <f>INDEX(Auxiliar!$D$5:$F$13,MATCH(Table1[[#This Row],[Tipologia_Testes]],Auxiliar!$B$5:$B$13,0),MATCH(Table1[[#This Row],[Complexidade]],Auxiliar!$D$4:$F$4,0))</f>
        <v>0.1</v>
      </c>
      <c r="P757" s="2"/>
      <c r="Q757" s="2"/>
      <c r="R757" s="151">
        <v>45566</v>
      </c>
      <c r="S757" s="151"/>
      <c r="T757" s="151">
        <v>45621</v>
      </c>
      <c r="U757" s="151">
        <v>45607</v>
      </c>
      <c r="V757" s="151">
        <v>45608</v>
      </c>
      <c r="W757" s="2">
        <f>VLOOKUP(Table1[[#This Row],[Status]],Auxiliar!$B$16:$D$24,3,0)*Table1[[#This Row],[Estimação (horas)]]</f>
        <v>0.1</v>
      </c>
      <c r="X757" s="166">
        <f>+VLOOKUP(CONCATENATE(Table1[[#This Row],[Tabela]],Table1[[#This Row],[Campo]]),'2. Status Detalhe Campos FY24'!A:J,9,FALSE)</f>
        <v>0</v>
      </c>
    </row>
    <row r="758" spans="2:24" ht="17.850000000000001" hidden="1" customHeight="1">
      <c r="B758" s="2" t="s">
        <v>26</v>
      </c>
      <c r="C758" s="2" t="s">
        <v>310</v>
      </c>
      <c r="D758" s="2" t="s">
        <v>332</v>
      </c>
      <c r="E758" s="2" t="s">
        <v>38</v>
      </c>
      <c r="F758" s="2" t="s">
        <v>331</v>
      </c>
      <c r="G758" s="2" t="s">
        <v>320</v>
      </c>
      <c r="H758" s="56" t="str">
        <f>Table1[[#This Row],[Tabela]]&amp;Table1[[#This Row],[Campo]]</f>
        <v>modesg_out_emss_vclsorigem_scp2_emss</v>
      </c>
      <c r="I758" s="2" t="s">
        <v>612</v>
      </c>
      <c r="J758" s="42">
        <f>VLOOKUP(Table1[[#This Row],[Status]],Auxiliar!$B$16:$C$24,2,0)</f>
        <v>1</v>
      </c>
      <c r="K758" s="2" t="s">
        <v>1171</v>
      </c>
      <c r="L758" s="28" t="s">
        <v>1169</v>
      </c>
      <c r="M758" s="20" t="s">
        <v>1179</v>
      </c>
      <c r="N758" s="47">
        <v>45632</v>
      </c>
      <c r="O758" s="20">
        <f>INDEX(Auxiliar!$D$5:$F$13,MATCH(Table1[[#This Row],[Tipologia_Testes]],Auxiliar!$B$5:$B$13,0),MATCH(Table1[[#This Row],[Complexidade]],Auxiliar!$D$4:$F$4,0))</f>
        <v>4</v>
      </c>
      <c r="P758" s="2"/>
      <c r="Q758" s="2"/>
      <c r="R758" s="151">
        <v>45566</v>
      </c>
      <c r="S758" s="151"/>
      <c r="T758" s="151">
        <v>45621</v>
      </c>
      <c r="U758" s="151">
        <v>45607</v>
      </c>
      <c r="V758" s="151">
        <v>45608</v>
      </c>
      <c r="W758" s="2">
        <f>VLOOKUP(Table1[[#This Row],[Status]],Auxiliar!$B$16:$D$24,3,0)*Table1[[#This Row],[Estimação (horas)]]</f>
        <v>4</v>
      </c>
      <c r="X758" s="166">
        <f>+VLOOKUP(CONCATENATE(Table1[[#This Row],[Tabela]],Table1[[#This Row],[Campo]]),'2. Status Detalhe Campos FY24'!A:J,9,FALSE)</f>
        <v>0</v>
      </c>
    </row>
    <row r="759" spans="2:24" ht="17.850000000000001" hidden="1" customHeight="1">
      <c r="B759" s="2" t="s">
        <v>26</v>
      </c>
      <c r="C759" s="2" t="s">
        <v>310</v>
      </c>
      <c r="D759" s="2" t="s">
        <v>332</v>
      </c>
      <c r="E759" s="2" t="s">
        <v>38</v>
      </c>
      <c r="F759" s="2" t="s">
        <v>331</v>
      </c>
      <c r="G759" s="2" t="s">
        <v>320</v>
      </c>
      <c r="H759" s="56" t="str">
        <f>Table1[[#This Row],[Tabela]]&amp;Table1[[#This Row],[Campo]]</f>
        <v>modesg_out_emss_vclsorigem_scp2_emss</v>
      </c>
      <c r="I759" s="2" t="s">
        <v>612</v>
      </c>
      <c r="J759" s="42">
        <f>VLOOKUP(Table1[[#This Row],[Status]],Auxiliar!$B$16:$C$24,2,0)</f>
        <v>1</v>
      </c>
      <c r="K759" s="2" t="s">
        <v>1172</v>
      </c>
      <c r="L759" s="28" t="s">
        <v>1169</v>
      </c>
      <c r="M759" s="20" t="s">
        <v>1179</v>
      </c>
      <c r="N759" s="47">
        <v>45632</v>
      </c>
      <c r="O759" s="20">
        <f>INDEX(Auxiliar!$D$5:$F$13,MATCH(Table1[[#This Row],[Tipologia_Testes]],Auxiliar!$B$5:$B$13,0),MATCH(Table1[[#This Row],[Complexidade]],Auxiliar!$D$4:$F$4,0))</f>
        <v>4</v>
      </c>
      <c r="P759" s="2"/>
      <c r="Q759" s="2"/>
      <c r="R759" s="151">
        <v>45566</v>
      </c>
      <c r="S759" s="151"/>
      <c r="T759" s="151">
        <v>45621</v>
      </c>
      <c r="U759" s="151">
        <v>45607</v>
      </c>
      <c r="V759" s="151">
        <v>45608</v>
      </c>
      <c r="W759" s="2">
        <f>VLOOKUP(Table1[[#This Row],[Status]],Auxiliar!$B$16:$D$24,3,0)*Table1[[#This Row],[Estimação (horas)]]</f>
        <v>4</v>
      </c>
      <c r="X759" s="166">
        <f>+VLOOKUP(CONCATENATE(Table1[[#This Row],[Tabela]],Table1[[#This Row],[Campo]]),'2. Status Detalhe Campos FY24'!A:J,9,FALSE)</f>
        <v>0</v>
      </c>
    </row>
    <row r="760" spans="2:24" ht="17.850000000000001" hidden="1" customHeight="1">
      <c r="B760" s="2" t="s">
        <v>26</v>
      </c>
      <c r="C760" s="2" t="s">
        <v>310</v>
      </c>
      <c r="D760" s="2" t="s">
        <v>332</v>
      </c>
      <c r="E760" s="2" t="s">
        <v>38</v>
      </c>
      <c r="F760" s="2" t="s">
        <v>331</v>
      </c>
      <c r="G760" s="2" t="s">
        <v>320</v>
      </c>
      <c r="H760" s="56" t="str">
        <f>Table1[[#This Row],[Tabela]]&amp;Table1[[#This Row],[Campo]]</f>
        <v>modesg_out_emss_vclsorigem_scp2_emss</v>
      </c>
      <c r="I760" s="2" t="s">
        <v>612</v>
      </c>
      <c r="J760" s="42">
        <f>VLOOKUP(Table1[[#This Row],[Status]],Auxiliar!$B$16:$C$24,2,0)</f>
        <v>1</v>
      </c>
      <c r="K760" s="2" t="s">
        <v>1174</v>
      </c>
      <c r="L760" s="28" t="s">
        <v>1169</v>
      </c>
      <c r="M760" s="20" t="s">
        <v>1179</v>
      </c>
      <c r="N760" s="47">
        <v>45632</v>
      </c>
      <c r="O760" s="20">
        <f>INDEX(Auxiliar!$D$5:$F$13,MATCH(Table1[[#This Row],[Tipologia_Testes]],Auxiliar!$B$5:$B$13,0),MATCH(Table1[[#This Row],[Complexidade]],Auxiliar!$D$4:$F$4,0))</f>
        <v>0.1</v>
      </c>
      <c r="P760" s="2"/>
      <c r="Q760" s="2"/>
      <c r="R760" s="151">
        <v>45566</v>
      </c>
      <c r="S760" s="151"/>
      <c r="T760" s="151">
        <v>45621</v>
      </c>
      <c r="U760" s="151">
        <v>45607</v>
      </c>
      <c r="V760" s="151">
        <v>45608</v>
      </c>
      <c r="W760" s="2">
        <f>VLOOKUP(Table1[[#This Row],[Status]],Auxiliar!$B$16:$D$24,3,0)*Table1[[#This Row],[Estimação (horas)]]</f>
        <v>0.1</v>
      </c>
      <c r="X760" s="166">
        <f>+VLOOKUP(CONCATENATE(Table1[[#This Row],[Tabela]],Table1[[#This Row],[Campo]]),'2. Status Detalhe Campos FY24'!A:J,9,FALSE)</f>
        <v>0</v>
      </c>
    </row>
    <row r="761" spans="2:24" ht="17.850000000000001" hidden="1" customHeight="1">
      <c r="B761" s="2" t="s">
        <v>26</v>
      </c>
      <c r="C761" s="2" t="s">
        <v>310</v>
      </c>
      <c r="D761" s="2" t="s">
        <v>332</v>
      </c>
      <c r="E761" s="2" t="s">
        <v>38</v>
      </c>
      <c r="F761" s="2" t="s">
        <v>331</v>
      </c>
      <c r="G761" s="2" t="s">
        <v>321</v>
      </c>
      <c r="H761" s="56" t="str">
        <f>Table1[[#This Row],[Tabela]]&amp;Table1[[#This Row],[Campo]]</f>
        <v>modesg_out_emss_vclsorigem_scp3_emss</v>
      </c>
      <c r="I761" s="2" t="s">
        <v>612</v>
      </c>
      <c r="J761" s="42">
        <f>VLOOKUP(Table1[[#This Row],[Status]],Auxiliar!$B$16:$C$24,2,0)</f>
        <v>1</v>
      </c>
      <c r="K761" s="2" t="s">
        <v>1171</v>
      </c>
      <c r="L761" s="28" t="s">
        <v>1169</v>
      </c>
      <c r="M761" s="20" t="s">
        <v>1179</v>
      </c>
      <c r="N761" s="47">
        <v>45618</v>
      </c>
      <c r="O761" s="20">
        <f>INDEX(Auxiliar!$D$5:$F$13,MATCH(Table1[[#This Row],[Tipologia_Testes]],Auxiliar!$B$5:$B$13,0),MATCH(Table1[[#This Row],[Complexidade]],Auxiliar!$D$4:$F$4,0))</f>
        <v>4</v>
      </c>
      <c r="P761" s="2"/>
      <c r="Q761" s="2"/>
      <c r="R761" s="151">
        <v>45566</v>
      </c>
      <c r="S761" s="151"/>
      <c r="T761" s="151">
        <v>45569</v>
      </c>
      <c r="U761" s="151">
        <v>45607</v>
      </c>
      <c r="V761" s="151">
        <v>45608</v>
      </c>
      <c r="W761" s="2">
        <f>VLOOKUP(Table1[[#This Row],[Status]],Auxiliar!$B$16:$D$24,3,0)*Table1[[#This Row],[Estimação (horas)]]</f>
        <v>4</v>
      </c>
      <c r="X761" s="166">
        <f>+VLOOKUP(CONCATENATE(Table1[[#This Row],[Tabela]],Table1[[#This Row],[Campo]]),'2. Status Detalhe Campos FY24'!A:J,9,FALSE)</f>
        <v>0</v>
      </c>
    </row>
    <row r="762" spans="2:24" ht="17.850000000000001" hidden="1" customHeight="1">
      <c r="B762" s="2" t="s">
        <v>26</v>
      </c>
      <c r="C762" s="2" t="s">
        <v>310</v>
      </c>
      <c r="D762" s="2" t="s">
        <v>332</v>
      </c>
      <c r="E762" s="2" t="s">
        <v>38</v>
      </c>
      <c r="F762" s="2" t="s">
        <v>331</v>
      </c>
      <c r="G762" s="2" t="s">
        <v>321</v>
      </c>
      <c r="H762" s="56" t="str">
        <f>Table1[[#This Row],[Tabela]]&amp;Table1[[#This Row],[Campo]]</f>
        <v>modesg_out_emss_vclsorigem_scp3_emss</v>
      </c>
      <c r="I762" s="2" t="s">
        <v>612</v>
      </c>
      <c r="J762" s="42">
        <f>VLOOKUP(Table1[[#This Row],[Status]],Auxiliar!$B$16:$C$24,2,0)</f>
        <v>1</v>
      </c>
      <c r="K762" s="2" t="s">
        <v>1172</v>
      </c>
      <c r="L762" s="28" t="s">
        <v>1169</v>
      </c>
      <c r="M762" s="20" t="s">
        <v>1179</v>
      </c>
      <c r="N762" s="47">
        <v>45618</v>
      </c>
      <c r="O762" s="20">
        <f>INDEX(Auxiliar!$D$5:$F$13,MATCH(Table1[[#This Row],[Tipologia_Testes]],Auxiliar!$B$5:$B$13,0),MATCH(Table1[[#This Row],[Complexidade]],Auxiliar!$D$4:$F$4,0))</f>
        <v>4</v>
      </c>
      <c r="P762" s="2"/>
      <c r="Q762" s="2"/>
      <c r="R762" s="151">
        <v>45566</v>
      </c>
      <c r="S762" s="151"/>
      <c r="T762" s="151">
        <v>45569</v>
      </c>
      <c r="U762" s="151">
        <v>45607</v>
      </c>
      <c r="V762" s="151">
        <v>45608</v>
      </c>
      <c r="W762" s="2">
        <f>VLOOKUP(Table1[[#This Row],[Status]],Auxiliar!$B$16:$D$24,3,0)*Table1[[#This Row],[Estimação (horas)]]</f>
        <v>4</v>
      </c>
      <c r="X762" s="166">
        <f>+VLOOKUP(CONCATENATE(Table1[[#This Row],[Tabela]],Table1[[#This Row],[Campo]]),'2. Status Detalhe Campos FY24'!A:J,9,FALSE)</f>
        <v>0</v>
      </c>
    </row>
    <row r="763" spans="2:24" ht="17.850000000000001" hidden="1" customHeight="1">
      <c r="B763" s="2" t="s">
        <v>26</v>
      </c>
      <c r="C763" s="2" t="s">
        <v>310</v>
      </c>
      <c r="D763" s="2" t="s">
        <v>332</v>
      </c>
      <c r="E763" s="2" t="s">
        <v>38</v>
      </c>
      <c r="F763" s="2" t="s">
        <v>331</v>
      </c>
      <c r="G763" s="2" t="s">
        <v>321</v>
      </c>
      <c r="H763" s="56" t="str">
        <f>Table1[[#This Row],[Tabela]]&amp;Table1[[#This Row],[Campo]]</f>
        <v>modesg_out_emss_vclsorigem_scp3_emss</v>
      </c>
      <c r="I763" s="2" t="s">
        <v>612</v>
      </c>
      <c r="J763" s="42">
        <f>VLOOKUP(Table1[[#This Row],[Status]],Auxiliar!$B$16:$C$24,2,0)</f>
        <v>1</v>
      </c>
      <c r="K763" s="2" t="s">
        <v>1174</v>
      </c>
      <c r="L763" s="28" t="s">
        <v>1169</v>
      </c>
      <c r="M763" s="20" t="s">
        <v>1179</v>
      </c>
      <c r="N763" s="47">
        <v>45618</v>
      </c>
      <c r="O763" s="20">
        <f>INDEX(Auxiliar!$D$5:$F$13,MATCH(Table1[[#This Row],[Tipologia_Testes]],Auxiliar!$B$5:$B$13,0),MATCH(Table1[[#This Row],[Complexidade]],Auxiliar!$D$4:$F$4,0))</f>
        <v>0.1</v>
      </c>
      <c r="P763" s="2"/>
      <c r="Q763" s="2"/>
      <c r="R763" s="151">
        <v>45566</v>
      </c>
      <c r="S763" s="151"/>
      <c r="T763" s="151">
        <v>45569</v>
      </c>
      <c r="U763" s="151">
        <v>45607</v>
      </c>
      <c r="V763" s="151">
        <v>45608</v>
      </c>
      <c r="W763" s="2">
        <f>VLOOKUP(Table1[[#This Row],[Status]],Auxiliar!$B$16:$D$24,3,0)*Table1[[#This Row],[Estimação (horas)]]</f>
        <v>0.1</v>
      </c>
      <c r="X763" s="166">
        <f>+VLOOKUP(CONCATENATE(Table1[[#This Row],[Tabela]],Table1[[#This Row],[Campo]]),'2. Status Detalhe Campos FY24'!A:J,9,FALSE)</f>
        <v>0</v>
      </c>
    </row>
    <row r="764" spans="2:24" ht="17.850000000000001" hidden="1" customHeight="1">
      <c r="B764" s="2" t="s">
        <v>26</v>
      </c>
      <c r="C764" s="2" t="s">
        <v>310</v>
      </c>
      <c r="D764" s="2" t="s">
        <v>332</v>
      </c>
      <c r="E764" s="2" t="s">
        <v>38</v>
      </c>
      <c r="F764" s="2" t="s">
        <v>331</v>
      </c>
      <c r="G764" s="2" t="s">
        <v>208</v>
      </c>
      <c r="H764" s="56" t="str">
        <f>Table1[[#This Row],[Tabela]]&amp;Table1[[#This Row],[Campo]]</f>
        <v>modesg_out_emss_vclsref_date</v>
      </c>
      <c r="I764" s="3" t="s">
        <v>612</v>
      </c>
      <c r="J764" s="54">
        <f>VLOOKUP(Table1[[#This Row],[Status]],Auxiliar!$B$16:$C$24,2,0)</f>
        <v>1</v>
      </c>
      <c r="K764" s="2" t="s">
        <v>1171</v>
      </c>
      <c r="L764" s="28" t="s">
        <v>1177</v>
      </c>
      <c r="M764" s="20" t="s">
        <v>1178</v>
      </c>
      <c r="N764" s="47">
        <v>45485</v>
      </c>
      <c r="O764" s="20">
        <f>INDEX(Auxiliar!$D$5:$F$13,MATCH(Table1[[#This Row],[Tipologia_Testes]],Auxiliar!$B$5:$B$13,0),MATCH(Table1[[#This Row],[Complexidade]],Auxiliar!$D$4:$F$4,0))</f>
        <v>2</v>
      </c>
      <c r="P764" s="2"/>
      <c r="Q764" s="2"/>
      <c r="R764" s="151">
        <v>45261</v>
      </c>
      <c r="S764" s="151"/>
      <c r="T764" s="151"/>
      <c r="U764" s="151"/>
      <c r="V764" s="151"/>
      <c r="W764" s="2">
        <f>VLOOKUP(Table1[[#This Row],[Status]],Auxiliar!$B$16:$D$24,3,0)*Table1[[#This Row],[Estimação (horas)]]</f>
        <v>2</v>
      </c>
      <c r="X764" s="166">
        <f>+VLOOKUP(CONCATENATE(Table1[[#This Row],[Tabela]],Table1[[#This Row],[Campo]]),'2. Status Detalhe Campos FY24'!A:J,9,FALSE)</f>
        <v>0</v>
      </c>
    </row>
    <row r="765" spans="2:24" ht="17.850000000000001" hidden="1" customHeight="1">
      <c r="B765" s="2" t="s">
        <v>26</v>
      </c>
      <c r="C765" s="2" t="s">
        <v>310</v>
      </c>
      <c r="D765" s="2" t="s">
        <v>332</v>
      </c>
      <c r="E765" s="2" t="s">
        <v>38</v>
      </c>
      <c r="F765" s="2" t="s">
        <v>331</v>
      </c>
      <c r="G765" s="2" t="s">
        <v>208</v>
      </c>
      <c r="H765" s="56" t="str">
        <f>Table1[[#This Row],[Tabela]]&amp;Table1[[#This Row],[Campo]]</f>
        <v>modesg_out_emss_vclsref_date</v>
      </c>
      <c r="I765" s="3" t="s">
        <v>612</v>
      </c>
      <c r="J765" s="54">
        <f>VLOOKUP(Table1[[#This Row],[Status]],Auxiliar!$B$16:$C$24,2,0)</f>
        <v>1</v>
      </c>
      <c r="K765" s="2" t="s">
        <v>1172</v>
      </c>
      <c r="L765" s="28" t="s">
        <v>1177</v>
      </c>
      <c r="M765" s="20" t="s">
        <v>1178</v>
      </c>
      <c r="N765" s="47">
        <v>45485</v>
      </c>
      <c r="O765" s="20">
        <f>INDEX(Auxiliar!$D$5:$F$13,MATCH(Table1[[#This Row],[Tipologia_Testes]],Auxiliar!$B$5:$B$13,0),MATCH(Table1[[#This Row],[Complexidade]],Auxiliar!$D$4:$F$4,0))</f>
        <v>2</v>
      </c>
      <c r="P765" s="2"/>
      <c r="Q765" s="2"/>
      <c r="R765" s="151">
        <v>45261</v>
      </c>
      <c r="S765" s="151"/>
      <c r="T765" s="151"/>
      <c r="U765" s="151"/>
      <c r="V765" s="151"/>
      <c r="W765" s="2">
        <f>VLOOKUP(Table1[[#This Row],[Status]],Auxiliar!$B$16:$D$24,3,0)*Table1[[#This Row],[Estimação (horas)]]</f>
        <v>2</v>
      </c>
      <c r="X765" s="166">
        <f>+VLOOKUP(CONCATENATE(Table1[[#This Row],[Tabela]],Table1[[#This Row],[Campo]]),'2. Status Detalhe Campos FY24'!A:J,9,FALSE)</f>
        <v>0</v>
      </c>
    </row>
    <row r="766" spans="2:24" ht="69.599999999999994" hidden="1" customHeight="1">
      <c r="B766" s="2" t="s">
        <v>26</v>
      </c>
      <c r="C766" s="2" t="s">
        <v>310</v>
      </c>
      <c r="D766" s="2" t="s">
        <v>332</v>
      </c>
      <c r="E766" s="2" t="s">
        <v>38</v>
      </c>
      <c r="F766" s="2" t="s">
        <v>331</v>
      </c>
      <c r="G766" s="2" t="s">
        <v>208</v>
      </c>
      <c r="H766" s="56" t="str">
        <f>Table1[[#This Row],[Tabela]]&amp;Table1[[#This Row],[Campo]]</f>
        <v>modesg_out_emss_vclsref_date</v>
      </c>
      <c r="I766" s="3" t="s">
        <v>612</v>
      </c>
      <c r="J766" s="54">
        <f>VLOOKUP(Table1[[#This Row],[Status]],Auxiliar!$B$16:$C$24,2,0)</f>
        <v>1</v>
      </c>
      <c r="K766" s="2" t="s">
        <v>1174</v>
      </c>
      <c r="L766" s="28" t="s">
        <v>1177</v>
      </c>
      <c r="M766" s="20" t="s">
        <v>1178</v>
      </c>
      <c r="N766" s="47">
        <v>45485</v>
      </c>
      <c r="O766" s="20">
        <f>INDEX(Auxiliar!$D$5:$F$13,MATCH(Table1[[#This Row],[Tipologia_Testes]],Auxiliar!$B$5:$B$13,0),MATCH(Table1[[#This Row],[Complexidade]],Auxiliar!$D$4:$F$4,0))</f>
        <v>0.1</v>
      </c>
      <c r="P766" s="2"/>
      <c r="Q766" s="2"/>
      <c r="R766" s="151">
        <v>45261</v>
      </c>
      <c r="S766" s="151"/>
      <c r="T766" s="151"/>
      <c r="U766" s="151"/>
      <c r="V766" s="151"/>
      <c r="W766" s="2">
        <f>VLOOKUP(Table1[[#This Row],[Status]],Auxiliar!$B$16:$D$24,3,0)*Table1[[#This Row],[Estimação (horas)]]</f>
        <v>0.1</v>
      </c>
      <c r="X766" s="166">
        <f>+VLOOKUP(CONCATENATE(Table1[[#This Row],[Tabela]],Table1[[#This Row],[Campo]]),'2. Status Detalhe Campos FY24'!A:J,9,FALSE)</f>
        <v>0</v>
      </c>
    </row>
    <row r="767" spans="2:24" ht="69.599999999999994" hidden="1" customHeight="1">
      <c r="B767" s="2" t="s">
        <v>26</v>
      </c>
      <c r="C767" s="2" t="s">
        <v>310</v>
      </c>
      <c r="D767" s="2" t="s">
        <v>332</v>
      </c>
      <c r="E767" s="2" t="s">
        <v>38</v>
      </c>
      <c r="F767" s="2" t="s">
        <v>331</v>
      </c>
      <c r="G767" s="2" t="s">
        <v>285</v>
      </c>
      <c r="H767" s="56" t="str">
        <f>Table1[[#This Row],[Tabela]]&amp;Table1[[#This Row],[Campo]]</f>
        <v>modesg_out_emss_vclsscp1_emss</v>
      </c>
      <c r="I767" s="3" t="s">
        <v>612</v>
      </c>
      <c r="J767" s="42">
        <f>VLOOKUP(Table1[[#This Row],[Status]],Auxiliar!$B$16:$C$24,2,0)</f>
        <v>1</v>
      </c>
      <c r="K767" s="2" t="s">
        <v>1171</v>
      </c>
      <c r="L767" s="28" t="s">
        <v>1169</v>
      </c>
      <c r="M767" s="20" t="s">
        <v>1170</v>
      </c>
      <c r="N767" s="47">
        <v>45632</v>
      </c>
      <c r="O767" s="20">
        <f>INDEX(Auxiliar!$D$5:$F$13,MATCH(Table1[[#This Row],[Tipologia_Testes]],Auxiliar!$B$5:$B$13,0),MATCH(Table1[[#This Row],[Complexidade]],Auxiliar!$D$4:$F$4,0))</f>
        <v>8</v>
      </c>
      <c r="P767" s="22" t="s">
        <v>1207</v>
      </c>
      <c r="Q767" s="2"/>
      <c r="R767" s="151">
        <v>45566</v>
      </c>
      <c r="S767" s="151"/>
      <c r="T767" s="151">
        <v>45621</v>
      </c>
      <c r="U767" s="151">
        <v>45607</v>
      </c>
      <c r="V767" s="151">
        <v>45608</v>
      </c>
      <c r="W767" s="2">
        <f>VLOOKUP(Table1[[#This Row],[Status]],Auxiliar!$B$16:$D$24,3,0)*Table1[[#This Row],[Estimação (horas)]]</f>
        <v>8</v>
      </c>
      <c r="X767" s="166">
        <f>+VLOOKUP(CONCATENATE(Table1[[#This Row],[Tabela]],Table1[[#This Row],[Campo]]),'2. Status Detalhe Campos FY24'!A:J,9,FALSE)</f>
        <v>0</v>
      </c>
    </row>
    <row r="768" spans="2:24" ht="69.599999999999994" hidden="1" customHeight="1">
      <c r="B768" s="2" t="s">
        <v>26</v>
      </c>
      <c r="C768" s="2" t="s">
        <v>310</v>
      </c>
      <c r="D768" s="2" t="s">
        <v>332</v>
      </c>
      <c r="E768" s="2" t="s">
        <v>38</v>
      </c>
      <c r="F768" s="2" t="s">
        <v>331</v>
      </c>
      <c r="G768" s="2" t="s">
        <v>285</v>
      </c>
      <c r="H768" s="56" t="str">
        <f>Table1[[#This Row],[Tabela]]&amp;Table1[[#This Row],[Campo]]</f>
        <v>modesg_out_emss_vclsscp1_emss</v>
      </c>
      <c r="I768" s="3" t="s">
        <v>612</v>
      </c>
      <c r="J768" s="42">
        <f>VLOOKUP(Table1[[#This Row],[Status]],Auxiliar!$B$16:$C$24,2,0)</f>
        <v>1</v>
      </c>
      <c r="K768" s="2" t="s">
        <v>1172</v>
      </c>
      <c r="L768" s="28" t="s">
        <v>1169</v>
      </c>
      <c r="M768" s="20" t="s">
        <v>1170</v>
      </c>
      <c r="N768" s="47">
        <v>45632</v>
      </c>
      <c r="O768" s="20">
        <f>INDEX(Auxiliar!$D$5:$F$13,MATCH(Table1[[#This Row],[Tipologia_Testes]],Auxiliar!$B$5:$B$13,0),MATCH(Table1[[#This Row],[Complexidade]],Auxiliar!$D$4:$F$4,0))</f>
        <v>8</v>
      </c>
      <c r="P768" s="22" t="s">
        <v>1207</v>
      </c>
      <c r="Q768" s="2"/>
      <c r="R768" s="151">
        <v>45566</v>
      </c>
      <c r="S768" s="151"/>
      <c r="T768" s="151">
        <v>45621</v>
      </c>
      <c r="U768" s="151">
        <v>45607</v>
      </c>
      <c r="V768" s="151">
        <v>45608</v>
      </c>
      <c r="W768" s="2">
        <f>VLOOKUP(Table1[[#This Row],[Status]],Auxiliar!$B$16:$D$24,3,0)*Table1[[#This Row],[Estimação (horas)]]</f>
        <v>8</v>
      </c>
      <c r="X768" s="166">
        <f>+VLOOKUP(CONCATENATE(Table1[[#This Row],[Tabela]],Table1[[#This Row],[Campo]]),'2. Status Detalhe Campos FY24'!A:J,9,FALSE)</f>
        <v>0</v>
      </c>
    </row>
    <row r="769" spans="2:24" ht="69.599999999999994" hidden="1" customHeight="1">
      <c r="B769" s="2" t="s">
        <v>26</v>
      </c>
      <c r="C769" s="2" t="s">
        <v>310</v>
      </c>
      <c r="D769" s="2" t="s">
        <v>332</v>
      </c>
      <c r="E769" s="2" t="s">
        <v>38</v>
      </c>
      <c r="F769" s="2" t="s">
        <v>331</v>
      </c>
      <c r="G769" s="2" t="s">
        <v>285</v>
      </c>
      <c r="H769" s="56" t="str">
        <f>Table1[[#This Row],[Tabela]]&amp;Table1[[#This Row],[Campo]]</f>
        <v>modesg_out_emss_vclsscp1_emss</v>
      </c>
      <c r="I769" s="3" t="s">
        <v>612</v>
      </c>
      <c r="J769" s="42">
        <f>VLOOKUP(Table1[[#This Row],[Status]],Auxiliar!$B$16:$C$24,2,0)</f>
        <v>1</v>
      </c>
      <c r="K769" s="2" t="s">
        <v>1174</v>
      </c>
      <c r="L769" s="28" t="s">
        <v>1169</v>
      </c>
      <c r="M769" s="20" t="s">
        <v>1170</v>
      </c>
      <c r="N769" s="47">
        <v>45632</v>
      </c>
      <c r="O769" s="20">
        <f>INDEX(Auxiliar!$D$5:$F$13,MATCH(Table1[[#This Row],[Tipologia_Testes]],Auxiliar!$B$5:$B$13,0),MATCH(Table1[[#This Row],[Complexidade]],Auxiliar!$D$4:$F$4,0))</f>
        <v>0.1</v>
      </c>
      <c r="P769" s="22" t="s">
        <v>1207</v>
      </c>
      <c r="Q769" s="2"/>
      <c r="R769" s="151">
        <v>45566</v>
      </c>
      <c r="S769" s="151"/>
      <c r="T769" s="151">
        <v>45621</v>
      </c>
      <c r="U769" s="151">
        <v>45607</v>
      </c>
      <c r="V769" s="151">
        <v>45608</v>
      </c>
      <c r="W769" s="2">
        <f>VLOOKUP(Table1[[#This Row],[Status]],Auxiliar!$B$16:$D$24,3,0)*Table1[[#This Row],[Estimação (horas)]]</f>
        <v>0.1</v>
      </c>
      <c r="X769" s="166">
        <f>+VLOOKUP(CONCATENATE(Table1[[#This Row],[Tabela]],Table1[[#This Row],[Campo]]),'2. Status Detalhe Campos FY24'!A:J,9,FALSE)</f>
        <v>0</v>
      </c>
    </row>
    <row r="770" spans="2:24" ht="69.599999999999994" hidden="1" customHeight="1">
      <c r="B770" s="2" t="s">
        <v>26</v>
      </c>
      <c r="C770" s="2" t="s">
        <v>310</v>
      </c>
      <c r="D770" s="2" t="s">
        <v>332</v>
      </c>
      <c r="E770" s="2" t="s">
        <v>38</v>
      </c>
      <c r="F770" s="2" t="s">
        <v>331</v>
      </c>
      <c r="G770" s="2" t="s">
        <v>286</v>
      </c>
      <c r="H770" s="56" t="str">
        <f>Table1[[#This Row],[Tabela]]&amp;Table1[[#This Row],[Campo]]</f>
        <v>modesg_out_emss_vclsscp2_emss</v>
      </c>
      <c r="I770" s="3" t="s">
        <v>612</v>
      </c>
      <c r="J770" s="42">
        <f>VLOOKUP(Table1[[#This Row],[Status]],Auxiliar!$B$16:$C$24,2,0)</f>
        <v>1</v>
      </c>
      <c r="K770" s="2" t="s">
        <v>1171</v>
      </c>
      <c r="L770" s="28" t="s">
        <v>1169</v>
      </c>
      <c r="M770" s="20" t="s">
        <v>1170</v>
      </c>
      <c r="N770" s="47">
        <v>45632</v>
      </c>
      <c r="O770" s="20">
        <f>INDEX(Auxiliar!$D$5:$F$13,MATCH(Table1[[#This Row],[Tipologia_Testes]],Auxiliar!$B$5:$B$13,0),MATCH(Table1[[#This Row],[Complexidade]],Auxiliar!$D$4:$F$4,0))</f>
        <v>8</v>
      </c>
      <c r="P770" s="22" t="s">
        <v>1207</v>
      </c>
      <c r="Q770" s="2"/>
      <c r="R770" s="151">
        <v>45566</v>
      </c>
      <c r="S770" s="151"/>
      <c r="T770" s="151">
        <v>45621</v>
      </c>
      <c r="U770" s="151">
        <v>45607</v>
      </c>
      <c r="V770" s="151">
        <v>45608</v>
      </c>
      <c r="W770" s="2">
        <f>VLOOKUP(Table1[[#This Row],[Status]],Auxiliar!$B$16:$D$24,3,0)*Table1[[#This Row],[Estimação (horas)]]</f>
        <v>8</v>
      </c>
      <c r="X770" s="166">
        <f>+VLOOKUP(CONCATENATE(Table1[[#This Row],[Tabela]],Table1[[#This Row],[Campo]]),'2. Status Detalhe Campos FY24'!A:J,9,FALSE)</f>
        <v>0</v>
      </c>
    </row>
    <row r="771" spans="2:24" ht="69.599999999999994" hidden="1" customHeight="1">
      <c r="B771" s="2" t="s">
        <v>26</v>
      </c>
      <c r="C771" s="2" t="s">
        <v>310</v>
      </c>
      <c r="D771" s="2" t="s">
        <v>332</v>
      </c>
      <c r="E771" s="2" t="s">
        <v>38</v>
      </c>
      <c r="F771" s="2" t="s">
        <v>331</v>
      </c>
      <c r="G771" s="2" t="s">
        <v>286</v>
      </c>
      <c r="H771" s="56" t="str">
        <f>Table1[[#This Row],[Tabela]]&amp;Table1[[#This Row],[Campo]]</f>
        <v>modesg_out_emss_vclsscp2_emss</v>
      </c>
      <c r="I771" s="3" t="s">
        <v>612</v>
      </c>
      <c r="J771" s="42">
        <f>VLOOKUP(Table1[[#This Row],[Status]],Auxiliar!$B$16:$C$24,2,0)</f>
        <v>1</v>
      </c>
      <c r="K771" s="2" t="s">
        <v>1172</v>
      </c>
      <c r="L771" s="28" t="s">
        <v>1169</v>
      </c>
      <c r="M771" s="20" t="s">
        <v>1170</v>
      </c>
      <c r="N771" s="47">
        <v>45632</v>
      </c>
      <c r="O771" s="20">
        <f>INDEX(Auxiliar!$D$5:$F$13,MATCH(Table1[[#This Row],[Tipologia_Testes]],Auxiliar!$B$5:$B$13,0),MATCH(Table1[[#This Row],[Complexidade]],Auxiliar!$D$4:$F$4,0))</f>
        <v>8</v>
      </c>
      <c r="P771" s="22" t="s">
        <v>1207</v>
      </c>
      <c r="Q771" s="2"/>
      <c r="R771" s="151">
        <v>45566</v>
      </c>
      <c r="S771" s="151"/>
      <c r="T771" s="151">
        <v>45621</v>
      </c>
      <c r="U771" s="151">
        <v>45607</v>
      </c>
      <c r="V771" s="151">
        <v>45608</v>
      </c>
      <c r="W771" s="2">
        <f>VLOOKUP(Table1[[#This Row],[Status]],Auxiliar!$B$16:$D$24,3,0)*Table1[[#This Row],[Estimação (horas)]]</f>
        <v>8</v>
      </c>
      <c r="X771" s="166">
        <f>+VLOOKUP(CONCATENATE(Table1[[#This Row],[Tabela]],Table1[[#This Row],[Campo]]),'2. Status Detalhe Campos FY24'!A:J,9,FALSE)</f>
        <v>0</v>
      </c>
    </row>
    <row r="772" spans="2:24" ht="69.599999999999994" hidden="1" customHeight="1">
      <c r="B772" s="2" t="s">
        <v>26</v>
      </c>
      <c r="C772" s="2" t="s">
        <v>310</v>
      </c>
      <c r="D772" s="2" t="s">
        <v>332</v>
      </c>
      <c r="E772" s="2" t="s">
        <v>38</v>
      </c>
      <c r="F772" s="2" t="s">
        <v>331</v>
      </c>
      <c r="G772" s="2" t="s">
        <v>286</v>
      </c>
      <c r="H772" s="56" t="str">
        <f>Table1[[#This Row],[Tabela]]&amp;Table1[[#This Row],[Campo]]</f>
        <v>modesg_out_emss_vclsscp2_emss</v>
      </c>
      <c r="I772" s="3" t="s">
        <v>612</v>
      </c>
      <c r="J772" s="42">
        <f>VLOOKUP(Table1[[#This Row],[Status]],Auxiliar!$B$16:$C$24,2,0)</f>
        <v>1</v>
      </c>
      <c r="K772" s="2" t="s">
        <v>1174</v>
      </c>
      <c r="L772" s="28" t="s">
        <v>1169</v>
      </c>
      <c r="M772" s="20" t="s">
        <v>1170</v>
      </c>
      <c r="N772" s="47">
        <v>45632</v>
      </c>
      <c r="O772" s="20">
        <f>INDEX(Auxiliar!$D$5:$F$13,MATCH(Table1[[#This Row],[Tipologia_Testes]],Auxiliar!$B$5:$B$13,0),MATCH(Table1[[#This Row],[Complexidade]],Auxiliar!$D$4:$F$4,0))</f>
        <v>0.1</v>
      </c>
      <c r="P772" s="22" t="s">
        <v>1207</v>
      </c>
      <c r="Q772" s="2"/>
      <c r="R772" s="151">
        <v>45566</v>
      </c>
      <c r="S772" s="151"/>
      <c r="T772" s="151">
        <v>45621</v>
      </c>
      <c r="U772" s="151">
        <v>45607</v>
      </c>
      <c r="V772" s="151">
        <v>45608</v>
      </c>
      <c r="W772" s="2">
        <f>VLOOKUP(Table1[[#This Row],[Status]],Auxiliar!$B$16:$D$24,3,0)*Table1[[#This Row],[Estimação (horas)]]</f>
        <v>0.1</v>
      </c>
      <c r="X772" s="166">
        <f>+VLOOKUP(CONCATENATE(Table1[[#This Row],[Tabela]],Table1[[#This Row],[Campo]]),'2. Status Detalhe Campos FY24'!A:J,9,FALSE)</f>
        <v>0</v>
      </c>
    </row>
    <row r="773" spans="2:24" ht="69.599999999999994" hidden="1" customHeight="1">
      <c r="B773" s="2" t="s">
        <v>26</v>
      </c>
      <c r="C773" s="2" t="s">
        <v>310</v>
      </c>
      <c r="D773" s="2" t="s">
        <v>332</v>
      </c>
      <c r="E773" s="2" t="s">
        <v>38</v>
      </c>
      <c r="F773" s="2" t="s">
        <v>331</v>
      </c>
      <c r="G773" s="2" t="s">
        <v>287</v>
      </c>
      <c r="H773" s="56" t="str">
        <f>Table1[[#This Row],[Tabela]]&amp;Table1[[#This Row],[Campo]]</f>
        <v>modesg_out_emss_vclsscp3_emss</v>
      </c>
      <c r="I773" s="2" t="s">
        <v>612</v>
      </c>
      <c r="J773" s="42">
        <f>VLOOKUP(Table1[[#This Row],[Status]],Auxiliar!$B$16:$C$24,2,0)</f>
        <v>1</v>
      </c>
      <c r="K773" s="2" t="s">
        <v>1171</v>
      </c>
      <c r="L773" s="28" t="s">
        <v>1169</v>
      </c>
      <c r="M773" s="20" t="s">
        <v>1170</v>
      </c>
      <c r="N773" s="47">
        <v>45618</v>
      </c>
      <c r="O773" s="20">
        <f>INDEX(Auxiliar!$D$5:$F$13,MATCH(Table1[[#This Row],[Tipologia_Testes]],Auxiliar!$B$5:$B$13,0),MATCH(Table1[[#This Row],[Complexidade]],Auxiliar!$D$4:$F$4,0))</f>
        <v>8</v>
      </c>
      <c r="P773" s="22" t="s">
        <v>1207</v>
      </c>
      <c r="Q773" s="2"/>
      <c r="R773" s="151">
        <v>45566</v>
      </c>
      <c r="S773" s="151"/>
      <c r="T773" s="151">
        <v>45569</v>
      </c>
      <c r="U773" s="151">
        <v>45607</v>
      </c>
      <c r="V773" s="151">
        <v>45608</v>
      </c>
      <c r="W773" s="2">
        <f>VLOOKUP(Table1[[#This Row],[Status]],Auxiliar!$B$16:$D$24,3,0)*Table1[[#This Row],[Estimação (horas)]]</f>
        <v>8</v>
      </c>
      <c r="X773" s="166">
        <f>+VLOOKUP(CONCATENATE(Table1[[#This Row],[Tabela]],Table1[[#This Row],[Campo]]),'2. Status Detalhe Campos FY24'!A:J,9,FALSE)</f>
        <v>0</v>
      </c>
    </row>
    <row r="774" spans="2:24" ht="69.599999999999994" hidden="1" customHeight="1">
      <c r="B774" s="2" t="s">
        <v>26</v>
      </c>
      <c r="C774" s="2" t="s">
        <v>310</v>
      </c>
      <c r="D774" s="2" t="s">
        <v>332</v>
      </c>
      <c r="E774" s="2" t="s">
        <v>38</v>
      </c>
      <c r="F774" s="2" t="s">
        <v>331</v>
      </c>
      <c r="G774" s="2" t="s">
        <v>287</v>
      </c>
      <c r="H774" s="56" t="str">
        <f>Table1[[#This Row],[Tabela]]&amp;Table1[[#This Row],[Campo]]</f>
        <v>modesg_out_emss_vclsscp3_emss</v>
      </c>
      <c r="I774" s="2" t="s">
        <v>612</v>
      </c>
      <c r="J774" s="42">
        <f>VLOOKUP(Table1[[#This Row],[Status]],Auxiliar!$B$16:$C$24,2,0)</f>
        <v>1</v>
      </c>
      <c r="K774" s="2" t="s">
        <v>1172</v>
      </c>
      <c r="L774" s="28" t="s">
        <v>1169</v>
      </c>
      <c r="M774" s="20" t="s">
        <v>1170</v>
      </c>
      <c r="N774" s="47">
        <v>45618</v>
      </c>
      <c r="O774" s="20">
        <f>INDEX(Auxiliar!$D$5:$F$13,MATCH(Table1[[#This Row],[Tipologia_Testes]],Auxiliar!$B$5:$B$13,0),MATCH(Table1[[#This Row],[Complexidade]],Auxiliar!$D$4:$F$4,0))</f>
        <v>8</v>
      </c>
      <c r="P774" s="22" t="s">
        <v>1207</v>
      </c>
      <c r="Q774" s="2"/>
      <c r="R774" s="151">
        <v>45566</v>
      </c>
      <c r="S774" s="151"/>
      <c r="T774" s="151">
        <v>45569</v>
      </c>
      <c r="U774" s="151">
        <v>45607</v>
      </c>
      <c r="V774" s="151">
        <v>45608</v>
      </c>
      <c r="W774" s="2">
        <f>VLOOKUP(Table1[[#This Row],[Status]],Auxiliar!$B$16:$D$24,3,0)*Table1[[#This Row],[Estimação (horas)]]</f>
        <v>8</v>
      </c>
      <c r="X774" s="166">
        <f>+VLOOKUP(CONCATENATE(Table1[[#This Row],[Tabela]],Table1[[#This Row],[Campo]]),'2. Status Detalhe Campos FY24'!A:J,9,FALSE)</f>
        <v>0</v>
      </c>
    </row>
    <row r="775" spans="2:24" ht="17.850000000000001" hidden="1" customHeight="1">
      <c r="B775" s="2" t="s">
        <v>26</v>
      </c>
      <c r="C775" s="2" t="s">
        <v>310</v>
      </c>
      <c r="D775" s="2" t="s">
        <v>332</v>
      </c>
      <c r="E775" s="2" t="s">
        <v>38</v>
      </c>
      <c r="F775" s="2" t="s">
        <v>331</v>
      </c>
      <c r="G775" s="2" t="s">
        <v>287</v>
      </c>
      <c r="H775" s="56" t="str">
        <f>Table1[[#This Row],[Tabela]]&amp;Table1[[#This Row],[Campo]]</f>
        <v>modesg_out_emss_vclsscp3_emss</v>
      </c>
      <c r="I775" s="2" t="s">
        <v>612</v>
      </c>
      <c r="J775" s="42">
        <f>VLOOKUP(Table1[[#This Row],[Status]],Auxiliar!$B$16:$C$24,2,0)</f>
        <v>1</v>
      </c>
      <c r="K775" s="2" t="s">
        <v>1174</v>
      </c>
      <c r="L775" s="28" t="s">
        <v>1169</v>
      </c>
      <c r="M775" s="20" t="s">
        <v>1170</v>
      </c>
      <c r="N775" s="47">
        <v>45618</v>
      </c>
      <c r="O775" s="20">
        <f>INDEX(Auxiliar!$D$5:$F$13,MATCH(Table1[[#This Row],[Tipologia_Testes]],Auxiliar!$B$5:$B$13,0),MATCH(Table1[[#This Row],[Complexidade]],Auxiliar!$D$4:$F$4,0))</f>
        <v>0.1</v>
      </c>
      <c r="P775" s="22" t="s">
        <v>1207</v>
      </c>
      <c r="Q775" s="2"/>
      <c r="R775" s="151">
        <v>45566</v>
      </c>
      <c r="S775" s="151"/>
      <c r="T775" s="151">
        <v>45569</v>
      </c>
      <c r="U775" s="151">
        <v>45607</v>
      </c>
      <c r="V775" s="151">
        <v>45608</v>
      </c>
      <c r="W775" s="2">
        <f>VLOOKUP(Table1[[#This Row],[Status]],Auxiliar!$B$16:$D$24,3,0)*Table1[[#This Row],[Estimação (horas)]]</f>
        <v>0.1</v>
      </c>
      <c r="X775" s="166">
        <f>+VLOOKUP(CONCATENATE(Table1[[#This Row],[Tabela]],Table1[[#This Row],[Campo]]),'2. Status Detalhe Campos FY24'!A:J,9,FALSE)</f>
        <v>0</v>
      </c>
    </row>
    <row r="776" spans="2:24" ht="17.850000000000001" hidden="1" customHeight="1">
      <c r="B776" s="2" t="s">
        <v>26</v>
      </c>
      <c r="C776" s="2" t="s">
        <v>310</v>
      </c>
      <c r="D776" s="2" t="s">
        <v>332</v>
      </c>
      <c r="E776" s="2" t="s">
        <v>38</v>
      </c>
      <c r="F776" s="2" t="s">
        <v>331</v>
      </c>
      <c r="G776" s="2" t="s">
        <v>322</v>
      </c>
      <c r="H776" s="56" t="str">
        <f>Table1[[#This Row],[Tabela]]&amp;Table1[[#This Row],[Campo]]</f>
        <v>modesg_out_emss_vclsunidade_funcional_scp1_emss</v>
      </c>
      <c r="I776" s="3" t="s">
        <v>612</v>
      </c>
      <c r="J776" s="54">
        <f>VLOOKUP(Table1[[#This Row],[Status]],Auxiliar!$B$16:$C$24,2,0)</f>
        <v>1</v>
      </c>
      <c r="K776" s="2" t="s">
        <v>1171</v>
      </c>
      <c r="L776" s="28" t="s">
        <v>1177</v>
      </c>
      <c r="M776" s="20" t="s">
        <v>1178</v>
      </c>
      <c r="N776" s="47">
        <v>45485</v>
      </c>
      <c r="O776" s="20">
        <f>INDEX(Auxiliar!$D$5:$F$13,MATCH(Table1[[#This Row],[Tipologia_Testes]],Auxiliar!$B$5:$B$13,0),MATCH(Table1[[#This Row],[Complexidade]],Auxiliar!$D$4:$F$4,0))</f>
        <v>2</v>
      </c>
      <c r="P776" s="2"/>
      <c r="Q776" s="2"/>
      <c r="R776" s="151">
        <v>45261</v>
      </c>
      <c r="S776" s="151"/>
      <c r="T776" s="151"/>
      <c r="U776" s="151"/>
      <c r="V776" s="151"/>
      <c r="W776" s="2">
        <f>VLOOKUP(Table1[[#This Row],[Status]],Auxiliar!$B$16:$D$24,3,0)*Table1[[#This Row],[Estimação (horas)]]</f>
        <v>2</v>
      </c>
      <c r="X776" s="166">
        <f>+VLOOKUP(CONCATENATE(Table1[[#This Row],[Tabela]],Table1[[#This Row],[Campo]]),'2. Status Detalhe Campos FY24'!A:J,9,FALSE)</f>
        <v>0</v>
      </c>
    </row>
    <row r="777" spans="2:24" ht="17.850000000000001" hidden="1" customHeight="1">
      <c r="B777" s="2" t="s">
        <v>26</v>
      </c>
      <c r="C777" s="2" t="s">
        <v>310</v>
      </c>
      <c r="D777" s="2" t="s">
        <v>332</v>
      </c>
      <c r="E777" s="2" t="s">
        <v>38</v>
      </c>
      <c r="F777" s="2" t="s">
        <v>331</v>
      </c>
      <c r="G777" s="2" t="s">
        <v>322</v>
      </c>
      <c r="H777" s="56" t="str">
        <f>Table1[[#This Row],[Tabela]]&amp;Table1[[#This Row],[Campo]]</f>
        <v>modesg_out_emss_vclsunidade_funcional_scp1_emss</v>
      </c>
      <c r="I777" s="3" t="s">
        <v>612</v>
      </c>
      <c r="J777" s="54">
        <f>VLOOKUP(Table1[[#This Row],[Status]],Auxiliar!$B$16:$C$24,2,0)</f>
        <v>1</v>
      </c>
      <c r="K777" s="2" t="s">
        <v>1172</v>
      </c>
      <c r="L777" s="28" t="s">
        <v>1177</v>
      </c>
      <c r="M777" s="20" t="s">
        <v>1178</v>
      </c>
      <c r="N777" s="47">
        <v>45485</v>
      </c>
      <c r="O777" s="20">
        <f>INDEX(Auxiliar!$D$5:$F$13,MATCH(Table1[[#This Row],[Tipologia_Testes]],Auxiliar!$B$5:$B$13,0),MATCH(Table1[[#This Row],[Complexidade]],Auxiliar!$D$4:$F$4,0))</f>
        <v>2</v>
      </c>
      <c r="P777" s="2"/>
      <c r="Q777" s="2"/>
      <c r="R777" s="151">
        <v>45261</v>
      </c>
      <c r="S777" s="151"/>
      <c r="T777" s="151"/>
      <c r="U777" s="151"/>
      <c r="V777" s="151"/>
      <c r="W777" s="2">
        <f>VLOOKUP(Table1[[#This Row],[Status]],Auxiliar!$B$16:$D$24,3,0)*Table1[[#This Row],[Estimação (horas)]]</f>
        <v>2</v>
      </c>
      <c r="X777" s="166">
        <f>+VLOOKUP(CONCATENATE(Table1[[#This Row],[Tabela]],Table1[[#This Row],[Campo]]),'2. Status Detalhe Campos FY24'!A:J,9,FALSE)</f>
        <v>0</v>
      </c>
    </row>
    <row r="778" spans="2:24" ht="17.850000000000001" hidden="1" customHeight="1">
      <c r="B778" s="2" t="s">
        <v>26</v>
      </c>
      <c r="C778" s="2" t="s">
        <v>310</v>
      </c>
      <c r="D778" s="2" t="s">
        <v>332</v>
      </c>
      <c r="E778" s="2" t="s">
        <v>38</v>
      </c>
      <c r="F778" s="2" t="s">
        <v>331</v>
      </c>
      <c r="G778" s="2" t="s">
        <v>322</v>
      </c>
      <c r="H778" s="56" t="str">
        <f>Table1[[#This Row],[Tabela]]&amp;Table1[[#This Row],[Campo]]</f>
        <v>modesg_out_emss_vclsunidade_funcional_scp1_emss</v>
      </c>
      <c r="I778" s="3" t="s">
        <v>612</v>
      </c>
      <c r="J778" s="54">
        <f>VLOOKUP(Table1[[#This Row],[Status]],Auxiliar!$B$16:$C$24,2,0)</f>
        <v>1</v>
      </c>
      <c r="K778" s="2" t="s">
        <v>1174</v>
      </c>
      <c r="L778" s="28" t="s">
        <v>1177</v>
      </c>
      <c r="M778" s="20" t="s">
        <v>1178</v>
      </c>
      <c r="N778" s="47">
        <v>45485</v>
      </c>
      <c r="O778" s="20">
        <f>INDEX(Auxiliar!$D$5:$F$13,MATCH(Table1[[#This Row],[Tipologia_Testes]],Auxiliar!$B$5:$B$13,0),MATCH(Table1[[#This Row],[Complexidade]],Auxiliar!$D$4:$F$4,0))</f>
        <v>0.1</v>
      </c>
      <c r="P778" s="2"/>
      <c r="Q778" s="2"/>
      <c r="R778" s="151">
        <v>45261</v>
      </c>
      <c r="S778" s="151"/>
      <c r="T778" s="151"/>
      <c r="U778" s="151"/>
      <c r="V778" s="151"/>
      <c r="W778" s="2">
        <f>VLOOKUP(Table1[[#This Row],[Status]],Auxiliar!$B$16:$D$24,3,0)*Table1[[#This Row],[Estimação (horas)]]</f>
        <v>0.1</v>
      </c>
      <c r="X778" s="166">
        <f>+VLOOKUP(CONCATENATE(Table1[[#This Row],[Tabela]],Table1[[#This Row],[Campo]]),'2. Status Detalhe Campos FY24'!A:J,9,FALSE)</f>
        <v>0</v>
      </c>
    </row>
    <row r="779" spans="2:24" ht="17.850000000000001" hidden="1" customHeight="1">
      <c r="B779" s="2" t="s">
        <v>26</v>
      </c>
      <c r="C779" s="2" t="s">
        <v>310</v>
      </c>
      <c r="D779" s="2" t="s">
        <v>332</v>
      </c>
      <c r="E779" s="2" t="s">
        <v>38</v>
      </c>
      <c r="F779" s="2" t="s">
        <v>331</v>
      </c>
      <c r="G779" s="2" t="s">
        <v>323</v>
      </c>
      <c r="H779" s="56" t="str">
        <f>Table1[[#This Row],[Tabela]]&amp;Table1[[#This Row],[Campo]]</f>
        <v>modesg_out_emss_vclsunidade_funcional_scp2_emss</v>
      </c>
      <c r="I779" s="3" t="s">
        <v>612</v>
      </c>
      <c r="J779" s="54">
        <f>VLOOKUP(Table1[[#This Row],[Status]],Auxiliar!$B$16:$C$24,2,0)</f>
        <v>1</v>
      </c>
      <c r="K779" s="2" t="s">
        <v>1171</v>
      </c>
      <c r="L779" s="28" t="s">
        <v>1177</v>
      </c>
      <c r="M779" s="20" t="s">
        <v>1178</v>
      </c>
      <c r="N779" s="47">
        <v>45485</v>
      </c>
      <c r="O779" s="20">
        <f>INDEX(Auxiliar!$D$5:$F$13,MATCH(Table1[[#This Row],[Tipologia_Testes]],Auxiliar!$B$5:$B$13,0),MATCH(Table1[[#This Row],[Complexidade]],Auxiliar!$D$4:$F$4,0))</f>
        <v>2</v>
      </c>
      <c r="P779" s="2"/>
      <c r="Q779" s="2"/>
      <c r="R779" s="151">
        <v>45261</v>
      </c>
      <c r="S779" s="151"/>
      <c r="T779" s="151"/>
      <c r="U779" s="151"/>
      <c r="V779" s="151"/>
      <c r="W779" s="2">
        <f>VLOOKUP(Table1[[#This Row],[Status]],Auxiliar!$B$16:$D$24,3,0)*Table1[[#This Row],[Estimação (horas)]]</f>
        <v>2</v>
      </c>
      <c r="X779" s="166">
        <f>+VLOOKUP(CONCATENATE(Table1[[#This Row],[Tabela]],Table1[[#This Row],[Campo]]),'2. Status Detalhe Campos FY24'!A:J,9,FALSE)</f>
        <v>0</v>
      </c>
    </row>
    <row r="780" spans="2:24" ht="17.850000000000001" hidden="1" customHeight="1">
      <c r="B780" s="2" t="s">
        <v>26</v>
      </c>
      <c r="C780" s="2" t="s">
        <v>310</v>
      </c>
      <c r="D780" s="2" t="s">
        <v>332</v>
      </c>
      <c r="E780" s="2" t="s">
        <v>38</v>
      </c>
      <c r="F780" s="2" t="s">
        <v>331</v>
      </c>
      <c r="G780" s="2" t="s">
        <v>323</v>
      </c>
      <c r="H780" s="56" t="str">
        <f>Table1[[#This Row],[Tabela]]&amp;Table1[[#This Row],[Campo]]</f>
        <v>modesg_out_emss_vclsunidade_funcional_scp2_emss</v>
      </c>
      <c r="I780" s="3" t="s">
        <v>612</v>
      </c>
      <c r="J780" s="54">
        <f>VLOOKUP(Table1[[#This Row],[Status]],Auxiliar!$B$16:$C$24,2,0)</f>
        <v>1</v>
      </c>
      <c r="K780" s="2" t="s">
        <v>1172</v>
      </c>
      <c r="L780" s="28" t="s">
        <v>1177</v>
      </c>
      <c r="M780" s="20" t="s">
        <v>1178</v>
      </c>
      <c r="N780" s="47">
        <v>45485</v>
      </c>
      <c r="O780" s="20">
        <f>INDEX(Auxiliar!$D$5:$F$13,MATCH(Table1[[#This Row],[Tipologia_Testes]],Auxiliar!$B$5:$B$13,0),MATCH(Table1[[#This Row],[Complexidade]],Auxiliar!$D$4:$F$4,0))</f>
        <v>2</v>
      </c>
      <c r="P780" s="2"/>
      <c r="Q780" s="2"/>
      <c r="R780" s="151">
        <v>45261</v>
      </c>
      <c r="S780" s="151"/>
      <c r="T780" s="151"/>
      <c r="U780" s="151"/>
      <c r="V780" s="151"/>
      <c r="W780" s="2">
        <f>VLOOKUP(Table1[[#This Row],[Status]],Auxiliar!$B$16:$D$24,3,0)*Table1[[#This Row],[Estimação (horas)]]</f>
        <v>2</v>
      </c>
      <c r="X780" s="166">
        <f>+VLOOKUP(CONCATENATE(Table1[[#This Row],[Tabela]],Table1[[#This Row],[Campo]]),'2. Status Detalhe Campos FY24'!A:J,9,FALSE)</f>
        <v>0</v>
      </c>
    </row>
    <row r="781" spans="2:24" ht="17.850000000000001" hidden="1" customHeight="1">
      <c r="B781" s="2" t="s">
        <v>26</v>
      </c>
      <c r="C781" s="2" t="s">
        <v>310</v>
      </c>
      <c r="D781" s="2" t="s">
        <v>332</v>
      </c>
      <c r="E781" s="2" t="s">
        <v>38</v>
      </c>
      <c r="F781" s="2" t="s">
        <v>331</v>
      </c>
      <c r="G781" s="2" t="s">
        <v>323</v>
      </c>
      <c r="H781" s="56" t="str">
        <f>Table1[[#This Row],[Tabela]]&amp;Table1[[#This Row],[Campo]]</f>
        <v>modesg_out_emss_vclsunidade_funcional_scp2_emss</v>
      </c>
      <c r="I781" s="3" t="s">
        <v>612</v>
      </c>
      <c r="J781" s="54">
        <f>VLOOKUP(Table1[[#This Row],[Status]],Auxiliar!$B$16:$C$24,2,0)</f>
        <v>1</v>
      </c>
      <c r="K781" s="2" t="s">
        <v>1174</v>
      </c>
      <c r="L781" s="28" t="s">
        <v>1177</v>
      </c>
      <c r="M781" s="20" t="s">
        <v>1178</v>
      </c>
      <c r="N781" s="47">
        <v>45485</v>
      </c>
      <c r="O781" s="20">
        <f>INDEX(Auxiliar!$D$5:$F$13,MATCH(Table1[[#This Row],[Tipologia_Testes]],Auxiliar!$B$5:$B$13,0),MATCH(Table1[[#This Row],[Complexidade]],Auxiliar!$D$4:$F$4,0))</f>
        <v>0.1</v>
      </c>
      <c r="P781" s="2"/>
      <c r="Q781" s="2"/>
      <c r="R781" s="151">
        <v>45261</v>
      </c>
      <c r="S781" s="151"/>
      <c r="T781" s="151"/>
      <c r="U781" s="151"/>
      <c r="V781" s="151"/>
      <c r="W781" s="2">
        <f>VLOOKUP(Table1[[#This Row],[Status]],Auxiliar!$B$16:$D$24,3,0)*Table1[[#This Row],[Estimação (horas)]]</f>
        <v>0.1</v>
      </c>
      <c r="X781" s="166">
        <f>+VLOOKUP(CONCATENATE(Table1[[#This Row],[Tabela]],Table1[[#This Row],[Campo]]),'2. Status Detalhe Campos FY24'!A:J,9,FALSE)</f>
        <v>0</v>
      </c>
    </row>
    <row r="782" spans="2:24" ht="17.850000000000001" hidden="1" customHeight="1">
      <c r="B782" s="2" t="s">
        <v>26</v>
      </c>
      <c r="C782" s="2" t="s">
        <v>310</v>
      </c>
      <c r="D782" s="2" t="s">
        <v>332</v>
      </c>
      <c r="E782" s="2" t="s">
        <v>38</v>
      </c>
      <c r="F782" s="2" t="s">
        <v>331</v>
      </c>
      <c r="G782" s="2" t="s">
        <v>324</v>
      </c>
      <c r="H782" s="56" t="str">
        <f>Table1[[#This Row],[Tabela]]&amp;Table1[[#This Row],[Campo]]</f>
        <v>modesg_out_emss_vclsunidade_funcional_scp3_emss</v>
      </c>
      <c r="I782" s="3" t="s">
        <v>612</v>
      </c>
      <c r="J782" s="54">
        <f>VLOOKUP(Table1[[#This Row],[Status]],Auxiliar!$B$16:$C$24,2,0)</f>
        <v>1</v>
      </c>
      <c r="K782" s="2" t="s">
        <v>1171</v>
      </c>
      <c r="L782" s="28" t="s">
        <v>1177</v>
      </c>
      <c r="M782" s="20" t="s">
        <v>1178</v>
      </c>
      <c r="N782" s="47">
        <v>45485</v>
      </c>
      <c r="O782" s="20">
        <f>INDEX(Auxiliar!$D$5:$F$13,MATCH(Table1[[#This Row],[Tipologia_Testes]],Auxiliar!$B$5:$B$13,0),MATCH(Table1[[#This Row],[Complexidade]],Auxiliar!$D$4:$F$4,0))</f>
        <v>2</v>
      </c>
      <c r="P782" s="2"/>
      <c r="Q782" s="2"/>
      <c r="R782" s="151">
        <v>45261</v>
      </c>
      <c r="S782" s="151"/>
      <c r="T782" s="151"/>
      <c r="U782" s="151"/>
      <c r="V782" s="151"/>
      <c r="W782" s="2">
        <f>VLOOKUP(Table1[[#This Row],[Status]],Auxiliar!$B$16:$D$24,3,0)*Table1[[#This Row],[Estimação (horas)]]</f>
        <v>2</v>
      </c>
      <c r="X782" s="166">
        <f>+VLOOKUP(CONCATENATE(Table1[[#This Row],[Tabela]],Table1[[#This Row],[Campo]]),'2. Status Detalhe Campos FY24'!A:J,9,FALSE)</f>
        <v>0</v>
      </c>
    </row>
    <row r="783" spans="2:24" ht="17.850000000000001" hidden="1" customHeight="1">
      <c r="B783" s="2" t="s">
        <v>26</v>
      </c>
      <c r="C783" s="2" t="s">
        <v>310</v>
      </c>
      <c r="D783" s="2" t="s">
        <v>332</v>
      </c>
      <c r="E783" s="2" t="s">
        <v>38</v>
      </c>
      <c r="F783" s="2" t="s">
        <v>331</v>
      </c>
      <c r="G783" s="2" t="s">
        <v>324</v>
      </c>
      <c r="H783" s="56" t="str">
        <f>Table1[[#This Row],[Tabela]]&amp;Table1[[#This Row],[Campo]]</f>
        <v>modesg_out_emss_vclsunidade_funcional_scp3_emss</v>
      </c>
      <c r="I783" s="3" t="s">
        <v>612</v>
      </c>
      <c r="J783" s="54">
        <f>VLOOKUP(Table1[[#This Row],[Status]],Auxiliar!$B$16:$C$24,2,0)</f>
        <v>1</v>
      </c>
      <c r="K783" s="2" t="s">
        <v>1172</v>
      </c>
      <c r="L783" s="28" t="s">
        <v>1177</v>
      </c>
      <c r="M783" s="20" t="s">
        <v>1178</v>
      </c>
      <c r="N783" s="47">
        <v>45485</v>
      </c>
      <c r="O783" s="20">
        <f>INDEX(Auxiliar!$D$5:$F$13,MATCH(Table1[[#This Row],[Tipologia_Testes]],Auxiliar!$B$5:$B$13,0),MATCH(Table1[[#This Row],[Complexidade]],Auxiliar!$D$4:$F$4,0))</f>
        <v>2</v>
      </c>
      <c r="P783" s="2"/>
      <c r="Q783" s="2"/>
      <c r="R783" s="151">
        <v>45261</v>
      </c>
      <c r="S783" s="151"/>
      <c r="T783" s="151"/>
      <c r="U783" s="151"/>
      <c r="V783" s="151"/>
      <c r="W783" s="2">
        <f>VLOOKUP(Table1[[#This Row],[Status]],Auxiliar!$B$16:$D$24,3,0)*Table1[[#This Row],[Estimação (horas)]]</f>
        <v>2</v>
      </c>
      <c r="X783" s="166">
        <f>+VLOOKUP(CONCATENATE(Table1[[#This Row],[Tabela]],Table1[[#This Row],[Campo]]),'2. Status Detalhe Campos FY24'!A:J,9,FALSE)</f>
        <v>0</v>
      </c>
    </row>
    <row r="784" spans="2:24" ht="18" hidden="1" customHeight="1">
      <c r="B784" s="2" t="s">
        <v>26</v>
      </c>
      <c r="C784" s="2" t="s">
        <v>310</v>
      </c>
      <c r="D784" s="2" t="s">
        <v>332</v>
      </c>
      <c r="E784" s="2" t="s">
        <v>38</v>
      </c>
      <c r="F784" s="2" t="s">
        <v>331</v>
      </c>
      <c r="G784" s="2" t="s">
        <v>324</v>
      </c>
      <c r="H784" s="56" t="str">
        <f>Table1[[#This Row],[Tabela]]&amp;Table1[[#This Row],[Campo]]</f>
        <v>modesg_out_emss_vclsunidade_funcional_scp3_emss</v>
      </c>
      <c r="I784" s="3" t="s">
        <v>612</v>
      </c>
      <c r="J784" s="54">
        <f>VLOOKUP(Table1[[#This Row],[Status]],Auxiliar!$B$16:$C$24,2,0)</f>
        <v>1</v>
      </c>
      <c r="K784" s="2" t="s">
        <v>1174</v>
      </c>
      <c r="L784" s="28" t="s">
        <v>1177</v>
      </c>
      <c r="M784" s="20" t="s">
        <v>1178</v>
      </c>
      <c r="N784" s="47">
        <v>45485</v>
      </c>
      <c r="O784" s="20">
        <f>INDEX(Auxiliar!$D$5:$F$13,MATCH(Table1[[#This Row],[Tipologia_Testes]],Auxiliar!$B$5:$B$13,0),MATCH(Table1[[#This Row],[Complexidade]],Auxiliar!$D$4:$F$4,0))</f>
        <v>0.1</v>
      </c>
      <c r="P784" s="2"/>
      <c r="Q784" s="2"/>
      <c r="R784" s="151">
        <v>45261</v>
      </c>
      <c r="S784" s="151"/>
      <c r="T784" s="151"/>
      <c r="U784" s="151"/>
      <c r="V784" s="151"/>
      <c r="W784" s="2">
        <f>VLOOKUP(Table1[[#This Row],[Status]],Auxiliar!$B$16:$D$24,3,0)*Table1[[#This Row],[Estimação (horas)]]</f>
        <v>0.1</v>
      </c>
      <c r="X784" s="166">
        <f>+VLOOKUP(CONCATENATE(Table1[[#This Row],[Tabela]],Table1[[#This Row],[Campo]]),'2. Status Detalhe Campos FY24'!A:J,9,FALSE)</f>
        <v>0</v>
      </c>
    </row>
    <row r="785" spans="2:24" ht="17.850000000000001" hidden="1" customHeight="1">
      <c r="B785" s="2" t="s">
        <v>26</v>
      </c>
      <c r="C785" s="2" t="s">
        <v>310</v>
      </c>
      <c r="D785" s="2" t="s">
        <v>334</v>
      </c>
      <c r="E785" s="2" t="s">
        <v>38</v>
      </c>
      <c r="F785" s="2" t="s">
        <v>2085</v>
      </c>
      <c r="G785" s="2" t="s">
        <v>38</v>
      </c>
      <c r="H785" s="56" t="str">
        <f>Table1[[#This Row],[Tabela]]&amp;Table1[[#This Row],[Campo]]</f>
        <v>modesg_out_sfics_taxon_europeian.a.</v>
      </c>
      <c r="I785" s="2" t="s">
        <v>2325</v>
      </c>
      <c r="J785" s="42">
        <f>VLOOKUP(Table1[[#This Row],[Status]],Auxiliar!$B$16:$C$24,2,0)</f>
        <v>7</v>
      </c>
      <c r="K785" s="2" t="s">
        <v>1168</v>
      </c>
      <c r="L785" s="28" t="s">
        <v>1169</v>
      </c>
      <c r="M785" s="20" t="s">
        <v>1170</v>
      </c>
      <c r="N785" s="47">
        <v>45695</v>
      </c>
      <c r="O785" s="20">
        <f>INDEX(Auxiliar!$D$5:$F$13,MATCH(Table1[[#This Row],[Tipologia_Testes]],Auxiliar!$B$5:$B$13,0),MATCH(Table1[[#This Row],[Complexidade]],Auxiliar!$D$4:$F$4,0))</f>
        <v>8</v>
      </c>
      <c r="P785" s="22" t="s">
        <v>1208</v>
      </c>
      <c r="Q785" s="2"/>
      <c r="R785" s="151">
        <v>45563</v>
      </c>
      <c r="S785" s="151"/>
      <c r="T785" s="151">
        <v>45563</v>
      </c>
      <c r="U785" s="151">
        <v>45624</v>
      </c>
      <c r="V785" s="151">
        <v>45629</v>
      </c>
      <c r="W785" s="2">
        <f>VLOOKUP(Table1[[#This Row],[Status]],Auxiliar!$B$16:$D$24,3,0)*Table1[[#This Row],[Estimação (horas)]]</f>
        <v>2</v>
      </c>
      <c r="X785" s="166">
        <f>+VLOOKUP(CONCATENATE(Table1[[#This Row],[Tabela]],Table1[[#This Row],[Campo]]),'2. Status Detalhe Campos FY24'!A:J,9,FALSE)</f>
        <v>0</v>
      </c>
    </row>
    <row r="786" spans="2:24" ht="17.850000000000001" hidden="1" customHeight="1">
      <c r="B786" s="2" t="s">
        <v>26</v>
      </c>
      <c r="C786" s="2" t="s">
        <v>310</v>
      </c>
      <c r="D786" s="2" t="s">
        <v>334</v>
      </c>
      <c r="E786" s="2" t="s">
        <v>38</v>
      </c>
      <c r="F786" s="2" t="s">
        <v>2085</v>
      </c>
      <c r="G786" s="2" t="s">
        <v>183</v>
      </c>
      <c r="H786" s="56" t="str">
        <f>Table1[[#This Row],[Tabela]]&amp;Table1[[#This Row],[Campo]]</f>
        <v>modesg_out_sfics_taxon_europeiacbalcao</v>
      </c>
      <c r="I786" s="2" t="s">
        <v>2325</v>
      </c>
      <c r="J786" s="42">
        <f>VLOOKUP(Table1[[#This Row],[Status]],Auxiliar!$B$16:$C$24,2,0)</f>
        <v>7</v>
      </c>
      <c r="K786" s="2" t="s">
        <v>1171</v>
      </c>
      <c r="L786" s="28" t="s">
        <v>1177</v>
      </c>
      <c r="M786" s="20" t="s">
        <v>1178</v>
      </c>
      <c r="N786" s="47">
        <v>45695</v>
      </c>
      <c r="O786" s="20">
        <f>INDEX(Auxiliar!$D$5:$F$13,MATCH(Table1[[#This Row],[Tipologia_Testes]],Auxiliar!$B$5:$B$13,0),MATCH(Table1[[#This Row],[Complexidade]],Auxiliar!$D$4:$F$4,0))</f>
        <v>2</v>
      </c>
      <c r="P786" s="2"/>
      <c r="Q786" s="2"/>
      <c r="R786" s="151">
        <v>45563</v>
      </c>
      <c r="S786" s="151"/>
      <c r="T786" s="151">
        <v>45563</v>
      </c>
      <c r="U786" s="151">
        <v>45624</v>
      </c>
      <c r="V786" s="151">
        <v>45629</v>
      </c>
      <c r="W786" s="2">
        <f>VLOOKUP(Table1[[#This Row],[Status]],Auxiliar!$B$16:$D$24,3,0)*Table1[[#This Row],[Estimação (horas)]]</f>
        <v>0.5</v>
      </c>
      <c r="X786" s="166">
        <f>+VLOOKUP(CONCATENATE(Table1[[#This Row],[Tabela]],Table1[[#This Row],[Campo]]),'2. Status Detalhe Campos FY24'!A:J,9,FALSE)</f>
        <v>0</v>
      </c>
    </row>
    <row r="787" spans="2:24" ht="17.850000000000001" hidden="1" customHeight="1">
      <c r="B787" s="2" t="s">
        <v>26</v>
      </c>
      <c r="C787" s="2" t="s">
        <v>310</v>
      </c>
      <c r="D787" s="2" t="s">
        <v>334</v>
      </c>
      <c r="E787" s="2" t="s">
        <v>38</v>
      </c>
      <c r="F787" s="2" t="s">
        <v>2085</v>
      </c>
      <c r="G787" s="2" t="s">
        <v>183</v>
      </c>
      <c r="H787" s="56" t="str">
        <f>Table1[[#This Row],[Tabela]]&amp;Table1[[#This Row],[Campo]]</f>
        <v>modesg_out_sfics_taxon_europeiacbalcao</v>
      </c>
      <c r="I787" s="2" t="s">
        <v>2325</v>
      </c>
      <c r="J787" s="42">
        <f>VLOOKUP(Table1[[#This Row],[Status]],Auxiliar!$B$16:$C$24,2,0)</f>
        <v>7</v>
      </c>
      <c r="K787" s="2" t="s">
        <v>1172</v>
      </c>
      <c r="L787" s="28" t="s">
        <v>1177</v>
      </c>
      <c r="M787" s="20" t="s">
        <v>1178</v>
      </c>
      <c r="N787" s="47">
        <v>45695</v>
      </c>
      <c r="O787" s="20">
        <f>INDEX(Auxiliar!$D$5:$F$13,MATCH(Table1[[#This Row],[Tipologia_Testes]],Auxiliar!$B$5:$B$13,0),MATCH(Table1[[#This Row],[Complexidade]],Auxiliar!$D$4:$F$4,0))</f>
        <v>2</v>
      </c>
      <c r="P787" s="2"/>
      <c r="Q787" s="2"/>
      <c r="R787" s="151">
        <v>45563</v>
      </c>
      <c r="S787" s="151"/>
      <c r="T787" s="151">
        <v>45563</v>
      </c>
      <c r="U787" s="151">
        <v>45624</v>
      </c>
      <c r="V787" s="151">
        <v>45629</v>
      </c>
      <c r="W787" s="2">
        <f>VLOOKUP(Table1[[#This Row],[Status]],Auxiliar!$B$16:$D$24,3,0)*Table1[[#This Row],[Estimação (horas)]]</f>
        <v>0.5</v>
      </c>
      <c r="X787" s="166">
        <f>+VLOOKUP(CONCATENATE(Table1[[#This Row],[Tabela]],Table1[[#This Row],[Campo]]),'2. Status Detalhe Campos FY24'!A:J,9,FALSE)</f>
        <v>0</v>
      </c>
    </row>
    <row r="788" spans="2:24" ht="17.850000000000001" hidden="1" customHeight="1">
      <c r="B788" s="2" t="s">
        <v>26</v>
      </c>
      <c r="C788" s="2" t="s">
        <v>310</v>
      </c>
      <c r="D788" s="2" t="s">
        <v>334</v>
      </c>
      <c r="E788" s="2" t="s">
        <v>38</v>
      </c>
      <c r="F788" s="2" t="s">
        <v>2085</v>
      </c>
      <c r="G788" s="2" t="s">
        <v>183</v>
      </c>
      <c r="H788" s="56" t="str">
        <f>Table1[[#This Row],[Tabela]]&amp;Table1[[#This Row],[Campo]]</f>
        <v>modesg_out_sfics_taxon_europeiacbalcao</v>
      </c>
      <c r="I788" s="2" t="s">
        <v>2325</v>
      </c>
      <c r="J788" s="42">
        <f>VLOOKUP(Table1[[#This Row],[Status]],Auxiliar!$B$16:$C$24,2,0)</f>
        <v>7</v>
      </c>
      <c r="K788" s="2" t="s">
        <v>1174</v>
      </c>
      <c r="L788" s="28" t="s">
        <v>1177</v>
      </c>
      <c r="M788" s="20" t="s">
        <v>1178</v>
      </c>
      <c r="N788" s="47">
        <v>45695</v>
      </c>
      <c r="O788" s="20">
        <f>INDEX(Auxiliar!$D$5:$F$13,MATCH(Table1[[#This Row],[Tipologia_Testes]],Auxiliar!$B$5:$B$13,0),MATCH(Table1[[#This Row],[Complexidade]],Auxiliar!$D$4:$F$4,0))</f>
        <v>0.1</v>
      </c>
      <c r="P788" s="2"/>
      <c r="Q788" s="2"/>
      <c r="R788" s="151">
        <v>45563</v>
      </c>
      <c r="S788" s="151"/>
      <c r="T788" s="151">
        <v>45563</v>
      </c>
      <c r="U788" s="151">
        <v>45624</v>
      </c>
      <c r="V788" s="151">
        <v>45629</v>
      </c>
      <c r="W788" s="2">
        <f>VLOOKUP(Table1[[#This Row],[Status]],Auxiliar!$B$16:$D$24,3,0)*Table1[[#This Row],[Estimação (horas)]]</f>
        <v>2.5000000000000001E-2</v>
      </c>
      <c r="X788" s="166">
        <f>+VLOOKUP(CONCATENATE(Table1[[#This Row],[Tabela]],Table1[[#This Row],[Campo]]),'2. Status Detalhe Campos FY24'!A:J,9,FALSE)</f>
        <v>0</v>
      </c>
    </row>
    <row r="789" spans="2:24" ht="17.850000000000001" hidden="1" customHeight="1">
      <c r="B789" s="2" t="s">
        <v>26</v>
      </c>
      <c r="C789" s="2" t="s">
        <v>310</v>
      </c>
      <c r="D789" s="2" t="s">
        <v>334</v>
      </c>
      <c r="E789" s="2" t="s">
        <v>38</v>
      </c>
      <c r="F789" s="2" t="s">
        <v>2085</v>
      </c>
      <c r="G789" s="2" t="s">
        <v>184</v>
      </c>
      <c r="H789" s="56" t="str">
        <f>Table1[[#This Row],[Tabela]]&amp;Table1[[#This Row],[Campo]]</f>
        <v>modesg_out_sfics_taxon_europeiacempresa</v>
      </c>
      <c r="I789" s="2" t="s">
        <v>2325</v>
      </c>
      <c r="J789" s="42">
        <f>VLOOKUP(Table1[[#This Row],[Status]],Auxiliar!$B$16:$C$24,2,0)</f>
        <v>7</v>
      </c>
      <c r="K789" s="2" t="s">
        <v>1171</v>
      </c>
      <c r="L789" s="28" t="s">
        <v>1177</v>
      </c>
      <c r="M789" s="20" t="s">
        <v>1178</v>
      </c>
      <c r="N789" s="47">
        <v>45695</v>
      </c>
      <c r="O789" s="20">
        <f>INDEX(Auxiliar!$D$5:$F$13,MATCH(Table1[[#This Row],[Tipologia_Testes]],Auxiliar!$B$5:$B$13,0),MATCH(Table1[[#This Row],[Complexidade]],Auxiliar!$D$4:$F$4,0))</f>
        <v>2</v>
      </c>
      <c r="P789" s="2"/>
      <c r="Q789" s="2"/>
      <c r="R789" s="151">
        <v>45563</v>
      </c>
      <c r="S789" s="151"/>
      <c r="T789" s="151">
        <v>45563</v>
      </c>
      <c r="U789" s="151">
        <v>45624</v>
      </c>
      <c r="V789" s="151">
        <v>45629</v>
      </c>
      <c r="W789" s="2">
        <f>VLOOKUP(Table1[[#This Row],[Status]],Auxiliar!$B$16:$D$24,3,0)*Table1[[#This Row],[Estimação (horas)]]</f>
        <v>0.5</v>
      </c>
      <c r="X789" s="166">
        <f>+VLOOKUP(CONCATENATE(Table1[[#This Row],[Tabela]],Table1[[#This Row],[Campo]]),'2. Status Detalhe Campos FY24'!A:J,9,FALSE)</f>
        <v>0</v>
      </c>
    </row>
    <row r="790" spans="2:24" ht="17.850000000000001" hidden="1" customHeight="1">
      <c r="B790" s="2" t="s">
        <v>26</v>
      </c>
      <c r="C790" s="2" t="s">
        <v>310</v>
      </c>
      <c r="D790" s="2" t="s">
        <v>334</v>
      </c>
      <c r="E790" s="2" t="s">
        <v>38</v>
      </c>
      <c r="F790" s="2" t="s">
        <v>2085</v>
      </c>
      <c r="G790" s="2" t="s">
        <v>184</v>
      </c>
      <c r="H790" s="56" t="str">
        <f>Table1[[#This Row],[Tabela]]&amp;Table1[[#This Row],[Campo]]</f>
        <v>modesg_out_sfics_taxon_europeiacempresa</v>
      </c>
      <c r="I790" s="2" t="s">
        <v>2325</v>
      </c>
      <c r="J790" s="42">
        <f>VLOOKUP(Table1[[#This Row],[Status]],Auxiliar!$B$16:$C$24,2,0)</f>
        <v>7</v>
      </c>
      <c r="K790" s="2" t="s">
        <v>1172</v>
      </c>
      <c r="L790" s="28" t="s">
        <v>1177</v>
      </c>
      <c r="M790" s="20" t="s">
        <v>1178</v>
      </c>
      <c r="N790" s="47">
        <v>45695</v>
      </c>
      <c r="O790" s="20">
        <f>INDEX(Auxiliar!$D$5:$F$13,MATCH(Table1[[#This Row],[Tipologia_Testes]],Auxiliar!$B$5:$B$13,0),MATCH(Table1[[#This Row],[Complexidade]],Auxiliar!$D$4:$F$4,0))</f>
        <v>2</v>
      </c>
      <c r="P790" s="2"/>
      <c r="Q790" s="2"/>
      <c r="R790" s="151">
        <v>45563</v>
      </c>
      <c r="S790" s="151"/>
      <c r="T790" s="151">
        <v>45563</v>
      </c>
      <c r="U790" s="151">
        <v>45624</v>
      </c>
      <c r="V790" s="151">
        <v>45629</v>
      </c>
      <c r="W790" s="2">
        <f>VLOOKUP(Table1[[#This Row],[Status]],Auxiliar!$B$16:$D$24,3,0)*Table1[[#This Row],[Estimação (horas)]]</f>
        <v>0.5</v>
      </c>
      <c r="X790" s="166">
        <f>+VLOOKUP(CONCATENATE(Table1[[#This Row],[Tabela]],Table1[[#This Row],[Campo]]),'2. Status Detalhe Campos FY24'!A:J,9,FALSE)</f>
        <v>0</v>
      </c>
    </row>
    <row r="791" spans="2:24" ht="17.850000000000001" hidden="1" customHeight="1">
      <c r="B791" s="2" t="s">
        <v>26</v>
      </c>
      <c r="C791" s="2" t="s">
        <v>310</v>
      </c>
      <c r="D791" s="2" t="s">
        <v>334</v>
      </c>
      <c r="E791" s="2" t="s">
        <v>38</v>
      </c>
      <c r="F791" s="2" t="s">
        <v>2085</v>
      </c>
      <c r="G791" s="2" t="s">
        <v>184</v>
      </c>
      <c r="H791" s="56" t="str">
        <f>Table1[[#This Row],[Tabela]]&amp;Table1[[#This Row],[Campo]]</f>
        <v>modesg_out_sfics_taxon_europeiacempresa</v>
      </c>
      <c r="I791" s="2" t="s">
        <v>2325</v>
      </c>
      <c r="J791" s="42">
        <f>VLOOKUP(Table1[[#This Row],[Status]],Auxiliar!$B$16:$C$24,2,0)</f>
        <v>7</v>
      </c>
      <c r="K791" s="2" t="s">
        <v>1174</v>
      </c>
      <c r="L791" s="28" t="s">
        <v>1177</v>
      </c>
      <c r="M791" s="20" t="s">
        <v>1178</v>
      </c>
      <c r="N791" s="47">
        <v>45695</v>
      </c>
      <c r="O791" s="20">
        <f>INDEX(Auxiliar!$D$5:$F$13,MATCH(Table1[[#This Row],[Tipologia_Testes]],Auxiliar!$B$5:$B$13,0),MATCH(Table1[[#This Row],[Complexidade]],Auxiliar!$D$4:$F$4,0))</f>
        <v>0.1</v>
      </c>
      <c r="P791" s="2"/>
      <c r="Q791" s="2"/>
      <c r="R791" s="151">
        <v>45563</v>
      </c>
      <c r="S791" s="151"/>
      <c r="T791" s="151">
        <v>45563</v>
      </c>
      <c r="U791" s="151">
        <v>45624</v>
      </c>
      <c r="V791" s="151">
        <v>45629</v>
      </c>
      <c r="W791" s="2">
        <f>VLOOKUP(Table1[[#This Row],[Status]],Auxiliar!$B$16:$D$24,3,0)*Table1[[#This Row],[Estimação (horas)]]</f>
        <v>2.5000000000000001E-2</v>
      </c>
      <c r="X791" s="166">
        <f>+VLOOKUP(CONCATENATE(Table1[[#This Row],[Tabela]],Table1[[#This Row],[Campo]]),'2. Status Detalhe Campos FY24'!A:J,9,FALSE)</f>
        <v>0</v>
      </c>
    </row>
    <row r="792" spans="2:24" ht="17.850000000000001" hidden="1" customHeight="1">
      <c r="B792" s="2" t="s">
        <v>26</v>
      </c>
      <c r="C792" s="2" t="s">
        <v>310</v>
      </c>
      <c r="D792" s="2" t="s">
        <v>334</v>
      </c>
      <c r="E792" s="2" t="s">
        <v>38</v>
      </c>
      <c r="F792" s="2" t="s">
        <v>2085</v>
      </c>
      <c r="G792" s="2" t="s">
        <v>189</v>
      </c>
      <c r="H792" s="56" t="str">
        <f>Table1[[#This Row],[Tabela]]&amp;Table1[[#This Row],[Campo]]</f>
        <v>modesg_out_sfics_taxon_europeiacnumecta</v>
      </c>
      <c r="I792" s="2" t="s">
        <v>2325</v>
      </c>
      <c r="J792" s="42">
        <f>VLOOKUP(Table1[[#This Row],[Status]],Auxiliar!$B$16:$C$24,2,0)</f>
        <v>7</v>
      </c>
      <c r="K792" s="2" t="s">
        <v>1171</v>
      </c>
      <c r="L792" s="28" t="s">
        <v>1177</v>
      </c>
      <c r="M792" s="20" t="s">
        <v>1178</v>
      </c>
      <c r="N792" s="47">
        <v>45695</v>
      </c>
      <c r="O792" s="20">
        <f>INDEX(Auxiliar!$D$5:$F$13,MATCH(Table1[[#This Row],[Tipologia_Testes]],Auxiliar!$B$5:$B$13,0),MATCH(Table1[[#This Row],[Complexidade]],Auxiliar!$D$4:$F$4,0))</f>
        <v>2</v>
      </c>
      <c r="P792" s="2"/>
      <c r="Q792" s="2"/>
      <c r="R792" s="151">
        <v>45563</v>
      </c>
      <c r="S792" s="151"/>
      <c r="T792" s="151">
        <v>45563</v>
      </c>
      <c r="U792" s="151">
        <v>45624</v>
      </c>
      <c r="V792" s="151">
        <v>45629</v>
      </c>
      <c r="W792" s="2">
        <f>VLOOKUP(Table1[[#This Row],[Status]],Auxiliar!$B$16:$D$24,3,0)*Table1[[#This Row],[Estimação (horas)]]</f>
        <v>0.5</v>
      </c>
      <c r="X792" s="166">
        <f>+VLOOKUP(CONCATENATE(Table1[[#This Row],[Tabela]],Table1[[#This Row],[Campo]]),'2. Status Detalhe Campos FY24'!A:J,9,FALSE)</f>
        <v>0</v>
      </c>
    </row>
    <row r="793" spans="2:24" ht="17.850000000000001" hidden="1" customHeight="1">
      <c r="B793" s="2" t="s">
        <v>26</v>
      </c>
      <c r="C793" s="2" t="s">
        <v>310</v>
      </c>
      <c r="D793" s="2" t="s">
        <v>334</v>
      </c>
      <c r="E793" s="2" t="s">
        <v>38</v>
      </c>
      <c r="F793" s="2" t="s">
        <v>2085</v>
      </c>
      <c r="G793" s="2" t="s">
        <v>189</v>
      </c>
      <c r="H793" s="56" t="str">
        <f>Table1[[#This Row],[Tabela]]&amp;Table1[[#This Row],[Campo]]</f>
        <v>modesg_out_sfics_taxon_europeiacnumecta</v>
      </c>
      <c r="I793" s="2" t="s">
        <v>2325</v>
      </c>
      <c r="J793" s="42">
        <f>VLOOKUP(Table1[[#This Row],[Status]],Auxiliar!$B$16:$C$24,2,0)</f>
        <v>7</v>
      </c>
      <c r="K793" s="2" t="s">
        <v>1172</v>
      </c>
      <c r="L793" s="28" t="s">
        <v>1177</v>
      </c>
      <c r="M793" s="20" t="s">
        <v>1178</v>
      </c>
      <c r="N793" s="47">
        <v>45695</v>
      </c>
      <c r="O793" s="20">
        <f>INDEX(Auxiliar!$D$5:$F$13,MATCH(Table1[[#This Row],[Tipologia_Testes]],Auxiliar!$B$5:$B$13,0),MATCH(Table1[[#This Row],[Complexidade]],Auxiliar!$D$4:$F$4,0))</f>
        <v>2</v>
      </c>
      <c r="P793" s="2"/>
      <c r="Q793" s="2"/>
      <c r="R793" s="151">
        <v>45563</v>
      </c>
      <c r="S793" s="151"/>
      <c r="T793" s="151">
        <v>45563</v>
      </c>
      <c r="U793" s="151">
        <v>45624</v>
      </c>
      <c r="V793" s="151">
        <v>45629</v>
      </c>
      <c r="W793" s="2">
        <f>VLOOKUP(Table1[[#This Row],[Status]],Auxiliar!$B$16:$D$24,3,0)*Table1[[#This Row],[Estimação (horas)]]</f>
        <v>0.5</v>
      </c>
      <c r="X793" s="166">
        <f>+VLOOKUP(CONCATENATE(Table1[[#This Row],[Tabela]],Table1[[#This Row],[Campo]]),'2. Status Detalhe Campos FY24'!A:J,9,FALSE)</f>
        <v>0</v>
      </c>
    </row>
    <row r="794" spans="2:24" ht="17.850000000000001" hidden="1" customHeight="1">
      <c r="B794" s="2" t="s">
        <v>26</v>
      </c>
      <c r="C794" s="2" t="s">
        <v>310</v>
      </c>
      <c r="D794" s="2" t="s">
        <v>334</v>
      </c>
      <c r="E794" s="2" t="s">
        <v>38</v>
      </c>
      <c r="F794" s="2" t="s">
        <v>2085</v>
      </c>
      <c r="G794" s="2" t="s">
        <v>189</v>
      </c>
      <c r="H794" s="56" t="str">
        <f>Table1[[#This Row],[Tabela]]&amp;Table1[[#This Row],[Campo]]</f>
        <v>modesg_out_sfics_taxon_europeiacnumecta</v>
      </c>
      <c r="I794" s="2" t="s">
        <v>2325</v>
      </c>
      <c r="J794" s="42">
        <f>VLOOKUP(Table1[[#This Row],[Status]],Auxiliar!$B$16:$C$24,2,0)</f>
        <v>7</v>
      </c>
      <c r="K794" s="2" t="s">
        <v>1174</v>
      </c>
      <c r="L794" s="28" t="s">
        <v>1177</v>
      </c>
      <c r="M794" s="20" t="s">
        <v>1178</v>
      </c>
      <c r="N794" s="47">
        <v>45695</v>
      </c>
      <c r="O794" s="20">
        <f>INDEX(Auxiliar!$D$5:$F$13,MATCH(Table1[[#This Row],[Tipologia_Testes]],Auxiliar!$B$5:$B$13,0),MATCH(Table1[[#This Row],[Complexidade]],Auxiliar!$D$4:$F$4,0))</f>
        <v>0.1</v>
      </c>
      <c r="P794" s="2"/>
      <c r="Q794" s="2"/>
      <c r="R794" s="151">
        <v>45563</v>
      </c>
      <c r="S794" s="151"/>
      <c r="T794" s="151">
        <v>45563</v>
      </c>
      <c r="U794" s="151">
        <v>45624</v>
      </c>
      <c r="V794" s="151">
        <v>45629</v>
      </c>
      <c r="W794" s="2">
        <f>VLOOKUP(Table1[[#This Row],[Status]],Auxiliar!$B$16:$D$24,3,0)*Table1[[#This Row],[Estimação (horas)]]</f>
        <v>2.5000000000000001E-2</v>
      </c>
      <c r="X794" s="166">
        <f>+VLOOKUP(CONCATENATE(Table1[[#This Row],[Tabela]],Table1[[#This Row],[Campo]]),'2. Status Detalhe Campos FY24'!A:J,9,FALSE)</f>
        <v>0</v>
      </c>
    </row>
    <row r="795" spans="2:24" ht="17.850000000000001" hidden="1" customHeight="1">
      <c r="B795" s="2" t="s">
        <v>26</v>
      </c>
      <c r="C795" s="2" t="s">
        <v>310</v>
      </c>
      <c r="D795" s="2" t="s">
        <v>334</v>
      </c>
      <c r="E795" s="2" t="s">
        <v>38</v>
      </c>
      <c r="F795" s="2" t="s">
        <v>2085</v>
      </c>
      <c r="G795" s="2" t="s">
        <v>191</v>
      </c>
      <c r="H795" s="56" t="str">
        <f>Table1[[#This Row],[Tabela]]&amp;Table1[[#This Row],[Campo]]</f>
        <v>modesg_out_sfics_taxon_europeiacod_regra</v>
      </c>
      <c r="I795" s="2" t="s">
        <v>2325</v>
      </c>
      <c r="J795" s="42">
        <f>VLOOKUP(Table1[[#This Row],[Status]],Auxiliar!$B$16:$C$24,2,0)</f>
        <v>7</v>
      </c>
      <c r="K795" s="2" t="s">
        <v>1171</v>
      </c>
      <c r="L795" s="28" t="s">
        <v>1169</v>
      </c>
      <c r="M795" s="20" t="s">
        <v>1178</v>
      </c>
      <c r="N795" s="47">
        <v>45695</v>
      </c>
      <c r="O795" s="20">
        <f>INDEX(Auxiliar!$D$5:$F$13,MATCH(Table1[[#This Row],[Tipologia_Testes]],Auxiliar!$B$5:$B$13,0),MATCH(Table1[[#This Row],[Complexidade]],Auxiliar!$D$4:$F$4,0))</f>
        <v>2</v>
      </c>
      <c r="P795" s="2" t="s">
        <v>1209</v>
      </c>
      <c r="Q795" s="2"/>
      <c r="R795" s="151">
        <v>45563</v>
      </c>
      <c r="S795" s="151"/>
      <c r="T795" s="151">
        <v>45563</v>
      </c>
      <c r="U795" s="151">
        <v>45624</v>
      </c>
      <c r="V795" s="151">
        <v>45629</v>
      </c>
      <c r="W795" s="2">
        <f>VLOOKUP(Table1[[#This Row],[Status]],Auxiliar!$B$16:$D$24,3,0)*Table1[[#This Row],[Estimação (horas)]]</f>
        <v>0.5</v>
      </c>
      <c r="X795" s="166">
        <f>+VLOOKUP(CONCATENATE(Table1[[#This Row],[Tabela]],Table1[[#This Row],[Campo]]),'2. Status Detalhe Campos FY24'!A:J,9,FALSE)</f>
        <v>0</v>
      </c>
    </row>
    <row r="796" spans="2:24" ht="17.850000000000001" hidden="1" customHeight="1">
      <c r="B796" s="2" t="s">
        <v>26</v>
      </c>
      <c r="C796" s="2" t="s">
        <v>310</v>
      </c>
      <c r="D796" s="2" t="s">
        <v>334</v>
      </c>
      <c r="E796" s="2" t="s">
        <v>38</v>
      </c>
      <c r="F796" s="2" t="s">
        <v>2085</v>
      </c>
      <c r="G796" s="2" t="s">
        <v>191</v>
      </c>
      <c r="H796" s="56" t="str">
        <f>Table1[[#This Row],[Tabela]]&amp;Table1[[#This Row],[Campo]]</f>
        <v>modesg_out_sfics_taxon_europeiacod_regra</v>
      </c>
      <c r="I796" s="2" t="s">
        <v>2325</v>
      </c>
      <c r="J796" s="42">
        <f>VLOOKUP(Table1[[#This Row],[Status]],Auxiliar!$B$16:$C$24,2,0)</f>
        <v>7</v>
      </c>
      <c r="K796" s="2" t="s">
        <v>1172</v>
      </c>
      <c r="L796" s="28" t="s">
        <v>1169</v>
      </c>
      <c r="M796" s="20" t="s">
        <v>1178</v>
      </c>
      <c r="N796" s="47">
        <v>45695</v>
      </c>
      <c r="O796" s="20">
        <f>INDEX(Auxiliar!$D$5:$F$13,MATCH(Table1[[#This Row],[Tipologia_Testes]],Auxiliar!$B$5:$B$13,0),MATCH(Table1[[#This Row],[Complexidade]],Auxiliar!$D$4:$F$4,0))</f>
        <v>2</v>
      </c>
      <c r="P796" s="2" t="s">
        <v>1209</v>
      </c>
      <c r="Q796" s="2"/>
      <c r="R796" s="151">
        <v>45563</v>
      </c>
      <c r="S796" s="151"/>
      <c r="T796" s="151">
        <v>45563</v>
      </c>
      <c r="U796" s="151">
        <v>45624</v>
      </c>
      <c r="V796" s="151">
        <v>45629</v>
      </c>
      <c r="W796" s="2">
        <f>VLOOKUP(Table1[[#This Row],[Status]],Auxiliar!$B$16:$D$24,3,0)*Table1[[#This Row],[Estimação (horas)]]</f>
        <v>0.5</v>
      </c>
      <c r="X796" s="166">
        <f>+VLOOKUP(CONCATENATE(Table1[[#This Row],[Tabela]],Table1[[#This Row],[Campo]]),'2. Status Detalhe Campos FY24'!A:J,9,FALSE)</f>
        <v>0</v>
      </c>
    </row>
    <row r="797" spans="2:24" ht="17.850000000000001" hidden="1" customHeight="1">
      <c r="B797" s="2" t="s">
        <v>26</v>
      </c>
      <c r="C797" s="2" t="s">
        <v>310</v>
      </c>
      <c r="D797" s="2" t="s">
        <v>334</v>
      </c>
      <c r="E797" s="2" t="s">
        <v>38</v>
      </c>
      <c r="F797" s="2" t="s">
        <v>2085</v>
      </c>
      <c r="G797" s="2" t="s">
        <v>191</v>
      </c>
      <c r="H797" s="56" t="str">
        <f>Table1[[#This Row],[Tabela]]&amp;Table1[[#This Row],[Campo]]</f>
        <v>modesg_out_sfics_taxon_europeiacod_regra</v>
      </c>
      <c r="I797" s="2" t="s">
        <v>2325</v>
      </c>
      <c r="J797" s="42">
        <f>VLOOKUP(Table1[[#This Row],[Status]],Auxiliar!$B$16:$C$24,2,0)</f>
        <v>7</v>
      </c>
      <c r="K797" s="2" t="s">
        <v>1174</v>
      </c>
      <c r="L797" s="28" t="s">
        <v>1169</v>
      </c>
      <c r="M797" s="20" t="s">
        <v>1178</v>
      </c>
      <c r="N797" s="47">
        <v>45695</v>
      </c>
      <c r="O797" s="20">
        <f>INDEX(Auxiliar!$D$5:$F$13,MATCH(Table1[[#This Row],[Tipologia_Testes]],Auxiliar!$B$5:$B$13,0),MATCH(Table1[[#This Row],[Complexidade]],Auxiliar!$D$4:$F$4,0))</f>
        <v>0.1</v>
      </c>
      <c r="P797" s="2" t="s">
        <v>1209</v>
      </c>
      <c r="Q797" s="2"/>
      <c r="R797" s="151">
        <v>45563</v>
      </c>
      <c r="S797" s="151"/>
      <c r="T797" s="151">
        <v>45563</v>
      </c>
      <c r="U797" s="151">
        <v>45624</v>
      </c>
      <c r="V797" s="151">
        <v>45629</v>
      </c>
      <c r="W797" s="2">
        <f>VLOOKUP(Table1[[#This Row],[Status]],Auxiliar!$B$16:$D$24,3,0)*Table1[[#This Row],[Estimação (horas)]]</f>
        <v>2.5000000000000001E-2</v>
      </c>
      <c r="X797" s="166">
        <f>+VLOOKUP(CONCATENATE(Table1[[#This Row],[Tabela]],Table1[[#This Row],[Campo]]),'2. Status Detalhe Campos FY24'!A:J,9,FALSE)</f>
        <v>0</v>
      </c>
    </row>
    <row r="798" spans="2:24" ht="17.850000000000001" hidden="1" customHeight="1">
      <c r="B798" s="2" t="s">
        <v>26</v>
      </c>
      <c r="C798" s="2" t="s">
        <v>310</v>
      </c>
      <c r="D798" s="2" t="s">
        <v>334</v>
      </c>
      <c r="E798" s="2" t="s">
        <v>38</v>
      </c>
      <c r="F798" s="2" t="s">
        <v>2085</v>
      </c>
      <c r="G798" s="2" t="s">
        <v>211</v>
      </c>
      <c r="H798" s="56" t="str">
        <f>Table1[[#This Row],[Tabela]]&amp;Table1[[#This Row],[Campo]]</f>
        <v>modesg_out_sfics_taxon_europeiaordem</v>
      </c>
      <c r="I798" s="2" t="s">
        <v>611</v>
      </c>
      <c r="J798" s="42">
        <f>VLOOKUP(Table1[[#This Row],[Status]],Auxiliar!$B$16:$C$24,2,0)</f>
        <v>0</v>
      </c>
      <c r="K798" s="2" t="s">
        <v>1171</v>
      </c>
      <c r="L798" s="28" t="s">
        <v>1210</v>
      </c>
      <c r="M798" s="20" t="s">
        <v>1178</v>
      </c>
      <c r="N798" s="47">
        <v>45546</v>
      </c>
      <c r="O798" s="20">
        <f>INDEX(Auxiliar!$D$5:$F$13,MATCH(Table1[[#This Row],[Tipologia_Testes]],Auxiliar!$B$5:$B$13,0),MATCH(Table1[[#This Row],[Complexidade]],Auxiliar!$D$4:$F$4,0))</f>
        <v>2</v>
      </c>
      <c r="P798" s="2"/>
      <c r="Q798" s="2"/>
      <c r="R798" s="151">
        <v>45562</v>
      </c>
      <c r="S798" s="151"/>
      <c r="T798" s="151">
        <v>45562</v>
      </c>
      <c r="U798" s="151"/>
      <c r="V798" s="151"/>
      <c r="W798" s="2">
        <f>VLOOKUP(Table1[[#This Row],[Status]],Auxiliar!$B$16:$D$24,3,0)*Table1[[#This Row],[Estimação (horas)]]</f>
        <v>0</v>
      </c>
      <c r="X798" s="166">
        <f>+VLOOKUP(CONCATENATE(Table1[[#This Row],[Tabela]],Table1[[#This Row],[Campo]]),'2. Status Detalhe Campos FY24'!A:J,9,FALSE)</f>
        <v>0</v>
      </c>
    </row>
    <row r="799" spans="2:24" ht="17.850000000000001" hidden="1" customHeight="1">
      <c r="B799" s="2" t="s">
        <v>26</v>
      </c>
      <c r="C799" s="2" t="s">
        <v>310</v>
      </c>
      <c r="D799" s="2" t="s">
        <v>334</v>
      </c>
      <c r="E799" s="2" t="s">
        <v>38</v>
      </c>
      <c r="F799" s="2" t="s">
        <v>2085</v>
      </c>
      <c r="G799" s="2" t="s">
        <v>211</v>
      </c>
      <c r="H799" s="56" t="str">
        <f>Table1[[#This Row],[Tabela]]&amp;Table1[[#This Row],[Campo]]</f>
        <v>modesg_out_sfics_taxon_europeiaordem</v>
      </c>
      <c r="I799" s="2" t="s">
        <v>611</v>
      </c>
      <c r="J799" s="42">
        <f>VLOOKUP(Table1[[#This Row],[Status]],Auxiliar!$B$16:$C$24,2,0)</f>
        <v>0</v>
      </c>
      <c r="K799" s="2" t="s">
        <v>1172</v>
      </c>
      <c r="L799" s="28" t="s">
        <v>1210</v>
      </c>
      <c r="M799" s="20" t="s">
        <v>1178</v>
      </c>
      <c r="N799" s="47">
        <v>45546</v>
      </c>
      <c r="O799" s="20">
        <f>INDEX(Auxiliar!$D$5:$F$13,MATCH(Table1[[#This Row],[Tipologia_Testes]],Auxiliar!$B$5:$B$13,0),MATCH(Table1[[#This Row],[Complexidade]],Auxiliar!$D$4:$F$4,0))</f>
        <v>2</v>
      </c>
      <c r="P799" s="2"/>
      <c r="Q799" s="2"/>
      <c r="R799" s="151">
        <v>45562</v>
      </c>
      <c r="S799" s="151"/>
      <c r="T799" s="151">
        <v>45562</v>
      </c>
      <c r="U799" s="151"/>
      <c r="V799" s="151"/>
      <c r="W799" s="2">
        <f>VLOOKUP(Table1[[#This Row],[Status]],Auxiliar!$B$16:$D$24,3,0)*Table1[[#This Row],[Estimação (horas)]]</f>
        <v>0</v>
      </c>
      <c r="X799" s="166">
        <f>+VLOOKUP(CONCATENATE(Table1[[#This Row],[Tabela]],Table1[[#This Row],[Campo]]),'2. Status Detalhe Campos FY24'!A:J,9,FALSE)</f>
        <v>0</v>
      </c>
    </row>
    <row r="800" spans="2:24" ht="17.850000000000001" hidden="1" customHeight="1">
      <c r="B800" s="2" t="s">
        <v>26</v>
      </c>
      <c r="C800" s="2" t="s">
        <v>310</v>
      </c>
      <c r="D800" s="2" t="s">
        <v>334</v>
      </c>
      <c r="E800" s="2" t="s">
        <v>38</v>
      </c>
      <c r="F800" s="2" t="s">
        <v>2085</v>
      </c>
      <c r="G800" s="2" t="s">
        <v>211</v>
      </c>
      <c r="H800" s="56" t="str">
        <f>Table1[[#This Row],[Tabela]]&amp;Table1[[#This Row],[Campo]]</f>
        <v>modesg_out_sfics_taxon_europeiaordem</v>
      </c>
      <c r="I800" s="2" t="s">
        <v>611</v>
      </c>
      <c r="J800" s="42">
        <f>VLOOKUP(Table1[[#This Row],[Status]],Auxiliar!$B$16:$C$24,2,0)</f>
        <v>0</v>
      </c>
      <c r="K800" s="2" t="s">
        <v>1174</v>
      </c>
      <c r="L800" s="28" t="s">
        <v>1210</v>
      </c>
      <c r="M800" s="20" t="s">
        <v>1178</v>
      </c>
      <c r="N800" s="47">
        <v>45546</v>
      </c>
      <c r="O800" s="20">
        <f>INDEX(Auxiliar!$D$5:$F$13,MATCH(Table1[[#This Row],[Tipologia_Testes]],Auxiliar!$B$5:$B$13,0),MATCH(Table1[[#This Row],[Complexidade]],Auxiliar!$D$4:$F$4,0))</f>
        <v>0.1</v>
      </c>
      <c r="P800" s="2"/>
      <c r="Q800" s="2"/>
      <c r="R800" s="151">
        <v>45562</v>
      </c>
      <c r="S800" s="151"/>
      <c r="T800" s="151">
        <v>45562</v>
      </c>
      <c r="U800" s="151"/>
      <c r="V800" s="151"/>
      <c r="W800" s="2">
        <f>VLOOKUP(Table1[[#This Row],[Status]],Auxiliar!$B$16:$D$24,3,0)*Table1[[#This Row],[Estimação (horas)]]</f>
        <v>0</v>
      </c>
      <c r="X800" s="166">
        <f>+VLOOKUP(CONCATENATE(Table1[[#This Row],[Tabela]],Table1[[#This Row],[Campo]]),'2. Status Detalhe Campos FY24'!A:J,9,FALSE)</f>
        <v>0</v>
      </c>
    </row>
    <row r="801" spans="2:24" ht="139.35" hidden="1" customHeight="1">
      <c r="B801" s="2" t="s">
        <v>26</v>
      </c>
      <c r="C801" s="2" t="s">
        <v>310</v>
      </c>
      <c r="D801" s="2" t="s">
        <v>334</v>
      </c>
      <c r="E801" s="2" t="s">
        <v>38</v>
      </c>
      <c r="F801" s="2" t="s">
        <v>2085</v>
      </c>
      <c r="G801" s="2" t="s">
        <v>2414</v>
      </c>
      <c r="H801" s="56" t="str">
        <f>Table1[[#This Row],[Tabela]]&amp;Table1[[#This Row],[Campo]]</f>
        <v>modesg_out_sfics_taxon_europeianivel</v>
      </c>
      <c r="I801" s="2" t="s">
        <v>2325</v>
      </c>
      <c r="J801" s="42">
        <f>VLOOKUP(Table1[[#This Row],[Status]],Auxiliar!$B$16:$C$24,2,0)</f>
        <v>7</v>
      </c>
      <c r="K801" s="2" t="s">
        <v>1174</v>
      </c>
      <c r="L801" s="28" t="s">
        <v>1169</v>
      </c>
      <c r="M801" s="20" t="s">
        <v>1178</v>
      </c>
      <c r="N801" s="47">
        <v>45695</v>
      </c>
      <c r="O801" s="20">
        <f>INDEX(Auxiliar!$D$5:$F$13,MATCH(Table1[[#This Row],[Tipologia_Testes]],Auxiliar!$B$5:$B$13,0),MATCH(Table1[[#This Row],[Complexidade]],Auxiliar!$D$4:$F$4,0))</f>
        <v>0.1</v>
      </c>
      <c r="P801" s="2" t="s">
        <v>1209</v>
      </c>
      <c r="Q801" s="2"/>
      <c r="R801" s="151">
        <v>45563</v>
      </c>
      <c r="S801" s="151"/>
      <c r="T801" s="151">
        <v>45563</v>
      </c>
      <c r="U801" s="151">
        <v>45624</v>
      </c>
      <c r="V801" s="151">
        <v>45629</v>
      </c>
      <c r="W801" s="2">
        <f>VLOOKUP(Table1[[#This Row],[Status]],Auxiliar!$B$16:$D$24,3,0)*Table1[[#This Row],[Estimação (horas)]]</f>
        <v>2.5000000000000001E-2</v>
      </c>
      <c r="X801" s="166">
        <f>+VLOOKUP(CONCATENATE(Table1[[#This Row],[Tabela]],Table1[[#This Row],[Campo]]),'2. Status Detalhe Campos FY24'!A:J,9,FALSE)</f>
        <v>0</v>
      </c>
    </row>
    <row r="802" spans="2:24" ht="139.35" hidden="1" customHeight="1">
      <c r="B802" s="2" t="s">
        <v>26</v>
      </c>
      <c r="C802" s="2" t="s">
        <v>310</v>
      </c>
      <c r="D802" s="2" t="s">
        <v>334</v>
      </c>
      <c r="E802" s="2" t="s">
        <v>38</v>
      </c>
      <c r="F802" s="2" t="s">
        <v>2085</v>
      </c>
      <c r="G802" s="2" t="s">
        <v>202</v>
      </c>
      <c r="H802" s="56" t="str">
        <f>Table1[[#This Row],[Tabela]]&amp;Table1[[#This Row],[Campo]]</f>
        <v>modesg_out_sfics_taxon_europeiamontante_pndrc</v>
      </c>
      <c r="I802" s="2" t="s">
        <v>2325</v>
      </c>
      <c r="J802" s="42">
        <f>VLOOKUP(Table1[[#This Row],[Status]],Auxiliar!$B$16:$C$24,2,0)</f>
        <v>7</v>
      </c>
      <c r="K802" s="2" t="s">
        <v>1171</v>
      </c>
      <c r="L802" s="28" t="s">
        <v>1169</v>
      </c>
      <c r="M802" s="20" t="s">
        <v>1170</v>
      </c>
      <c r="N802" s="47">
        <v>45695</v>
      </c>
      <c r="O802" s="20">
        <f>INDEX(Auxiliar!$D$5:$F$13,MATCH(Table1[[#This Row],[Tipologia_Testes]],Auxiliar!$B$5:$B$13,0),MATCH(Table1[[#This Row],[Complexidade]],Auxiliar!$D$4:$F$4,0))</f>
        <v>8</v>
      </c>
      <c r="P802" s="22" t="s">
        <v>1211</v>
      </c>
      <c r="Q802" s="2"/>
      <c r="R802" s="151">
        <v>45563</v>
      </c>
      <c r="S802" s="151"/>
      <c r="T802" s="151">
        <v>45563</v>
      </c>
      <c r="U802" s="151">
        <v>45624</v>
      </c>
      <c r="V802" s="151">
        <v>45629</v>
      </c>
      <c r="W802" s="2">
        <f>VLOOKUP(Table1[[#This Row],[Status]],Auxiliar!$B$16:$D$24,3,0)*Table1[[#This Row],[Estimação (horas)]]</f>
        <v>2</v>
      </c>
      <c r="X802" s="166">
        <f>+VLOOKUP(CONCATENATE(Table1[[#This Row],[Tabela]],Table1[[#This Row],[Campo]]),'2. Status Detalhe Campos FY24'!A:J,9,FALSE)</f>
        <v>0</v>
      </c>
    </row>
    <row r="803" spans="2:24" ht="139.35" hidden="1" customHeight="1">
      <c r="B803" s="2" t="s">
        <v>26</v>
      </c>
      <c r="C803" s="2" t="s">
        <v>310</v>
      </c>
      <c r="D803" s="2" t="s">
        <v>334</v>
      </c>
      <c r="E803" s="2" t="s">
        <v>38</v>
      </c>
      <c r="F803" s="2" t="s">
        <v>2085</v>
      </c>
      <c r="G803" s="2" t="s">
        <v>202</v>
      </c>
      <c r="H803" s="56" t="str">
        <f>Table1[[#This Row],[Tabela]]&amp;Table1[[#This Row],[Campo]]</f>
        <v>modesg_out_sfics_taxon_europeiamontante_pndrc</v>
      </c>
      <c r="I803" s="2" t="s">
        <v>2325</v>
      </c>
      <c r="J803" s="42">
        <f>VLOOKUP(Table1[[#This Row],[Status]],Auxiliar!$B$16:$C$24,2,0)</f>
        <v>7</v>
      </c>
      <c r="K803" s="2" t="s">
        <v>1172</v>
      </c>
      <c r="L803" s="28" t="s">
        <v>1169</v>
      </c>
      <c r="M803" s="20" t="s">
        <v>1170</v>
      </c>
      <c r="N803" s="47">
        <v>45695</v>
      </c>
      <c r="O803" s="20">
        <f>INDEX(Auxiliar!$D$5:$F$13,MATCH(Table1[[#This Row],[Tipologia_Testes]],Auxiliar!$B$5:$B$13,0),MATCH(Table1[[#This Row],[Complexidade]],Auxiliar!$D$4:$F$4,0))</f>
        <v>8</v>
      </c>
      <c r="P803" s="22" t="s">
        <v>1211</v>
      </c>
      <c r="Q803" s="2"/>
      <c r="R803" s="151">
        <v>45563</v>
      </c>
      <c r="S803" s="151"/>
      <c r="T803" s="151">
        <v>45563</v>
      </c>
      <c r="U803" s="151">
        <v>45624</v>
      </c>
      <c r="V803" s="151">
        <v>45629</v>
      </c>
      <c r="W803" s="2">
        <f>VLOOKUP(Table1[[#This Row],[Status]],Auxiliar!$B$16:$D$24,3,0)*Table1[[#This Row],[Estimação (horas)]]</f>
        <v>2</v>
      </c>
      <c r="X803" s="166">
        <f>+VLOOKUP(CONCATENATE(Table1[[#This Row],[Tabela]],Table1[[#This Row],[Campo]]),'2. Status Detalhe Campos FY24'!A:J,9,FALSE)</f>
        <v>0</v>
      </c>
    </row>
    <row r="804" spans="2:24" ht="52.35" hidden="1" customHeight="1">
      <c r="B804" s="2" t="s">
        <v>26</v>
      </c>
      <c r="C804" s="2" t="s">
        <v>310</v>
      </c>
      <c r="D804" s="2" t="s">
        <v>334</v>
      </c>
      <c r="E804" s="2" t="s">
        <v>38</v>
      </c>
      <c r="F804" s="2" t="s">
        <v>2085</v>
      </c>
      <c r="G804" s="2" t="s">
        <v>202</v>
      </c>
      <c r="H804" s="56" t="str">
        <f>Table1[[#This Row],[Tabela]]&amp;Table1[[#This Row],[Campo]]</f>
        <v>modesg_out_sfics_taxon_europeiamontante_pndrc</v>
      </c>
      <c r="I804" s="2" t="s">
        <v>2325</v>
      </c>
      <c r="J804" s="42">
        <f>VLOOKUP(Table1[[#This Row],[Status]],Auxiliar!$B$16:$C$24,2,0)</f>
        <v>7</v>
      </c>
      <c r="K804" s="2" t="s">
        <v>1174</v>
      </c>
      <c r="L804" s="28" t="s">
        <v>1169</v>
      </c>
      <c r="M804" s="20" t="s">
        <v>1170</v>
      </c>
      <c r="N804" s="47">
        <v>45695</v>
      </c>
      <c r="O804" s="20">
        <f>INDEX(Auxiliar!$D$5:$F$13,MATCH(Table1[[#This Row],[Tipologia_Testes]],Auxiliar!$B$5:$B$13,0),MATCH(Table1[[#This Row],[Complexidade]],Auxiliar!$D$4:$F$4,0))</f>
        <v>0.1</v>
      </c>
      <c r="P804" s="22" t="s">
        <v>1211</v>
      </c>
      <c r="Q804" s="2"/>
      <c r="R804" s="151">
        <v>45563</v>
      </c>
      <c r="S804" s="151"/>
      <c r="T804" s="151">
        <v>45563</v>
      </c>
      <c r="U804" s="151">
        <v>45624</v>
      </c>
      <c r="V804" s="151">
        <v>45629</v>
      </c>
      <c r="W804" s="2">
        <f>VLOOKUP(Table1[[#This Row],[Status]],Auxiliar!$B$16:$D$24,3,0)*Table1[[#This Row],[Estimação (horas)]]</f>
        <v>2.5000000000000001E-2</v>
      </c>
      <c r="X804" s="166">
        <f>+VLOOKUP(CONCATENATE(Table1[[#This Row],[Tabela]],Table1[[#This Row],[Campo]]),'2. Status Detalhe Campos FY24'!A:J,9,FALSE)</f>
        <v>0</v>
      </c>
    </row>
    <row r="805" spans="2:24" ht="52.35" hidden="1" customHeight="1">
      <c r="B805" s="2" t="s">
        <v>26</v>
      </c>
      <c r="C805" s="2" t="s">
        <v>310</v>
      </c>
      <c r="D805" s="2" t="s">
        <v>334</v>
      </c>
      <c r="E805" s="2" t="s">
        <v>38</v>
      </c>
      <c r="F805" s="2" t="s">
        <v>2085</v>
      </c>
      <c r="G805" s="2" t="s">
        <v>2053</v>
      </c>
      <c r="H805" s="56" t="str">
        <f>Table1[[#This Row],[Tabela]]&amp;Table1[[#This Row],[Campo]]</f>
        <v>modesg_out_sfics_taxon_europeianome_ctgr_sfics</v>
      </c>
      <c r="I805" s="2" t="s">
        <v>2325</v>
      </c>
      <c r="J805" s="42">
        <f>VLOOKUP(Table1[[#This Row],[Status]],Auxiliar!$B$16:$C$24,2,0)</f>
        <v>7</v>
      </c>
      <c r="K805" s="2" t="s">
        <v>1171</v>
      </c>
      <c r="L805" s="28" t="s">
        <v>1169</v>
      </c>
      <c r="M805" s="20" t="s">
        <v>1170</v>
      </c>
      <c r="N805" s="47">
        <v>45695</v>
      </c>
      <c r="O805" s="20">
        <f>INDEX(Auxiliar!$D$5:$F$13,MATCH(Table1[[#This Row],[Tipologia_Testes]],Auxiliar!$B$5:$B$13,0),MATCH(Table1[[#This Row],[Complexidade]],Auxiliar!$D$4:$F$4,0))</f>
        <v>8</v>
      </c>
      <c r="P805" s="22" t="s">
        <v>1212</v>
      </c>
      <c r="Q805" s="2"/>
      <c r="R805" s="151">
        <v>45562</v>
      </c>
      <c r="S805" s="151"/>
      <c r="T805" s="151">
        <v>45562</v>
      </c>
      <c r="U805" s="151">
        <v>45624</v>
      </c>
      <c r="V805" s="151">
        <v>45629</v>
      </c>
      <c r="W805" s="2">
        <f>VLOOKUP(Table1[[#This Row],[Status]],Auxiliar!$B$16:$D$24,3,0)*Table1[[#This Row],[Estimação (horas)]]</f>
        <v>2</v>
      </c>
      <c r="X805" s="166">
        <f>+VLOOKUP(CONCATENATE(Table1[[#This Row],[Tabela]],Table1[[#This Row],[Campo]]),'2. Status Detalhe Campos FY24'!A:J,9,FALSE)</f>
        <v>0</v>
      </c>
    </row>
    <row r="806" spans="2:24" ht="52.35" hidden="1" customHeight="1">
      <c r="B806" s="2" t="s">
        <v>26</v>
      </c>
      <c r="C806" s="2" t="s">
        <v>310</v>
      </c>
      <c r="D806" s="2" t="s">
        <v>334</v>
      </c>
      <c r="E806" s="2" t="s">
        <v>38</v>
      </c>
      <c r="F806" s="2" t="s">
        <v>2085</v>
      </c>
      <c r="G806" s="2" t="s">
        <v>2053</v>
      </c>
      <c r="H806" s="56" t="str">
        <f>Table1[[#This Row],[Tabela]]&amp;Table1[[#This Row],[Campo]]</f>
        <v>modesg_out_sfics_taxon_europeianome_ctgr_sfics</v>
      </c>
      <c r="I806" s="2" t="s">
        <v>2325</v>
      </c>
      <c r="J806" s="42">
        <f>VLOOKUP(Table1[[#This Row],[Status]],Auxiliar!$B$16:$C$24,2,0)</f>
        <v>7</v>
      </c>
      <c r="K806" s="2" t="s">
        <v>1172</v>
      </c>
      <c r="L806" s="28" t="s">
        <v>1169</v>
      </c>
      <c r="M806" s="20" t="s">
        <v>1170</v>
      </c>
      <c r="N806" s="47">
        <v>45695</v>
      </c>
      <c r="O806" s="20">
        <f>INDEX(Auxiliar!$D$5:$F$13,MATCH(Table1[[#This Row],[Tipologia_Testes]],Auxiliar!$B$5:$B$13,0),MATCH(Table1[[#This Row],[Complexidade]],Auxiliar!$D$4:$F$4,0))</f>
        <v>8</v>
      </c>
      <c r="P806" s="22" t="s">
        <v>1212</v>
      </c>
      <c r="Q806" s="2"/>
      <c r="R806" s="151">
        <v>45562</v>
      </c>
      <c r="S806" s="151"/>
      <c r="T806" s="151">
        <v>45562</v>
      </c>
      <c r="U806" s="151">
        <v>45624</v>
      </c>
      <c r="V806" s="151">
        <v>45629</v>
      </c>
      <c r="W806" s="2">
        <f>VLOOKUP(Table1[[#This Row],[Status]],Auxiliar!$B$16:$D$24,3,0)*Table1[[#This Row],[Estimação (horas)]]</f>
        <v>2</v>
      </c>
      <c r="X806" s="166">
        <f>+VLOOKUP(CONCATENATE(Table1[[#This Row],[Tabela]],Table1[[#This Row],[Campo]]),'2. Status Detalhe Campos FY24'!A:J,9,FALSE)</f>
        <v>0</v>
      </c>
    </row>
    <row r="807" spans="2:24" ht="17.850000000000001" hidden="1" customHeight="1">
      <c r="B807" s="2" t="s">
        <v>26</v>
      </c>
      <c r="C807" s="2" t="s">
        <v>310</v>
      </c>
      <c r="D807" s="2" t="s">
        <v>334</v>
      </c>
      <c r="E807" s="2" t="s">
        <v>38</v>
      </c>
      <c r="F807" s="2" t="s">
        <v>2085</v>
      </c>
      <c r="G807" s="2" t="s">
        <v>2053</v>
      </c>
      <c r="H807" s="56" t="str">
        <f>Table1[[#This Row],[Tabela]]&amp;Table1[[#This Row],[Campo]]</f>
        <v>modesg_out_sfics_taxon_europeianome_ctgr_sfics</v>
      </c>
      <c r="I807" s="2" t="s">
        <v>2325</v>
      </c>
      <c r="J807" s="42">
        <f>VLOOKUP(Table1[[#This Row],[Status]],Auxiliar!$B$16:$C$24,2,0)</f>
        <v>7</v>
      </c>
      <c r="K807" s="2" t="s">
        <v>1174</v>
      </c>
      <c r="L807" s="28" t="s">
        <v>1169</v>
      </c>
      <c r="M807" s="20" t="s">
        <v>1170</v>
      </c>
      <c r="N807" s="47">
        <v>45695</v>
      </c>
      <c r="O807" s="20">
        <f>INDEX(Auxiliar!$D$5:$F$13,MATCH(Table1[[#This Row],[Tipologia_Testes]],Auxiliar!$B$5:$B$13,0),MATCH(Table1[[#This Row],[Complexidade]],Auxiliar!$D$4:$F$4,0))</f>
        <v>0.1</v>
      </c>
      <c r="P807" s="22" t="s">
        <v>1212</v>
      </c>
      <c r="Q807" s="2"/>
      <c r="R807" s="151">
        <v>45562</v>
      </c>
      <c r="S807" s="151"/>
      <c r="T807" s="151">
        <v>45562</v>
      </c>
      <c r="U807" s="151">
        <v>45624</v>
      </c>
      <c r="V807" s="151">
        <v>45629</v>
      </c>
      <c r="W807" s="2">
        <f>VLOOKUP(Table1[[#This Row],[Status]],Auxiliar!$B$16:$D$24,3,0)*Table1[[#This Row],[Estimação (horas)]]</f>
        <v>2.5000000000000001E-2</v>
      </c>
      <c r="X807" s="166">
        <f>+VLOOKUP(CONCATENATE(Table1[[#This Row],[Tabela]],Table1[[#This Row],[Campo]]),'2. Status Detalhe Campos FY24'!A:J,9,FALSE)</f>
        <v>0</v>
      </c>
    </row>
    <row r="808" spans="2:24" ht="17.850000000000001" hidden="1" customHeight="1">
      <c r="B808" s="2" t="s">
        <v>26</v>
      </c>
      <c r="C808" s="2" t="s">
        <v>310</v>
      </c>
      <c r="D808" s="2" t="s">
        <v>334</v>
      </c>
      <c r="E808" s="2" t="s">
        <v>38</v>
      </c>
      <c r="F808" s="2" t="s">
        <v>2085</v>
      </c>
      <c r="G808" s="2" t="s">
        <v>204</v>
      </c>
      <c r="H808" s="56" t="str">
        <f>Table1[[#This Row],[Tabela]]&amp;Table1[[#This Row],[Campo]]</f>
        <v>modesg_out_sfics_taxon_europeianome_general_specific_purpose</v>
      </c>
      <c r="I808" s="2" t="s">
        <v>2325</v>
      </c>
      <c r="J808" s="42">
        <f>VLOOKUP(Table1[[#This Row],[Status]],Auxiliar!$B$16:$C$24,2,0)</f>
        <v>7</v>
      </c>
      <c r="K808" s="2" t="s">
        <v>1171</v>
      </c>
      <c r="L808" s="28" t="s">
        <v>1169</v>
      </c>
      <c r="M808" s="20" t="s">
        <v>1179</v>
      </c>
      <c r="N808" s="47">
        <v>45695</v>
      </c>
      <c r="O808" s="20">
        <f>INDEX(Auxiliar!$D$5:$F$13,MATCH(Table1[[#This Row],[Tipologia_Testes]],Auxiliar!$B$5:$B$13,0),MATCH(Table1[[#This Row],[Complexidade]],Auxiliar!$D$4:$F$4,0))</f>
        <v>4</v>
      </c>
      <c r="P808" s="2" t="s">
        <v>1213</v>
      </c>
      <c r="Q808" s="2"/>
      <c r="R808" s="151">
        <v>45563</v>
      </c>
      <c r="S808" s="151"/>
      <c r="T808" s="151">
        <v>45563</v>
      </c>
      <c r="U808" s="151">
        <v>45624</v>
      </c>
      <c r="V808" s="151">
        <v>45629</v>
      </c>
      <c r="W808" s="2">
        <f>VLOOKUP(Table1[[#This Row],[Status]],Auxiliar!$B$16:$D$24,3,0)*Table1[[#This Row],[Estimação (horas)]]</f>
        <v>1</v>
      </c>
      <c r="X808" s="166">
        <f>+VLOOKUP(CONCATENATE(Table1[[#This Row],[Tabela]],Table1[[#This Row],[Campo]]),'2. Status Detalhe Campos FY24'!A:J,9,FALSE)</f>
        <v>0</v>
      </c>
    </row>
    <row r="809" spans="2:24" ht="17.850000000000001" hidden="1" customHeight="1">
      <c r="B809" s="2" t="s">
        <v>26</v>
      </c>
      <c r="C809" s="2" t="s">
        <v>310</v>
      </c>
      <c r="D809" s="2" t="s">
        <v>334</v>
      </c>
      <c r="E809" s="2" t="s">
        <v>38</v>
      </c>
      <c r="F809" s="2" t="s">
        <v>2085</v>
      </c>
      <c r="G809" s="2" t="s">
        <v>204</v>
      </c>
      <c r="H809" s="56" t="str">
        <f>Table1[[#This Row],[Tabela]]&amp;Table1[[#This Row],[Campo]]</f>
        <v>modesg_out_sfics_taxon_europeianome_general_specific_purpose</v>
      </c>
      <c r="I809" s="2" t="s">
        <v>2325</v>
      </c>
      <c r="J809" s="42">
        <f>VLOOKUP(Table1[[#This Row],[Status]],Auxiliar!$B$16:$C$24,2,0)</f>
        <v>7</v>
      </c>
      <c r="K809" s="2" t="s">
        <v>1172</v>
      </c>
      <c r="L809" s="28" t="s">
        <v>1169</v>
      </c>
      <c r="M809" s="20" t="s">
        <v>1179</v>
      </c>
      <c r="N809" s="47">
        <v>45695</v>
      </c>
      <c r="O809" s="20">
        <f>INDEX(Auxiliar!$D$5:$F$13,MATCH(Table1[[#This Row],[Tipologia_Testes]],Auxiliar!$B$5:$B$13,0),MATCH(Table1[[#This Row],[Complexidade]],Auxiliar!$D$4:$F$4,0))</f>
        <v>4</v>
      </c>
      <c r="P809" s="2" t="s">
        <v>1213</v>
      </c>
      <c r="Q809" s="2"/>
      <c r="R809" s="151">
        <v>45563</v>
      </c>
      <c r="S809" s="151"/>
      <c r="T809" s="151">
        <v>45563</v>
      </c>
      <c r="U809" s="151">
        <v>45624</v>
      </c>
      <c r="V809" s="151">
        <v>45629</v>
      </c>
      <c r="W809" s="2">
        <f>VLOOKUP(Table1[[#This Row],[Status]],Auxiliar!$B$16:$D$24,3,0)*Table1[[#This Row],[Estimação (horas)]]</f>
        <v>1</v>
      </c>
      <c r="X809" s="166">
        <f>+VLOOKUP(CONCATENATE(Table1[[#This Row],[Tabela]],Table1[[#This Row],[Campo]]),'2. Status Detalhe Campos FY24'!A:J,9,FALSE)</f>
        <v>0</v>
      </c>
    </row>
    <row r="810" spans="2:24" ht="17.850000000000001" hidden="1" customHeight="1">
      <c r="B810" s="2" t="s">
        <v>26</v>
      </c>
      <c r="C810" s="2" t="s">
        <v>310</v>
      </c>
      <c r="D810" s="2" t="s">
        <v>334</v>
      </c>
      <c r="E810" s="2" t="s">
        <v>38</v>
      </c>
      <c r="F810" s="2" t="s">
        <v>2085</v>
      </c>
      <c r="G810" s="2" t="s">
        <v>204</v>
      </c>
      <c r="H810" s="56" t="str">
        <f>Table1[[#This Row],[Tabela]]&amp;Table1[[#This Row],[Campo]]</f>
        <v>modesg_out_sfics_taxon_europeianome_general_specific_purpose</v>
      </c>
      <c r="I810" s="2" t="s">
        <v>2325</v>
      </c>
      <c r="J810" s="42">
        <f>VLOOKUP(Table1[[#This Row],[Status]],Auxiliar!$B$16:$C$24,2,0)</f>
        <v>7</v>
      </c>
      <c r="K810" s="2" t="s">
        <v>1174</v>
      </c>
      <c r="L810" s="28" t="s">
        <v>1169</v>
      </c>
      <c r="M810" s="20" t="s">
        <v>1179</v>
      </c>
      <c r="N810" s="47">
        <v>45695</v>
      </c>
      <c r="O810" s="20">
        <f>INDEX(Auxiliar!$D$5:$F$13,MATCH(Table1[[#This Row],[Tipologia_Testes]],Auxiliar!$B$5:$B$13,0),MATCH(Table1[[#This Row],[Complexidade]],Auxiliar!$D$4:$F$4,0))</f>
        <v>0.1</v>
      </c>
      <c r="P810" s="2" t="s">
        <v>1213</v>
      </c>
      <c r="Q810" s="2"/>
      <c r="R810" s="151">
        <v>45563</v>
      </c>
      <c r="S810" s="151"/>
      <c r="T810" s="151">
        <v>45563</v>
      </c>
      <c r="U810" s="151">
        <v>45624</v>
      </c>
      <c r="V810" s="151">
        <v>45629</v>
      </c>
      <c r="W810" s="2">
        <f>VLOOKUP(Table1[[#This Row],[Status]],Auxiliar!$B$16:$D$24,3,0)*Table1[[#This Row],[Estimação (horas)]]</f>
        <v>2.5000000000000001E-2</v>
      </c>
      <c r="X810" s="166">
        <f>+VLOOKUP(CONCATENATE(Table1[[#This Row],[Tabela]],Table1[[#This Row],[Campo]]),'2. Status Detalhe Campos FY24'!A:J,9,FALSE)</f>
        <v>0</v>
      </c>
    </row>
    <row r="811" spans="2:24" ht="17.850000000000001" hidden="1" customHeight="1">
      <c r="B811" s="2" t="s">
        <v>26</v>
      </c>
      <c r="C811" s="2" t="s">
        <v>310</v>
      </c>
      <c r="D811" s="2" t="s">
        <v>334</v>
      </c>
      <c r="E811" s="2" t="s">
        <v>38</v>
      </c>
      <c r="F811" s="2" t="s">
        <v>2085</v>
      </c>
      <c r="G811" s="2" t="s">
        <v>2064</v>
      </c>
      <c r="H811" s="56" t="str">
        <f>Table1[[#This Row],[Tabela]]&amp;Table1[[#This Row],[Campo]]</f>
        <v>modesg_out_sfics_taxon_europeianome_purpose_esg_alinh_tax</v>
      </c>
      <c r="I811" s="2" t="s">
        <v>2325</v>
      </c>
      <c r="J811" s="42">
        <f>VLOOKUP(Table1[[#This Row],[Status]],Auxiliar!$B$16:$C$24,2,0)</f>
        <v>7</v>
      </c>
      <c r="K811" s="2" t="s">
        <v>1171</v>
      </c>
      <c r="L811" s="28" t="s">
        <v>1177</v>
      </c>
      <c r="M811" s="20" t="s">
        <v>1179</v>
      </c>
      <c r="N811" s="47">
        <v>45695</v>
      </c>
      <c r="O811" s="20">
        <f>INDEX(Auxiliar!$D$5:$F$13,MATCH(Table1[[#This Row],[Tipologia_Testes]],Auxiliar!$B$5:$B$13,0),MATCH(Table1[[#This Row],[Complexidade]],Auxiliar!$D$4:$F$4,0))</f>
        <v>4</v>
      </c>
      <c r="P811" s="2"/>
      <c r="Q811" s="2"/>
      <c r="R811" s="151">
        <v>45563</v>
      </c>
      <c r="S811" s="151"/>
      <c r="T811" s="151">
        <v>45563</v>
      </c>
      <c r="U811" s="151">
        <v>45624</v>
      </c>
      <c r="V811" s="151">
        <v>45629</v>
      </c>
      <c r="W811" s="2">
        <f>VLOOKUP(Table1[[#This Row],[Status]],Auxiliar!$B$16:$D$24,3,0)*Table1[[#This Row],[Estimação (horas)]]</f>
        <v>1</v>
      </c>
      <c r="X811" s="166">
        <f>+VLOOKUP(CONCATENATE(Table1[[#This Row],[Tabela]],Table1[[#This Row],[Campo]]),'2. Status Detalhe Campos FY24'!A:J,9,FALSE)</f>
        <v>0</v>
      </c>
    </row>
    <row r="812" spans="2:24" ht="17.850000000000001" hidden="1" customHeight="1">
      <c r="B812" s="2" t="s">
        <v>26</v>
      </c>
      <c r="C812" s="2" t="s">
        <v>310</v>
      </c>
      <c r="D812" s="2" t="s">
        <v>334</v>
      </c>
      <c r="E812" s="2" t="s">
        <v>38</v>
      </c>
      <c r="F812" s="2" t="s">
        <v>2085</v>
      </c>
      <c r="G812" s="2" t="s">
        <v>2064</v>
      </c>
      <c r="H812" s="56" t="str">
        <f>Table1[[#This Row],[Tabela]]&amp;Table1[[#This Row],[Campo]]</f>
        <v>modesg_out_sfics_taxon_europeianome_purpose_esg_alinh_tax</v>
      </c>
      <c r="I812" s="2" t="s">
        <v>2325</v>
      </c>
      <c r="J812" s="42">
        <f>VLOOKUP(Table1[[#This Row],[Status]],Auxiliar!$B$16:$C$24,2,0)</f>
        <v>7</v>
      </c>
      <c r="K812" s="2" t="s">
        <v>1172</v>
      </c>
      <c r="L812" s="28" t="s">
        <v>1177</v>
      </c>
      <c r="M812" s="20" t="s">
        <v>1179</v>
      </c>
      <c r="N812" s="47">
        <v>45695</v>
      </c>
      <c r="O812" s="20">
        <f>INDEX(Auxiliar!$D$5:$F$13,MATCH(Table1[[#This Row],[Tipologia_Testes]],Auxiliar!$B$5:$B$13,0),MATCH(Table1[[#This Row],[Complexidade]],Auxiliar!$D$4:$F$4,0))</f>
        <v>4</v>
      </c>
      <c r="P812" s="2"/>
      <c r="Q812" s="2"/>
      <c r="R812" s="151">
        <v>45563</v>
      </c>
      <c r="S812" s="151"/>
      <c r="T812" s="151">
        <v>45563</v>
      </c>
      <c r="U812" s="151">
        <v>45624</v>
      </c>
      <c r="V812" s="151">
        <v>45629</v>
      </c>
      <c r="W812" s="2">
        <f>VLOOKUP(Table1[[#This Row],[Status]],Auxiliar!$B$16:$D$24,3,0)*Table1[[#This Row],[Estimação (horas)]]</f>
        <v>1</v>
      </c>
      <c r="X812" s="166">
        <f>+VLOOKUP(CONCATENATE(Table1[[#This Row],[Tabela]],Table1[[#This Row],[Campo]]),'2. Status Detalhe Campos FY24'!A:J,9,FALSE)</f>
        <v>0</v>
      </c>
    </row>
    <row r="813" spans="2:24" ht="17.850000000000001" hidden="1" customHeight="1">
      <c r="B813" s="2" t="s">
        <v>26</v>
      </c>
      <c r="C813" s="2" t="s">
        <v>310</v>
      </c>
      <c r="D813" s="2" t="s">
        <v>334</v>
      </c>
      <c r="E813" s="2" t="s">
        <v>38</v>
      </c>
      <c r="F813" s="2" t="s">
        <v>2085</v>
      </c>
      <c r="G813" s="2" t="s">
        <v>2064</v>
      </c>
      <c r="H813" s="56" t="str">
        <f>Table1[[#This Row],[Tabela]]&amp;Table1[[#This Row],[Campo]]</f>
        <v>modesg_out_sfics_taxon_europeianome_purpose_esg_alinh_tax</v>
      </c>
      <c r="I813" s="2" t="s">
        <v>2325</v>
      </c>
      <c r="J813" s="42">
        <f>VLOOKUP(Table1[[#This Row],[Status]],Auxiliar!$B$16:$C$24,2,0)</f>
        <v>7</v>
      </c>
      <c r="K813" s="2" t="s">
        <v>1174</v>
      </c>
      <c r="L813" s="28" t="s">
        <v>1177</v>
      </c>
      <c r="M813" s="20" t="s">
        <v>1179</v>
      </c>
      <c r="N813" s="47">
        <v>45695</v>
      </c>
      <c r="O813" s="20">
        <f>INDEX(Auxiliar!$D$5:$F$13,MATCH(Table1[[#This Row],[Tipologia_Testes]],Auxiliar!$B$5:$B$13,0),MATCH(Table1[[#This Row],[Complexidade]],Auxiliar!$D$4:$F$4,0))</f>
        <v>0.1</v>
      </c>
      <c r="P813" s="2"/>
      <c r="Q813" s="2"/>
      <c r="R813" s="151">
        <v>45563</v>
      </c>
      <c r="S813" s="151"/>
      <c r="T813" s="151">
        <v>45563</v>
      </c>
      <c r="U813" s="151">
        <v>45624</v>
      </c>
      <c r="V813" s="151">
        <v>45629</v>
      </c>
      <c r="W813" s="2">
        <f>VLOOKUP(Table1[[#This Row],[Status]],Auxiliar!$B$16:$D$24,3,0)*Table1[[#This Row],[Estimação (horas)]]</f>
        <v>2.5000000000000001E-2</v>
      </c>
      <c r="X813" s="166">
        <f>+VLOOKUP(CONCATENATE(Table1[[#This Row],[Tabela]],Table1[[#This Row],[Campo]]),'2. Status Detalhe Campos FY24'!A:J,9,FALSE)</f>
        <v>0</v>
      </c>
    </row>
    <row r="814" spans="2:24" ht="17.850000000000001" hidden="1" customHeight="1">
      <c r="B814" s="2" t="s">
        <v>26</v>
      </c>
      <c r="C814" s="2" t="s">
        <v>310</v>
      </c>
      <c r="D814" s="2" t="s">
        <v>334</v>
      </c>
      <c r="E814" s="2" t="s">
        <v>38</v>
      </c>
      <c r="F814" s="2" t="s">
        <v>2085</v>
      </c>
      <c r="G814" s="2" t="s">
        <v>2065</v>
      </c>
      <c r="H814" s="56" t="str">
        <f>Table1[[#This Row],[Tabela]]&amp;Table1[[#This Row],[Campo]]</f>
        <v>modesg_out_sfics_taxon_europeianome_purpose_esg_nalinh_tax</v>
      </c>
      <c r="I814" s="2" t="s">
        <v>2325</v>
      </c>
      <c r="J814" s="42">
        <f>VLOOKUP(Table1[[#This Row],[Status]],Auxiliar!$B$16:$C$24,2,0)</f>
        <v>7</v>
      </c>
      <c r="K814" s="2" t="s">
        <v>1171</v>
      </c>
      <c r="L814" s="28" t="s">
        <v>1177</v>
      </c>
      <c r="M814" s="20" t="s">
        <v>1179</v>
      </c>
      <c r="N814" s="47">
        <v>45695</v>
      </c>
      <c r="O814" s="20">
        <f>INDEX(Auxiliar!$D$5:$F$13,MATCH(Table1[[#This Row],[Tipologia_Testes]],Auxiliar!$B$5:$B$13,0),MATCH(Table1[[#This Row],[Complexidade]],Auxiliar!$D$4:$F$4,0))</f>
        <v>4</v>
      </c>
      <c r="P814" s="2"/>
      <c r="Q814" s="2"/>
      <c r="R814" s="151">
        <v>45563</v>
      </c>
      <c r="S814" s="151"/>
      <c r="T814" s="151">
        <v>45563</v>
      </c>
      <c r="U814" s="151">
        <v>45624</v>
      </c>
      <c r="V814" s="151">
        <v>45629</v>
      </c>
      <c r="W814" s="2">
        <f>VLOOKUP(Table1[[#This Row],[Status]],Auxiliar!$B$16:$D$24,3,0)*Table1[[#This Row],[Estimação (horas)]]</f>
        <v>1</v>
      </c>
      <c r="X814" s="166">
        <f>+VLOOKUP(CONCATENATE(Table1[[#This Row],[Tabela]],Table1[[#This Row],[Campo]]),'2. Status Detalhe Campos FY24'!A:J,9,FALSE)</f>
        <v>0</v>
      </c>
    </row>
    <row r="815" spans="2:24" ht="17.850000000000001" hidden="1" customHeight="1">
      <c r="B815" s="2" t="s">
        <v>26</v>
      </c>
      <c r="C815" s="2" t="s">
        <v>310</v>
      </c>
      <c r="D815" s="2" t="s">
        <v>334</v>
      </c>
      <c r="E815" s="2" t="s">
        <v>38</v>
      </c>
      <c r="F815" s="2" t="s">
        <v>2085</v>
      </c>
      <c r="G815" s="2" t="s">
        <v>2065</v>
      </c>
      <c r="H815" s="56" t="str">
        <f>Table1[[#This Row],[Tabela]]&amp;Table1[[#This Row],[Campo]]</f>
        <v>modesg_out_sfics_taxon_europeianome_purpose_esg_nalinh_tax</v>
      </c>
      <c r="I815" s="2" t="s">
        <v>2325</v>
      </c>
      <c r="J815" s="42">
        <f>VLOOKUP(Table1[[#This Row],[Status]],Auxiliar!$B$16:$C$24,2,0)</f>
        <v>7</v>
      </c>
      <c r="K815" s="2" t="s">
        <v>1172</v>
      </c>
      <c r="L815" s="28" t="s">
        <v>1177</v>
      </c>
      <c r="M815" s="20" t="s">
        <v>1179</v>
      </c>
      <c r="N815" s="47">
        <v>45695</v>
      </c>
      <c r="O815" s="20">
        <f>INDEX(Auxiliar!$D$5:$F$13,MATCH(Table1[[#This Row],[Tipologia_Testes]],Auxiliar!$B$5:$B$13,0),MATCH(Table1[[#This Row],[Complexidade]],Auxiliar!$D$4:$F$4,0))</f>
        <v>4</v>
      </c>
      <c r="P815" s="2"/>
      <c r="Q815" s="2"/>
      <c r="R815" s="151">
        <v>45563</v>
      </c>
      <c r="S815" s="151"/>
      <c r="T815" s="151">
        <v>45563</v>
      </c>
      <c r="U815" s="151">
        <v>45624</v>
      </c>
      <c r="V815" s="151">
        <v>45629</v>
      </c>
      <c r="W815" s="2">
        <f>VLOOKUP(Table1[[#This Row],[Status]],Auxiliar!$B$16:$D$24,3,0)*Table1[[#This Row],[Estimação (horas)]]</f>
        <v>1</v>
      </c>
      <c r="X815" s="166">
        <f>+VLOOKUP(CONCATENATE(Table1[[#This Row],[Tabela]],Table1[[#This Row],[Campo]]),'2. Status Detalhe Campos FY24'!A:J,9,FALSE)</f>
        <v>0</v>
      </c>
    </row>
    <row r="816" spans="2:24" ht="17.850000000000001" hidden="1" customHeight="1">
      <c r="B816" s="2" t="s">
        <v>26</v>
      </c>
      <c r="C816" s="2" t="s">
        <v>310</v>
      </c>
      <c r="D816" s="2" t="s">
        <v>334</v>
      </c>
      <c r="E816" s="2" t="s">
        <v>38</v>
      </c>
      <c r="F816" s="2" t="s">
        <v>2085</v>
      </c>
      <c r="G816" s="2" t="s">
        <v>2065</v>
      </c>
      <c r="H816" s="56" t="str">
        <f>Table1[[#This Row],[Tabela]]&amp;Table1[[#This Row],[Campo]]</f>
        <v>modesg_out_sfics_taxon_europeianome_purpose_esg_nalinh_tax</v>
      </c>
      <c r="I816" s="2" t="s">
        <v>2325</v>
      </c>
      <c r="J816" s="42">
        <f>VLOOKUP(Table1[[#This Row],[Status]],Auxiliar!$B$16:$C$24,2,0)</f>
        <v>7</v>
      </c>
      <c r="K816" s="2" t="s">
        <v>1174</v>
      </c>
      <c r="L816" s="28" t="s">
        <v>1177</v>
      </c>
      <c r="M816" s="20" t="s">
        <v>1179</v>
      </c>
      <c r="N816" s="47">
        <v>45695</v>
      </c>
      <c r="O816" s="20">
        <f>INDEX(Auxiliar!$D$5:$F$13,MATCH(Table1[[#This Row],[Tipologia_Testes]],Auxiliar!$B$5:$B$13,0),MATCH(Table1[[#This Row],[Complexidade]],Auxiliar!$D$4:$F$4,0))</f>
        <v>0.1</v>
      </c>
      <c r="P816" s="2"/>
      <c r="Q816" s="2"/>
      <c r="R816" s="151">
        <v>45563</v>
      </c>
      <c r="S816" s="151"/>
      <c r="T816" s="151">
        <v>45563</v>
      </c>
      <c r="U816" s="151">
        <v>45624</v>
      </c>
      <c r="V816" s="151">
        <v>45629</v>
      </c>
      <c r="W816" s="2">
        <f>VLOOKUP(Table1[[#This Row],[Status]],Auxiliar!$B$16:$D$24,3,0)*Table1[[#This Row],[Estimação (horas)]]</f>
        <v>2.5000000000000001E-2</v>
      </c>
      <c r="X816" s="166">
        <f>+VLOOKUP(CONCATENATE(Table1[[#This Row],[Tabela]],Table1[[#This Row],[Campo]]),'2. Status Detalhe Campos FY24'!A:J,9,FALSE)</f>
        <v>0</v>
      </c>
    </row>
    <row r="817" spans="2:24" ht="17.850000000000001" hidden="1" customHeight="1">
      <c r="B817" s="2" t="s">
        <v>26</v>
      </c>
      <c r="C817" s="2" t="s">
        <v>310</v>
      </c>
      <c r="D817" s="2" t="s">
        <v>334</v>
      </c>
      <c r="E817" s="2" t="s">
        <v>38</v>
      </c>
      <c r="F817" s="2" t="s">
        <v>2085</v>
      </c>
      <c r="G817" s="2" t="s">
        <v>206</v>
      </c>
      <c r="H817" s="56" t="str">
        <f>Table1[[#This Row],[Tabela]]&amp;Table1[[#This Row],[Campo]]</f>
        <v>modesg_out_sfics_taxon_europeianome_specific_eligible</v>
      </c>
      <c r="I817" s="2" t="s">
        <v>2325</v>
      </c>
      <c r="J817" s="42">
        <f>VLOOKUP(Table1[[#This Row],[Status]],Auxiliar!$B$16:$C$24,2,0)</f>
        <v>7</v>
      </c>
      <c r="K817" s="2" t="s">
        <v>1171</v>
      </c>
      <c r="L817" s="28" t="s">
        <v>1169</v>
      </c>
      <c r="M817" s="20" t="s">
        <v>1179</v>
      </c>
      <c r="N817" s="47">
        <v>45695</v>
      </c>
      <c r="O817" s="20">
        <f>INDEX(Auxiliar!$D$5:$F$13,MATCH(Table1[[#This Row],[Tipologia_Testes]],Auxiliar!$B$5:$B$13,0),MATCH(Table1[[#This Row],[Complexidade]],Auxiliar!$D$4:$F$4,0))</f>
        <v>4</v>
      </c>
      <c r="P817" s="2" t="s">
        <v>1213</v>
      </c>
      <c r="Q817" s="2"/>
      <c r="R817" s="151">
        <v>45563</v>
      </c>
      <c r="S817" s="151"/>
      <c r="T817" s="151">
        <v>45563</v>
      </c>
      <c r="U817" s="151">
        <v>45624</v>
      </c>
      <c r="V817" s="151">
        <v>45629</v>
      </c>
      <c r="W817" s="2">
        <f>VLOOKUP(Table1[[#This Row],[Status]],Auxiliar!$B$16:$D$24,3,0)*Table1[[#This Row],[Estimação (horas)]]</f>
        <v>1</v>
      </c>
      <c r="X817" s="166">
        <f>+VLOOKUP(CONCATENATE(Table1[[#This Row],[Tabela]],Table1[[#This Row],[Campo]]),'2. Status Detalhe Campos FY24'!A:J,9,FALSE)</f>
        <v>0</v>
      </c>
    </row>
    <row r="818" spans="2:24" ht="17.850000000000001" hidden="1" customHeight="1">
      <c r="B818" s="2" t="s">
        <v>26</v>
      </c>
      <c r="C818" s="2" t="s">
        <v>310</v>
      </c>
      <c r="D818" s="2" t="s">
        <v>334</v>
      </c>
      <c r="E818" s="2" t="s">
        <v>38</v>
      </c>
      <c r="F818" s="2" t="s">
        <v>2085</v>
      </c>
      <c r="G818" s="2" t="s">
        <v>206</v>
      </c>
      <c r="H818" s="56" t="str">
        <f>Table1[[#This Row],[Tabela]]&amp;Table1[[#This Row],[Campo]]</f>
        <v>modesg_out_sfics_taxon_europeianome_specific_eligible</v>
      </c>
      <c r="I818" s="2" t="s">
        <v>2325</v>
      </c>
      <c r="J818" s="42">
        <f>VLOOKUP(Table1[[#This Row],[Status]],Auxiliar!$B$16:$C$24,2,0)</f>
        <v>7</v>
      </c>
      <c r="K818" s="2" t="s">
        <v>1172</v>
      </c>
      <c r="L818" s="28" t="s">
        <v>1169</v>
      </c>
      <c r="M818" s="20" t="s">
        <v>1179</v>
      </c>
      <c r="N818" s="47">
        <v>45695</v>
      </c>
      <c r="O818" s="20">
        <f>INDEX(Auxiliar!$D$5:$F$13,MATCH(Table1[[#This Row],[Tipologia_Testes]],Auxiliar!$B$5:$B$13,0),MATCH(Table1[[#This Row],[Complexidade]],Auxiliar!$D$4:$F$4,0))</f>
        <v>4</v>
      </c>
      <c r="P818" s="2" t="s">
        <v>1213</v>
      </c>
      <c r="Q818" s="2"/>
      <c r="R818" s="151">
        <v>45563</v>
      </c>
      <c r="S818" s="151"/>
      <c r="T818" s="151">
        <v>45563</v>
      </c>
      <c r="U818" s="151">
        <v>45624</v>
      </c>
      <c r="V818" s="151">
        <v>45629</v>
      </c>
      <c r="W818" s="2">
        <f>VLOOKUP(Table1[[#This Row],[Status]],Auxiliar!$B$16:$D$24,3,0)*Table1[[#This Row],[Estimação (horas)]]</f>
        <v>1</v>
      </c>
      <c r="X818" s="166">
        <f>+VLOOKUP(CONCATENATE(Table1[[#This Row],[Tabela]],Table1[[#This Row],[Campo]]),'2. Status Detalhe Campos FY24'!A:J,9,FALSE)</f>
        <v>0</v>
      </c>
    </row>
    <row r="819" spans="2:24" ht="17.850000000000001" hidden="1" customHeight="1">
      <c r="B819" s="2" t="s">
        <v>26</v>
      </c>
      <c r="C819" s="2" t="s">
        <v>310</v>
      </c>
      <c r="D819" s="2" t="s">
        <v>334</v>
      </c>
      <c r="E819" s="2" t="s">
        <v>38</v>
      </c>
      <c r="F819" s="2" t="s">
        <v>2085</v>
      </c>
      <c r="G819" s="2" t="s">
        <v>206</v>
      </c>
      <c r="H819" s="56" t="str">
        <f>Table1[[#This Row],[Tabela]]&amp;Table1[[#This Row],[Campo]]</f>
        <v>modesg_out_sfics_taxon_europeianome_specific_eligible</v>
      </c>
      <c r="I819" s="2" t="s">
        <v>2325</v>
      </c>
      <c r="J819" s="42">
        <f>VLOOKUP(Table1[[#This Row],[Status]],Auxiliar!$B$16:$C$24,2,0)</f>
        <v>7</v>
      </c>
      <c r="K819" s="2" t="s">
        <v>1174</v>
      </c>
      <c r="L819" s="28" t="s">
        <v>1169</v>
      </c>
      <c r="M819" s="20" t="s">
        <v>1179</v>
      </c>
      <c r="N819" s="47">
        <v>45695</v>
      </c>
      <c r="O819" s="20">
        <f>INDEX(Auxiliar!$D$5:$F$13,MATCH(Table1[[#This Row],[Tipologia_Testes]],Auxiliar!$B$5:$B$13,0),MATCH(Table1[[#This Row],[Complexidade]],Auxiliar!$D$4:$F$4,0))</f>
        <v>0.1</v>
      </c>
      <c r="P819" s="2" t="s">
        <v>1213</v>
      </c>
      <c r="Q819" s="2"/>
      <c r="R819" s="151">
        <v>45563</v>
      </c>
      <c r="S819" s="151"/>
      <c r="T819" s="151">
        <v>45563</v>
      </c>
      <c r="U819" s="151">
        <v>45624</v>
      </c>
      <c r="V819" s="151">
        <v>45629</v>
      </c>
      <c r="W819" s="2">
        <f>VLOOKUP(Table1[[#This Row],[Status]],Auxiliar!$B$16:$D$24,3,0)*Table1[[#This Row],[Estimação (horas)]]</f>
        <v>2.5000000000000001E-2</v>
      </c>
      <c r="X819" s="166">
        <f>+VLOOKUP(CONCATENATE(Table1[[#This Row],[Tabela]],Table1[[#This Row],[Campo]]),'2. Status Detalhe Campos FY24'!A:J,9,FALSE)</f>
        <v>0</v>
      </c>
    </row>
    <row r="820" spans="2:24" ht="17.850000000000001" hidden="1" customHeight="1">
      <c r="B820" s="2" t="s">
        <v>26</v>
      </c>
      <c r="C820" s="2" t="s">
        <v>310</v>
      </c>
      <c r="D820" s="2" t="s">
        <v>334</v>
      </c>
      <c r="E820" s="2" t="s">
        <v>38</v>
      </c>
      <c r="F820" s="2" t="s">
        <v>2085</v>
      </c>
      <c r="G820" s="2" t="s">
        <v>207</v>
      </c>
      <c r="H820" s="56" t="str">
        <f>Table1[[#This Row],[Tabela]]&amp;Table1[[#This Row],[Campo]]</f>
        <v>modesg_out_sfics_taxon_europeianome_specific_sustainable</v>
      </c>
      <c r="I820" s="2" t="s">
        <v>2325</v>
      </c>
      <c r="J820" s="42">
        <f>VLOOKUP(Table1[[#This Row],[Status]],Auxiliar!$B$16:$C$24,2,0)</f>
        <v>7</v>
      </c>
      <c r="K820" s="2" t="s">
        <v>1171</v>
      </c>
      <c r="L820" s="28" t="s">
        <v>1169</v>
      </c>
      <c r="M820" s="20" t="s">
        <v>1179</v>
      </c>
      <c r="N820" s="47">
        <v>45695</v>
      </c>
      <c r="O820" s="20">
        <f>INDEX(Auxiliar!$D$5:$F$13,MATCH(Table1[[#This Row],[Tipologia_Testes]],Auxiliar!$B$5:$B$13,0),MATCH(Table1[[#This Row],[Complexidade]],Auxiliar!$D$4:$F$4,0))</f>
        <v>4</v>
      </c>
      <c r="P820" s="2" t="s">
        <v>1213</v>
      </c>
      <c r="Q820" s="2"/>
      <c r="R820" s="151">
        <v>45563</v>
      </c>
      <c r="S820" s="151"/>
      <c r="T820" s="151">
        <v>45563</v>
      </c>
      <c r="U820" s="151">
        <v>45624</v>
      </c>
      <c r="V820" s="151">
        <v>45629</v>
      </c>
      <c r="W820" s="2">
        <f>VLOOKUP(Table1[[#This Row],[Status]],Auxiliar!$B$16:$D$24,3,0)*Table1[[#This Row],[Estimação (horas)]]</f>
        <v>1</v>
      </c>
      <c r="X820" s="166">
        <f>+VLOOKUP(CONCATENATE(Table1[[#This Row],[Tabela]],Table1[[#This Row],[Campo]]),'2. Status Detalhe Campos FY24'!A:J,9,FALSE)</f>
        <v>0</v>
      </c>
    </row>
    <row r="821" spans="2:24" ht="17.850000000000001" hidden="1" customHeight="1">
      <c r="B821" s="2" t="s">
        <v>26</v>
      </c>
      <c r="C821" s="2" t="s">
        <v>310</v>
      </c>
      <c r="D821" s="2" t="s">
        <v>334</v>
      </c>
      <c r="E821" s="2" t="s">
        <v>38</v>
      </c>
      <c r="F821" s="2" t="s">
        <v>2085</v>
      </c>
      <c r="G821" s="2" t="s">
        <v>207</v>
      </c>
      <c r="H821" s="56" t="str">
        <f>Table1[[#This Row],[Tabela]]&amp;Table1[[#This Row],[Campo]]</f>
        <v>modesg_out_sfics_taxon_europeianome_specific_sustainable</v>
      </c>
      <c r="I821" s="2" t="s">
        <v>2325</v>
      </c>
      <c r="J821" s="42">
        <f>VLOOKUP(Table1[[#This Row],[Status]],Auxiliar!$B$16:$C$24,2,0)</f>
        <v>7</v>
      </c>
      <c r="K821" s="2" t="s">
        <v>1172</v>
      </c>
      <c r="L821" s="28" t="s">
        <v>1169</v>
      </c>
      <c r="M821" s="20" t="s">
        <v>1179</v>
      </c>
      <c r="N821" s="47">
        <v>45695</v>
      </c>
      <c r="O821" s="20">
        <f>INDEX(Auxiliar!$D$5:$F$13,MATCH(Table1[[#This Row],[Tipologia_Testes]],Auxiliar!$B$5:$B$13,0),MATCH(Table1[[#This Row],[Complexidade]],Auxiliar!$D$4:$F$4,0))</f>
        <v>4</v>
      </c>
      <c r="P821" s="2" t="s">
        <v>1213</v>
      </c>
      <c r="Q821" s="2"/>
      <c r="R821" s="151">
        <v>45563</v>
      </c>
      <c r="S821" s="151"/>
      <c r="T821" s="151">
        <v>45563</v>
      </c>
      <c r="U821" s="151">
        <v>45624</v>
      </c>
      <c r="V821" s="151">
        <v>45629</v>
      </c>
      <c r="W821" s="2">
        <f>VLOOKUP(Table1[[#This Row],[Status]],Auxiliar!$B$16:$D$24,3,0)*Table1[[#This Row],[Estimação (horas)]]</f>
        <v>1</v>
      </c>
      <c r="X821" s="166">
        <f>+VLOOKUP(CONCATENATE(Table1[[#This Row],[Tabela]],Table1[[#This Row],[Campo]]),'2. Status Detalhe Campos FY24'!A:J,9,FALSE)</f>
        <v>0</v>
      </c>
    </row>
    <row r="822" spans="2:24" ht="17.850000000000001" hidden="1" customHeight="1">
      <c r="B822" s="2" t="s">
        <v>26</v>
      </c>
      <c r="C822" s="2" t="s">
        <v>310</v>
      </c>
      <c r="D822" s="2" t="s">
        <v>334</v>
      </c>
      <c r="E822" s="2" t="s">
        <v>38</v>
      </c>
      <c r="F822" s="2" t="s">
        <v>2085</v>
      </c>
      <c r="G822" s="2" t="s">
        <v>207</v>
      </c>
      <c r="H822" s="56" t="str">
        <f>Table1[[#This Row],[Tabela]]&amp;Table1[[#This Row],[Campo]]</f>
        <v>modesg_out_sfics_taxon_europeianome_specific_sustainable</v>
      </c>
      <c r="I822" s="2" t="s">
        <v>2325</v>
      </c>
      <c r="J822" s="42">
        <f>VLOOKUP(Table1[[#This Row],[Status]],Auxiliar!$B$16:$C$24,2,0)</f>
        <v>7</v>
      </c>
      <c r="K822" s="2" t="s">
        <v>1174</v>
      </c>
      <c r="L822" s="28" t="s">
        <v>1169</v>
      </c>
      <c r="M822" s="20" t="s">
        <v>1179</v>
      </c>
      <c r="N822" s="47">
        <v>45695</v>
      </c>
      <c r="O822" s="20">
        <f>INDEX(Auxiliar!$D$5:$F$13,MATCH(Table1[[#This Row],[Tipologia_Testes]],Auxiliar!$B$5:$B$13,0),MATCH(Table1[[#This Row],[Complexidade]],Auxiliar!$D$4:$F$4,0))</f>
        <v>0.1</v>
      </c>
      <c r="P822" s="2" t="s">
        <v>1213</v>
      </c>
      <c r="Q822" s="2"/>
      <c r="R822" s="151">
        <v>45563</v>
      </c>
      <c r="S822" s="151"/>
      <c r="T822" s="151">
        <v>45563</v>
      </c>
      <c r="U822" s="151">
        <v>45624</v>
      </c>
      <c r="V822" s="151">
        <v>45629</v>
      </c>
      <c r="W822" s="2">
        <f>VLOOKUP(Table1[[#This Row],[Status]],Auxiliar!$B$16:$D$24,3,0)*Table1[[#This Row],[Estimação (horas)]]</f>
        <v>2.5000000000000001E-2</v>
      </c>
      <c r="X822" s="166">
        <f>+VLOOKUP(CONCATENATE(Table1[[#This Row],[Tabela]],Table1[[#This Row],[Campo]]),'2. Status Detalhe Campos FY24'!A:J,9,FALSE)</f>
        <v>0</v>
      </c>
    </row>
    <row r="823" spans="2:24" ht="17.850000000000001" hidden="1" customHeight="1">
      <c r="B823" s="2" t="s">
        <v>26</v>
      </c>
      <c r="C823" s="2" t="s">
        <v>310</v>
      </c>
      <c r="D823" s="2" t="s">
        <v>334</v>
      </c>
      <c r="E823" s="2" t="s">
        <v>38</v>
      </c>
      <c r="F823" s="2" t="s">
        <v>2085</v>
      </c>
      <c r="G823" s="2" t="s">
        <v>418</v>
      </c>
      <c r="H823" s="56" t="str">
        <f>Table1[[#This Row],[Tabela]]&amp;Table1[[#This Row],[Campo]]</f>
        <v>modesg_out_sfics_taxon_europeiasstnbl_indctr</v>
      </c>
      <c r="I823" s="2" t="s">
        <v>2324</v>
      </c>
      <c r="J823" s="42">
        <f>VLOOKUP(Table1[[#This Row],[Status]],Auxiliar!$B$16:$C$24,2,0)</f>
        <v>3</v>
      </c>
      <c r="K823" s="2"/>
      <c r="L823" s="28"/>
      <c r="M823" s="20"/>
      <c r="N823" s="47"/>
      <c r="O823" s="20" t="e">
        <f>INDEX(Auxiliar!$D$5:$F$11,MATCH(Table1[[#This Row],[Tipologia_Testes]],Auxiliar!$B$5:$B$11,0),MATCH(Table1[[#This Row],[Complexidade]],Auxiliar!$D$4:$F$4,0))</f>
        <v>#N/A</v>
      </c>
      <c r="P823" s="2"/>
      <c r="Q823" s="2"/>
      <c r="R823" s="151"/>
      <c r="S823" s="151"/>
      <c r="T823" s="151"/>
      <c r="U823" s="151"/>
      <c r="V823" s="151"/>
      <c r="W823" s="2" t="e">
        <f>VLOOKUP(Table1[[#This Row],[Status]],Auxiliar!$B$16:$D$24,3,0)*Table1[[#This Row],[Estimação (horas)]]</f>
        <v>#N/A</v>
      </c>
      <c r="X823" s="166">
        <f>+VLOOKUP(CONCATENATE(Table1[[#This Row],[Tabela]],Table1[[#This Row],[Campo]]),'2. Status Detalhe Campos FY24'!A:J,9,FALSE)</f>
        <v>0</v>
      </c>
    </row>
    <row r="824" spans="2:24" ht="17.850000000000001" hidden="1" customHeight="1">
      <c r="B824" s="2" t="s">
        <v>26</v>
      </c>
      <c r="C824" s="2" t="s">
        <v>310</v>
      </c>
      <c r="D824" s="2" t="s">
        <v>334</v>
      </c>
      <c r="E824" s="2" t="s">
        <v>38</v>
      </c>
      <c r="F824" s="2" t="s">
        <v>2085</v>
      </c>
      <c r="G824" s="2" t="s">
        <v>72</v>
      </c>
      <c r="H824" s="56" t="str">
        <f>Table1[[#This Row],[Tabela]]&amp;Table1[[#This Row],[Campo]]</f>
        <v>modesg_out_sfics_taxon_europeiaorigem</v>
      </c>
      <c r="I824" s="3" t="s">
        <v>611</v>
      </c>
      <c r="J824" s="54">
        <f>VLOOKUP(Table1[[#This Row],[Status]],Auxiliar!$B$16:$C$24,2,0)</f>
        <v>0</v>
      </c>
      <c r="K824" s="2" t="s">
        <v>1171</v>
      </c>
      <c r="L824" s="28" t="s">
        <v>1177</v>
      </c>
      <c r="M824" s="20" t="s">
        <v>1178</v>
      </c>
      <c r="N824" s="47">
        <v>45546</v>
      </c>
      <c r="O824" s="20">
        <f>INDEX(Auxiliar!$D$5:$F$13,MATCH(Table1[[#This Row],[Tipologia_Testes]],Auxiliar!$B$5:$B$13,0),MATCH(Table1[[#This Row],[Complexidade]],Auxiliar!$D$4:$F$4,0))</f>
        <v>2</v>
      </c>
      <c r="P824" s="2"/>
      <c r="Q824" s="2"/>
      <c r="R824" s="151">
        <v>45562</v>
      </c>
      <c r="S824" s="151"/>
      <c r="T824" s="151"/>
      <c r="U824" s="151"/>
      <c r="V824" s="151"/>
      <c r="W824" s="2">
        <f>VLOOKUP(Table1[[#This Row],[Status]],Auxiliar!$B$16:$D$24,3,0)*Table1[[#This Row],[Estimação (horas)]]</f>
        <v>0</v>
      </c>
      <c r="X824" s="166">
        <f>+VLOOKUP(CONCATENATE(Table1[[#This Row],[Tabela]],Table1[[#This Row],[Campo]]),'2. Status Detalhe Campos FY24'!A:J,9,FALSE)</f>
        <v>0</v>
      </c>
    </row>
    <row r="825" spans="2:24" ht="17.850000000000001" hidden="1" customHeight="1">
      <c r="B825" s="2" t="s">
        <v>26</v>
      </c>
      <c r="C825" s="2" t="s">
        <v>310</v>
      </c>
      <c r="D825" s="2" t="s">
        <v>334</v>
      </c>
      <c r="E825" s="2" t="s">
        <v>38</v>
      </c>
      <c r="F825" s="2" t="s">
        <v>2085</v>
      </c>
      <c r="G825" s="2" t="s">
        <v>72</v>
      </c>
      <c r="H825" s="56" t="str">
        <f>Table1[[#This Row],[Tabela]]&amp;Table1[[#This Row],[Campo]]</f>
        <v>modesg_out_sfics_taxon_europeiaorigem</v>
      </c>
      <c r="I825" s="3" t="s">
        <v>611</v>
      </c>
      <c r="J825" s="54">
        <f>VLOOKUP(Table1[[#This Row],[Status]],Auxiliar!$B$16:$C$24,2,0)</f>
        <v>0</v>
      </c>
      <c r="K825" s="2" t="s">
        <v>1172</v>
      </c>
      <c r="L825" s="28" t="s">
        <v>1177</v>
      </c>
      <c r="M825" s="20" t="s">
        <v>1178</v>
      </c>
      <c r="N825" s="47">
        <v>45546</v>
      </c>
      <c r="O825" s="20">
        <f>INDEX(Auxiliar!$D$5:$F$13,MATCH(Table1[[#This Row],[Tipologia_Testes]],Auxiliar!$B$5:$B$13,0),MATCH(Table1[[#This Row],[Complexidade]],Auxiliar!$D$4:$F$4,0))</f>
        <v>2</v>
      </c>
      <c r="P825" s="2"/>
      <c r="Q825" s="2"/>
      <c r="R825" s="151">
        <v>45562</v>
      </c>
      <c r="S825" s="151"/>
      <c r="T825" s="151"/>
      <c r="U825" s="151"/>
      <c r="V825" s="151"/>
      <c r="W825" s="2">
        <f>VLOOKUP(Table1[[#This Row],[Status]],Auxiliar!$B$16:$D$24,3,0)*Table1[[#This Row],[Estimação (horas)]]</f>
        <v>0</v>
      </c>
      <c r="X825" s="166">
        <f>+VLOOKUP(CONCATENATE(Table1[[#This Row],[Tabela]],Table1[[#This Row],[Campo]]),'2. Status Detalhe Campos FY24'!A:J,9,FALSE)</f>
        <v>0</v>
      </c>
    </row>
    <row r="826" spans="2:24" ht="17.850000000000001" hidden="1" customHeight="1">
      <c r="B826" s="2" t="s">
        <v>26</v>
      </c>
      <c r="C826" s="2" t="s">
        <v>310</v>
      </c>
      <c r="D826" s="2" t="s">
        <v>334</v>
      </c>
      <c r="E826" s="2" t="s">
        <v>38</v>
      </c>
      <c r="F826" s="2" t="s">
        <v>2085</v>
      </c>
      <c r="G826" s="2" t="s">
        <v>72</v>
      </c>
      <c r="H826" s="56" t="str">
        <f>Table1[[#This Row],[Tabela]]&amp;Table1[[#This Row],[Campo]]</f>
        <v>modesg_out_sfics_taxon_europeiaorigem</v>
      </c>
      <c r="I826" s="3" t="s">
        <v>611</v>
      </c>
      <c r="J826" s="54">
        <f>VLOOKUP(Table1[[#This Row],[Status]],Auxiliar!$B$16:$C$24,2,0)</f>
        <v>0</v>
      </c>
      <c r="K826" s="2" t="s">
        <v>1174</v>
      </c>
      <c r="L826" s="28" t="s">
        <v>1177</v>
      </c>
      <c r="M826" s="20" t="s">
        <v>1178</v>
      </c>
      <c r="N826" s="47">
        <v>45546</v>
      </c>
      <c r="O826" s="20">
        <f>INDEX(Auxiliar!$D$5:$F$13,MATCH(Table1[[#This Row],[Tipologia_Testes]],Auxiliar!$B$5:$B$13,0),MATCH(Table1[[#This Row],[Complexidade]],Auxiliar!$D$4:$F$4,0))</f>
        <v>0.1</v>
      </c>
      <c r="P826" s="2"/>
      <c r="Q826" s="2"/>
      <c r="R826" s="151">
        <v>45562</v>
      </c>
      <c r="S826" s="151"/>
      <c r="T826" s="151"/>
      <c r="U826" s="151"/>
      <c r="V826" s="151"/>
      <c r="W826" s="2">
        <f>VLOOKUP(Table1[[#This Row],[Status]],Auxiliar!$B$16:$D$24,3,0)*Table1[[#This Row],[Estimação (horas)]]</f>
        <v>0</v>
      </c>
      <c r="X826" s="166">
        <f>+VLOOKUP(CONCATENATE(Table1[[#This Row],[Tabela]],Table1[[#This Row],[Campo]]),'2. Status Detalhe Campos FY24'!A:J,9,FALSE)</f>
        <v>0</v>
      </c>
    </row>
    <row r="827" spans="2:24" ht="17.850000000000001" hidden="1" customHeight="1">
      <c r="B827" s="2" t="s">
        <v>26</v>
      </c>
      <c r="C827" s="2" t="s">
        <v>310</v>
      </c>
      <c r="D827" s="2" t="s">
        <v>334</v>
      </c>
      <c r="E827" s="2" t="s">
        <v>38</v>
      </c>
      <c r="F827" s="2" t="s">
        <v>2085</v>
      </c>
      <c r="G827" s="2" t="s">
        <v>208</v>
      </c>
      <c r="H827" s="56" t="str">
        <f>Table1[[#This Row],[Tabela]]&amp;Table1[[#This Row],[Campo]]</f>
        <v>modesg_out_sfics_taxon_europeiaref_date</v>
      </c>
      <c r="I827" s="2" t="s">
        <v>2325</v>
      </c>
      <c r="J827" s="42">
        <f>VLOOKUP(Table1[[#This Row],[Status]],Auxiliar!$B$16:$C$24,2,0)</f>
        <v>7</v>
      </c>
      <c r="K827" s="2" t="s">
        <v>1171</v>
      </c>
      <c r="L827" s="28" t="s">
        <v>1177</v>
      </c>
      <c r="M827" s="20" t="s">
        <v>1178</v>
      </c>
      <c r="N827" s="47">
        <v>45695</v>
      </c>
      <c r="O827" s="20">
        <f>INDEX(Auxiliar!$D$5:$F$13,MATCH(Table1[[#This Row],[Tipologia_Testes]],Auxiliar!$B$5:$B$13,0),MATCH(Table1[[#This Row],[Complexidade]],Auxiliar!$D$4:$F$4,0))</f>
        <v>2</v>
      </c>
      <c r="P827" s="2"/>
      <c r="Q827" s="2"/>
      <c r="R827" s="151">
        <v>45563</v>
      </c>
      <c r="S827" s="151"/>
      <c r="T827" s="151">
        <v>45561</v>
      </c>
      <c r="U827" s="151">
        <v>45624</v>
      </c>
      <c r="V827" s="151">
        <v>45629</v>
      </c>
      <c r="W827" s="2">
        <f>VLOOKUP(Table1[[#This Row],[Status]],Auxiliar!$B$16:$D$24,3,0)*Table1[[#This Row],[Estimação (horas)]]</f>
        <v>0.5</v>
      </c>
      <c r="X827" s="166">
        <f>+VLOOKUP(CONCATENATE(Table1[[#This Row],[Tabela]],Table1[[#This Row],[Campo]]),'2. Status Detalhe Campos FY24'!A:J,9,FALSE)</f>
        <v>0</v>
      </c>
    </row>
    <row r="828" spans="2:24" ht="17.850000000000001" hidden="1" customHeight="1">
      <c r="B828" s="2" t="s">
        <v>26</v>
      </c>
      <c r="C828" s="2" t="s">
        <v>310</v>
      </c>
      <c r="D828" s="2" t="s">
        <v>334</v>
      </c>
      <c r="E828" s="2" t="s">
        <v>38</v>
      </c>
      <c r="F828" s="2" t="s">
        <v>2085</v>
      </c>
      <c r="G828" s="2" t="s">
        <v>208</v>
      </c>
      <c r="H828" s="56" t="str">
        <f>Table1[[#This Row],[Tabela]]&amp;Table1[[#This Row],[Campo]]</f>
        <v>modesg_out_sfics_taxon_europeiaref_date</v>
      </c>
      <c r="I828" s="2" t="s">
        <v>2325</v>
      </c>
      <c r="J828" s="42">
        <f>VLOOKUP(Table1[[#This Row],[Status]],Auxiliar!$B$16:$C$24,2,0)</f>
        <v>7</v>
      </c>
      <c r="K828" s="2" t="s">
        <v>1172</v>
      </c>
      <c r="L828" s="28" t="s">
        <v>1177</v>
      </c>
      <c r="M828" s="20" t="s">
        <v>1178</v>
      </c>
      <c r="N828" s="47">
        <v>45695</v>
      </c>
      <c r="O828" s="20">
        <f>INDEX(Auxiliar!$D$5:$F$13,MATCH(Table1[[#This Row],[Tipologia_Testes]],Auxiliar!$B$5:$B$13,0),MATCH(Table1[[#This Row],[Complexidade]],Auxiliar!$D$4:$F$4,0))</f>
        <v>2</v>
      </c>
      <c r="P828" s="2"/>
      <c r="Q828" s="2"/>
      <c r="R828" s="151">
        <v>45563</v>
      </c>
      <c r="S828" s="151"/>
      <c r="T828" s="151">
        <v>45561</v>
      </c>
      <c r="U828" s="151">
        <v>45624</v>
      </c>
      <c r="V828" s="151">
        <v>45629</v>
      </c>
      <c r="W828" s="2">
        <f>VLOOKUP(Table1[[#This Row],[Status]],Auxiliar!$B$16:$D$24,3,0)*Table1[[#This Row],[Estimação (horas)]]</f>
        <v>0.5</v>
      </c>
      <c r="X828" s="166">
        <f>+VLOOKUP(CONCATENATE(Table1[[#This Row],[Tabela]],Table1[[#This Row],[Campo]]),'2. Status Detalhe Campos FY24'!A:J,9,FALSE)</f>
        <v>0</v>
      </c>
    </row>
    <row r="829" spans="2:24" ht="17.850000000000001" hidden="1" customHeight="1">
      <c r="B829" s="2" t="s">
        <v>26</v>
      </c>
      <c r="C829" s="2" t="s">
        <v>310</v>
      </c>
      <c r="D829" s="2" t="s">
        <v>334</v>
      </c>
      <c r="E829" s="2" t="s">
        <v>38</v>
      </c>
      <c r="F829" s="2" t="s">
        <v>2085</v>
      </c>
      <c r="G829" s="2" t="s">
        <v>208</v>
      </c>
      <c r="H829" s="56" t="str">
        <f>Table1[[#This Row],[Tabela]]&amp;Table1[[#This Row],[Campo]]</f>
        <v>modesg_out_sfics_taxon_europeiaref_date</v>
      </c>
      <c r="I829" s="2" t="s">
        <v>2325</v>
      </c>
      <c r="J829" s="42">
        <f>VLOOKUP(Table1[[#This Row],[Status]],Auxiliar!$B$16:$C$24,2,0)</f>
        <v>7</v>
      </c>
      <c r="K829" s="2" t="s">
        <v>1174</v>
      </c>
      <c r="L829" s="28" t="s">
        <v>1177</v>
      </c>
      <c r="M829" s="20" t="s">
        <v>1178</v>
      </c>
      <c r="N829" s="47">
        <v>45695</v>
      </c>
      <c r="O829" s="20">
        <f>INDEX(Auxiliar!$D$5:$F$13,MATCH(Table1[[#This Row],[Tipologia_Testes]],Auxiliar!$B$5:$B$13,0),MATCH(Table1[[#This Row],[Complexidade]],Auxiliar!$D$4:$F$4,0))</f>
        <v>0.1</v>
      </c>
      <c r="P829" s="2"/>
      <c r="Q829" s="2"/>
      <c r="R829" s="151">
        <v>45563</v>
      </c>
      <c r="S829" s="151"/>
      <c r="T829" s="151">
        <v>45561</v>
      </c>
      <c r="U829" s="151">
        <v>45624</v>
      </c>
      <c r="V829" s="151">
        <v>45629</v>
      </c>
      <c r="W829" s="2">
        <f>VLOOKUP(Table1[[#This Row],[Status]],Auxiliar!$B$16:$D$24,3,0)*Table1[[#This Row],[Estimação (horas)]]</f>
        <v>2.5000000000000001E-2</v>
      </c>
      <c r="X829" s="166">
        <f>+VLOOKUP(CONCATENATE(Table1[[#This Row],[Tabela]],Table1[[#This Row],[Campo]]),'2. Status Detalhe Campos FY24'!A:J,9,FALSE)</f>
        <v>0</v>
      </c>
    </row>
    <row r="830" spans="2:24" ht="17.850000000000001" hidden="1" customHeight="1">
      <c r="B830" s="2" t="s">
        <v>26</v>
      </c>
      <c r="C830" s="2" t="s">
        <v>310</v>
      </c>
      <c r="D830" s="2" t="s">
        <v>334</v>
      </c>
      <c r="E830" s="2" t="s">
        <v>38</v>
      </c>
      <c r="F830" s="2" t="s">
        <v>2085</v>
      </c>
      <c r="G830" s="2" t="s">
        <v>210</v>
      </c>
      <c r="H830" s="56" t="str">
        <f>Table1[[#This Row],[Tabela]]&amp;Table1[[#This Row],[Campo]]</f>
        <v>modesg_out_sfics_taxon_europeiazdeposit</v>
      </c>
      <c r="I830" s="2" t="s">
        <v>2325</v>
      </c>
      <c r="J830" s="42">
        <f>VLOOKUP(Table1[[#This Row],[Status]],Auxiliar!$B$16:$C$24,2,0)</f>
        <v>7</v>
      </c>
      <c r="K830" s="2" t="s">
        <v>1171</v>
      </c>
      <c r="L830" s="28" t="s">
        <v>1177</v>
      </c>
      <c r="M830" s="20" t="s">
        <v>1179</v>
      </c>
      <c r="N830" s="47">
        <v>45695</v>
      </c>
      <c r="O830" s="20">
        <f>INDEX(Auxiliar!$D$5:$F$13,MATCH(Table1[[#This Row],[Tipologia_Testes]],Auxiliar!$B$5:$B$13,0),MATCH(Table1[[#This Row],[Complexidade]],Auxiliar!$D$4:$F$4,0))</f>
        <v>4</v>
      </c>
      <c r="P830" s="2"/>
      <c r="Q830" s="2"/>
      <c r="R830" s="151">
        <v>45563</v>
      </c>
      <c r="S830" s="151"/>
      <c r="T830" s="151">
        <v>45561</v>
      </c>
      <c r="U830" s="151">
        <v>45624</v>
      </c>
      <c r="V830" s="151">
        <v>45629</v>
      </c>
      <c r="W830" s="2">
        <f>VLOOKUP(Table1[[#This Row],[Status]],Auxiliar!$B$16:$D$24,3,0)*Table1[[#This Row],[Estimação (horas)]]</f>
        <v>1</v>
      </c>
      <c r="X830" s="166">
        <f>+VLOOKUP(CONCATENATE(Table1[[#This Row],[Tabela]],Table1[[#This Row],[Campo]]),'2. Status Detalhe Campos FY24'!A:J,9,FALSE)</f>
        <v>0</v>
      </c>
    </row>
    <row r="831" spans="2:24" ht="17.850000000000001" hidden="1" customHeight="1">
      <c r="B831" s="2" t="s">
        <v>26</v>
      </c>
      <c r="C831" s="2" t="s">
        <v>310</v>
      </c>
      <c r="D831" s="2" t="s">
        <v>334</v>
      </c>
      <c r="E831" s="2" t="s">
        <v>38</v>
      </c>
      <c r="F831" s="2" t="s">
        <v>2085</v>
      </c>
      <c r="G831" s="2" t="s">
        <v>210</v>
      </c>
      <c r="H831" s="56" t="str">
        <f>Table1[[#This Row],[Tabela]]&amp;Table1[[#This Row],[Campo]]</f>
        <v>modesg_out_sfics_taxon_europeiazdeposit</v>
      </c>
      <c r="I831" s="2" t="s">
        <v>2325</v>
      </c>
      <c r="J831" s="42">
        <f>VLOOKUP(Table1[[#This Row],[Status]],Auxiliar!$B$16:$C$24,2,0)</f>
        <v>7</v>
      </c>
      <c r="K831" s="2" t="s">
        <v>1172</v>
      </c>
      <c r="L831" s="28" t="s">
        <v>1177</v>
      </c>
      <c r="M831" s="20" t="s">
        <v>1179</v>
      </c>
      <c r="N831" s="47">
        <v>45695</v>
      </c>
      <c r="O831" s="20">
        <f>INDEX(Auxiliar!$D$5:$F$13,MATCH(Table1[[#This Row],[Tipologia_Testes]],Auxiliar!$B$5:$B$13,0),MATCH(Table1[[#This Row],[Complexidade]],Auxiliar!$D$4:$F$4,0))</f>
        <v>4</v>
      </c>
      <c r="P831" s="2"/>
      <c r="Q831" s="2"/>
      <c r="R831" s="151">
        <v>45563</v>
      </c>
      <c r="S831" s="151"/>
      <c r="T831" s="151">
        <v>45561</v>
      </c>
      <c r="U831" s="151">
        <v>45624</v>
      </c>
      <c r="V831" s="151">
        <v>45629</v>
      </c>
      <c r="W831" s="2">
        <f>VLOOKUP(Table1[[#This Row],[Status]],Auxiliar!$B$16:$D$24,3,0)*Table1[[#This Row],[Estimação (horas)]]</f>
        <v>1</v>
      </c>
      <c r="X831" s="166">
        <f>+VLOOKUP(CONCATENATE(Table1[[#This Row],[Tabela]],Table1[[#This Row],[Campo]]),'2. Status Detalhe Campos FY24'!A:J,9,FALSE)</f>
        <v>0</v>
      </c>
    </row>
    <row r="832" spans="2:24" ht="17.850000000000001" hidden="1" customHeight="1">
      <c r="B832" s="2" t="s">
        <v>26</v>
      </c>
      <c r="C832" s="2" t="s">
        <v>310</v>
      </c>
      <c r="D832" s="2" t="s">
        <v>334</v>
      </c>
      <c r="E832" s="2" t="s">
        <v>38</v>
      </c>
      <c r="F832" s="2" t="s">
        <v>2085</v>
      </c>
      <c r="G832" s="2" t="s">
        <v>210</v>
      </c>
      <c r="H832" s="56" t="str">
        <f>Table1[[#This Row],[Tabela]]&amp;Table1[[#This Row],[Campo]]</f>
        <v>modesg_out_sfics_taxon_europeiazdeposit</v>
      </c>
      <c r="I832" s="2" t="s">
        <v>2325</v>
      </c>
      <c r="J832" s="42">
        <f>VLOOKUP(Table1[[#This Row],[Status]],Auxiliar!$B$16:$C$24,2,0)</f>
        <v>7</v>
      </c>
      <c r="K832" s="2" t="s">
        <v>1174</v>
      </c>
      <c r="L832" s="28" t="s">
        <v>1177</v>
      </c>
      <c r="M832" s="20" t="s">
        <v>1179</v>
      </c>
      <c r="N832" s="47">
        <v>45695</v>
      </c>
      <c r="O832" s="20">
        <f>INDEX(Auxiliar!$D$5:$F$13,MATCH(Table1[[#This Row],[Tipologia_Testes]],Auxiliar!$B$5:$B$13,0),MATCH(Table1[[#This Row],[Complexidade]],Auxiliar!$D$4:$F$4,0))</f>
        <v>0.1</v>
      </c>
      <c r="P832" s="2"/>
      <c r="Q832" s="2"/>
      <c r="R832" s="151">
        <v>45563</v>
      </c>
      <c r="S832" s="151"/>
      <c r="T832" s="151">
        <v>45561</v>
      </c>
      <c r="U832" s="151">
        <v>45624</v>
      </c>
      <c r="V832" s="151">
        <v>45629</v>
      </c>
      <c r="W832" s="2">
        <f>VLOOKUP(Table1[[#This Row],[Status]],Auxiliar!$B$16:$D$24,3,0)*Table1[[#This Row],[Estimação (horas)]]</f>
        <v>2.5000000000000001E-2</v>
      </c>
      <c r="X832" s="166">
        <f>+VLOOKUP(CONCATENATE(Table1[[#This Row],[Tabela]],Table1[[#This Row],[Campo]]),'2. Status Detalhe Campos FY24'!A:J,9,FALSE)</f>
        <v>0</v>
      </c>
    </row>
    <row r="833" spans="2:24" ht="87" hidden="1" customHeight="1">
      <c r="B833" s="2" t="s">
        <v>26</v>
      </c>
      <c r="C833" s="2" t="s">
        <v>181</v>
      </c>
      <c r="D833" s="2" t="s">
        <v>1214</v>
      </c>
      <c r="E833" s="2" t="s">
        <v>38</v>
      </c>
      <c r="F833" s="2" t="s">
        <v>2102</v>
      </c>
      <c r="G833" s="2" t="s">
        <v>191</v>
      </c>
      <c r="H833" s="56" t="str">
        <f>Table1[[#This Row],[Tabela]]&amp;Table1[[#This Row],[Campo]]</f>
        <v>modesg_param_sfics_taxon_europeiacod_regra</v>
      </c>
      <c r="I833" s="2" t="s">
        <v>2325</v>
      </c>
      <c r="J833" s="54">
        <f>VLOOKUP(Table1[[#This Row],[Status]],Auxiliar!$B$16:$C$24,2,0)</f>
        <v>7</v>
      </c>
      <c r="K833" s="2" t="s">
        <v>1182</v>
      </c>
      <c r="L833" s="28" t="s">
        <v>1177</v>
      </c>
      <c r="M833" s="20" t="s">
        <v>1178</v>
      </c>
      <c r="N833" s="47">
        <v>45695</v>
      </c>
      <c r="O833" s="20">
        <f>INDEX(Auxiliar!$D$5:$F$13,MATCH(Table1[[#This Row],[Tipologia_Testes]],Auxiliar!$B$5:$B$13,0),MATCH(Table1[[#This Row],[Complexidade]],Auxiliar!$D$4:$F$4,0))</f>
        <v>0.5</v>
      </c>
      <c r="P833" s="2"/>
      <c r="Q833" s="2"/>
      <c r="R833" s="151">
        <v>45261</v>
      </c>
      <c r="S833" s="151"/>
      <c r="T833" s="151"/>
      <c r="U833" s="151">
        <v>45603</v>
      </c>
      <c r="V833" s="151"/>
      <c r="W833" s="2">
        <f>VLOOKUP(Table1[[#This Row],[Status]],Auxiliar!$B$16:$D$24,3,0)*Table1[[#This Row],[Estimação (horas)]]</f>
        <v>0.125</v>
      </c>
      <c r="X833" s="166">
        <f>+VLOOKUP(CONCATENATE(Table1[[#This Row],[Tabela]],Table1[[#This Row],[Campo]]),'2. Status Detalhe Campos FY24'!A:J,9,FALSE)</f>
        <v>0</v>
      </c>
    </row>
    <row r="834" spans="2:24" ht="17.850000000000001" hidden="1" customHeight="1">
      <c r="B834" s="2" t="s">
        <v>26</v>
      </c>
      <c r="C834" s="2" t="s">
        <v>181</v>
      </c>
      <c r="D834" s="2" t="s">
        <v>1214</v>
      </c>
      <c r="E834" s="2" t="s">
        <v>38</v>
      </c>
      <c r="F834" s="2" t="s">
        <v>2102</v>
      </c>
      <c r="G834" s="2" t="s">
        <v>191</v>
      </c>
      <c r="H834" s="56" t="str">
        <f>Table1[[#This Row],[Tabela]]&amp;Table1[[#This Row],[Campo]]</f>
        <v>modesg_param_sfics_taxon_europeiacod_regra</v>
      </c>
      <c r="I834" s="2" t="s">
        <v>2325</v>
      </c>
      <c r="J834" s="54">
        <f>VLOOKUP(Table1[[#This Row],[Status]],Auxiliar!$B$16:$C$24,2,0)</f>
        <v>7</v>
      </c>
      <c r="K834" s="2" t="s">
        <v>1174</v>
      </c>
      <c r="L834" s="28"/>
      <c r="M834" s="20"/>
      <c r="N834" s="47">
        <v>45695</v>
      </c>
      <c r="O834" s="20" t="e">
        <f>INDEX(Auxiliar!$D$5:$F$11,MATCH(Table1[[#This Row],[Tipologia_Testes]],Auxiliar!$B$5:$B$11,0),MATCH(Table1[[#This Row],[Complexidade]],Auxiliar!$D$4:$F$4,0))</f>
        <v>#N/A</v>
      </c>
      <c r="P834" s="2"/>
      <c r="Q834" s="2"/>
      <c r="R834" s="151"/>
      <c r="S834" s="151"/>
      <c r="T834" s="151"/>
      <c r="U834" s="151"/>
      <c r="V834" s="151"/>
      <c r="W834" s="2" t="e">
        <f>VLOOKUP(Table1[[#This Row],[Status]],Auxiliar!$B$16:$D$24,3,0)*Table1[[#This Row],[Estimação (horas)]]</f>
        <v>#N/A</v>
      </c>
      <c r="X834" s="166">
        <f>+VLOOKUP(CONCATENATE(Table1[[#This Row],[Tabela]],Table1[[#This Row],[Campo]]),'2. Status Detalhe Campos FY24'!A:J,9,FALSE)</f>
        <v>0</v>
      </c>
    </row>
    <row r="835" spans="2:24" ht="17.850000000000001" hidden="1" customHeight="1">
      <c r="B835" s="2" t="s">
        <v>26</v>
      </c>
      <c r="C835" s="2" t="s">
        <v>181</v>
      </c>
      <c r="D835" s="2" t="s">
        <v>1214</v>
      </c>
      <c r="E835" s="2" t="s">
        <v>38</v>
      </c>
      <c r="F835" s="2" t="s">
        <v>2102</v>
      </c>
      <c r="G835" s="2" t="s">
        <v>2414</v>
      </c>
      <c r="H835" s="56" t="str">
        <f>Table1[[#This Row],[Tabela]]&amp;Table1[[#This Row],[Campo]]</f>
        <v>modesg_param_sfics_taxon_europeianivel</v>
      </c>
      <c r="I835" s="2" t="s">
        <v>2325</v>
      </c>
      <c r="J835" s="54">
        <f>VLOOKUP(Table1[[#This Row],[Status]],Auxiliar!$B$16:$C$24,2,0)</f>
        <v>7</v>
      </c>
      <c r="K835" s="2" t="s">
        <v>1182</v>
      </c>
      <c r="L835" s="28" t="s">
        <v>1177</v>
      </c>
      <c r="M835" s="20" t="s">
        <v>1178</v>
      </c>
      <c r="N835" s="47">
        <v>45695</v>
      </c>
      <c r="O835" s="20">
        <f>INDEX(Auxiliar!$D$5:$F$13,MATCH(Table1[[#This Row],[Tipologia_Testes]],Auxiliar!$B$5:$B$13,0),MATCH(Table1[[#This Row],[Complexidade]],Auxiliar!$D$4:$F$4,0))</f>
        <v>0.5</v>
      </c>
      <c r="P835" s="2"/>
      <c r="Q835" s="2"/>
      <c r="R835" s="151">
        <v>45261</v>
      </c>
      <c r="S835" s="151"/>
      <c r="T835" s="151"/>
      <c r="U835" s="151">
        <v>45603</v>
      </c>
      <c r="V835" s="151"/>
      <c r="W835" s="2">
        <f>VLOOKUP(Table1[[#This Row],[Status]],Auxiliar!$B$16:$D$24,3,0)*Table1[[#This Row],[Estimação (horas)]]</f>
        <v>0.125</v>
      </c>
      <c r="X835" s="166">
        <f>+VLOOKUP(CONCATENATE(Table1[[#This Row],[Tabela]],Table1[[#This Row],[Campo]]),'2. Status Detalhe Campos FY24'!A:J,9,FALSE)</f>
        <v>0</v>
      </c>
    </row>
    <row r="836" spans="2:24" ht="17.850000000000001" hidden="1" customHeight="1">
      <c r="B836" s="2" t="s">
        <v>26</v>
      </c>
      <c r="C836" s="2" t="s">
        <v>181</v>
      </c>
      <c r="D836" s="2" t="s">
        <v>1214</v>
      </c>
      <c r="E836" s="2" t="s">
        <v>38</v>
      </c>
      <c r="F836" s="2" t="s">
        <v>2102</v>
      </c>
      <c r="G836" s="2" t="s">
        <v>211</v>
      </c>
      <c r="H836" s="56" t="str">
        <f>Table1[[#This Row],[Tabela]]&amp;Table1[[#This Row],[Campo]]</f>
        <v>modesg_param_sfics_taxon_europeiaordem</v>
      </c>
      <c r="I836" s="2" t="s">
        <v>611</v>
      </c>
      <c r="J836" s="54">
        <f>VLOOKUP(Table1[[#This Row],[Status]],Auxiliar!$B$16:$C$24,2,0)</f>
        <v>0</v>
      </c>
      <c r="K836" s="2"/>
      <c r="L836" s="28"/>
      <c r="M836" s="20"/>
      <c r="N836" s="47">
        <v>45688</v>
      </c>
      <c r="O836" s="20" t="e">
        <f>INDEX(Auxiliar!$D$5:$F$11,MATCH(Table1[[#This Row],[Tipologia_Testes]],Auxiliar!$B$5:$B$11,0),MATCH(Table1[[#This Row],[Complexidade]],Auxiliar!$D$4:$F$4,0))</f>
        <v>#N/A</v>
      </c>
      <c r="P836" s="2"/>
      <c r="Q836" s="2"/>
      <c r="R836" s="151"/>
      <c r="S836" s="151"/>
      <c r="T836" s="151"/>
      <c r="U836" s="151"/>
      <c r="V836" s="151"/>
      <c r="W836" s="2" t="e">
        <f>VLOOKUP(Table1[[#This Row],[Status]],Auxiliar!$B$16:$D$24,3,0)*Table1[[#This Row],[Estimação (horas)]]</f>
        <v>#N/A</v>
      </c>
      <c r="X836" s="166">
        <f>+VLOOKUP(CONCATENATE(Table1[[#This Row],[Tabela]],Table1[[#This Row],[Campo]]),'2. Status Detalhe Campos FY24'!A:J,9,FALSE)</f>
        <v>0</v>
      </c>
    </row>
    <row r="837" spans="2:24" ht="17.850000000000001" hidden="1" customHeight="1">
      <c r="B837" s="2" t="s">
        <v>26</v>
      </c>
      <c r="C837" s="2" t="s">
        <v>181</v>
      </c>
      <c r="D837" s="2" t="s">
        <v>1214</v>
      </c>
      <c r="E837" s="2" t="s">
        <v>38</v>
      </c>
      <c r="F837" s="2" t="s">
        <v>2102</v>
      </c>
      <c r="G837" s="64" t="s">
        <v>2422</v>
      </c>
      <c r="H837" s="56" t="str">
        <f>Table1[[#This Row],[Tabela]]&amp;Table1[[#This Row],[Campo]]</f>
        <v>modesg_param_sfics_taxon_europeiagrupo_regra</v>
      </c>
      <c r="I837" s="2" t="s">
        <v>2325</v>
      </c>
      <c r="J837" s="54">
        <f>VLOOKUP(Table1[[#This Row],[Status]],Auxiliar!$B$16:$C$24,2,0)</f>
        <v>7</v>
      </c>
      <c r="K837" s="2"/>
      <c r="L837" s="28"/>
      <c r="M837" s="20"/>
      <c r="N837" s="47">
        <v>45688</v>
      </c>
      <c r="O837" s="20" t="e">
        <f>INDEX(Auxiliar!$D$5:$F$11,MATCH(Table1[[#This Row],[Tipologia_Testes]],Auxiliar!$B$5:$B$11,0),MATCH(Table1[[#This Row],[Complexidade]],Auxiliar!$D$4:$F$4,0))</f>
        <v>#N/A</v>
      </c>
      <c r="P837" s="2"/>
      <c r="Q837" s="2"/>
      <c r="R837" s="151"/>
      <c r="S837" s="151"/>
      <c r="T837" s="151"/>
      <c r="U837" s="151"/>
      <c r="V837" s="151"/>
      <c r="W837" s="2" t="e">
        <f>VLOOKUP(Table1[[#This Row],[Status]],Auxiliar!$B$16:$D$24,3,0)*Table1[[#This Row],[Estimação (horas)]]</f>
        <v>#N/A</v>
      </c>
      <c r="X837" s="166">
        <f>+VLOOKUP(CONCATENATE(Table1[[#This Row],[Tabela]],Table1[[#This Row],[Campo]]),'2. Status Detalhe Campos FY24'!A:J,9,FALSE)</f>
        <v>0</v>
      </c>
    </row>
    <row r="838" spans="2:24" ht="17.850000000000001" hidden="1" customHeight="1">
      <c r="B838" s="2" t="s">
        <v>26</v>
      </c>
      <c r="C838" s="2" t="s">
        <v>181</v>
      </c>
      <c r="D838" s="2" t="s">
        <v>1214</v>
      </c>
      <c r="E838" s="2" t="s">
        <v>38</v>
      </c>
      <c r="F838" s="2" t="s">
        <v>2102</v>
      </c>
      <c r="G838" s="2" t="s">
        <v>200</v>
      </c>
      <c r="H838" s="56" t="str">
        <f>Table1[[#This Row],[Tabela]]&amp;Table1[[#This Row],[Campo]]</f>
        <v>modesg_param_sfics_taxon_europeiacfinalidad</v>
      </c>
      <c r="I838" s="2" t="s">
        <v>2325</v>
      </c>
      <c r="J838" s="54">
        <f>VLOOKUP(Table1[[#This Row],[Status]],Auxiliar!$B$16:$C$24,2,0)</f>
        <v>7</v>
      </c>
      <c r="K838" s="2"/>
      <c r="L838" s="28"/>
      <c r="M838" s="20"/>
      <c r="N838" s="47">
        <v>45688</v>
      </c>
      <c r="O838" s="20" t="e">
        <f>INDEX(Auxiliar!$D$5:$F$11,MATCH(Table1[[#This Row],[Tipologia_Testes]],Auxiliar!$B$5:$B$11,0),MATCH(Table1[[#This Row],[Complexidade]],Auxiliar!$D$4:$F$4,0))</f>
        <v>#N/A</v>
      </c>
      <c r="P838" s="2"/>
      <c r="Q838" s="2"/>
      <c r="R838" s="151"/>
      <c r="S838" s="151"/>
      <c r="T838" s="151"/>
      <c r="U838" s="151"/>
      <c r="V838" s="151"/>
      <c r="W838" s="2" t="e">
        <f>VLOOKUP(Table1[[#This Row],[Status]],Auxiliar!$B$16:$D$24,3,0)*Table1[[#This Row],[Estimação (horas)]]</f>
        <v>#N/A</v>
      </c>
      <c r="X838" s="166">
        <f>+VLOOKUP(CONCATENATE(Table1[[#This Row],[Tabela]],Table1[[#This Row],[Campo]]),'2. Status Detalhe Campos FY24'!A:J,9,FALSE)</f>
        <v>0</v>
      </c>
    </row>
    <row r="839" spans="2:24" ht="17.850000000000001" hidden="1" customHeight="1">
      <c r="B839" s="2" t="s">
        <v>26</v>
      </c>
      <c r="C839" s="2" t="s">
        <v>181</v>
      </c>
      <c r="D839" s="2" t="s">
        <v>1214</v>
      </c>
      <c r="E839" s="2" t="s">
        <v>38</v>
      </c>
      <c r="F839" s="2" t="s">
        <v>2102</v>
      </c>
      <c r="G839" s="2" t="s">
        <v>205</v>
      </c>
      <c r="H839" s="56" t="str">
        <f>Table1[[#This Row],[Tabela]]&amp;Table1[[#This Row],[Campo]]</f>
        <v>modesg_param_sfics_taxon_europeianome_purpose_esg</v>
      </c>
      <c r="I839" s="2" t="s">
        <v>611</v>
      </c>
      <c r="J839" s="54">
        <f>VLOOKUP(Table1[[#This Row],[Status]],Auxiliar!$B$16:$C$24,2,0)</f>
        <v>0</v>
      </c>
      <c r="K839" s="2"/>
      <c r="L839" s="28"/>
      <c r="M839" s="20"/>
      <c r="N839" s="47">
        <v>45688</v>
      </c>
      <c r="O839" s="20" t="e">
        <f>INDEX(Auxiliar!$D$5:$F$11,MATCH(Table1[[#This Row],[Tipologia_Testes]],Auxiliar!$B$5:$B$11,0),MATCH(Table1[[#This Row],[Complexidade]],Auxiliar!$D$4:$F$4,0))</f>
        <v>#N/A</v>
      </c>
      <c r="P839" s="2"/>
      <c r="Q839" s="2"/>
      <c r="R839" s="151"/>
      <c r="S839" s="151"/>
      <c r="T839" s="151"/>
      <c r="U839" s="151"/>
      <c r="V839" s="151"/>
      <c r="W839" s="2" t="e">
        <f>VLOOKUP(Table1[[#This Row],[Status]],Auxiliar!$B$16:$D$24,3,0)*Table1[[#This Row],[Estimação (horas)]]</f>
        <v>#N/A</v>
      </c>
      <c r="X839" s="166">
        <f>+VLOOKUP(CONCATENATE(Table1[[#This Row],[Tabela]],Table1[[#This Row],[Campo]]),'2. Status Detalhe Campos FY24'!A:J,9,FALSE)</f>
        <v>0</v>
      </c>
    </row>
    <row r="840" spans="2:24" ht="17.850000000000001" hidden="1" customHeight="1">
      <c r="B840" s="2" t="s">
        <v>26</v>
      </c>
      <c r="C840" s="2" t="s">
        <v>181</v>
      </c>
      <c r="D840" s="2" t="s">
        <v>1214</v>
      </c>
      <c r="E840" s="2" t="s">
        <v>38</v>
      </c>
      <c r="F840" s="2" t="s">
        <v>2102</v>
      </c>
      <c r="G840" s="2" t="s">
        <v>196</v>
      </c>
      <c r="H840" s="56" t="str">
        <f>Table1[[#This Row],[Tabela]]&amp;Table1[[#This Row],[Campo]]</f>
        <v>modesg_param_sfics_taxon_europeiadominio</v>
      </c>
      <c r="I840" s="2" t="s">
        <v>611</v>
      </c>
      <c r="J840" s="54">
        <f>VLOOKUP(Table1[[#This Row],[Status]],Auxiliar!$B$16:$C$24,2,0)</f>
        <v>0</v>
      </c>
      <c r="K840" s="2"/>
      <c r="L840" s="28"/>
      <c r="M840" s="20"/>
      <c r="N840" s="47">
        <v>45688</v>
      </c>
      <c r="O840" s="20" t="e">
        <f>INDEX(Auxiliar!$D$5:$F$11,MATCH(Table1[[#This Row],[Tipologia_Testes]],Auxiliar!$B$5:$B$11,0),MATCH(Table1[[#This Row],[Complexidade]],Auxiliar!$D$4:$F$4,0))</f>
        <v>#N/A</v>
      </c>
      <c r="P840" s="2"/>
      <c r="Q840" s="2"/>
      <c r="R840" s="151"/>
      <c r="S840" s="151"/>
      <c r="T840" s="151"/>
      <c r="U840" s="151"/>
      <c r="V840" s="151"/>
      <c r="W840" s="2" t="e">
        <f>VLOOKUP(Table1[[#This Row],[Status]],Auxiliar!$B$16:$D$24,3,0)*Table1[[#This Row],[Estimação (horas)]]</f>
        <v>#N/A</v>
      </c>
      <c r="X840" s="166">
        <f>+VLOOKUP(CONCATENATE(Table1[[#This Row],[Tabela]],Table1[[#This Row],[Campo]]),'2. Status Detalhe Campos FY24'!A:J,9,FALSE)</f>
        <v>0</v>
      </c>
    </row>
    <row r="841" spans="2:24" ht="17.850000000000001" hidden="1" customHeight="1">
      <c r="B841" s="2" t="s">
        <v>26</v>
      </c>
      <c r="C841" s="2" t="s">
        <v>181</v>
      </c>
      <c r="D841" s="2" t="s">
        <v>1214</v>
      </c>
      <c r="E841" s="2" t="s">
        <v>38</v>
      </c>
      <c r="F841" s="2" t="s">
        <v>2102</v>
      </c>
      <c r="G841" s="2" t="s">
        <v>2414</v>
      </c>
      <c r="H841" s="56" t="str">
        <f>Table1[[#This Row],[Tabela]]&amp;Table1[[#This Row],[Campo]]</f>
        <v>modesg_param_sfics_taxon_europeianivel</v>
      </c>
      <c r="I841" s="2" t="s">
        <v>2325</v>
      </c>
      <c r="J841" s="54">
        <f>VLOOKUP(Table1[[#This Row],[Status]],Auxiliar!$B$16:$C$24,2,0)</f>
        <v>7</v>
      </c>
      <c r="K841" s="2" t="s">
        <v>1174</v>
      </c>
      <c r="L841" s="28"/>
      <c r="M841" s="20"/>
      <c r="N841" s="47">
        <v>45695</v>
      </c>
      <c r="O841" s="20" t="e">
        <f>INDEX(Auxiliar!$D$5:$F$11,MATCH(Table1[[#This Row],[Tipologia_Testes]],Auxiliar!$B$5:$B$11,0),MATCH(Table1[[#This Row],[Complexidade]],Auxiliar!$D$4:$F$4,0))</f>
        <v>#N/A</v>
      </c>
      <c r="P841" s="2"/>
      <c r="Q841" s="2"/>
      <c r="R841" s="151"/>
      <c r="S841" s="151"/>
      <c r="T841" s="151"/>
      <c r="U841" s="151"/>
      <c r="V841" s="151"/>
      <c r="W841" s="2" t="e">
        <f>VLOOKUP(Table1[[#This Row],[Status]],Auxiliar!$B$16:$D$24,3,0)*Table1[[#This Row],[Estimação (horas)]]</f>
        <v>#N/A</v>
      </c>
      <c r="X841" s="166">
        <f>+VLOOKUP(CONCATENATE(Table1[[#This Row],[Tabela]],Table1[[#This Row],[Campo]]),'2. Status Detalhe Campos FY24'!A:J,9,FALSE)</f>
        <v>0</v>
      </c>
    </row>
    <row r="842" spans="2:24" ht="17.850000000000001" hidden="1" customHeight="1">
      <c r="B842" s="2" t="s">
        <v>26</v>
      </c>
      <c r="C842" s="2" t="s">
        <v>181</v>
      </c>
      <c r="D842" s="2" t="s">
        <v>1214</v>
      </c>
      <c r="E842" s="2" t="s">
        <v>38</v>
      </c>
      <c r="F842" s="2" t="s">
        <v>2102</v>
      </c>
      <c r="G842" s="2" t="s">
        <v>197</v>
      </c>
      <c r="H842" s="56" t="str">
        <f>Table1[[#This Row],[Tabela]]&amp;Table1[[#This Row],[Campo]]</f>
        <v>modesg_param_sfics_taxon_europeiadscrc</v>
      </c>
      <c r="I842" s="2" t="s">
        <v>2325</v>
      </c>
      <c r="J842" s="54">
        <f>VLOOKUP(Table1[[#This Row],[Status]],Auxiliar!$B$16:$C$24,2,0)</f>
        <v>7</v>
      </c>
      <c r="K842" s="2" t="s">
        <v>1182</v>
      </c>
      <c r="L842" s="28" t="s">
        <v>1177</v>
      </c>
      <c r="M842" s="20" t="s">
        <v>1178</v>
      </c>
      <c r="N842" s="47">
        <v>45695</v>
      </c>
      <c r="O842" s="20">
        <f>INDEX(Auxiliar!$D$5:$F$13,MATCH(Table1[[#This Row],[Tipologia_Testes]],Auxiliar!$B$5:$B$13,0),MATCH(Table1[[#This Row],[Complexidade]],Auxiliar!$D$4:$F$4,0))</f>
        <v>0.5</v>
      </c>
      <c r="P842" s="2"/>
      <c r="Q842" s="2"/>
      <c r="R842" s="151">
        <v>45261</v>
      </c>
      <c r="S842" s="151"/>
      <c r="T842" s="151"/>
      <c r="U842" s="151">
        <v>45603</v>
      </c>
      <c r="V842" s="151"/>
      <c r="W842" s="2">
        <f>VLOOKUP(Table1[[#This Row],[Status]],Auxiliar!$B$16:$D$24,3,0)*Table1[[#This Row],[Estimação (horas)]]</f>
        <v>0.125</v>
      </c>
      <c r="X842" s="166">
        <f>+VLOOKUP(CONCATENATE(Table1[[#This Row],[Tabela]],Table1[[#This Row],[Campo]]),'2. Status Detalhe Campos FY24'!A:J,9,FALSE)</f>
        <v>0</v>
      </c>
    </row>
    <row r="843" spans="2:24" ht="17.850000000000001" hidden="1" customHeight="1">
      <c r="B843" s="2" t="s">
        <v>26</v>
      </c>
      <c r="C843" s="2" t="s">
        <v>181</v>
      </c>
      <c r="D843" s="2" t="s">
        <v>1214</v>
      </c>
      <c r="E843" s="2" t="s">
        <v>38</v>
      </c>
      <c r="F843" s="2" t="s">
        <v>2102</v>
      </c>
      <c r="G843" s="2" t="s">
        <v>197</v>
      </c>
      <c r="H843" s="56" t="str">
        <f>Table1[[#This Row],[Tabela]]&amp;Table1[[#This Row],[Campo]]</f>
        <v>modesg_param_sfics_taxon_europeiadscrc</v>
      </c>
      <c r="I843" s="2" t="s">
        <v>2325</v>
      </c>
      <c r="J843" s="54">
        <f>VLOOKUP(Table1[[#This Row],[Status]],Auxiliar!$B$16:$C$24,2,0)</f>
        <v>7</v>
      </c>
      <c r="K843" s="2" t="s">
        <v>1174</v>
      </c>
      <c r="L843" s="28" t="s">
        <v>1177</v>
      </c>
      <c r="M843" s="20" t="s">
        <v>1178</v>
      </c>
      <c r="N843" s="47">
        <v>45695</v>
      </c>
      <c r="O843" s="20">
        <f>INDEX(Auxiliar!$D$5:$F$13,MATCH(Table1[[#This Row],[Tipologia_Testes]],Auxiliar!$B$5:$B$13,0),MATCH(Table1[[#This Row],[Complexidade]],Auxiliar!$D$4:$F$4,0))</f>
        <v>0.1</v>
      </c>
      <c r="P843" s="2"/>
      <c r="Q843" s="2"/>
      <c r="R843" s="151">
        <v>45563</v>
      </c>
      <c r="S843" s="151"/>
      <c r="T843" s="151">
        <v>45563</v>
      </c>
      <c r="U843" s="151">
        <v>45603</v>
      </c>
      <c r="V843" s="151">
        <v>45604</v>
      </c>
      <c r="W843" s="2">
        <f>VLOOKUP(Table1[[#This Row],[Status]],Auxiliar!$B$16:$D$24,3,0)*Table1[[#This Row],[Estimação (horas)]]</f>
        <v>2.5000000000000001E-2</v>
      </c>
      <c r="X843" s="166">
        <f>+VLOOKUP(CONCATENATE(Table1[[#This Row],[Tabela]],Table1[[#This Row],[Campo]]),'2. Status Detalhe Campos FY24'!A:J,9,FALSE)</f>
        <v>0</v>
      </c>
    </row>
    <row r="844" spans="2:24" ht="17.850000000000001" hidden="1" customHeight="1">
      <c r="B844" s="2" t="s">
        <v>26</v>
      </c>
      <c r="C844" s="2" t="s">
        <v>181</v>
      </c>
      <c r="D844" s="2" t="s">
        <v>1214</v>
      </c>
      <c r="E844" s="2" t="s">
        <v>38</v>
      </c>
      <c r="F844" s="2" t="s">
        <v>2102</v>
      </c>
      <c r="G844" s="2" t="s">
        <v>192</v>
      </c>
      <c r="H844" s="56" t="str">
        <f>Table1[[#This Row],[Tabela]]&amp;Table1[[#This Row],[Campo]]</f>
        <v>modesg_param_sfics_taxon_europeiacomite</v>
      </c>
      <c r="I844" s="2" t="s">
        <v>2325</v>
      </c>
      <c r="J844" s="54">
        <f>VLOOKUP(Table1[[#This Row],[Status]],Auxiliar!$B$16:$C$24,2,0)</f>
        <v>7</v>
      </c>
      <c r="K844" s="2" t="s">
        <v>1182</v>
      </c>
      <c r="L844" s="28" t="s">
        <v>1177</v>
      </c>
      <c r="M844" s="20" t="s">
        <v>1178</v>
      </c>
      <c r="N844" s="47">
        <v>45695</v>
      </c>
      <c r="O844" s="20">
        <f>INDEX(Auxiliar!$D$5:$F$13,MATCH(Table1[[#This Row],[Tipologia_Testes]],Auxiliar!$B$5:$B$13,0),MATCH(Table1[[#This Row],[Complexidade]],Auxiliar!$D$4:$F$4,0))</f>
        <v>0.5</v>
      </c>
      <c r="P844" s="2"/>
      <c r="Q844" s="2"/>
      <c r="R844" s="151">
        <v>45261</v>
      </c>
      <c r="S844" s="151"/>
      <c r="T844" s="151"/>
      <c r="U844" s="151">
        <v>45603</v>
      </c>
      <c r="V844" s="151"/>
      <c r="W844" s="2">
        <f>VLOOKUP(Table1[[#This Row],[Status]],Auxiliar!$B$16:$D$24,3,0)*Table1[[#This Row],[Estimação (horas)]]</f>
        <v>0.125</v>
      </c>
      <c r="X844" s="166">
        <f>+VLOOKUP(CONCATENATE(Table1[[#This Row],[Tabela]],Table1[[#This Row],[Campo]]),'2. Status Detalhe Campos FY24'!A:J,9,FALSE)</f>
        <v>0</v>
      </c>
    </row>
    <row r="845" spans="2:24" ht="17.850000000000001" hidden="1" customHeight="1">
      <c r="B845" s="2" t="s">
        <v>26</v>
      </c>
      <c r="C845" s="2" t="s">
        <v>181</v>
      </c>
      <c r="D845" s="2" t="s">
        <v>1214</v>
      </c>
      <c r="E845" s="2" t="s">
        <v>38</v>
      </c>
      <c r="F845" s="2" t="s">
        <v>2102</v>
      </c>
      <c r="G845" s="2" t="s">
        <v>192</v>
      </c>
      <c r="H845" s="56" t="str">
        <f>Table1[[#This Row],[Tabela]]&amp;Table1[[#This Row],[Campo]]</f>
        <v>modesg_param_sfics_taxon_europeiacomite</v>
      </c>
      <c r="I845" s="2" t="s">
        <v>2325</v>
      </c>
      <c r="J845" s="54">
        <f>VLOOKUP(Table1[[#This Row],[Status]],Auxiliar!$B$16:$C$24,2,0)</f>
        <v>7</v>
      </c>
      <c r="K845" s="2" t="s">
        <v>1174</v>
      </c>
      <c r="L845" s="28" t="s">
        <v>1177</v>
      </c>
      <c r="M845" s="20" t="s">
        <v>1178</v>
      </c>
      <c r="N845" s="47">
        <v>45695</v>
      </c>
      <c r="O845" s="20">
        <f>INDEX(Auxiliar!$D$5:$F$13,MATCH(Table1[[#This Row],[Tipologia_Testes]],Auxiliar!$B$5:$B$13,0),MATCH(Table1[[#This Row],[Complexidade]],Auxiliar!$D$4:$F$4,0))</f>
        <v>0.1</v>
      </c>
      <c r="P845" s="2"/>
      <c r="Q845" s="2"/>
      <c r="R845" s="151">
        <v>45563</v>
      </c>
      <c r="S845" s="151"/>
      <c r="T845" s="151">
        <v>45563</v>
      </c>
      <c r="U845" s="151">
        <v>45603</v>
      </c>
      <c r="V845" s="151">
        <v>45604</v>
      </c>
      <c r="W845" s="2">
        <f>VLOOKUP(Table1[[#This Row],[Status]],Auxiliar!$B$16:$D$24,3,0)*Table1[[#This Row],[Estimação (horas)]]</f>
        <v>2.5000000000000001E-2</v>
      </c>
      <c r="X845" s="166">
        <f>+VLOOKUP(CONCATENATE(Table1[[#This Row],[Tabela]],Table1[[#This Row],[Campo]]),'2. Status Detalhe Campos FY24'!A:J,9,FALSE)</f>
        <v>0</v>
      </c>
    </row>
    <row r="846" spans="2:24" ht="17.850000000000001" hidden="1" customHeight="1">
      <c r="B846" s="2" t="s">
        <v>26</v>
      </c>
      <c r="C846" s="2" t="s">
        <v>181</v>
      </c>
      <c r="D846" s="2" t="s">
        <v>1214</v>
      </c>
      <c r="E846" s="2" t="s">
        <v>38</v>
      </c>
      <c r="F846" s="2" t="s">
        <v>2102</v>
      </c>
      <c r="G846" s="2" t="s">
        <v>193</v>
      </c>
      <c r="H846" s="56" t="str">
        <f>Table1[[#This Row],[Tabela]]&amp;Table1[[#This Row],[Campo]]</f>
        <v>modesg_param_sfics_taxon_europeiadata_aprvc</v>
      </c>
      <c r="I846" s="2" t="s">
        <v>2325</v>
      </c>
      <c r="J846" s="54">
        <f>VLOOKUP(Table1[[#This Row],[Status]],Auxiliar!$B$16:$C$24,2,0)</f>
        <v>7</v>
      </c>
      <c r="K846" s="2" t="s">
        <v>1182</v>
      </c>
      <c r="L846" s="28" t="s">
        <v>1177</v>
      </c>
      <c r="M846" s="20" t="s">
        <v>1178</v>
      </c>
      <c r="N846" s="47">
        <v>45695</v>
      </c>
      <c r="O846" s="20">
        <f>INDEX(Auxiliar!$D$5:$F$13,MATCH(Table1[[#This Row],[Tipologia_Testes]],Auxiliar!$B$5:$B$13,0),MATCH(Table1[[#This Row],[Complexidade]],Auxiliar!$D$4:$F$4,0))</f>
        <v>0.5</v>
      </c>
      <c r="P846" s="2"/>
      <c r="Q846" s="2"/>
      <c r="R846" s="151">
        <v>45261</v>
      </c>
      <c r="S846" s="151"/>
      <c r="T846" s="151"/>
      <c r="U846" s="151">
        <v>45603</v>
      </c>
      <c r="V846" s="151"/>
      <c r="W846" s="2">
        <f>VLOOKUP(Table1[[#This Row],[Status]],Auxiliar!$B$16:$D$24,3,0)*Table1[[#This Row],[Estimação (horas)]]</f>
        <v>0.125</v>
      </c>
      <c r="X846" s="166">
        <f>+VLOOKUP(CONCATENATE(Table1[[#This Row],[Tabela]],Table1[[#This Row],[Campo]]),'2. Status Detalhe Campos FY24'!A:J,9,FALSE)</f>
        <v>0</v>
      </c>
    </row>
    <row r="847" spans="2:24" ht="17.850000000000001" hidden="1" customHeight="1">
      <c r="B847" s="2" t="s">
        <v>26</v>
      </c>
      <c r="C847" s="2" t="s">
        <v>181</v>
      </c>
      <c r="D847" s="2" t="s">
        <v>1214</v>
      </c>
      <c r="E847" s="2" t="s">
        <v>38</v>
      </c>
      <c r="F847" s="2" t="s">
        <v>2102</v>
      </c>
      <c r="G847" s="2" t="s">
        <v>193</v>
      </c>
      <c r="H847" s="56" t="str">
        <f>Table1[[#This Row],[Tabela]]&amp;Table1[[#This Row],[Campo]]</f>
        <v>modesg_param_sfics_taxon_europeiadata_aprvc</v>
      </c>
      <c r="I847" s="2" t="s">
        <v>2325</v>
      </c>
      <c r="J847" s="54">
        <f>VLOOKUP(Table1[[#This Row],[Status]],Auxiliar!$B$16:$C$24,2,0)</f>
        <v>7</v>
      </c>
      <c r="K847" s="2" t="s">
        <v>1174</v>
      </c>
      <c r="L847" s="28"/>
      <c r="M847" s="20"/>
      <c r="N847" s="47">
        <v>45695</v>
      </c>
      <c r="O847" s="20" t="e">
        <f>INDEX(Auxiliar!$D$5:$F$11,MATCH(Table1[[#This Row],[Tipologia_Testes]],Auxiliar!$B$5:$B$11,0),MATCH(Table1[[#This Row],[Complexidade]],Auxiliar!$D$4:$F$4,0))</f>
        <v>#N/A</v>
      </c>
      <c r="P847" s="2"/>
      <c r="Q847" s="2"/>
      <c r="R847" s="151"/>
      <c r="S847" s="151"/>
      <c r="T847" s="151"/>
      <c r="U847" s="151"/>
      <c r="V847" s="151"/>
      <c r="W847" s="2" t="e">
        <f>VLOOKUP(Table1[[#This Row],[Status]],Auxiliar!$B$16:$D$24,3,0)*Table1[[#This Row],[Estimação (horas)]]</f>
        <v>#N/A</v>
      </c>
      <c r="X847" s="166">
        <f>+VLOOKUP(CONCATENATE(Table1[[#This Row],[Tabela]],Table1[[#This Row],[Campo]]),'2. Status Detalhe Campos FY24'!A:J,9,FALSE)</f>
        <v>0</v>
      </c>
    </row>
    <row r="848" spans="2:24" ht="17.850000000000001" hidden="1" customHeight="1">
      <c r="B848" s="2" t="s">
        <v>26</v>
      </c>
      <c r="C848" s="2" t="s">
        <v>181</v>
      </c>
      <c r="D848" s="2" t="s">
        <v>1214</v>
      </c>
      <c r="E848" s="2" t="s">
        <v>38</v>
      </c>
      <c r="F848" s="2" t="s">
        <v>2102</v>
      </c>
      <c r="G848" s="2" t="s">
        <v>195</v>
      </c>
      <c r="H848" s="56" t="str">
        <f>Table1[[#This Row],[Tabela]]&amp;Table1[[#This Row],[Campo]]</f>
        <v>modesg_param_sfics_taxon_europeiadata_inicial</v>
      </c>
      <c r="I848" s="2" t="s">
        <v>2325</v>
      </c>
      <c r="J848" s="54">
        <f>VLOOKUP(Table1[[#This Row],[Status]],Auxiliar!$B$16:$C$24,2,0)</f>
        <v>7</v>
      </c>
      <c r="K848" s="2" t="s">
        <v>1182</v>
      </c>
      <c r="L848" s="28" t="s">
        <v>1177</v>
      </c>
      <c r="M848" s="20" t="s">
        <v>1178</v>
      </c>
      <c r="N848" s="47">
        <v>45695</v>
      </c>
      <c r="O848" s="20">
        <f>INDEX(Auxiliar!$D$5:$F$13,MATCH(Table1[[#This Row],[Tipologia_Testes]],Auxiliar!$B$5:$B$13,0),MATCH(Table1[[#This Row],[Complexidade]],Auxiliar!$D$4:$F$4,0))</f>
        <v>0.5</v>
      </c>
      <c r="P848" s="2"/>
      <c r="Q848" s="2"/>
      <c r="R848" s="151">
        <v>45261</v>
      </c>
      <c r="S848" s="151"/>
      <c r="T848" s="151"/>
      <c r="U848" s="151">
        <v>45603</v>
      </c>
      <c r="V848" s="151"/>
      <c r="W848" s="2">
        <f>VLOOKUP(Table1[[#This Row],[Status]],Auxiliar!$B$16:$D$24,3,0)*Table1[[#This Row],[Estimação (horas)]]</f>
        <v>0.125</v>
      </c>
      <c r="X848" s="166">
        <f>+VLOOKUP(CONCATENATE(Table1[[#This Row],[Tabela]],Table1[[#This Row],[Campo]]),'2. Status Detalhe Campos FY24'!A:J,9,FALSE)</f>
        <v>0</v>
      </c>
    </row>
    <row r="849" spans="2:24" ht="17.850000000000001" hidden="1" customHeight="1">
      <c r="B849" s="2" t="s">
        <v>26</v>
      </c>
      <c r="C849" s="2" t="s">
        <v>181</v>
      </c>
      <c r="D849" s="2" t="s">
        <v>1214</v>
      </c>
      <c r="E849" s="2" t="s">
        <v>38</v>
      </c>
      <c r="F849" s="2" t="s">
        <v>2102</v>
      </c>
      <c r="G849" s="2" t="s">
        <v>195</v>
      </c>
      <c r="H849" s="56" t="str">
        <f>Table1[[#This Row],[Tabela]]&amp;Table1[[#This Row],[Campo]]</f>
        <v>modesg_param_sfics_taxon_europeiadata_inicial</v>
      </c>
      <c r="I849" s="2" t="s">
        <v>2325</v>
      </c>
      <c r="J849" s="54">
        <f>VLOOKUP(Table1[[#This Row],[Status]],Auxiliar!$B$16:$C$24,2,0)</f>
        <v>7</v>
      </c>
      <c r="K849" s="2" t="s">
        <v>1174</v>
      </c>
      <c r="L849" s="28"/>
      <c r="M849" s="20"/>
      <c r="N849" s="47">
        <v>45695</v>
      </c>
      <c r="O849" s="20" t="e">
        <f>INDEX(Auxiliar!$D$5:$F$11,MATCH(Table1[[#This Row],[Tipologia_Testes]],Auxiliar!$B$5:$B$11,0),MATCH(Table1[[#This Row],[Complexidade]],Auxiliar!$D$4:$F$4,0))</f>
        <v>#N/A</v>
      </c>
      <c r="P849" s="2"/>
      <c r="Q849" s="2"/>
      <c r="R849" s="151"/>
      <c r="S849" s="151"/>
      <c r="T849" s="151"/>
      <c r="U849" s="151"/>
      <c r="V849" s="151"/>
      <c r="W849" s="2" t="e">
        <f>VLOOKUP(Table1[[#This Row],[Status]],Auxiliar!$B$16:$D$24,3,0)*Table1[[#This Row],[Estimação (horas)]]</f>
        <v>#N/A</v>
      </c>
      <c r="X849" s="166">
        <f>+VLOOKUP(CONCATENATE(Table1[[#This Row],[Tabela]],Table1[[#This Row],[Campo]]),'2. Status Detalhe Campos FY24'!A:J,9,FALSE)</f>
        <v>0</v>
      </c>
    </row>
    <row r="850" spans="2:24" ht="17.850000000000001" hidden="1" customHeight="1">
      <c r="B850" s="2" t="s">
        <v>26</v>
      </c>
      <c r="C850" s="2" t="s">
        <v>181</v>
      </c>
      <c r="D850" s="2" t="s">
        <v>1214</v>
      </c>
      <c r="E850" s="2" t="s">
        <v>38</v>
      </c>
      <c r="F850" s="2" t="s">
        <v>2102</v>
      </c>
      <c r="G850" s="2" t="s">
        <v>194</v>
      </c>
      <c r="H850" s="56" t="str">
        <f>Table1[[#This Row],[Tabela]]&amp;Table1[[#This Row],[Campo]]</f>
        <v>modesg_param_sfics_taxon_europeiadata_final</v>
      </c>
      <c r="I850" s="2" t="s">
        <v>2325</v>
      </c>
      <c r="J850" s="42">
        <f>VLOOKUP(Table1[[#This Row],[Status]],Auxiliar!$B$16:$C$24,2,0)</f>
        <v>7</v>
      </c>
      <c r="K850" s="2" t="s">
        <v>1182</v>
      </c>
      <c r="L850" s="28" t="s">
        <v>1169</v>
      </c>
      <c r="M850" s="20" t="s">
        <v>1178</v>
      </c>
      <c r="N850" s="47">
        <v>45695</v>
      </c>
      <c r="O850" s="20">
        <f>INDEX(Auxiliar!$D$5:$F$13,MATCH(Table1[[#This Row],[Tipologia_Testes]],Auxiliar!$B$5:$B$13,0),MATCH(Table1[[#This Row],[Complexidade]],Auxiliar!$D$4:$F$4,0))</f>
        <v>0.5</v>
      </c>
      <c r="P850" s="2" t="s">
        <v>1217</v>
      </c>
      <c r="Q850" s="2"/>
      <c r="R850" s="151">
        <v>45563</v>
      </c>
      <c r="S850" s="151"/>
      <c r="T850" s="151">
        <v>45563</v>
      </c>
      <c r="U850" s="151">
        <v>45603</v>
      </c>
      <c r="V850" s="151">
        <v>45604</v>
      </c>
      <c r="W850" s="2">
        <f>VLOOKUP(Table1[[#This Row],[Status]],Auxiliar!$B$16:$D$24,3,0)*Table1[[#This Row],[Estimação (horas)]]</f>
        <v>0.125</v>
      </c>
      <c r="X850" s="166">
        <f>+VLOOKUP(CONCATENATE(Table1[[#This Row],[Tabela]],Table1[[#This Row],[Campo]]),'2. Status Detalhe Campos FY24'!A:J,9,FALSE)</f>
        <v>0</v>
      </c>
    </row>
    <row r="851" spans="2:24" ht="17.850000000000001" hidden="1" customHeight="1">
      <c r="B851" s="2" t="s">
        <v>26</v>
      </c>
      <c r="C851" s="2" t="s">
        <v>181</v>
      </c>
      <c r="D851" s="2" t="s">
        <v>1214</v>
      </c>
      <c r="E851" s="2" t="s">
        <v>38</v>
      </c>
      <c r="F851" s="2" t="s">
        <v>2102</v>
      </c>
      <c r="G851" s="2" t="s">
        <v>194</v>
      </c>
      <c r="H851" s="56" t="str">
        <f>Table1[[#This Row],[Tabela]]&amp;Table1[[#This Row],[Campo]]</f>
        <v>modesg_param_sfics_taxon_europeiadata_final</v>
      </c>
      <c r="I851" s="2" t="s">
        <v>2325</v>
      </c>
      <c r="J851" s="54">
        <f>VLOOKUP(Table1[[#This Row],[Status]],Auxiliar!$B$16:$C$24,2,0)</f>
        <v>7</v>
      </c>
      <c r="K851" s="2" t="s">
        <v>1174</v>
      </c>
      <c r="L851" s="28"/>
      <c r="M851" s="20"/>
      <c r="N851" s="47">
        <v>45695</v>
      </c>
      <c r="O851" s="20" t="e">
        <f>INDEX(Auxiliar!$D$5:$F$11,MATCH(Table1[[#This Row],[Tipologia_Testes]],Auxiliar!$B$5:$B$11,0),MATCH(Table1[[#This Row],[Complexidade]],Auxiliar!$D$4:$F$4,0))</f>
        <v>#N/A</v>
      </c>
      <c r="P851" s="2"/>
      <c r="Q851" s="2"/>
      <c r="R851" s="151"/>
      <c r="S851" s="151"/>
      <c r="T851" s="151"/>
      <c r="U851" s="151"/>
      <c r="V851" s="151"/>
      <c r="W851" s="2" t="e">
        <f>VLOOKUP(Table1[[#This Row],[Status]],Auxiliar!$B$16:$D$24,3,0)*Table1[[#This Row],[Estimação (horas)]]</f>
        <v>#N/A</v>
      </c>
      <c r="X851" s="166">
        <f>+VLOOKUP(CONCATENATE(Table1[[#This Row],[Tabela]],Table1[[#This Row],[Campo]]),'2. Status Detalhe Campos FY24'!A:J,9,FALSE)</f>
        <v>0</v>
      </c>
    </row>
    <row r="852" spans="2:24" ht="17.850000000000001" hidden="1" customHeight="1">
      <c r="B852" s="2" t="s">
        <v>26</v>
      </c>
      <c r="C852" s="2" t="s">
        <v>181</v>
      </c>
      <c r="D852" s="2" t="s">
        <v>1214</v>
      </c>
      <c r="E852" s="2" t="s">
        <v>38</v>
      </c>
      <c r="F852" s="2" t="s">
        <v>2102</v>
      </c>
      <c r="G852" s="2" t="s">
        <v>209</v>
      </c>
      <c r="H852" s="56" t="str">
        <f>Table1[[#This Row],[Tabela]]&amp;Table1[[#This Row],[Campo]]</f>
        <v>modesg_param_sfics_taxon_europeiazcliente</v>
      </c>
      <c r="I852" s="2" t="s">
        <v>2325</v>
      </c>
      <c r="J852" s="54">
        <f>VLOOKUP(Table1[[#This Row],[Status]],Auxiliar!$B$16:$C$24,2,0)</f>
        <v>7</v>
      </c>
      <c r="K852" s="2" t="s">
        <v>1182</v>
      </c>
      <c r="L852" s="28" t="s">
        <v>1177</v>
      </c>
      <c r="M852" s="20" t="s">
        <v>1178</v>
      </c>
      <c r="N852" s="47">
        <v>45695</v>
      </c>
      <c r="O852" s="20">
        <f>INDEX(Auxiliar!$D$5:$F$13,MATCH(Table1[[#This Row],[Tipologia_Testes]],Auxiliar!$B$5:$B$13,0),MATCH(Table1[[#This Row],[Complexidade]],Auxiliar!$D$4:$F$4,0))</f>
        <v>0.5</v>
      </c>
      <c r="P852" s="2"/>
      <c r="Q852" s="2"/>
      <c r="R852" s="151">
        <v>45261</v>
      </c>
      <c r="S852" s="151"/>
      <c r="T852" s="151"/>
      <c r="U852" s="151">
        <v>45603</v>
      </c>
      <c r="V852" s="151"/>
      <c r="W852" s="2">
        <f>VLOOKUP(Table1[[#This Row],[Status]],Auxiliar!$B$16:$D$24,3,0)*Table1[[#This Row],[Estimação (horas)]]</f>
        <v>0.125</v>
      </c>
      <c r="X852" s="166">
        <f>+VLOOKUP(CONCATENATE(Table1[[#This Row],[Tabela]],Table1[[#This Row],[Campo]]),'2. Status Detalhe Campos FY24'!A:J,9,FALSE)</f>
        <v>0</v>
      </c>
    </row>
    <row r="853" spans="2:24" ht="17.850000000000001" hidden="1" customHeight="1">
      <c r="B853" s="2" t="s">
        <v>26</v>
      </c>
      <c r="C853" s="2" t="s">
        <v>181</v>
      </c>
      <c r="D853" s="2" t="s">
        <v>1214</v>
      </c>
      <c r="E853" s="2" t="s">
        <v>38</v>
      </c>
      <c r="F853" s="2" t="s">
        <v>2102</v>
      </c>
      <c r="G853" s="2" t="s">
        <v>209</v>
      </c>
      <c r="H853" s="56" t="str">
        <f>Table1[[#This Row],[Tabela]]&amp;Table1[[#This Row],[Campo]]</f>
        <v>modesg_param_sfics_taxon_europeiazcliente</v>
      </c>
      <c r="I853" s="2" t="s">
        <v>2325</v>
      </c>
      <c r="J853" s="54">
        <f>VLOOKUP(Table1[[#This Row],[Status]],Auxiliar!$B$16:$C$24,2,0)</f>
        <v>7</v>
      </c>
      <c r="K853" s="2" t="s">
        <v>1174</v>
      </c>
      <c r="L853" s="28"/>
      <c r="M853" s="20"/>
      <c r="N853" s="47">
        <v>45695</v>
      </c>
      <c r="O853" s="20" t="e">
        <f>INDEX(Auxiliar!$D$5:$F$11,MATCH(Table1[[#This Row],[Tipologia_Testes]],Auxiliar!$B$5:$B$11,0),MATCH(Table1[[#This Row],[Complexidade]],Auxiliar!$D$4:$F$4,0))</f>
        <v>#N/A</v>
      </c>
      <c r="P853" s="2"/>
      <c r="Q853" s="2"/>
      <c r="R853" s="151"/>
      <c r="S853" s="151"/>
      <c r="T853" s="151"/>
      <c r="U853" s="151"/>
      <c r="V853" s="151"/>
      <c r="W853" s="2" t="e">
        <f>VLOOKUP(Table1[[#This Row],[Status]],Auxiliar!$B$16:$D$24,3,0)*Table1[[#This Row],[Estimação (horas)]]</f>
        <v>#N/A</v>
      </c>
      <c r="X853" s="166">
        <f>+VLOOKUP(CONCATENATE(Table1[[#This Row],[Tabela]],Table1[[#This Row],[Campo]]),'2. Status Detalhe Campos FY24'!A:J,9,FALSE)</f>
        <v>0</v>
      </c>
    </row>
    <row r="854" spans="2:24" ht="17.850000000000001" hidden="1" customHeight="1">
      <c r="B854" s="2" t="s">
        <v>26</v>
      </c>
      <c r="C854" s="2" t="s">
        <v>181</v>
      </c>
      <c r="D854" s="2" t="s">
        <v>1214</v>
      </c>
      <c r="E854" s="2" t="s">
        <v>38</v>
      </c>
      <c r="F854" s="2" t="s">
        <v>2102</v>
      </c>
      <c r="G854" s="2" t="s">
        <v>2409</v>
      </c>
      <c r="H854" s="56" t="str">
        <f>Table1[[#This Row],[Tabela]]&amp;Table1[[#This Row],[Campo]]</f>
        <v>modesg_param_sfics_taxon_europeiacempcta</v>
      </c>
      <c r="I854" s="2" t="s">
        <v>2325</v>
      </c>
      <c r="J854" s="54">
        <f>VLOOKUP(Table1[[#This Row],[Status]],Auxiliar!$B$16:$C$24,2,0)</f>
        <v>7</v>
      </c>
      <c r="K854" s="2" t="s">
        <v>1182</v>
      </c>
      <c r="L854" s="28" t="s">
        <v>1177</v>
      </c>
      <c r="M854" s="20" t="s">
        <v>1178</v>
      </c>
      <c r="N854" s="47">
        <v>45695</v>
      </c>
      <c r="O854" s="20">
        <f>INDEX(Auxiliar!$D$5:$F$13,MATCH(Table1[[#This Row],[Tipologia_Testes]],Auxiliar!$B$5:$B$13,0),MATCH(Table1[[#This Row],[Complexidade]],Auxiliar!$D$4:$F$4,0))</f>
        <v>0.5</v>
      </c>
      <c r="P854" s="2"/>
      <c r="Q854" s="2"/>
      <c r="R854" s="151">
        <v>45261</v>
      </c>
      <c r="S854" s="151"/>
      <c r="T854" s="151"/>
      <c r="U854" s="151">
        <v>45603</v>
      </c>
      <c r="V854" s="151"/>
      <c r="W854" s="2">
        <f>VLOOKUP(Table1[[#This Row],[Status]],Auxiliar!$B$16:$D$24,3,0)*Table1[[#This Row],[Estimação (horas)]]</f>
        <v>0.125</v>
      </c>
      <c r="X854" s="166">
        <f>+VLOOKUP(CONCATENATE(Table1[[#This Row],[Tabela]],Table1[[#This Row],[Campo]]),'2. Status Detalhe Campos FY24'!A:J,9,FALSE)</f>
        <v>0</v>
      </c>
    </row>
    <row r="855" spans="2:24" ht="17.850000000000001" hidden="1" customHeight="1">
      <c r="B855" s="2" t="s">
        <v>26</v>
      </c>
      <c r="C855" s="2" t="s">
        <v>181</v>
      </c>
      <c r="D855" s="2" t="s">
        <v>1214</v>
      </c>
      <c r="E855" s="2" t="s">
        <v>38</v>
      </c>
      <c r="F855" s="2" t="s">
        <v>2102</v>
      </c>
      <c r="G855" s="2" t="s">
        <v>2409</v>
      </c>
      <c r="H855" s="56" t="str">
        <f>Table1[[#This Row],[Tabela]]&amp;Table1[[#This Row],[Campo]]</f>
        <v>modesg_param_sfics_taxon_europeiacempcta</v>
      </c>
      <c r="I855" s="2" t="s">
        <v>2325</v>
      </c>
      <c r="J855" s="54">
        <f>VLOOKUP(Table1[[#This Row],[Status]],Auxiliar!$B$16:$C$24,2,0)</f>
        <v>7</v>
      </c>
      <c r="K855" s="2" t="s">
        <v>1174</v>
      </c>
      <c r="L855" s="28" t="s">
        <v>1177</v>
      </c>
      <c r="M855" s="20" t="s">
        <v>1178</v>
      </c>
      <c r="N855" s="47">
        <v>45695</v>
      </c>
      <c r="O855" s="20">
        <f>INDEX(Auxiliar!$D$5:$F$13,MATCH(Table1[[#This Row],[Tipologia_Testes]],Auxiliar!$B$5:$B$13,0),MATCH(Table1[[#This Row],[Complexidade]],Auxiliar!$D$4:$F$4,0))</f>
        <v>0.1</v>
      </c>
      <c r="P855" s="2"/>
      <c r="Q855" s="2"/>
      <c r="R855" s="151">
        <v>45563</v>
      </c>
      <c r="S855" s="151"/>
      <c r="T855" s="151">
        <v>45563</v>
      </c>
      <c r="U855" s="151">
        <v>45603</v>
      </c>
      <c r="V855" s="151">
        <v>45604</v>
      </c>
      <c r="W855" s="2">
        <f>VLOOKUP(Table1[[#This Row],[Status]],Auxiliar!$B$16:$D$24,3,0)*Table1[[#This Row],[Estimação (horas)]]</f>
        <v>2.5000000000000001E-2</v>
      </c>
      <c r="X855" s="166">
        <f>+VLOOKUP(CONCATENATE(Table1[[#This Row],[Tabela]],Table1[[#This Row],[Campo]]),'2. Status Detalhe Campos FY24'!A:J,9,FALSE)</f>
        <v>0</v>
      </c>
    </row>
    <row r="856" spans="2:24" ht="17.850000000000001" hidden="1" customHeight="1">
      <c r="B856" s="2" t="s">
        <v>26</v>
      </c>
      <c r="C856" s="2" t="s">
        <v>181</v>
      </c>
      <c r="D856" s="2" t="s">
        <v>1214</v>
      </c>
      <c r="E856" s="2" t="s">
        <v>38</v>
      </c>
      <c r="F856" s="2" t="s">
        <v>2102</v>
      </c>
      <c r="G856" s="2" t="s">
        <v>457</v>
      </c>
      <c r="H856" s="56" t="str">
        <f>Table1[[#This Row],[Tabela]]&amp;Table1[[#This Row],[Campo]]</f>
        <v>modesg_param_sfics_taxon_europeiackbalcao</v>
      </c>
      <c r="I856" s="2" t="s">
        <v>2325</v>
      </c>
      <c r="J856" s="42">
        <f>VLOOKUP(Table1[[#This Row],[Status]],Auxiliar!$B$16:$C$24,2,0)</f>
        <v>7</v>
      </c>
      <c r="K856" s="2" t="s">
        <v>1182</v>
      </c>
      <c r="L856" s="28" t="s">
        <v>641</v>
      </c>
      <c r="M856" s="20" t="s">
        <v>1178</v>
      </c>
      <c r="N856" s="47">
        <v>45695</v>
      </c>
      <c r="O856" s="20">
        <f>INDEX(Auxiliar!$D$5:$F$13,MATCH(Table1[[#This Row],[Tipologia_Testes]],Auxiliar!$B$5:$B$13,0),MATCH(Table1[[#This Row],[Complexidade]],Auxiliar!$D$4:$F$4,0))</f>
        <v>0.5</v>
      </c>
      <c r="P856" s="2" t="s">
        <v>1218</v>
      </c>
      <c r="Q856" s="2"/>
      <c r="R856" s="151">
        <v>45563</v>
      </c>
      <c r="S856" s="151"/>
      <c r="T856" s="151">
        <v>45563</v>
      </c>
      <c r="U856" s="151">
        <v>45603</v>
      </c>
      <c r="V856" s="151">
        <v>45604</v>
      </c>
      <c r="W856" s="2">
        <f>VLOOKUP(Table1[[#This Row],[Status]],Auxiliar!$B$16:$D$24,3,0)*Table1[[#This Row],[Estimação (horas)]]</f>
        <v>0.125</v>
      </c>
      <c r="X856" s="166">
        <f>+VLOOKUP(CONCATENATE(Table1[[#This Row],[Tabela]],Table1[[#This Row],[Campo]]),'2. Status Detalhe Campos FY24'!A:J,9,FALSE)</f>
        <v>0</v>
      </c>
    </row>
    <row r="857" spans="2:24" ht="17.850000000000001" hidden="1" customHeight="1">
      <c r="B857" s="2" t="s">
        <v>26</v>
      </c>
      <c r="C857" s="2" t="s">
        <v>181</v>
      </c>
      <c r="D857" s="2" t="s">
        <v>1214</v>
      </c>
      <c r="E857" s="2" t="s">
        <v>38</v>
      </c>
      <c r="F857" s="2" t="s">
        <v>2102</v>
      </c>
      <c r="G857" s="2" t="s">
        <v>457</v>
      </c>
      <c r="H857" s="56" t="str">
        <f>Table1[[#This Row],[Tabela]]&amp;Table1[[#This Row],[Campo]]</f>
        <v>modesg_param_sfics_taxon_europeiackbalcao</v>
      </c>
      <c r="I857" s="2" t="s">
        <v>2325</v>
      </c>
      <c r="J857" s="54">
        <f>VLOOKUP(Table1[[#This Row],[Status]],Auxiliar!$B$16:$C$24,2,0)</f>
        <v>7</v>
      </c>
      <c r="K857" s="2" t="s">
        <v>1174</v>
      </c>
      <c r="L857" s="28" t="s">
        <v>1177</v>
      </c>
      <c r="M857" s="20" t="s">
        <v>1178</v>
      </c>
      <c r="N857" s="47">
        <v>45695</v>
      </c>
      <c r="O857" s="20">
        <f>INDEX(Auxiliar!$D$5:$F$13,MATCH(Table1[[#This Row],[Tipologia_Testes]],Auxiliar!$B$5:$B$13,0),MATCH(Table1[[#This Row],[Complexidade]],Auxiliar!$D$4:$F$4,0))</f>
        <v>0.1</v>
      </c>
      <c r="P857" s="2"/>
      <c r="Q857" s="2"/>
      <c r="R857" s="151">
        <v>45545</v>
      </c>
      <c r="S857" s="151"/>
      <c r="T857" s="151"/>
      <c r="U857" s="151">
        <v>45603</v>
      </c>
      <c r="V857" s="151"/>
      <c r="W857" s="2">
        <f>VLOOKUP(Table1[[#This Row],[Status]],Auxiliar!$B$16:$D$24,3,0)*Table1[[#This Row],[Estimação (horas)]]</f>
        <v>2.5000000000000001E-2</v>
      </c>
      <c r="X857" s="166">
        <f>+VLOOKUP(CONCATENATE(Table1[[#This Row],[Tabela]],Table1[[#This Row],[Campo]]),'2. Status Detalhe Campos FY24'!A:J,9,FALSE)</f>
        <v>0</v>
      </c>
    </row>
    <row r="858" spans="2:24" ht="17.850000000000001" hidden="1" customHeight="1">
      <c r="B858" s="2" t="s">
        <v>26</v>
      </c>
      <c r="C858" s="2" t="s">
        <v>181</v>
      </c>
      <c r="D858" s="2" t="s">
        <v>1214</v>
      </c>
      <c r="E858" s="2" t="s">
        <v>38</v>
      </c>
      <c r="F858" s="2" t="s">
        <v>2102</v>
      </c>
      <c r="G858" s="2" t="s">
        <v>458</v>
      </c>
      <c r="H858" s="56" t="str">
        <f>Table1[[#This Row],[Tabela]]&amp;Table1[[#This Row],[Campo]]</f>
        <v>modesg_param_sfics_taxon_europeiacknumcta</v>
      </c>
      <c r="I858" s="2" t="s">
        <v>2325</v>
      </c>
      <c r="J858" s="54">
        <f>VLOOKUP(Table1[[#This Row],[Status]],Auxiliar!$B$16:$C$24,2,0)</f>
        <v>7</v>
      </c>
      <c r="K858" s="2" t="s">
        <v>1182</v>
      </c>
      <c r="L858" s="28" t="s">
        <v>1177</v>
      </c>
      <c r="M858" s="20" t="s">
        <v>1178</v>
      </c>
      <c r="N858" s="47">
        <v>45695</v>
      </c>
      <c r="O858" s="20">
        <f>INDEX(Auxiliar!$D$5:$F$13,MATCH(Table1[[#This Row],[Tipologia_Testes]],Auxiliar!$B$5:$B$13,0),MATCH(Table1[[#This Row],[Complexidade]],Auxiliar!$D$4:$F$4,0))</f>
        <v>0.5</v>
      </c>
      <c r="P858" s="2"/>
      <c r="Q858" s="2"/>
      <c r="R858" s="151">
        <v>45261</v>
      </c>
      <c r="S858" s="151"/>
      <c r="T858" s="151"/>
      <c r="U858" s="151">
        <v>45603</v>
      </c>
      <c r="V858" s="151"/>
      <c r="W858" s="2">
        <f>VLOOKUP(Table1[[#This Row],[Status]],Auxiliar!$B$16:$D$24,3,0)*Table1[[#This Row],[Estimação (horas)]]</f>
        <v>0.125</v>
      </c>
      <c r="X858" s="166">
        <f>+VLOOKUP(CONCATENATE(Table1[[#This Row],[Tabela]],Table1[[#This Row],[Campo]]),'2. Status Detalhe Campos FY24'!A:J,9,FALSE)</f>
        <v>0</v>
      </c>
    </row>
    <row r="859" spans="2:24" ht="17.850000000000001" hidden="1" customHeight="1">
      <c r="B859" s="2" t="s">
        <v>26</v>
      </c>
      <c r="C859" s="2" t="s">
        <v>181</v>
      </c>
      <c r="D859" s="2" t="s">
        <v>1214</v>
      </c>
      <c r="E859" s="2" t="s">
        <v>38</v>
      </c>
      <c r="F859" s="2" t="s">
        <v>2102</v>
      </c>
      <c r="G859" s="2" t="s">
        <v>189</v>
      </c>
      <c r="H859" s="56" t="str">
        <f>Table1[[#This Row],[Tabela]]&amp;Table1[[#This Row],[Campo]]</f>
        <v>modesg_param_sfics_taxon_europeiacnumecta</v>
      </c>
      <c r="I859" s="2" t="s">
        <v>2325</v>
      </c>
      <c r="J859" s="54">
        <f>VLOOKUP(Table1[[#This Row],[Status]],Auxiliar!$B$16:$C$24,2,0)</f>
        <v>7</v>
      </c>
      <c r="K859" s="2" t="s">
        <v>1174</v>
      </c>
      <c r="L859" s="28" t="s">
        <v>1177</v>
      </c>
      <c r="M859" s="20" t="s">
        <v>1178</v>
      </c>
      <c r="N859" s="47">
        <v>45695</v>
      </c>
      <c r="O859" s="20">
        <f>INDEX(Auxiliar!$D$5:$F$13,MATCH(Table1[[#This Row],[Tipologia_Testes]],Auxiliar!$B$5:$B$13,0),MATCH(Table1[[#This Row],[Complexidade]],Auxiliar!$D$4:$F$4,0))</f>
        <v>0.1</v>
      </c>
      <c r="P859" s="2"/>
      <c r="Q859" s="2"/>
      <c r="R859" s="151">
        <v>45563</v>
      </c>
      <c r="S859" s="151"/>
      <c r="T859" s="151">
        <v>45563</v>
      </c>
      <c r="U859" s="151">
        <v>45603</v>
      </c>
      <c r="V859" s="151">
        <v>45604</v>
      </c>
      <c r="W859" s="2">
        <f>VLOOKUP(Table1[[#This Row],[Status]],Auxiliar!$B$16:$D$24,3,0)*Table1[[#This Row],[Estimação (horas)]]</f>
        <v>2.5000000000000001E-2</v>
      </c>
      <c r="X859" s="166" t="e">
        <f>+VLOOKUP(CONCATENATE(Table1[[#This Row],[Tabela]],Table1[[#This Row],[Campo]]),'2. Status Detalhe Campos FY24'!A:J,9,FALSE)</f>
        <v>#N/A</v>
      </c>
    </row>
    <row r="860" spans="2:24" ht="17.850000000000001" hidden="1" customHeight="1">
      <c r="B860" s="2" t="s">
        <v>26</v>
      </c>
      <c r="C860" s="2" t="s">
        <v>181</v>
      </c>
      <c r="D860" s="2" t="s">
        <v>1214</v>
      </c>
      <c r="E860" s="2" t="s">
        <v>38</v>
      </c>
      <c r="F860" s="2" t="s">
        <v>2102</v>
      </c>
      <c r="G860" s="2" t="s">
        <v>210</v>
      </c>
      <c r="H860" s="56" t="str">
        <f>Table1[[#This Row],[Tabela]]&amp;Table1[[#This Row],[Campo]]</f>
        <v>modesg_param_sfics_taxon_europeiazdeposit</v>
      </c>
      <c r="I860" s="2" t="s">
        <v>2325</v>
      </c>
      <c r="J860" s="54">
        <f>VLOOKUP(Table1[[#This Row],[Status]],Auxiliar!$B$16:$C$24,2,0)</f>
        <v>7</v>
      </c>
      <c r="K860" s="2" t="s">
        <v>1182</v>
      </c>
      <c r="L860" s="28" t="s">
        <v>1177</v>
      </c>
      <c r="M860" s="20" t="s">
        <v>1178</v>
      </c>
      <c r="N860" s="47">
        <v>45695</v>
      </c>
      <c r="O860" s="20">
        <f>INDEX(Auxiliar!$D$5:$F$13,MATCH(Table1[[#This Row],[Tipologia_Testes]],Auxiliar!$B$5:$B$13,0),MATCH(Table1[[#This Row],[Complexidade]],Auxiliar!$D$4:$F$4,0))</f>
        <v>0.5</v>
      </c>
      <c r="P860" s="2"/>
      <c r="Q860" s="2"/>
      <c r="R860" s="151">
        <v>45261</v>
      </c>
      <c r="S860" s="151"/>
      <c r="T860" s="151"/>
      <c r="U860" s="151">
        <v>45603</v>
      </c>
      <c r="V860" s="151"/>
      <c r="W860" s="2">
        <f>VLOOKUP(Table1[[#This Row],[Status]],Auxiliar!$B$16:$D$24,3,0)*Table1[[#This Row],[Estimação (horas)]]</f>
        <v>0.125</v>
      </c>
      <c r="X860" s="166">
        <f>+VLOOKUP(CONCATENATE(Table1[[#This Row],[Tabela]],Table1[[#This Row],[Campo]]),'2. Status Detalhe Campos FY24'!A:J,9,FALSE)</f>
        <v>0</v>
      </c>
    </row>
    <row r="861" spans="2:24" ht="17.850000000000001" hidden="1" customHeight="1">
      <c r="B861" s="2" t="s">
        <v>26</v>
      </c>
      <c r="C861" s="2" t="s">
        <v>181</v>
      </c>
      <c r="D861" s="2" t="s">
        <v>1214</v>
      </c>
      <c r="E861" s="2" t="s">
        <v>38</v>
      </c>
      <c r="F861" s="2" t="s">
        <v>2102</v>
      </c>
      <c r="G861" s="2" t="s">
        <v>2416</v>
      </c>
      <c r="H861" s="56" t="str">
        <f>Table1[[#This Row],[Tabela]]&amp;Table1[[#This Row],[Campo]]</f>
        <v>modesg_param_sfics_taxon_europeiacgarante_bem</v>
      </c>
      <c r="I861" s="2" t="s">
        <v>2325</v>
      </c>
      <c r="J861" s="42">
        <f>VLOOKUP(Table1[[#This Row],[Status]],Auxiliar!$B$16:$C$24,2,0)</f>
        <v>7</v>
      </c>
      <c r="K861" s="2" t="s">
        <v>1182</v>
      </c>
      <c r="L861" s="28" t="s">
        <v>1177</v>
      </c>
      <c r="M861" s="20" t="s">
        <v>1178</v>
      </c>
      <c r="N861" s="47">
        <v>45695</v>
      </c>
      <c r="O861" s="20">
        <f>INDEX(Auxiliar!$D$5:$F$13,MATCH(Table1[[#This Row],[Tipologia_Testes]],Auxiliar!$B$5:$B$13,0),MATCH(Table1[[#This Row],[Complexidade]],Auxiliar!$D$4:$F$4,0))</f>
        <v>0.5</v>
      </c>
      <c r="P861" s="2"/>
      <c r="Q861" s="2"/>
      <c r="R861" s="151">
        <v>45563</v>
      </c>
      <c r="S861" s="151"/>
      <c r="T861" s="151">
        <v>45563</v>
      </c>
      <c r="U861" s="151">
        <v>45603</v>
      </c>
      <c r="V861" s="151">
        <v>45604</v>
      </c>
      <c r="W861" s="2">
        <f>VLOOKUP(Table1[[#This Row],[Status]],Auxiliar!$B$16:$D$24,3,0)*Table1[[#This Row],[Estimação (horas)]]</f>
        <v>0.125</v>
      </c>
      <c r="X861" s="166">
        <f>+VLOOKUP(CONCATENATE(Table1[[#This Row],[Tabela]],Table1[[#This Row],[Campo]]),'2. Status Detalhe Campos FY24'!A:J,9,FALSE)</f>
        <v>0</v>
      </c>
    </row>
    <row r="862" spans="2:24" ht="17.850000000000001" hidden="1" customHeight="1">
      <c r="B862" s="2" t="s">
        <v>26</v>
      </c>
      <c r="C862" s="2" t="s">
        <v>181</v>
      </c>
      <c r="D862" s="2" t="s">
        <v>1214</v>
      </c>
      <c r="E862" s="2" t="s">
        <v>38</v>
      </c>
      <c r="F862" s="2" t="s">
        <v>2102</v>
      </c>
      <c r="G862" s="2" t="s">
        <v>210</v>
      </c>
      <c r="H862" s="56" t="str">
        <f>Table1[[#This Row],[Tabela]]&amp;Table1[[#This Row],[Campo]]</f>
        <v>modesg_param_sfics_taxon_europeiazdeposit</v>
      </c>
      <c r="I862" s="2" t="s">
        <v>2325</v>
      </c>
      <c r="J862" s="54">
        <f>VLOOKUP(Table1[[#This Row],[Status]],Auxiliar!$B$16:$C$24,2,0)</f>
        <v>7</v>
      </c>
      <c r="K862" s="2" t="s">
        <v>1174</v>
      </c>
      <c r="L862" s="28" t="s">
        <v>1177</v>
      </c>
      <c r="M862" s="20" t="s">
        <v>1178</v>
      </c>
      <c r="N862" s="47">
        <v>45695</v>
      </c>
      <c r="O862" s="20">
        <f>INDEX(Auxiliar!$D$5:$F$13,MATCH(Table1[[#This Row],[Tipologia_Testes]],Auxiliar!$B$5:$B$13,0),MATCH(Table1[[#This Row],[Complexidade]],Auxiliar!$D$4:$F$4,0))</f>
        <v>0.1</v>
      </c>
      <c r="P862" s="2"/>
      <c r="Q862" s="2"/>
      <c r="R862" s="151">
        <v>45563</v>
      </c>
      <c r="S862" s="151"/>
      <c r="T862" s="151">
        <v>45563</v>
      </c>
      <c r="U862" s="151">
        <v>45603</v>
      </c>
      <c r="V862" s="151">
        <v>45604</v>
      </c>
      <c r="W862" s="2">
        <f>VLOOKUP(Table1[[#This Row],[Status]],Auxiliar!$B$16:$D$24,3,0)*Table1[[#This Row],[Estimação (horas)]]</f>
        <v>2.5000000000000001E-2</v>
      </c>
      <c r="X862" s="166">
        <f>+VLOOKUP(CONCATENATE(Table1[[#This Row],[Tabela]],Table1[[#This Row],[Campo]]),'2. Status Detalhe Campos FY24'!A:J,9,FALSE)</f>
        <v>0</v>
      </c>
    </row>
    <row r="863" spans="2:24" ht="17.850000000000001" hidden="1" customHeight="1">
      <c r="B863" s="2" t="s">
        <v>26</v>
      </c>
      <c r="C863" s="2" t="s">
        <v>181</v>
      </c>
      <c r="D863" s="2" t="s">
        <v>1214</v>
      </c>
      <c r="E863" s="2" t="s">
        <v>38</v>
      </c>
      <c r="F863" s="2" t="s">
        <v>2102</v>
      </c>
      <c r="G863" s="2" t="s">
        <v>185</v>
      </c>
      <c r="H863" s="56" t="str">
        <f>Table1[[#This Row],[Tabela]]&amp;Table1[[#This Row],[Campo]]</f>
        <v>modesg_param_sfics_taxon_europeiackmetamis</v>
      </c>
      <c r="I863" s="2" t="s">
        <v>2325</v>
      </c>
      <c r="J863" s="54">
        <f>VLOOKUP(Table1[[#This Row],[Status]],Auxiliar!$B$16:$C$24,2,0)</f>
        <v>7</v>
      </c>
      <c r="K863" s="2" t="s">
        <v>1182</v>
      </c>
      <c r="L863" s="28" t="s">
        <v>1177</v>
      </c>
      <c r="M863" s="20" t="s">
        <v>1178</v>
      </c>
      <c r="N863" s="47">
        <v>45695</v>
      </c>
      <c r="O863" s="20">
        <f>INDEX(Auxiliar!$D$5:$F$13,MATCH(Table1[[#This Row],[Tipologia_Testes]],Auxiliar!$B$5:$B$13,0),MATCH(Table1[[#This Row],[Complexidade]],Auxiliar!$D$4:$F$4,0))</f>
        <v>0.5</v>
      </c>
      <c r="P863" s="2"/>
      <c r="Q863" s="2"/>
      <c r="R863" s="151">
        <v>45261</v>
      </c>
      <c r="S863" s="151"/>
      <c r="T863" s="151"/>
      <c r="U863" s="151">
        <v>45603</v>
      </c>
      <c r="V863" s="151"/>
      <c r="W863" s="2">
        <f>VLOOKUP(Table1[[#This Row],[Status]],Auxiliar!$B$16:$D$24,3,0)*Table1[[#This Row],[Estimação (horas)]]</f>
        <v>0.125</v>
      </c>
      <c r="X863" s="166">
        <f>+VLOOKUP(CONCATENATE(Table1[[#This Row],[Tabela]],Table1[[#This Row],[Campo]]),'2. Status Detalhe Campos FY24'!A:J,9,FALSE)</f>
        <v>0</v>
      </c>
    </row>
    <row r="864" spans="2:24" ht="17.850000000000001" hidden="1" customHeight="1">
      <c r="B864" s="2" t="s">
        <v>26</v>
      </c>
      <c r="C864" s="2" t="s">
        <v>181</v>
      </c>
      <c r="D864" s="2" t="s">
        <v>1214</v>
      </c>
      <c r="E864" s="2" t="s">
        <v>38</v>
      </c>
      <c r="F864" s="2" t="s">
        <v>2102</v>
      </c>
      <c r="G864" s="2" t="s">
        <v>185</v>
      </c>
      <c r="H864" s="56" t="str">
        <f>Table1[[#This Row],[Tabela]]&amp;Table1[[#This Row],[Campo]]</f>
        <v>modesg_param_sfics_taxon_europeiackmetamis</v>
      </c>
      <c r="I864" s="2" t="s">
        <v>2325</v>
      </c>
      <c r="J864" s="54">
        <f>VLOOKUP(Table1[[#This Row],[Status]],Auxiliar!$B$16:$C$24,2,0)</f>
        <v>7</v>
      </c>
      <c r="K864" s="2" t="s">
        <v>1174</v>
      </c>
      <c r="L864" s="28"/>
      <c r="M864" s="20"/>
      <c r="N864" s="47">
        <v>45695</v>
      </c>
      <c r="O864" s="20" t="e">
        <f>INDEX(Auxiliar!$D$5:$F$11,MATCH(Table1[[#This Row],[Tipologia_Testes]],Auxiliar!$B$5:$B$11,0),MATCH(Table1[[#This Row],[Complexidade]],Auxiliar!$D$4:$F$4,0))</f>
        <v>#N/A</v>
      </c>
      <c r="P864" s="2"/>
      <c r="Q864" s="2"/>
      <c r="R864" s="151"/>
      <c r="S864" s="151"/>
      <c r="T864" s="151"/>
      <c r="U864" s="151"/>
      <c r="V864" s="151"/>
      <c r="W864" s="2" t="e">
        <f>VLOOKUP(Table1[[#This Row],[Status]],Auxiliar!$B$16:$D$24,3,0)*Table1[[#This Row],[Estimação (horas)]]</f>
        <v>#N/A</v>
      </c>
      <c r="X864" s="166">
        <f>+VLOOKUP(CONCATENATE(Table1[[#This Row],[Tabela]],Table1[[#This Row],[Campo]]),'2. Status Detalhe Campos FY24'!A:J,9,FALSE)</f>
        <v>0</v>
      </c>
    </row>
    <row r="865" spans="2:24" ht="17.850000000000001" hidden="1" customHeight="1">
      <c r="B865" s="2" t="s">
        <v>26</v>
      </c>
      <c r="C865" s="2" t="s">
        <v>181</v>
      </c>
      <c r="D865" s="2" t="s">
        <v>1214</v>
      </c>
      <c r="E865" s="2" t="s">
        <v>38</v>
      </c>
      <c r="F865" s="2" t="s">
        <v>2102</v>
      </c>
      <c r="G865" s="2" t="s">
        <v>186</v>
      </c>
      <c r="H865" s="56" t="str">
        <f>Table1[[#This Row],[Tabela]]&amp;Table1[[#This Row],[Campo]]</f>
        <v>modesg_param_sfics_taxon_europeiackprodmi</v>
      </c>
      <c r="I865" s="2" t="s">
        <v>2325</v>
      </c>
      <c r="J865" s="42">
        <f>VLOOKUP(Table1[[#This Row],[Status]],Auxiliar!$B$16:$C$24,2,0)</f>
        <v>7</v>
      </c>
      <c r="K865" s="2" t="s">
        <v>1182</v>
      </c>
      <c r="L865" s="28" t="s">
        <v>1177</v>
      </c>
      <c r="M865" s="20" t="s">
        <v>1178</v>
      </c>
      <c r="N865" s="47">
        <v>45695</v>
      </c>
      <c r="O865" s="20">
        <f>INDEX(Auxiliar!$D$5:$F$13,MATCH(Table1[[#This Row],[Tipologia_Testes]],Auxiliar!$B$5:$B$13,0),MATCH(Table1[[#This Row],[Complexidade]],Auxiliar!$D$4:$F$4,0))</f>
        <v>0.5</v>
      </c>
      <c r="P865" s="2"/>
      <c r="Q865" s="2"/>
      <c r="R865" s="151">
        <v>45561</v>
      </c>
      <c r="S865" s="151"/>
      <c r="T865" s="151">
        <v>45561</v>
      </c>
      <c r="U865" s="151">
        <v>45603</v>
      </c>
      <c r="V865" s="151">
        <v>45604</v>
      </c>
      <c r="W865" s="2">
        <f>VLOOKUP(Table1[[#This Row],[Status]],Auxiliar!$B$16:$D$24,3,0)*Table1[[#This Row],[Estimação (horas)]]</f>
        <v>0.125</v>
      </c>
      <c r="X865" s="166">
        <f>+VLOOKUP(CONCATENATE(Table1[[#This Row],[Tabela]],Table1[[#This Row],[Campo]]),'2. Status Detalhe Campos FY24'!A:J,9,FALSE)</f>
        <v>0</v>
      </c>
    </row>
    <row r="866" spans="2:24" ht="17.850000000000001" hidden="1" customHeight="1">
      <c r="B866" s="2" t="s">
        <v>26</v>
      </c>
      <c r="C866" s="2" t="s">
        <v>181</v>
      </c>
      <c r="D866" s="2" t="s">
        <v>1214</v>
      </c>
      <c r="E866" s="2" t="s">
        <v>38</v>
      </c>
      <c r="F866" s="2" t="s">
        <v>2102</v>
      </c>
      <c r="G866" s="2" t="s">
        <v>186</v>
      </c>
      <c r="H866" s="56" t="str">
        <f>Table1[[#This Row],[Tabela]]&amp;Table1[[#This Row],[Campo]]</f>
        <v>modesg_param_sfics_taxon_europeiackprodmi</v>
      </c>
      <c r="I866" s="2" t="s">
        <v>2325</v>
      </c>
      <c r="J866" s="54">
        <f>VLOOKUP(Table1[[#This Row],[Status]],Auxiliar!$B$16:$C$24,2,0)</f>
        <v>7</v>
      </c>
      <c r="K866" s="2" t="s">
        <v>1174</v>
      </c>
      <c r="L866" s="28"/>
      <c r="M866" s="20"/>
      <c r="N866" s="47">
        <v>45695</v>
      </c>
      <c r="O866" s="20" t="e">
        <f>INDEX(Auxiliar!$D$5:$F$11,MATCH(Table1[[#This Row],[Tipologia_Testes]],Auxiliar!$B$5:$B$11,0),MATCH(Table1[[#This Row],[Complexidade]],Auxiliar!$D$4:$F$4,0))</f>
        <v>#N/A</v>
      </c>
      <c r="P866" s="2"/>
      <c r="Q866" s="2"/>
      <c r="R866" s="151"/>
      <c r="S866" s="151"/>
      <c r="T866" s="151"/>
      <c r="U866" s="151"/>
      <c r="V866" s="151"/>
      <c r="W866" s="2" t="e">
        <f>VLOOKUP(Table1[[#This Row],[Status]],Auxiliar!$B$16:$D$24,3,0)*Table1[[#This Row],[Estimação (horas)]]</f>
        <v>#N/A</v>
      </c>
      <c r="X866" s="166">
        <f>+VLOOKUP(CONCATENATE(Table1[[#This Row],[Tabela]],Table1[[#This Row],[Campo]]),'2. Status Detalhe Campos FY24'!A:J,9,FALSE)</f>
        <v>0</v>
      </c>
    </row>
    <row r="867" spans="2:24" ht="17.850000000000001" hidden="1" customHeight="1">
      <c r="B867" s="2" t="s">
        <v>26</v>
      </c>
      <c r="C867" s="2" t="s">
        <v>181</v>
      </c>
      <c r="D867" s="2" t="s">
        <v>1214</v>
      </c>
      <c r="E867" s="2" t="s">
        <v>38</v>
      </c>
      <c r="F867" s="2" t="s">
        <v>2102</v>
      </c>
      <c r="G867" s="2" t="s">
        <v>187</v>
      </c>
      <c r="H867" s="56" t="str">
        <f>Table1[[#This Row],[Tabela]]&amp;Table1[[#This Row],[Campo]]</f>
        <v>modesg_param_sfics_taxon_europeiacmetanseg</v>
      </c>
      <c r="I867" s="2" t="s">
        <v>2325</v>
      </c>
      <c r="J867" s="54">
        <f>VLOOKUP(Table1[[#This Row],[Status]],Auxiliar!$B$16:$C$24,2,0)</f>
        <v>7</v>
      </c>
      <c r="K867" s="2" t="s">
        <v>1182</v>
      </c>
      <c r="L867" s="28" t="s">
        <v>1177</v>
      </c>
      <c r="M867" s="20" t="s">
        <v>1178</v>
      </c>
      <c r="N867" s="47">
        <v>45695</v>
      </c>
      <c r="O867" s="20">
        <f>INDEX(Auxiliar!$D$5:$F$13,MATCH(Table1[[#This Row],[Tipologia_Testes]],Auxiliar!$B$5:$B$13,0),MATCH(Table1[[#This Row],[Complexidade]],Auxiliar!$D$4:$F$4,0))</f>
        <v>0.5</v>
      </c>
      <c r="P867" s="2"/>
      <c r="Q867" s="2"/>
      <c r="R867" s="151">
        <v>45261</v>
      </c>
      <c r="S867" s="151"/>
      <c r="T867" s="151"/>
      <c r="U867" s="151">
        <v>45603</v>
      </c>
      <c r="V867" s="151"/>
      <c r="W867" s="2">
        <f>VLOOKUP(Table1[[#This Row],[Status]],Auxiliar!$B$16:$D$24,3,0)*Table1[[#This Row],[Estimação (horas)]]</f>
        <v>0.125</v>
      </c>
      <c r="X867" s="166">
        <f>+VLOOKUP(CONCATENATE(Table1[[#This Row],[Tabela]],Table1[[#This Row],[Campo]]),'2. Status Detalhe Campos FY24'!A:J,9,FALSE)</f>
        <v>0</v>
      </c>
    </row>
    <row r="868" spans="2:24" ht="17.850000000000001" hidden="1" customHeight="1">
      <c r="B868" s="2" t="s">
        <v>26</v>
      </c>
      <c r="C868" s="2" t="s">
        <v>181</v>
      </c>
      <c r="D868" s="2" t="s">
        <v>1214</v>
      </c>
      <c r="E868" s="2" t="s">
        <v>38</v>
      </c>
      <c r="F868" s="2" t="s">
        <v>2102</v>
      </c>
      <c r="G868" s="2" t="s">
        <v>187</v>
      </c>
      <c r="H868" s="56" t="str">
        <f>Table1[[#This Row],[Tabela]]&amp;Table1[[#This Row],[Campo]]</f>
        <v>modesg_param_sfics_taxon_europeiacmetanseg</v>
      </c>
      <c r="I868" s="2" t="s">
        <v>2325</v>
      </c>
      <c r="J868" s="54">
        <f>VLOOKUP(Table1[[#This Row],[Status]],Auxiliar!$B$16:$C$24,2,0)</f>
        <v>7</v>
      </c>
      <c r="K868" s="2" t="s">
        <v>1174</v>
      </c>
      <c r="L868" s="28"/>
      <c r="M868" s="20"/>
      <c r="N868" s="47">
        <v>45695</v>
      </c>
      <c r="O868" s="20" t="e">
        <f>INDEX(Auxiliar!$D$5:$F$11,MATCH(Table1[[#This Row],[Tipologia_Testes]],Auxiliar!$B$5:$B$11,0),MATCH(Table1[[#This Row],[Complexidade]],Auxiliar!$D$4:$F$4,0))</f>
        <v>#N/A</v>
      </c>
      <c r="P868" s="2"/>
      <c r="Q868" s="2"/>
      <c r="R868" s="151"/>
      <c r="S868" s="151"/>
      <c r="T868" s="151"/>
      <c r="U868" s="151"/>
      <c r="V868" s="151"/>
      <c r="W868" s="2" t="e">
        <f>VLOOKUP(Table1[[#This Row],[Status]],Auxiliar!$B$16:$D$24,3,0)*Table1[[#This Row],[Estimação (horas)]]</f>
        <v>#N/A</v>
      </c>
      <c r="X868" s="166">
        <f>+VLOOKUP(CONCATENATE(Table1[[#This Row],[Tabela]],Table1[[#This Row],[Campo]]),'2. Status Detalhe Campos FY24'!A:J,9,FALSE)</f>
        <v>0</v>
      </c>
    </row>
    <row r="869" spans="2:24" ht="17.850000000000001" hidden="1" customHeight="1">
      <c r="B869" s="2" t="s">
        <v>26</v>
      </c>
      <c r="C869" s="2" t="s">
        <v>181</v>
      </c>
      <c r="D869" s="2" t="s">
        <v>1214</v>
      </c>
      <c r="E869" s="2" t="s">
        <v>38</v>
      </c>
      <c r="F869" s="2" t="s">
        <v>2102</v>
      </c>
      <c r="G869" s="2" t="s">
        <v>198</v>
      </c>
      <c r="H869" s="56" t="str">
        <f>Table1[[#This Row],[Tabela]]&amp;Table1[[#This Row],[Campo]]</f>
        <v>modesg_param_sfics_taxon_europeiaepc</v>
      </c>
      <c r="I869" s="2" t="s">
        <v>2325</v>
      </c>
      <c r="J869" s="42">
        <f>VLOOKUP(Table1[[#This Row],[Status]],Auxiliar!$B$16:$C$24,2,0)</f>
        <v>7</v>
      </c>
      <c r="K869" s="2" t="s">
        <v>1182</v>
      </c>
      <c r="L869" s="28" t="s">
        <v>641</v>
      </c>
      <c r="M869" s="20" t="s">
        <v>1178</v>
      </c>
      <c r="N869" s="47">
        <v>45695</v>
      </c>
      <c r="O869" s="20">
        <f>INDEX(Auxiliar!$D$5:$F$13,MATCH(Table1[[#This Row],[Tipologia_Testes]],Auxiliar!$B$5:$B$13,0),MATCH(Table1[[#This Row],[Complexidade]],Auxiliar!$D$4:$F$4,0))</f>
        <v>0.5</v>
      </c>
      <c r="P869" s="2" t="s">
        <v>1218</v>
      </c>
      <c r="Q869" s="2"/>
      <c r="R869" s="151">
        <v>45563</v>
      </c>
      <c r="S869" s="151"/>
      <c r="T869" s="151">
        <v>45563</v>
      </c>
      <c r="U869" s="151">
        <v>45603</v>
      </c>
      <c r="V869" s="151">
        <v>45604</v>
      </c>
      <c r="W869" s="2">
        <f>VLOOKUP(Table1[[#This Row],[Status]],Auxiliar!$B$16:$D$24,3,0)*Table1[[#This Row],[Estimação (horas)]]</f>
        <v>0.125</v>
      </c>
      <c r="X869" s="166">
        <f>+VLOOKUP(CONCATENATE(Table1[[#This Row],[Tabela]],Table1[[#This Row],[Campo]]),'2. Status Detalhe Campos FY24'!A:J,9,FALSE)</f>
        <v>0</v>
      </c>
    </row>
    <row r="870" spans="2:24" ht="17.850000000000001" hidden="1" customHeight="1">
      <c r="B870" s="2" t="s">
        <v>26</v>
      </c>
      <c r="C870" s="2" t="s">
        <v>181</v>
      </c>
      <c r="D870" s="2" t="s">
        <v>1214</v>
      </c>
      <c r="E870" s="2" t="s">
        <v>38</v>
      </c>
      <c r="F870" s="2" t="s">
        <v>2102</v>
      </c>
      <c r="G870" s="2" t="s">
        <v>198</v>
      </c>
      <c r="H870" s="56" t="str">
        <f>Table1[[#This Row],[Tabela]]&amp;Table1[[#This Row],[Campo]]</f>
        <v>modesg_param_sfics_taxon_europeiaepc</v>
      </c>
      <c r="I870" s="2" t="s">
        <v>2325</v>
      </c>
      <c r="J870" s="54">
        <f>VLOOKUP(Table1[[#This Row],[Status]],Auxiliar!$B$16:$C$24,2,0)</f>
        <v>7</v>
      </c>
      <c r="K870" s="2" t="s">
        <v>1174</v>
      </c>
      <c r="L870" s="28" t="s">
        <v>1177</v>
      </c>
      <c r="M870" s="20" t="s">
        <v>1178</v>
      </c>
      <c r="N870" s="47">
        <v>45695</v>
      </c>
      <c r="O870" s="20">
        <f>INDEX(Auxiliar!$D$5:$F$13,MATCH(Table1[[#This Row],[Tipologia_Testes]],Auxiliar!$B$5:$B$13,0),MATCH(Table1[[#This Row],[Complexidade]],Auxiliar!$D$4:$F$4,0))</f>
        <v>0.1</v>
      </c>
      <c r="P870" s="2"/>
      <c r="Q870" s="2"/>
      <c r="R870" s="151">
        <v>45545</v>
      </c>
      <c r="S870" s="151"/>
      <c r="T870" s="151"/>
      <c r="U870" s="151">
        <v>45603</v>
      </c>
      <c r="V870" s="151"/>
      <c r="W870" s="2">
        <f>VLOOKUP(Table1[[#This Row],[Status]],Auxiliar!$B$16:$D$24,3,0)*Table1[[#This Row],[Estimação (horas)]]</f>
        <v>2.5000000000000001E-2</v>
      </c>
      <c r="X870" s="166">
        <f>+VLOOKUP(CONCATENATE(Table1[[#This Row],[Tabela]],Table1[[#This Row],[Campo]]),'2. Status Detalhe Campos FY24'!A:J,9,FALSE)</f>
        <v>0</v>
      </c>
    </row>
    <row r="871" spans="2:24" ht="17.850000000000001" hidden="1" customHeight="1">
      <c r="B871" s="2" t="s">
        <v>26</v>
      </c>
      <c r="C871" s="2" t="s">
        <v>181</v>
      </c>
      <c r="D871" s="2" t="s">
        <v>1214</v>
      </c>
      <c r="E871" s="2" t="s">
        <v>38</v>
      </c>
      <c r="F871" s="2" t="s">
        <v>2102</v>
      </c>
      <c r="G871" s="2" t="s">
        <v>390</v>
      </c>
      <c r="H871" s="56" t="str">
        <f>Table1[[#This Row],[Tabela]]&amp;Table1[[#This Row],[Campo]]</f>
        <v>modesg_param_sfics_taxon_europeiaambito</v>
      </c>
      <c r="I871" s="2" t="s">
        <v>2325</v>
      </c>
      <c r="J871" s="54">
        <f>VLOOKUP(Table1[[#This Row],[Status]],Auxiliar!$B$16:$C$24,2,0)</f>
        <v>7</v>
      </c>
      <c r="K871" s="2" t="s">
        <v>1182</v>
      </c>
      <c r="L871" s="28" t="s">
        <v>1177</v>
      </c>
      <c r="M871" s="20" t="s">
        <v>1178</v>
      </c>
      <c r="N871" s="47">
        <v>45695</v>
      </c>
      <c r="O871" s="20">
        <f>INDEX(Auxiliar!$D$5:$F$13,MATCH(Table1[[#This Row],[Tipologia_Testes]],Auxiliar!$B$5:$B$13,0),MATCH(Table1[[#This Row],[Complexidade]],Auxiliar!$D$4:$F$4,0))</f>
        <v>0.5</v>
      </c>
      <c r="P871" s="2"/>
      <c r="Q871" s="2"/>
      <c r="R871" s="151">
        <v>45261</v>
      </c>
      <c r="S871" s="151"/>
      <c r="T871" s="151"/>
      <c r="U871" s="151">
        <v>45603</v>
      </c>
      <c r="V871" s="151"/>
      <c r="W871" s="2">
        <f>VLOOKUP(Table1[[#This Row],[Status]],Auxiliar!$B$16:$D$24,3,0)*Table1[[#This Row],[Estimação (horas)]]</f>
        <v>0.125</v>
      </c>
      <c r="X871" s="166">
        <f>+VLOOKUP(CONCATENATE(Table1[[#This Row],[Tabela]],Table1[[#This Row],[Campo]]),'2. Status Detalhe Campos FY24'!A:J,9,FALSE)</f>
        <v>0</v>
      </c>
    </row>
    <row r="872" spans="2:24" ht="17.850000000000001" hidden="1" customHeight="1">
      <c r="B872" s="2" t="s">
        <v>26</v>
      </c>
      <c r="C872" s="2" t="s">
        <v>181</v>
      </c>
      <c r="D872" s="2" t="s">
        <v>1214</v>
      </c>
      <c r="E872" s="2" t="s">
        <v>38</v>
      </c>
      <c r="F872" s="2" t="s">
        <v>2102</v>
      </c>
      <c r="G872" s="2" t="s">
        <v>2053</v>
      </c>
      <c r="H872" s="56" t="str">
        <f>Table1[[#This Row],[Tabela]]&amp;Table1[[#This Row],[Campo]]</f>
        <v>modesg_param_sfics_taxon_europeianome_ctgr_sfics</v>
      </c>
      <c r="I872" s="2" t="s">
        <v>2325</v>
      </c>
      <c r="J872" s="54">
        <f>VLOOKUP(Table1[[#This Row],[Status]],Auxiliar!$B$16:$C$24,2,0)</f>
        <v>7</v>
      </c>
      <c r="K872" s="2" t="s">
        <v>1174</v>
      </c>
      <c r="L872" s="28"/>
      <c r="M872" s="20"/>
      <c r="N872" s="47">
        <v>45695</v>
      </c>
      <c r="O872" s="20" t="e">
        <f>INDEX(Auxiliar!$D$5:$F$11,MATCH(Table1[[#This Row],[Tipologia_Testes]],Auxiliar!$B$5:$B$11,0),MATCH(Table1[[#This Row],[Complexidade]],Auxiliar!$D$4:$F$4,0))</f>
        <v>#N/A</v>
      </c>
      <c r="P872" s="2"/>
      <c r="Q872" s="2"/>
      <c r="R872" s="151"/>
      <c r="S872" s="151"/>
      <c r="T872" s="151"/>
      <c r="U872" s="151"/>
      <c r="V872" s="151"/>
      <c r="W872" s="2" t="e">
        <f>VLOOKUP(Table1[[#This Row],[Status]],Auxiliar!$B$16:$D$24,3,0)*Table1[[#This Row],[Estimação (horas)]]</f>
        <v>#N/A</v>
      </c>
      <c r="X872" s="166">
        <f>+VLOOKUP(CONCATENATE(Table1[[#This Row],[Tabela]],Table1[[#This Row],[Campo]]),'2. Status Detalhe Campos FY24'!A:J,9,FALSE)</f>
        <v>0</v>
      </c>
    </row>
    <row r="873" spans="2:24" ht="17.850000000000001" hidden="1" customHeight="1">
      <c r="B873" s="2" t="s">
        <v>26</v>
      </c>
      <c r="C873" s="2" t="s">
        <v>181</v>
      </c>
      <c r="D873" s="2" t="s">
        <v>1214</v>
      </c>
      <c r="E873" s="2" t="s">
        <v>38</v>
      </c>
      <c r="F873" s="2" t="s">
        <v>2102</v>
      </c>
      <c r="G873" s="2" t="s">
        <v>2053</v>
      </c>
      <c r="H873" s="56" t="str">
        <f>Table1[[#This Row],[Tabela]]&amp;Table1[[#This Row],[Campo]]</f>
        <v>modesg_param_sfics_taxon_europeianome_ctgr_sfics</v>
      </c>
      <c r="I873" s="2" t="s">
        <v>2325</v>
      </c>
      <c r="J873" s="54">
        <f>VLOOKUP(Table1[[#This Row],[Status]],Auxiliar!$B$16:$C$24,2,0)</f>
        <v>7</v>
      </c>
      <c r="K873" s="2" t="s">
        <v>1182</v>
      </c>
      <c r="L873" s="28" t="s">
        <v>1177</v>
      </c>
      <c r="M873" s="20" t="s">
        <v>1178</v>
      </c>
      <c r="N873" s="47">
        <v>45695</v>
      </c>
      <c r="O873" s="20">
        <f>INDEX(Auxiliar!$D$5:$F$13,MATCH(Table1[[#This Row],[Tipologia_Testes]],Auxiliar!$B$5:$B$13,0),MATCH(Table1[[#This Row],[Complexidade]],Auxiliar!$D$4:$F$4,0))</f>
        <v>0.5</v>
      </c>
      <c r="P873" s="2"/>
      <c r="Q873" s="2"/>
      <c r="R873" s="151">
        <v>45261</v>
      </c>
      <c r="S873" s="151"/>
      <c r="T873" s="151"/>
      <c r="U873" s="151">
        <v>45603</v>
      </c>
      <c r="V873" s="151"/>
      <c r="W873" s="2">
        <f>VLOOKUP(Table1[[#This Row],[Status]],Auxiliar!$B$16:$D$24,3,0)*Table1[[#This Row],[Estimação (horas)]]</f>
        <v>0.125</v>
      </c>
      <c r="X873" s="166">
        <f>+VLOOKUP(CONCATENATE(Table1[[#This Row],[Tabela]],Table1[[#This Row],[Campo]]),'2. Status Detalhe Campos FY24'!A:J,9,FALSE)</f>
        <v>0</v>
      </c>
    </row>
    <row r="874" spans="2:24" ht="17.850000000000001" hidden="1" customHeight="1">
      <c r="B874" s="2" t="s">
        <v>26</v>
      </c>
      <c r="C874" s="2" t="s">
        <v>181</v>
      </c>
      <c r="D874" s="2" t="s">
        <v>1214</v>
      </c>
      <c r="E874" s="2" t="s">
        <v>38</v>
      </c>
      <c r="F874" s="2" t="s">
        <v>2102</v>
      </c>
      <c r="G874" s="2" t="s">
        <v>2423</v>
      </c>
      <c r="H874" s="56" t="str">
        <f>Table1[[#This Row],[Tabela]]&amp;Table1[[#This Row],[Campo]]</f>
        <v>modesg_param_sfics_taxon_europeiasst_indctr_aux</v>
      </c>
      <c r="I874" s="2" t="s">
        <v>2325</v>
      </c>
      <c r="J874" s="54">
        <f>VLOOKUP(Table1[[#This Row],[Status]],Auxiliar!$B$16:$C$24,2,0)</f>
        <v>7</v>
      </c>
      <c r="K874" s="2" t="s">
        <v>1182</v>
      </c>
      <c r="L874" s="28" t="s">
        <v>1177</v>
      </c>
      <c r="M874" s="20" t="s">
        <v>1178</v>
      </c>
      <c r="N874" s="47">
        <v>45695</v>
      </c>
      <c r="O874" s="20">
        <f>INDEX(Auxiliar!$D$5:$F$13,MATCH(Table1[[#This Row],[Tipologia_Testes]],Auxiliar!$B$5:$B$13,0),MATCH(Table1[[#This Row],[Complexidade]],Auxiliar!$D$4:$F$4,0))</f>
        <v>0.5</v>
      </c>
      <c r="P874" s="2"/>
      <c r="Q874" s="2"/>
      <c r="R874" s="151">
        <v>45261</v>
      </c>
      <c r="S874" s="151"/>
      <c r="T874" s="151"/>
      <c r="U874" s="151">
        <v>45603</v>
      </c>
      <c r="V874" s="151"/>
      <c r="W874" s="2">
        <f>VLOOKUP(Table1[[#This Row],[Status]],Auxiliar!$B$16:$D$24,3,0)*Table1[[#This Row],[Estimação (horas)]]</f>
        <v>0.125</v>
      </c>
      <c r="X874" s="166">
        <f>+VLOOKUP(CONCATENATE(Table1[[#This Row],[Tabela]],Table1[[#This Row],[Campo]]),'2. Status Detalhe Campos FY24'!A:J,9,FALSE)</f>
        <v>0</v>
      </c>
    </row>
    <row r="875" spans="2:24" ht="17.850000000000001" hidden="1" customHeight="1">
      <c r="B875" s="2" t="s">
        <v>26</v>
      </c>
      <c r="C875" s="2" t="s">
        <v>181</v>
      </c>
      <c r="D875" s="2" t="s">
        <v>1214</v>
      </c>
      <c r="E875" s="2" t="s">
        <v>38</v>
      </c>
      <c r="F875" s="2" t="s">
        <v>2102</v>
      </c>
      <c r="G875" s="2" t="s">
        <v>202</v>
      </c>
      <c r="H875" s="56" t="str">
        <f>Table1[[#This Row],[Tabela]]&amp;Table1[[#This Row],[Campo]]</f>
        <v>modesg_param_sfics_taxon_europeiamontante_pndrc</v>
      </c>
      <c r="I875" s="2" t="s">
        <v>2325</v>
      </c>
      <c r="J875" s="54">
        <f>VLOOKUP(Table1[[#This Row],[Status]],Auxiliar!$B$16:$C$24,2,0)</f>
        <v>7</v>
      </c>
      <c r="K875" s="2" t="s">
        <v>1174</v>
      </c>
      <c r="L875" s="28"/>
      <c r="M875" s="20"/>
      <c r="N875" s="47">
        <v>45695</v>
      </c>
      <c r="O875" s="20" t="e">
        <f>INDEX(Auxiliar!$D$5:$F$11,MATCH(Table1[[#This Row],[Tipologia_Testes]],Auxiliar!$B$5:$B$11,0),MATCH(Table1[[#This Row],[Complexidade]],Auxiliar!$D$4:$F$4,0))</f>
        <v>#N/A</v>
      </c>
      <c r="P875" s="2"/>
      <c r="Q875" s="2"/>
      <c r="R875" s="151"/>
      <c r="S875" s="151"/>
      <c r="T875" s="151"/>
      <c r="U875" s="151"/>
      <c r="V875" s="151"/>
      <c r="W875" s="2" t="e">
        <f>VLOOKUP(Table1[[#This Row],[Status]],Auxiliar!$B$16:$D$24,3,0)*Table1[[#This Row],[Estimação (horas)]]</f>
        <v>#N/A</v>
      </c>
      <c r="X875" s="166">
        <f>+VLOOKUP(CONCATENATE(Table1[[#This Row],[Tabela]],Table1[[#This Row],[Campo]]),'2. Status Detalhe Campos FY24'!A:J,9,FALSE)</f>
        <v>0</v>
      </c>
    </row>
    <row r="876" spans="2:24" ht="17.850000000000001" hidden="1" customHeight="1">
      <c r="B876" s="2" t="s">
        <v>26</v>
      </c>
      <c r="C876" s="2" t="s">
        <v>181</v>
      </c>
      <c r="D876" s="2" t="s">
        <v>1214</v>
      </c>
      <c r="E876" s="2" t="s">
        <v>38</v>
      </c>
      <c r="F876" s="2" t="s">
        <v>2102</v>
      </c>
      <c r="G876" s="2" t="s">
        <v>202</v>
      </c>
      <c r="H876" s="56" t="str">
        <f>Table1[[#This Row],[Tabela]]&amp;Table1[[#This Row],[Campo]]</f>
        <v>modesg_param_sfics_taxon_europeiamontante_pndrc</v>
      </c>
      <c r="I876" s="2" t="s">
        <v>2325</v>
      </c>
      <c r="J876" s="54">
        <f>VLOOKUP(Table1[[#This Row],[Status]],Auxiliar!$B$16:$C$24,2,0)</f>
        <v>7</v>
      </c>
      <c r="K876" s="2" t="s">
        <v>1182</v>
      </c>
      <c r="L876" s="28" t="s">
        <v>1177</v>
      </c>
      <c r="M876" s="20" t="s">
        <v>1178</v>
      </c>
      <c r="N876" s="47">
        <v>45695</v>
      </c>
      <c r="O876" s="20">
        <f>INDEX(Auxiliar!$D$5:$F$13,MATCH(Table1[[#This Row],[Tipologia_Testes]],Auxiliar!$B$5:$B$13,0),MATCH(Table1[[#This Row],[Complexidade]],Auxiliar!$D$4:$F$4,0))</f>
        <v>0.5</v>
      </c>
      <c r="P876" s="2"/>
      <c r="Q876" s="2"/>
      <c r="R876" s="151">
        <v>45261</v>
      </c>
      <c r="S876" s="151"/>
      <c r="T876" s="151"/>
      <c r="U876" s="151">
        <v>45603</v>
      </c>
      <c r="V876" s="151"/>
      <c r="W876" s="2">
        <f>VLOOKUP(Table1[[#This Row],[Status]],Auxiliar!$B$16:$D$24,3,0)*Table1[[#This Row],[Estimação (horas)]]</f>
        <v>0.125</v>
      </c>
      <c r="X876" s="166">
        <f>+VLOOKUP(CONCATENATE(Table1[[#This Row],[Tabela]],Table1[[#This Row],[Campo]]),'2. Status Detalhe Campos FY24'!A:J,9,FALSE)</f>
        <v>0</v>
      </c>
    </row>
    <row r="877" spans="2:24" ht="17.850000000000001" hidden="1" customHeight="1">
      <c r="B877" s="2" t="s">
        <v>26</v>
      </c>
      <c r="C877" s="2" t="s">
        <v>181</v>
      </c>
      <c r="D877" s="2" t="s">
        <v>1214</v>
      </c>
      <c r="E877" s="2" t="s">
        <v>38</v>
      </c>
      <c r="F877" s="2" t="s">
        <v>2102</v>
      </c>
      <c r="G877" s="2" t="s">
        <v>394</v>
      </c>
      <c r="H877" s="56" t="str">
        <f>Table1[[#This Row],[Tabela]]&amp;Table1[[#This Row],[Campo]]</f>
        <v>modesg_param_sfics_taxon_europeiacontraparte</v>
      </c>
      <c r="I877" s="2" t="s">
        <v>2325</v>
      </c>
      <c r="J877" s="54">
        <f>VLOOKUP(Table1[[#This Row],[Status]],Auxiliar!$B$16:$C$24,2,0)</f>
        <v>7</v>
      </c>
      <c r="K877" s="2" t="s">
        <v>1174</v>
      </c>
      <c r="L877" s="28"/>
      <c r="M877" s="20"/>
      <c r="N877" s="47">
        <v>45695</v>
      </c>
      <c r="O877" s="20" t="e">
        <f>INDEX(Auxiliar!$D$5:$F$11,MATCH(Table1[[#This Row],[Tipologia_Testes]],Auxiliar!$B$5:$B$11,0),MATCH(Table1[[#This Row],[Complexidade]],Auxiliar!$D$4:$F$4,0))</f>
        <v>#N/A</v>
      </c>
      <c r="P877" s="2"/>
      <c r="Q877" s="2"/>
      <c r="R877" s="151"/>
      <c r="S877" s="151"/>
      <c r="T877" s="151"/>
      <c r="U877" s="151"/>
      <c r="V877" s="151"/>
      <c r="W877" s="2" t="e">
        <f>VLOOKUP(Table1[[#This Row],[Status]],Auxiliar!$B$16:$D$24,3,0)*Table1[[#This Row],[Estimação (horas)]]</f>
        <v>#N/A</v>
      </c>
      <c r="X877" s="166">
        <f>+VLOOKUP(CONCATENATE(Table1[[#This Row],[Tabela]],Table1[[#This Row],[Campo]]),'2. Status Detalhe Campos FY24'!A:J,9,FALSE)</f>
        <v>0</v>
      </c>
    </row>
    <row r="878" spans="2:24" ht="17.850000000000001" hidden="1" customHeight="1">
      <c r="B878" s="2" t="s">
        <v>26</v>
      </c>
      <c r="C878" s="2" t="s">
        <v>181</v>
      </c>
      <c r="D878" s="2" t="s">
        <v>1214</v>
      </c>
      <c r="E878" s="2" t="s">
        <v>38</v>
      </c>
      <c r="F878" s="2" t="s">
        <v>2102</v>
      </c>
      <c r="G878" s="2" t="s">
        <v>394</v>
      </c>
      <c r="H878" s="56" t="str">
        <f>Table1[[#This Row],[Tabela]]&amp;Table1[[#This Row],[Campo]]</f>
        <v>modesg_param_sfics_taxon_europeiacontraparte</v>
      </c>
      <c r="I878" s="2" t="s">
        <v>2325</v>
      </c>
      <c r="J878" s="54">
        <f>VLOOKUP(Table1[[#This Row],[Status]],Auxiliar!$B$16:$C$24,2,0)</f>
        <v>7</v>
      </c>
      <c r="K878" s="2" t="s">
        <v>1182</v>
      </c>
      <c r="L878" s="28" t="s">
        <v>1177</v>
      </c>
      <c r="M878" s="20" t="s">
        <v>1178</v>
      </c>
      <c r="N878" s="47">
        <v>45695</v>
      </c>
      <c r="O878" s="20">
        <f>INDEX(Auxiliar!$D$5:$F$13,MATCH(Table1[[#This Row],[Tipologia_Testes]],Auxiliar!$B$5:$B$13,0),MATCH(Table1[[#This Row],[Complexidade]],Auxiliar!$D$4:$F$4,0))</f>
        <v>0.5</v>
      </c>
      <c r="P878" s="2"/>
      <c r="Q878" s="2"/>
      <c r="R878" s="151">
        <v>45261</v>
      </c>
      <c r="S878" s="151"/>
      <c r="T878" s="151"/>
      <c r="U878" s="151">
        <v>45603</v>
      </c>
      <c r="V878" s="151"/>
      <c r="W878" s="2">
        <f>VLOOKUP(Table1[[#This Row],[Status]],Auxiliar!$B$16:$D$24,3,0)*Table1[[#This Row],[Estimação (horas)]]</f>
        <v>0.125</v>
      </c>
      <c r="X878" s="166">
        <f>+VLOOKUP(CONCATENATE(Table1[[#This Row],[Tabela]],Table1[[#This Row],[Campo]]),'2. Status Detalhe Campos FY24'!A:J,9,FALSE)</f>
        <v>0</v>
      </c>
    </row>
    <row r="879" spans="2:24" ht="17.850000000000001" hidden="1" customHeight="1">
      <c r="B879" s="2" t="s">
        <v>26</v>
      </c>
      <c r="C879" s="2" t="s">
        <v>181</v>
      </c>
      <c r="D879" s="2" t="s">
        <v>1214</v>
      </c>
      <c r="E879" s="2" t="s">
        <v>38</v>
      </c>
      <c r="F879" s="2" t="s">
        <v>2102</v>
      </c>
      <c r="G879" s="2" t="s">
        <v>199</v>
      </c>
      <c r="H879" s="56" t="str">
        <f>Table1[[#This Row],[Tabela]]&amp;Table1[[#This Row],[Campo]]</f>
        <v>modesg_param_sfics_taxon_europeiaflag_project_finance</v>
      </c>
      <c r="I879" s="2" t="s">
        <v>2325</v>
      </c>
      <c r="J879" s="54">
        <f>VLOOKUP(Table1[[#This Row],[Status]],Auxiliar!$B$16:$C$24,2,0)</f>
        <v>7</v>
      </c>
      <c r="K879" s="2" t="s">
        <v>1174</v>
      </c>
      <c r="L879" s="28"/>
      <c r="M879" s="20"/>
      <c r="N879" s="47">
        <v>45695</v>
      </c>
      <c r="O879" s="20" t="e">
        <f>INDEX(Auxiliar!$D$5:$F$11,MATCH(Table1[[#This Row],[Tipologia_Testes]],Auxiliar!$B$5:$B$11,0),MATCH(Table1[[#This Row],[Complexidade]],Auxiliar!$D$4:$F$4,0))</f>
        <v>#N/A</v>
      </c>
      <c r="P879" s="2"/>
      <c r="Q879" s="2"/>
      <c r="R879" s="151"/>
      <c r="S879" s="151"/>
      <c r="T879" s="151"/>
      <c r="U879" s="151"/>
      <c r="V879" s="151"/>
      <c r="W879" s="2" t="e">
        <f>VLOOKUP(Table1[[#This Row],[Status]],Auxiliar!$B$16:$D$24,3,0)*Table1[[#This Row],[Estimação (horas)]]</f>
        <v>#N/A</v>
      </c>
      <c r="X879" s="166">
        <f>+VLOOKUP(CONCATENATE(Table1[[#This Row],[Tabela]],Table1[[#This Row],[Campo]]),'2. Status Detalhe Campos FY24'!A:J,9,FALSE)</f>
        <v>0</v>
      </c>
    </row>
    <row r="880" spans="2:24" ht="69.599999999999994" hidden="1" customHeight="1">
      <c r="B880" s="2" t="s">
        <v>26</v>
      </c>
      <c r="C880" s="2" t="s">
        <v>181</v>
      </c>
      <c r="D880" s="2" t="s">
        <v>1214</v>
      </c>
      <c r="E880" s="2" t="s">
        <v>38</v>
      </c>
      <c r="F880" s="2" t="s">
        <v>2102</v>
      </c>
      <c r="G880" s="2" t="s">
        <v>199</v>
      </c>
      <c r="H880" s="56" t="str">
        <f>Table1[[#This Row],[Tabela]]&amp;Table1[[#This Row],[Campo]]</f>
        <v>modesg_param_sfics_taxon_europeiaflag_project_finance</v>
      </c>
      <c r="I880" s="2" t="s">
        <v>2325</v>
      </c>
      <c r="J880" s="42">
        <f>VLOOKUP(Table1[[#This Row],[Status]],Auxiliar!$B$16:$C$24,2,0)</f>
        <v>7</v>
      </c>
      <c r="K880" s="2" t="s">
        <v>1182</v>
      </c>
      <c r="L880" s="28" t="s">
        <v>1169</v>
      </c>
      <c r="M880" s="20" t="s">
        <v>1178</v>
      </c>
      <c r="N880" s="47">
        <v>45695</v>
      </c>
      <c r="O880" s="20">
        <f>INDEX(Auxiliar!$D$5:$F$13,MATCH(Table1[[#This Row],[Tipologia_Testes]],Auxiliar!$B$5:$B$13,0),MATCH(Table1[[#This Row],[Complexidade]],Auxiliar!$D$4:$F$4,0))</f>
        <v>0.5</v>
      </c>
      <c r="P880" s="2"/>
      <c r="Q880" s="2"/>
      <c r="R880" s="151">
        <v>45563</v>
      </c>
      <c r="S880" s="151"/>
      <c r="T880" s="151">
        <v>45563</v>
      </c>
      <c r="U880" s="151">
        <v>45603</v>
      </c>
      <c r="V880" s="151">
        <v>45604</v>
      </c>
      <c r="W880" s="2">
        <f>VLOOKUP(Table1[[#This Row],[Status]],Auxiliar!$B$16:$D$24,3,0)*Table1[[#This Row],[Estimação (horas)]]</f>
        <v>0.125</v>
      </c>
      <c r="X880" s="166">
        <f>+VLOOKUP(CONCATENATE(Table1[[#This Row],[Tabela]],Table1[[#This Row],[Campo]]),'2. Status Detalhe Campos FY24'!A:J,9,FALSE)</f>
        <v>0</v>
      </c>
    </row>
    <row r="881" spans="2:24" ht="69.599999999999994" hidden="1" customHeight="1">
      <c r="B881" s="2" t="s">
        <v>26</v>
      </c>
      <c r="C881" s="2" t="s">
        <v>181</v>
      </c>
      <c r="D881" s="2" t="s">
        <v>1214</v>
      </c>
      <c r="E881" s="2" t="s">
        <v>38</v>
      </c>
      <c r="F881" s="2" t="s">
        <v>2102</v>
      </c>
      <c r="G881" s="2" t="s">
        <v>2054</v>
      </c>
      <c r="H881" s="56" t="str">
        <f>Table1[[#This Row],[Tabela]]&amp;Table1[[#This Row],[Campo]]</f>
        <v>modesg_param_sfics_taxon_europeiaprdt_sprdt</v>
      </c>
      <c r="I881" s="2" t="s">
        <v>2325</v>
      </c>
      <c r="J881" s="54">
        <f>VLOOKUP(Table1[[#This Row],[Status]],Auxiliar!$B$16:$C$24,2,0)</f>
        <v>7</v>
      </c>
      <c r="K881" s="2" t="s">
        <v>1174</v>
      </c>
      <c r="L881" s="28"/>
      <c r="M881" s="20"/>
      <c r="N881" s="47">
        <v>45695</v>
      </c>
      <c r="O881" s="20" t="e">
        <f>INDEX(Auxiliar!$D$5:$F$11,MATCH(Table1[[#This Row],[Tipologia_Testes]],Auxiliar!$B$5:$B$11,0),MATCH(Table1[[#This Row],[Complexidade]],Auxiliar!$D$4:$F$4,0))</f>
        <v>#N/A</v>
      </c>
      <c r="P881" s="2"/>
      <c r="Q881" s="2"/>
      <c r="R881" s="151"/>
      <c r="S881" s="151"/>
      <c r="T881" s="151"/>
      <c r="U881" s="151"/>
      <c r="V881" s="151"/>
      <c r="W881" s="2" t="e">
        <f>VLOOKUP(Table1[[#This Row],[Status]],Auxiliar!$B$16:$D$24,3,0)*Table1[[#This Row],[Estimação (horas)]]</f>
        <v>#N/A</v>
      </c>
      <c r="X881" s="166">
        <f>+VLOOKUP(CONCATENATE(Table1[[#This Row],[Tabela]],Table1[[#This Row],[Campo]]),'2. Status Detalhe Campos FY24'!A:J,9,FALSE)</f>
        <v>0</v>
      </c>
    </row>
    <row r="882" spans="2:24" ht="17.850000000000001" hidden="1" customHeight="1">
      <c r="B882" s="2" t="s">
        <v>26</v>
      </c>
      <c r="C882" s="2" t="s">
        <v>181</v>
      </c>
      <c r="D882" s="2" t="s">
        <v>1214</v>
      </c>
      <c r="E882" s="2" t="s">
        <v>38</v>
      </c>
      <c r="F882" s="2" t="s">
        <v>2102</v>
      </c>
      <c r="G882" s="2" t="s">
        <v>2054</v>
      </c>
      <c r="H882" s="56" t="str">
        <f>Table1[[#This Row],[Tabela]]&amp;Table1[[#This Row],[Campo]]</f>
        <v>modesg_param_sfics_taxon_europeiaprdt_sprdt</v>
      </c>
      <c r="I882" s="2" t="s">
        <v>2325</v>
      </c>
      <c r="J882" s="54">
        <f>VLOOKUP(Table1[[#This Row],[Status]],Auxiliar!$B$16:$C$24,2,0)</f>
        <v>7</v>
      </c>
      <c r="K882" s="2" t="s">
        <v>1182</v>
      </c>
      <c r="L882" s="28" t="s">
        <v>1177</v>
      </c>
      <c r="M882" s="20" t="s">
        <v>1178</v>
      </c>
      <c r="N882" s="47">
        <v>45695</v>
      </c>
      <c r="O882" s="20">
        <f>INDEX(Auxiliar!$D$5:$F$13,MATCH(Table1[[#This Row],[Tipologia_Testes]],Auxiliar!$B$5:$B$13,0),MATCH(Table1[[#This Row],[Complexidade]],Auxiliar!$D$4:$F$4,0))</f>
        <v>0.5</v>
      </c>
      <c r="P882" s="2"/>
      <c r="Q882" s="2"/>
      <c r="R882" s="151">
        <v>45261</v>
      </c>
      <c r="S882" s="151"/>
      <c r="T882" s="151"/>
      <c r="U882" s="151">
        <v>45603</v>
      </c>
      <c r="V882" s="151"/>
      <c r="W882" s="2">
        <f>VLOOKUP(Table1[[#This Row],[Status]],Auxiliar!$B$16:$D$24,3,0)*Table1[[#This Row],[Estimação (horas)]]</f>
        <v>0.125</v>
      </c>
      <c r="X882" s="166">
        <f>+VLOOKUP(CONCATENATE(Table1[[#This Row],[Tabela]],Table1[[#This Row],[Campo]]),'2. Status Detalhe Campos FY24'!A:J,9,FALSE)</f>
        <v>0</v>
      </c>
    </row>
    <row r="883" spans="2:24" ht="17.850000000000001" hidden="1" customHeight="1">
      <c r="B883" s="2" t="s">
        <v>26</v>
      </c>
      <c r="C883" s="2" t="s">
        <v>181</v>
      </c>
      <c r="D883" s="2" t="s">
        <v>1214</v>
      </c>
      <c r="E883" s="2" t="s">
        <v>38</v>
      </c>
      <c r="F883" s="2" t="s">
        <v>2102</v>
      </c>
      <c r="G883" s="2" t="s">
        <v>2055</v>
      </c>
      <c r="H883" s="56" t="str">
        <f>Table1[[#This Row],[Tabela]]&amp;Table1[[#This Row],[Campo]]</f>
        <v>modesg_param_sfics_taxon_europeiaflg_csrd</v>
      </c>
      <c r="I883" s="2" t="s">
        <v>2325</v>
      </c>
      <c r="J883" s="54">
        <f>VLOOKUP(Table1[[#This Row],[Status]],Auxiliar!$B$16:$C$24,2,0)</f>
        <v>7</v>
      </c>
      <c r="K883" s="2" t="s">
        <v>1174</v>
      </c>
      <c r="L883" s="28" t="s">
        <v>1177</v>
      </c>
      <c r="M883" s="20" t="s">
        <v>1178</v>
      </c>
      <c r="N883" s="47">
        <v>45695</v>
      </c>
      <c r="O883" s="20">
        <f>INDEX(Auxiliar!$D$5:$F$13,MATCH(Table1[[#This Row],[Tipologia_Testes]],Auxiliar!$B$5:$B$13,0),MATCH(Table1[[#This Row],[Complexidade]],Auxiliar!$D$4:$F$4,0))</f>
        <v>0.1</v>
      </c>
      <c r="P883" s="2"/>
      <c r="Q883" s="2"/>
      <c r="R883" s="151">
        <v>45563</v>
      </c>
      <c r="S883" s="151"/>
      <c r="T883" s="151">
        <v>45563</v>
      </c>
      <c r="U883" s="151">
        <v>45603</v>
      </c>
      <c r="V883" s="151">
        <v>45604</v>
      </c>
      <c r="W883" s="2">
        <f>VLOOKUP(Table1[[#This Row],[Status]],Auxiliar!$B$16:$D$24,3,0)*Table1[[#This Row],[Estimação (horas)]]</f>
        <v>2.5000000000000001E-2</v>
      </c>
      <c r="X883" s="166">
        <f>+VLOOKUP(CONCATENATE(Table1[[#This Row],[Tabela]],Table1[[#This Row],[Campo]]),'2. Status Detalhe Campos FY24'!A:J,9,FALSE)</f>
        <v>0</v>
      </c>
    </row>
    <row r="884" spans="2:24" ht="17.850000000000001" hidden="1" customHeight="1">
      <c r="B884" s="2" t="s">
        <v>26</v>
      </c>
      <c r="C884" s="2" t="s">
        <v>181</v>
      </c>
      <c r="D884" s="2" t="s">
        <v>1214</v>
      </c>
      <c r="E884" s="2" t="s">
        <v>38</v>
      </c>
      <c r="F884" s="2" t="s">
        <v>2102</v>
      </c>
      <c r="G884" s="2" t="s">
        <v>2055</v>
      </c>
      <c r="H884" s="56" t="str">
        <f>Table1[[#This Row],[Tabela]]&amp;Table1[[#This Row],[Campo]]</f>
        <v>modesg_param_sfics_taxon_europeiaflg_csrd</v>
      </c>
      <c r="I884" s="2" t="s">
        <v>2325</v>
      </c>
      <c r="J884" s="42">
        <f>VLOOKUP(Table1[[#This Row],[Status]],Auxiliar!$B$16:$C$24,2,0)</f>
        <v>7</v>
      </c>
      <c r="K884" s="2" t="s">
        <v>1182</v>
      </c>
      <c r="L884" s="28" t="s">
        <v>641</v>
      </c>
      <c r="M884" s="20" t="s">
        <v>1179</v>
      </c>
      <c r="N884" s="47">
        <v>45695</v>
      </c>
      <c r="O884" s="20">
        <f>INDEX(Auxiliar!$D$5:$F$13,MATCH(Table1[[#This Row],[Tipologia_Testes]],Auxiliar!$B$5:$B$13,0),MATCH(Table1[[#This Row],[Complexidade]],Auxiliar!$D$4:$F$4,0))</f>
        <v>0.5</v>
      </c>
      <c r="P884" s="2" t="s">
        <v>1219</v>
      </c>
      <c r="Q884" s="2"/>
      <c r="R884" s="151">
        <v>45563</v>
      </c>
      <c r="S884" s="151"/>
      <c r="T884" s="151">
        <v>45563</v>
      </c>
      <c r="U884" s="151">
        <v>45603</v>
      </c>
      <c r="V884" s="151">
        <v>45604</v>
      </c>
      <c r="W884" s="2">
        <f>VLOOKUP(Table1[[#This Row],[Status]],Auxiliar!$B$16:$D$24,3,0)*Table1[[#This Row],[Estimação (horas)]]</f>
        <v>0.125</v>
      </c>
      <c r="X884" s="166">
        <f>+VLOOKUP(CONCATENATE(Table1[[#This Row],[Tabela]],Table1[[#This Row],[Campo]]),'2. Status Detalhe Campos FY24'!A:J,9,FALSE)</f>
        <v>0</v>
      </c>
    </row>
    <row r="885" spans="2:24" ht="17.850000000000001" hidden="1" customHeight="1">
      <c r="B885" s="2" t="s">
        <v>26</v>
      </c>
      <c r="C885" s="2" t="s">
        <v>181</v>
      </c>
      <c r="D885" s="2" t="s">
        <v>1214</v>
      </c>
      <c r="E885" s="2" t="s">
        <v>38</v>
      </c>
      <c r="F885" s="2" t="s">
        <v>2102</v>
      </c>
      <c r="G885" s="2" t="s">
        <v>2056</v>
      </c>
      <c r="H885" s="56" t="str">
        <f>Table1[[#This Row],[Tabela]]&amp;Table1[[#This Row],[Campo]]</f>
        <v>modesg_param_sfics_taxon_europeiacombustivel</v>
      </c>
      <c r="I885" s="2" t="s">
        <v>2325</v>
      </c>
      <c r="J885" s="54">
        <f>VLOOKUP(Table1[[#This Row],[Status]],Auxiliar!$B$16:$C$24,2,0)</f>
        <v>7</v>
      </c>
      <c r="K885" s="2" t="s">
        <v>1174</v>
      </c>
      <c r="L885" s="28" t="s">
        <v>1177</v>
      </c>
      <c r="M885" s="20" t="s">
        <v>1178</v>
      </c>
      <c r="N885" s="47">
        <v>45695</v>
      </c>
      <c r="O885" s="20">
        <f>INDEX(Auxiliar!$D$5:$F$13,MATCH(Table1[[#This Row],[Tipologia_Testes]],Auxiliar!$B$5:$B$13,0),MATCH(Table1[[#This Row],[Complexidade]],Auxiliar!$D$4:$F$4,0))</f>
        <v>0.1</v>
      </c>
      <c r="P885" s="2"/>
      <c r="Q885" s="2"/>
      <c r="R885" s="151">
        <v>45563</v>
      </c>
      <c r="S885" s="151"/>
      <c r="T885" s="151">
        <v>45563</v>
      </c>
      <c r="U885" s="151">
        <v>45603</v>
      </c>
      <c r="V885" s="151">
        <v>45604</v>
      </c>
      <c r="W885" s="2">
        <f>VLOOKUP(Table1[[#This Row],[Status]],Auxiliar!$B$16:$D$24,3,0)*Table1[[#This Row],[Estimação (horas)]]</f>
        <v>2.5000000000000001E-2</v>
      </c>
      <c r="X885" s="166">
        <f>+VLOOKUP(CONCATENATE(Table1[[#This Row],[Tabela]],Table1[[#This Row],[Campo]]),'2. Status Detalhe Campos FY24'!A:J,9,FALSE)</f>
        <v>0</v>
      </c>
    </row>
    <row r="886" spans="2:24" ht="17.850000000000001" hidden="1" customHeight="1">
      <c r="B886" s="2" t="s">
        <v>26</v>
      </c>
      <c r="C886" s="2" t="s">
        <v>181</v>
      </c>
      <c r="D886" s="2" t="s">
        <v>1214</v>
      </c>
      <c r="E886" s="2" t="s">
        <v>38</v>
      </c>
      <c r="F886" s="2" t="s">
        <v>2102</v>
      </c>
      <c r="G886" s="2" t="s">
        <v>2056</v>
      </c>
      <c r="H886" s="56" t="str">
        <f>Table1[[#This Row],[Tabela]]&amp;Table1[[#This Row],[Campo]]</f>
        <v>modesg_param_sfics_taxon_europeiacombustivel</v>
      </c>
      <c r="I886" s="2" t="s">
        <v>2325</v>
      </c>
      <c r="J886" s="42">
        <f>VLOOKUP(Table1[[#This Row],[Status]],Auxiliar!$B$16:$C$24,2,0)</f>
        <v>7</v>
      </c>
      <c r="K886" s="2" t="s">
        <v>1182</v>
      </c>
      <c r="L886" s="28" t="s">
        <v>1177</v>
      </c>
      <c r="M886" s="20" t="s">
        <v>1178</v>
      </c>
      <c r="N886" s="47">
        <v>45695</v>
      </c>
      <c r="O886" s="20">
        <f>INDEX(Auxiliar!$D$5:$F$13,MATCH(Table1[[#This Row],[Tipologia_Testes]],Auxiliar!$B$5:$B$13,0),MATCH(Table1[[#This Row],[Complexidade]],Auxiliar!$D$4:$F$4,0))</f>
        <v>0.5</v>
      </c>
      <c r="P886" s="2"/>
      <c r="Q886" s="2"/>
      <c r="R886" s="151">
        <v>45561</v>
      </c>
      <c r="S886" s="151"/>
      <c r="T886" s="151">
        <v>45561</v>
      </c>
      <c r="U886" s="151">
        <v>45603</v>
      </c>
      <c r="V886" s="151">
        <v>45604</v>
      </c>
      <c r="W886" s="2">
        <f>VLOOKUP(Table1[[#This Row],[Status]],Auxiliar!$B$16:$D$24,3,0)*Table1[[#This Row],[Estimação (horas)]]</f>
        <v>0.125</v>
      </c>
      <c r="X886" s="166">
        <f>+VLOOKUP(CONCATENATE(Table1[[#This Row],[Tabela]],Table1[[#This Row],[Campo]]),'2. Status Detalhe Campos FY24'!A:J,9,FALSE)</f>
        <v>0</v>
      </c>
    </row>
    <row r="887" spans="2:24" ht="17.850000000000001" hidden="1" customHeight="1">
      <c r="B887" s="2" t="s">
        <v>26</v>
      </c>
      <c r="C887" s="2" t="s">
        <v>181</v>
      </c>
      <c r="D887" s="2" t="s">
        <v>1214</v>
      </c>
      <c r="E887" s="2" t="s">
        <v>38</v>
      </c>
      <c r="F887" s="2" t="s">
        <v>2102</v>
      </c>
      <c r="G887" s="2" t="s">
        <v>390</v>
      </c>
      <c r="H887" s="56" t="str">
        <f>Table1[[#This Row],[Tabela]]&amp;Table1[[#This Row],[Campo]]</f>
        <v>modesg_param_sfics_taxon_europeiaambito</v>
      </c>
      <c r="I887" s="2" t="s">
        <v>2325</v>
      </c>
      <c r="J887" s="54">
        <f>VLOOKUP(Table1[[#This Row],[Status]],Auxiliar!$B$16:$C$24,2,0)</f>
        <v>7</v>
      </c>
      <c r="K887" s="2" t="s">
        <v>1174</v>
      </c>
      <c r="L887" s="28"/>
      <c r="M887" s="20"/>
      <c r="N887" s="47">
        <v>45695</v>
      </c>
      <c r="O887" s="20" t="e">
        <f>INDEX(Auxiliar!$D$5:$F$11,MATCH(Table1[[#This Row],[Tipologia_Testes]],Auxiliar!$B$5:$B$11,0),MATCH(Table1[[#This Row],[Complexidade]],Auxiliar!$D$4:$F$4,0))</f>
        <v>#N/A</v>
      </c>
      <c r="P887" s="2"/>
      <c r="Q887" s="2"/>
      <c r="R887" s="151"/>
      <c r="S887" s="151"/>
      <c r="T887" s="151"/>
      <c r="U887" s="151"/>
      <c r="V887" s="151"/>
      <c r="W887" s="2" t="e">
        <f>VLOOKUP(Table1[[#This Row],[Status]],Auxiliar!$B$16:$D$24,3,0)*Table1[[#This Row],[Estimação (horas)]]</f>
        <v>#N/A</v>
      </c>
      <c r="X887" s="166">
        <f>+VLOOKUP(CONCATENATE(Table1[[#This Row],[Tabela]],Table1[[#This Row],[Campo]]),'2. Status Detalhe Campos FY24'!A:J,9,FALSE)</f>
        <v>0</v>
      </c>
    </row>
    <row r="888" spans="2:24" ht="17.850000000000001" hidden="1" customHeight="1">
      <c r="B888" s="2" t="s">
        <v>26</v>
      </c>
      <c r="C888" s="2" t="s">
        <v>181</v>
      </c>
      <c r="D888" s="2" t="s">
        <v>1214</v>
      </c>
      <c r="E888" s="2" t="s">
        <v>38</v>
      </c>
      <c r="F888" s="2" t="s">
        <v>2102</v>
      </c>
      <c r="G888" s="2" t="s">
        <v>2057</v>
      </c>
      <c r="H888" s="56" t="str">
        <f>Table1[[#This Row],[Tabela]]&amp;Table1[[#This Row],[Campo]]</f>
        <v>modesg_param_sfics_taxon_europeiaco2</v>
      </c>
      <c r="I888" s="2" t="s">
        <v>2325</v>
      </c>
      <c r="J888" s="42">
        <f>VLOOKUP(Table1[[#This Row],[Status]],Auxiliar!$B$16:$C$24,2,0)</f>
        <v>7</v>
      </c>
      <c r="K888" s="2" t="s">
        <v>1182</v>
      </c>
      <c r="L888" s="28" t="s">
        <v>1177</v>
      </c>
      <c r="M888" s="20" t="s">
        <v>1178</v>
      </c>
      <c r="N888" s="47">
        <v>45695</v>
      </c>
      <c r="O888" s="20">
        <f>INDEX(Auxiliar!$D$5:$F$13,MATCH(Table1[[#This Row],[Tipologia_Testes]],Auxiliar!$B$5:$B$13,0),MATCH(Table1[[#This Row],[Complexidade]],Auxiliar!$D$4:$F$4,0))</f>
        <v>0.5</v>
      </c>
      <c r="P888" s="2"/>
      <c r="Q888" s="2"/>
      <c r="R888" s="151">
        <v>45561</v>
      </c>
      <c r="S888" s="151"/>
      <c r="T888" s="151">
        <v>45561</v>
      </c>
      <c r="U888" s="151">
        <v>45603</v>
      </c>
      <c r="V888" s="151">
        <v>45604</v>
      </c>
      <c r="W888" s="2">
        <f>VLOOKUP(Table1[[#This Row],[Status]],Auxiliar!$B$16:$D$24,3,0)*Table1[[#This Row],[Estimação (horas)]]</f>
        <v>0.125</v>
      </c>
      <c r="X888" s="166">
        <f>+VLOOKUP(CONCATENATE(Table1[[#This Row],[Tabela]],Table1[[#This Row],[Campo]]),'2. Status Detalhe Campos FY24'!A:J,9,FALSE)</f>
        <v>0</v>
      </c>
    </row>
    <row r="889" spans="2:24" ht="17.850000000000001" hidden="1" customHeight="1">
      <c r="B889" s="2" t="s">
        <v>26</v>
      </c>
      <c r="C889" s="2" t="s">
        <v>181</v>
      </c>
      <c r="D889" s="2" t="s">
        <v>1214</v>
      </c>
      <c r="E889" s="2" t="s">
        <v>38</v>
      </c>
      <c r="F889" s="2" t="s">
        <v>2102</v>
      </c>
      <c r="G889" s="2" t="s">
        <v>2057</v>
      </c>
      <c r="H889" s="56" t="str">
        <f>Table1[[#This Row],[Tabela]]&amp;Table1[[#This Row],[Campo]]</f>
        <v>modesg_param_sfics_taxon_europeiaco2</v>
      </c>
      <c r="I889" s="2" t="s">
        <v>2325</v>
      </c>
      <c r="J889" s="54">
        <f>VLOOKUP(Table1[[#This Row],[Status]],Auxiliar!$B$16:$C$24,2,0)</f>
        <v>7</v>
      </c>
      <c r="K889" s="2" t="s">
        <v>1174</v>
      </c>
      <c r="L889" s="28"/>
      <c r="M889" s="20"/>
      <c r="N889" s="47">
        <v>45695</v>
      </c>
      <c r="O889" s="20" t="e">
        <f>INDEX(Auxiliar!$D$5:$F$11,MATCH(Table1[[#This Row],[Tipologia_Testes]],Auxiliar!$B$5:$B$11,0),MATCH(Table1[[#This Row],[Complexidade]],Auxiliar!$D$4:$F$4,0))</f>
        <v>#N/A</v>
      </c>
      <c r="P889" s="2"/>
      <c r="Q889" s="2"/>
      <c r="R889" s="151"/>
      <c r="S889" s="151"/>
      <c r="T889" s="151"/>
      <c r="U889" s="151"/>
      <c r="V889" s="151"/>
      <c r="W889" s="2" t="e">
        <f>VLOOKUP(Table1[[#This Row],[Status]],Auxiliar!$B$16:$D$24,3,0)*Table1[[#This Row],[Estimação (horas)]]</f>
        <v>#N/A</v>
      </c>
      <c r="X889" s="166">
        <f>+VLOOKUP(CONCATENATE(Table1[[#This Row],[Tabela]],Table1[[#This Row],[Campo]]),'2. Status Detalhe Campos FY24'!A:J,9,FALSE)</f>
        <v>0</v>
      </c>
    </row>
    <row r="890" spans="2:24" ht="17.850000000000001" hidden="1" customHeight="1">
      <c r="B890" s="2" t="s">
        <v>26</v>
      </c>
      <c r="C890" s="2" t="s">
        <v>181</v>
      </c>
      <c r="D890" s="2" t="s">
        <v>1214</v>
      </c>
      <c r="E890" s="2" t="s">
        <v>38</v>
      </c>
      <c r="F890" s="2" t="s">
        <v>2102</v>
      </c>
      <c r="G890" s="2" t="s">
        <v>2058</v>
      </c>
      <c r="H890" s="56" t="str">
        <f>Table1[[#This Row],[Tabela]]&amp;Table1[[#This Row],[Campo]]</f>
        <v>modesg_param_sfics_taxon_europeiacfamilia</v>
      </c>
      <c r="I890" s="2" t="s">
        <v>2325</v>
      </c>
      <c r="J890" s="42">
        <f>VLOOKUP(Table1[[#This Row],[Status]],Auxiliar!$B$16:$C$24,2,0)</f>
        <v>7</v>
      </c>
      <c r="K890" s="2" t="s">
        <v>1182</v>
      </c>
      <c r="L890" s="28" t="s">
        <v>641</v>
      </c>
      <c r="M890" s="20" t="s">
        <v>1178</v>
      </c>
      <c r="N890" s="47">
        <v>45695</v>
      </c>
      <c r="O890" s="20">
        <f>INDEX(Auxiliar!$D$5:$F$13,MATCH(Table1[[#This Row],[Tipologia_Testes]],Auxiliar!$B$5:$B$13,0),MATCH(Table1[[#This Row],[Complexidade]],Auxiliar!$D$4:$F$4,0))</f>
        <v>0.5</v>
      </c>
      <c r="P890" s="2"/>
      <c r="Q890" s="2"/>
      <c r="R890" s="151">
        <v>45563</v>
      </c>
      <c r="S890" s="151"/>
      <c r="T890" s="151">
        <v>45563</v>
      </c>
      <c r="U890" s="151">
        <v>45603</v>
      </c>
      <c r="V890" s="151">
        <v>45604</v>
      </c>
      <c r="W890" s="2">
        <f>VLOOKUP(Table1[[#This Row],[Status]],Auxiliar!$B$16:$D$24,3,0)*Table1[[#This Row],[Estimação (horas)]]</f>
        <v>0.125</v>
      </c>
      <c r="X890" s="166">
        <f>+VLOOKUP(CONCATENATE(Table1[[#This Row],[Tabela]],Table1[[#This Row],[Campo]]),'2. Status Detalhe Campos FY24'!A:J,9,FALSE)</f>
        <v>0</v>
      </c>
    </row>
    <row r="891" spans="2:24" ht="17.850000000000001" hidden="1" customHeight="1">
      <c r="B891" s="2" t="s">
        <v>26</v>
      </c>
      <c r="C891" s="2" t="s">
        <v>181</v>
      </c>
      <c r="D891" s="2" t="s">
        <v>1214</v>
      </c>
      <c r="E891" s="2" t="s">
        <v>38</v>
      </c>
      <c r="F891" s="2" t="s">
        <v>2102</v>
      </c>
      <c r="G891" s="2" t="s">
        <v>2058</v>
      </c>
      <c r="H891" s="56" t="str">
        <f>Table1[[#This Row],[Tabela]]&amp;Table1[[#This Row],[Campo]]</f>
        <v>modesg_param_sfics_taxon_europeiacfamilia</v>
      </c>
      <c r="I891" s="2" t="s">
        <v>2325</v>
      </c>
      <c r="J891" s="54">
        <f>VLOOKUP(Table1[[#This Row],[Status]],Auxiliar!$B$16:$C$24,2,0)</f>
        <v>7</v>
      </c>
      <c r="K891" s="2" t="s">
        <v>1174</v>
      </c>
      <c r="L891" s="28" t="s">
        <v>1177</v>
      </c>
      <c r="M891" s="20" t="s">
        <v>1178</v>
      </c>
      <c r="N891" s="47">
        <v>45695</v>
      </c>
      <c r="O891" s="20">
        <f>INDEX(Auxiliar!$D$5:$F$13,MATCH(Table1[[#This Row],[Tipologia_Testes]],Auxiliar!$B$5:$B$13,0),MATCH(Table1[[#This Row],[Complexidade]],Auxiliar!$D$4:$F$4,0))</f>
        <v>0.1</v>
      </c>
      <c r="P891" s="2"/>
      <c r="Q891" s="2"/>
      <c r="R891" s="151">
        <v>45563</v>
      </c>
      <c r="S891" s="151"/>
      <c r="T891" s="151">
        <v>45563</v>
      </c>
      <c r="U891" s="151">
        <v>45603</v>
      </c>
      <c r="V891" s="151">
        <v>45604</v>
      </c>
      <c r="W891" s="2">
        <f>VLOOKUP(Table1[[#This Row],[Status]],Auxiliar!$B$16:$D$24,3,0)*Table1[[#This Row],[Estimação (horas)]]</f>
        <v>2.5000000000000001E-2</v>
      </c>
      <c r="X891" s="166">
        <f>+VLOOKUP(CONCATENATE(Table1[[#This Row],[Tabela]],Table1[[#This Row],[Campo]]),'2. Status Detalhe Campos FY24'!A:J,9,FALSE)</f>
        <v>0</v>
      </c>
    </row>
    <row r="892" spans="2:24" ht="17.850000000000001" hidden="1" customHeight="1">
      <c r="B892" s="2" t="s">
        <v>26</v>
      </c>
      <c r="C892" s="2" t="s">
        <v>181</v>
      </c>
      <c r="D892" s="2" t="s">
        <v>1214</v>
      </c>
      <c r="E892" s="2" t="s">
        <v>38</v>
      </c>
      <c r="F892" s="2" t="s">
        <v>2102</v>
      </c>
      <c r="G892" s="2" t="s">
        <v>38</v>
      </c>
      <c r="H892" s="56" t="str">
        <f>Table1[[#This Row],[Tabela]]&amp;Table1[[#This Row],[Campo]]</f>
        <v>modesg_param_sfics_taxon_europeian.a.</v>
      </c>
      <c r="I892" s="2" t="s">
        <v>2325</v>
      </c>
      <c r="J892" s="42">
        <f>VLOOKUP(Table1[[#This Row],[Status]],Auxiliar!$B$16:$C$24,2,0)</f>
        <v>7</v>
      </c>
      <c r="K892" s="2" t="s">
        <v>1168</v>
      </c>
      <c r="L892" s="28" t="s">
        <v>1177</v>
      </c>
      <c r="M892" s="20" t="s">
        <v>1170</v>
      </c>
      <c r="N892" s="47">
        <v>45695</v>
      </c>
      <c r="O892" s="20">
        <f>INDEX(Auxiliar!$D$5:$F$13,MATCH(Table1[[#This Row],[Tipologia_Testes]],Auxiliar!$B$5:$B$13,0),MATCH(Table1[[#This Row],[Complexidade]],Auxiliar!$D$4:$F$4,0))</f>
        <v>8</v>
      </c>
      <c r="P892" s="22"/>
      <c r="Q892" s="2"/>
      <c r="R892" s="151">
        <v>45563</v>
      </c>
      <c r="S892" s="151"/>
      <c r="T892" s="151">
        <v>45563</v>
      </c>
      <c r="U892" s="151">
        <v>45603</v>
      </c>
      <c r="V892" s="151">
        <v>45604</v>
      </c>
      <c r="W892" s="2">
        <f>VLOOKUP(Table1[[#This Row],[Status]],Auxiliar!$B$16:$D$24,3,0)*Table1[[#This Row],[Estimação (horas)]]</f>
        <v>2</v>
      </c>
      <c r="X892" s="166">
        <f>+VLOOKUP(CONCATENATE(Table1[[#This Row],[Tabela]],Table1[[#This Row],[Campo]]),'2. Status Detalhe Campos FY24'!A:J,9,FALSE)</f>
        <v>0</v>
      </c>
    </row>
    <row r="893" spans="2:24" ht="17.850000000000001" hidden="1" customHeight="1">
      <c r="B893" s="2" t="s">
        <v>26</v>
      </c>
      <c r="C893" s="2" t="s">
        <v>181</v>
      </c>
      <c r="D893" s="2" t="s">
        <v>1214</v>
      </c>
      <c r="E893" s="2" t="s">
        <v>38</v>
      </c>
      <c r="F893" s="2" t="s">
        <v>2102</v>
      </c>
      <c r="G893" s="2" t="s">
        <v>38</v>
      </c>
      <c r="H893" s="56" t="str">
        <f>Table1[[#This Row],[Tabela]]&amp;Table1[[#This Row],[Campo]]</f>
        <v>modesg_param_sfics_taxon_europeian.a.</v>
      </c>
      <c r="I893" s="2" t="s">
        <v>2325</v>
      </c>
      <c r="J893" s="42">
        <f>VLOOKUP(Table1[[#This Row],[Status]],Auxiliar!$B$16:$C$24,2,0)</f>
        <v>7</v>
      </c>
      <c r="K893" s="2" t="s">
        <v>1215</v>
      </c>
      <c r="L893" s="28" t="s">
        <v>1177</v>
      </c>
      <c r="M893" s="20" t="s">
        <v>1178</v>
      </c>
      <c r="N893" s="47">
        <v>45695</v>
      </c>
      <c r="O893" s="20">
        <f>INDEX(Auxiliar!$D$5:$F$13,MATCH(Table1[[#This Row],[Tipologia_Testes]],Auxiliar!$B$5:$B$13,0),MATCH(Table1[[#This Row],[Complexidade]],Auxiliar!$D$4:$F$4,0))</f>
        <v>0.5</v>
      </c>
      <c r="P893" s="22" t="s">
        <v>1216</v>
      </c>
      <c r="Q893" s="2"/>
      <c r="R893" s="151">
        <v>45563</v>
      </c>
      <c r="S893" s="151"/>
      <c r="T893" s="151">
        <v>45563</v>
      </c>
      <c r="U893" s="151">
        <v>45603</v>
      </c>
      <c r="V893" s="151">
        <v>45604</v>
      </c>
      <c r="W893" s="2">
        <f>VLOOKUP(Table1[[#This Row],[Status]],Auxiliar!$B$16:$D$24,3,0)*Table1[[#This Row],[Estimação (horas)]]</f>
        <v>0.125</v>
      </c>
      <c r="X893" s="166">
        <f>+VLOOKUP(CONCATENATE(Table1[[#This Row],[Tabela]],Table1[[#This Row],[Campo]]),'2. Status Detalhe Campos FY24'!A:J,9,FALSE)</f>
        <v>0</v>
      </c>
    </row>
    <row r="894" spans="2:24" ht="17.850000000000001" hidden="1" customHeight="1">
      <c r="B894" s="2" t="s">
        <v>26</v>
      </c>
      <c r="C894" s="2" t="s">
        <v>181</v>
      </c>
      <c r="D894" s="2" t="s">
        <v>1214</v>
      </c>
      <c r="E894" s="2" t="s">
        <v>38</v>
      </c>
      <c r="F894" s="2" t="s">
        <v>2102</v>
      </c>
      <c r="G894" s="2" t="s">
        <v>283</v>
      </c>
      <c r="H894" s="56" t="str">
        <f>Table1[[#This Row],[Tabela]]&amp;Table1[[#This Row],[Campo]]</f>
        <v>modesg_param_sfics_taxon_europeiaflg_rsc_fsc_crnc</v>
      </c>
      <c r="I894" s="2" t="s">
        <v>2325</v>
      </c>
      <c r="J894" s="42">
        <f>VLOOKUP(Table1[[#This Row],[Status]],Auxiliar!$B$16:$C$24,2,0)</f>
        <v>7</v>
      </c>
      <c r="K894" s="2" t="s">
        <v>1182</v>
      </c>
      <c r="L894" s="28" t="s">
        <v>641</v>
      </c>
      <c r="M894" s="20" t="s">
        <v>1179</v>
      </c>
      <c r="N894" s="47">
        <v>45695</v>
      </c>
      <c r="O894" s="20">
        <f>INDEX(Auxiliar!$D$5:$F$13,MATCH(Table1[[#This Row],[Tipologia_Testes]],Auxiliar!$B$5:$B$13,0),MATCH(Table1[[#This Row],[Complexidade]],Auxiliar!$D$4:$F$4,0))</f>
        <v>0.5</v>
      </c>
      <c r="P894" s="2" t="s">
        <v>1219</v>
      </c>
      <c r="Q894" s="2"/>
      <c r="R894" s="151">
        <v>45563</v>
      </c>
      <c r="S894" s="151"/>
      <c r="T894" s="151">
        <v>45563</v>
      </c>
      <c r="U894" s="151">
        <v>45603</v>
      </c>
      <c r="V894" s="151">
        <v>45604</v>
      </c>
      <c r="W894" s="2">
        <f>VLOOKUP(Table1[[#This Row],[Status]],Auxiliar!$B$16:$D$24,3,0)*Table1[[#This Row],[Estimação (horas)]]</f>
        <v>0.125</v>
      </c>
      <c r="X894" s="166">
        <f>+VLOOKUP(CONCATENATE(Table1[[#This Row],[Tabela]],Table1[[#This Row],[Campo]]),'2. Status Detalhe Campos FY24'!A:J,9,FALSE)</f>
        <v>0</v>
      </c>
    </row>
    <row r="895" spans="2:24" ht="17.850000000000001" hidden="1" customHeight="1">
      <c r="B895" s="2" t="s">
        <v>26</v>
      </c>
      <c r="C895" s="2" t="s">
        <v>181</v>
      </c>
      <c r="D895" s="2" t="s">
        <v>1214</v>
      </c>
      <c r="E895" s="2" t="s">
        <v>38</v>
      </c>
      <c r="F895" s="2" t="s">
        <v>2102</v>
      </c>
      <c r="G895" s="2" t="s">
        <v>283</v>
      </c>
      <c r="H895" s="56" t="str">
        <f>Table1[[#This Row],[Tabela]]&amp;Table1[[#This Row],[Campo]]</f>
        <v>modesg_param_sfics_taxon_europeiaflg_rsc_fsc_crnc</v>
      </c>
      <c r="I895" s="2" t="s">
        <v>2325</v>
      </c>
      <c r="J895" s="54">
        <f>VLOOKUP(Table1[[#This Row],[Status]],Auxiliar!$B$16:$C$24,2,0)</f>
        <v>7</v>
      </c>
      <c r="K895" s="2" t="s">
        <v>1174</v>
      </c>
      <c r="L895" s="28" t="s">
        <v>1177</v>
      </c>
      <c r="M895" s="20" t="s">
        <v>1178</v>
      </c>
      <c r="N895" s="47">
        <v>45695</v>
      </c>
      <c r="O895" s="20">
        <f>INDEX(Auxiliar!$D$5:$F$13,MATCH(Table1[[#This Row],[Tipologia_Testes]],Auxiliar!$B$5:$B$13,0),MATCH(Table1[[#This Row],[Complexidade]],Auxiliar!$D$4:$F$4,0))</f>
        <v>0.1</v>
      </c>
      <c r="P895" s="2"/>
      <c r="Q895" s="2"/>
      <c r="R895" s="151">
        <v>45563</v>
      </c>
      <c r="S895" s="151"/>
      <c r="T895" s="151">
        <v>45563</v>
      </c>
      <c r="U895" s="151">
        <v>45603</v>
      </c>
      <c r="V895" s="151">
        <v>45604</v>
      </c>
      <c r="W895" s="2">
        <f>VLOOKUP(Table1[[#This Row],[Status]],Auxiliar!$B$16:$D$24,3,0)*Table1[[#This Row],[Estimação (horas)]]</f>
        <v>2.5000000000000001E-2</v>
      </c>
      <c r="X895" s="166">
        <f>+VLOOKUP(CONCATENATE(Table1[[#This Row],[Tabela]],Table1[[#This Row],[Campo]]),'2. Status Detalhe Campos FY24'!A:J,9,FALSE)</f>
        <v>0</v>
      </c>
    </row>
    <row r="896" spans="2:24" ht="17.850000000000001" hidden="1" customHeight="1">
      <c r="B896" s="2" t="s">
        <v>26</v>
      </c>
      <c r="C896" s="2" t="s">
        <v>181</v>
      </c>
      <c r="D896" s="2" t="s">
        <v>1214</v>
      </c>
      <c r="E896" s="2" t="s">
        <v>38</v>
      </c>
      <c r="F896" s="2" t="s">
        <v>2102</v>
      </c>
      <c r="G896" s="2" t="s">
        <v>282</v>
      </c>
      <c r="H896" s="56" t="str">
        <f>Table1[[#This Row],[Tabela]]&amp;Table1[[#This Row],[Campo]]</f>
        <v>modesg_param_sfics_taxon_europeiaflg_rsc_fsc_agd</v>
      </c>
      <c r="I896" s="2" t="s">
        <v>2325</v>
      </c>
      <c r="J896" s="42">
        <f>VLOOKUP(Table1[[#This Row],[Status]],Auxiliar!$B$16:$C$24,2,0)</f>
        <v>7</v>
      </c>
      <c r="K896" s="2" t="s">
        <v>1182</v>
      </c>
      <c r="L896" s="28" t="s">
        <v>1177</v>
      </c>
      <c r="M896" s="20" t="s">
        <v>1178</v>
      </c>
      <c r="N896" s="47">
        <v>45695</v>
      </c>
      <c r="O896" s="20">
        <f>INDEX(Auxiliar!$D$5:$F$13,MATCH(Table1[[#This Row],[Tipologia_Testes]],Auxiliar!$B$5:$B$13,0),MATCH(Table1[[#This Row],[Complexidade]],Auxiliar!$D$4:$F$4,0))</f>
        <v>0.5</v>
      </c>
      <c r="P896" s="2"/>
      <c r="Q896" s="2"/>
      <c r="R896" s="151">
        <v>45563</v>
      </c>
      <c r="S896" s="151"/>
      <c r="T896" s="151">
        <v>45563</v>
      </c>
      <c r="U896" s="151">
        <v>45603</v>
      </c>
      <c r="V896" s="151">
        <v>45604</v>
      </c>
      <c r="W896" s="2">
        <f>VLOOKUP(Table1[[#This Row],[Status]],Auxiliar!$B$16:$D$24,3,0)*Table1[[#This Row],[Estimação (horas)]]</f>
        <v>0.125</v>
      </c>
      <c r="X896" s="166">
        <f>+VLOOKUP(CONCATENATE(Table1[[#This Row],[Tabela]],Table1[[#This Row],[Campo]]),'2. Status Detalhe Campos FY24'!A:J,9,FALSE)</f>
        <v>0</v>
      </c>
    </row>
    <row r="897" spans="2:24" ht="17.850000000000001" hidden="1" customHeight="1">
      <c r="B897" s="2" t="s">
        <v>26</v>
      </c>
      <c r="C897" s="2" t="s">
        <v>181</v>
      </c>
      <c r="D897" s="2" t="s">
        <v>1214</v>
      </c>
      <c r="E897" s="2" t="s">
        <v>38</v>
      </c>
      <c r="F897" s="2" t="s">
        <v>2102</v>
      </c>
      <c r="G897" s="2" t="s">
        <v>282</v>
      </c>
      <c r="H897" s="56" t="str">
        <f>Table1[[#This Row],[Tabela]]&amp;Table1[[#This Row],[Campo]]</f>
        <v>modesg_param_sfics_taxon_europeiaflg_rsc_fsc_agd</v>
      </c>
      <c r="I897" s="2" t="s">
        <v>2325</v>
      </c>
      <c r="J897" s="54">
        <f>VLOOKUP(Table1[[#This Row],[Status]],Auxiliar!$B$16:$C$24,2,0)</f>
        <v>7</v>
      </c>
      <c r="K897" s="2" t="s">
        <v>1174</v>
      </c>
      <c r="L897" s="28" t="s">
        <v>1177</v>
      </c>
      <c r="M897" s="20" t="s">
        <v>1178</v>
      </c>
      <c r="N897" s="47">
        <v>45695</v>
      </c>
      <c r="O897" s="20">
        <f>INDEX(Auxiliar!$D$5:$F$13,MATCH(Table1[[#This Row],[Tipologia_Testes]],Auxiliar!$B$5:$B$13,0),MATCH(Table1[[#This Row],[Complexidade]],Auxiliar!$D$4:$F$4,0))</f>
        <v>0.1</v>
      </c>
      <c r="P897" s="2" t="s">
        <v>1197</v>
      </c>
      <c r="Q897" s="2"/>
      <c r="R897" s="151">
        <v>45561</v>
      </c>
      <c r="S897" s="151"/>
      <c r="T897" s="151">
        <v>45561</v>
      </c>
      <c r="U897" s="151"/>
      <c r="V897" s="151"/>
      <c r="W897" s="2">
        <f>VLOOKUP(Table1[[#This Row],[Status]],Auxiliar!$B$16:$D$24,3,0)*Table1[[#This Row],[Estimação (horas)]]</f>
        <v>2.5000000000000001E-2</v>
      </c>
      <c r="X897" s="166">
        <f>+VLOOKUP(CONCATENATE(Table1[[#This Row],[Tabela]],Table1[[#This Row],[Campo]]),'2. Status Detalhe Campos FY24'!A:J,9,FALSE)</f>
        <v>0</v>
      </c>
    </row>
    <row r="898" spans="2:24" ht="17.850000000000001" hidden="1" customHeight="1">
      <c r="B898" s="2" t="s">
        <v>26</v>
      </c>
      <c r="C898" s="2" t="s">
        <v>181</v>
      </c>
      <c r="D898" s="2" t="s">
        <v>1214</v>
      </c>
      <c r="E898" s="2" t="s">
        <v>38</v>
      </c>
      <c r="F898" s="2" t="s">
        <v>2102</v>
      </c>
      <c r="G898" s="27" t="s">
        <v>2407</v>
      </c>
      <c r="H898" s="56" t="str">
        <f>Table1[[#This Row],[Tabela]]&amp;Table1[[#This Row],[Campo]]</f>
        <v>modesg_param_sfics_taxon_europeianet_floor_area</v>
      </c>
      <c r="I898" s="2" t="s">
        <v>2325</v>
      </c>
      <c r="J898" s="42">
        <f>VLOOKUP(Table1[[#This Row],[Status]],Auxiliar!$B$16:$C$24,2,0)</f>
        <v>7</v>
      </c>
      <c r="K898" s="2" t="s">
        <v>1182</v>
      </c>
      <c r="L898" s="28" t="s">
        <v>641</v>
      </c>
      <c r="M898" s="20" t="s">
        <v>1178</v>
      </c>
      <c r="N898" s="47">
        <v>45695</v>
      </c>
      <c r="O898" s="20">
        <f>INDEX(Auxiliar!$D$5:$F$13,MATCH(Table1[[#This Row],[Tipologia_Testes]],Auxiliar!$B$5:$B$13,0),MATCH(Table1[[#This Row],[Complexidade]],Auxiliar!$D$4:$F$4,0))</f>
        <v>0.5</v>
      </c>
      <c r="P898" s="2"/>
      <c r="Q898" s="2"/>
      <c r="R898" s="151">
        <v>45563</v>
      </c>
      <c r="S898" s="151"/>
      <c r="T898" s="151">
        <v>45563</v>
      </c>
      <c r="U898" s="151">
        <v>45603</v>
      </c>
      <c r="V898" s="151">
        <v>45604</v>
      </c>
      <c r="W898" s="2">
        <f>VLOOKUP(Table1[[#This Row],[Status]],Auxiliar!$B$16:$D$24,3,0)*Table1[[#This Row],[Estimação (horas)]]</f>
        <v>0.125</v>
      </c>
      <c r="X898" s="166">
        <f>+VLOOKUP(CONCATENATE(Table1[[#This Row],[Tabela]],Table1[[#This Row],[Campo]]),'2. Status Detalhe Campos FY24'!A:J,9,FALSE)</f>
        <v>0</v>
      </c>
    </row>
    <row r="899" spans="2:24" ht="17.850000000000001" hidden="1" customHeight="1">
      <c r="B899" s="2" t="s">
        <v>26</v>
      </c>
      <c r="C899" s="2" t="s">
        <v>181</v>
      </c>
      <c r="D899" s="2" t="s">
        <v>1214</v>
      </c>
      <c r="E899" s="2" t="s">
        <v>38</v>
      </c>
      <c r="F899" s="2" t="s">
        <v>2102</v>
      </c>
      <c r="G899" s="27" t="s">
        <v>2407</v>
      </c>
      <c r="H899" s="56" t="str">
        <f>Table1[[#This Row],[Tabela]]&amp;Table1[[#This Row],[Campo]]</f>
        <v>modesg_param_sfics_taxon_europeianet_floor_area</v>
      </c>
      <c r="I899" s="2" t="s">
        <v>2325</v>
      </c>
      <c r="J899" s="54">
        <f>VLOOKUP(Table1[[#This Row],[Status]],Auxiliar!$B$16:$C$24,2,0)</f>
        <v>7</v>
      </c>
      <c r="K899" s="2" t="s">
        <v>1174</v>
      </c>
      <c r="L899" s="28" t="s">
        <v>1177</v>
      </c>
      <c r="M899" s="20" t="s">
        <v>1178</v>
      </c>
      <c r="N899" s="47">
        <v>45695</v>
      </c>
      <c r="O899" s="20">
        <f>INDEX(Auxiliar!$D$5:$F$13,MATCH(Table1[[#This Row],[Tipologia_Testes]],Auxiliar!$B$5:$B$13,0),MATCH(Table1[[#This Row],[Complexidade]],Auxiliar!$D$4:$F$4,0))</f>
        <v>0.1</v>
      </c>
      <c r="P899" s="2"/>
      <c r="Q899" s="2"/>
      <c r="R899" s="151">
        <v>45563</v>
      </c>
      <c r="S899" s="151"/>
      <c r="T899" s="151">
        <v>45563</v>
      </c>
      <c r="U899" s="151">
        <v>45603</v>
      </c>
      <c r="V899" s="151">
        <v>45604</v>
      </c>
      <c r="W899" s="2">
        <f>VLOOKUP(Table1[[#This Row],[Status]],Auxiliar!$B$16:$D$24,3,0)*Table1[[#This Row],[Estimação (horas)]]</f>
        <v>2.5000000000000001E-2</v>
      </c>
      <c r="X899" s="166">
        <f>+VLOOKUP(CONCATENATE(Table1[[#This Row],[Tabela]],Table1[[#This Row],[Campo]]),'2. Status Detalhe Campos FY24'!A:J,9,FALSE)</f>
        <v>0</v>
      </c>
    </row>
    <row r="900" spans="2:24" ht="17.850000000000001" hidden="1" customHeight="1">
      <c r="B900" s="2" t="s">
        <v>26</v>
      </c>
      <c r="C900" s="2" t="s">
        <v>181</v>
      </c>
      <c r="D900" s="2" t="s">
        <v>1214</v>
      </c>
      <c r="E900" s="2" t="s">
        <v>38</v>
      </c>
      <c r="F900" s="2" t="s">
        <v>2102</v>
      </c>
      <c r="G900" s="27" t="s">
        <v>2065</v>
      </c>
      <c r="H900" s="56" t="str">
        <f>Table1[[#This Row],[Tabela]]&amp;Table1[[#This Row],[Campo]]</f>
        <v>modesg_param_sfics_taxon_europeianome_purpose_esg_nalinh_tax</v>
      </c>
      <c r="I900" s="2" t="s">
        <v>2325</v>
      </c>
      <c r="J900" s="42">
        <f>VLOOKUP(Table1[[#This Row],[Status]],Auxiliar!$B$16:$C$24,2,0)</f>
        <v>7</v>
      </c>
      <c r="K900" s="2" t="s">
        <v>1182</v>
      </c>
      <c r="L900" s="28" t="s">
        <v>1177</v>
      </c>
      <c r="M900" s="20" t="s">
        <v>1178</v>
      </c>
      <c r="N900" s="47">
        <v>45695</v>
      </c>
      <c r="O900" s="20">
        <f>INDEX(Auxiliar!$D$5:$F$13,MATCH(Table1[[#This Row],[Tipologia_Testes]],Auxiliar!$B$5:$B$13,0),MATCH(Table1[[#This Row],[Complexidade]],Auxiliar!$D$4:$F$4,0))</f>
        <v>0.5</v>
      </c>
      <c r="P900" s="2"/>
      <c r="Q900" s="2"/>
      <c r="R900" s="151">
        <v>45563</v>
      </c>
      <c r="S900" s="151"/>
      <c r="T900" s="151">
        <v>45563</v>
      </c>
      <c r="U900" s="151">
        <v>45603</v>
      </c>
      <c r="V900" s="151">
        <v>45604</v>
      </c>
      <c r="W900" s="2">
        <f>VLOOKUP(Table1[[#This Row],[Status]],Auxiliar!$B$16:$D$24,3,0)*Table1[[#This Row],[Estimação (horas)]]</f>
        <v>0.125</v>
      </c>
      <c r="X900" s="166">
        <f>+VLOOKUP(CONCATENATE(Table1[[#This Row],[Tabela]],Table1[[#This Row],[Campo]]),'2. Status Detalhe Campos FY24'!A:J,9,FALSE)</f>
        <v>0</v>
      </c>
    </row>
    <row r="901" spans="2:24" ht="17.850000000000001" hidden="1" customHeight="1">
      <c r="B901" s="2" t="s">
        <v>26</v>
      </c>
      <c r="C901" s="2" t="s">
        <v>181</v>
      </c>
      <c r="D901" s="2" t="s">
        <v>1214</v>
      </c>
      <c r="E901" s="2" t="s">
        <v>38</v>
      </c>
      <c r="F901" s="2" t="s">
        <v>2102</v>
      </c>
      <c r="G901" s="27" t="s">
        <v>2065</v>
      </c>
      <c r="H901" s="56" t="str">
        <f>Table1[[#This Row],[Tabela]]&amp;Table1[[#This Row],[Campo]]</f>
        <v>modesg_param_sfics_taxon_europeianome_purpose_esg_nalinh_tax</v>
      </c>
      <c r="I901" s="2" t="s">
        <v>2325</v>
      </c>
      <c r="J901" s="54">
        <f>VLOOKUP(Table1[[#This Row],[Status]],Auxiliar!$B$16:$C$24,2,0)</f>
        <v>7</v>
      </c>
      <c r="K901" s="2" t="s">
        <v>1174</v>
      </c>
      <c r="L901" s="28" t="s">
        <v>1177</v>
      </c>
      <c r="M901" s="20" t="s">
        <v>1178</v>
      </c>
      <c r="N901" s="47">
        <v>45695</v>
      </c>
      <c r="O901" s="20">
        <f>INDEX(Auxiliar!$D$5:$F$13,MATCH(Table1[[#This Row],[Tipologia_Testes]],Auxiliar!$B$5:$B$13,0),MATCH(Table1[[#This Row],[Complexidade]],Auxiliar!$D$4:$F$4,0))</f>
        <v>0.1</v>
      </c>
      <c r="P901" s="2" t="s">
        <v>1197</v>
      </c>
      <c r="Q901" s="2"/>
      <c r="R901" s="151">
        <v>45561</v>
      </c>
      <c r="S901" s="151"/>
      <c r="T901" s="151">
        <v>45561</v>
      </c>
      <c r="U901" s="151"/>
      <c r="V901" s="151"/>
      <c r="W901" s="2">
        <f>VLOOKUP(Table1[[#This Row],[Status]],Auxiliar!$B$16:$D$24,3,0)*Table1[[#This Row],[Estimação (horas)]]</f>
        <v>2.5000000000000001E-2</v>
      </c>
      <c r="X901" s="166">
        <f>+VLOOKUP(CONCATENATE(Table1[[#This Row],[Tabela]],Table1[[#This Row],[Campo]]),'2. Status Detalhe Campos FY24'!A:J,9,FALSE)</f>
        <v>0</v>
      </c>
    </row>
    <row r="902" spans="2:24" ht="17.850000000000001" hidden="1" customHeight="1">
      <c r="B902" s="2" t="s">
        <v>26</v>
      </c>
      <c r="C902" s="2" t="s">
        <v>181</v>
      </c>
      <c r="D902" s="2" t="s">
        <v>1214</v>
      </c>
      <c r="E902" s="2" t="s">
        <v>38</v>
      </c>
      <c r="F902" s="2" t="s">
        <v>2102</v>
      </c>
      <c r="G902" s="27" t="s">
        <v>2064</v>
      </c>
      <c r="H902" s="56" t="str">
        <f>Table1[[#This Row],[Tabela]]&amp;Table1[[#This Row],[Campo]]</f>
        <v>modesg_param_sfics_taxon_europeianome_purpose_esg_alinh_tax</v>
      </c>
      <c r="I902" s="2" t="s">
        <v>2325</v>
      </c>
      <c r="J902" s="42">
        <f>VLOOKUP(Table1[[#This Row],[Status]],Auxiliar!$B$16:$C$24,2,0)</f>
        <v>7</v>
      </c>
      <c r="K902" s="2" t="s">
        <v>1182</v>
      </c>
      <c r="L902" s="28" t="s">
        <v>1177</v>
      </c>
      <c r="M902" s="20" t="s">
        <v>1178</v>
      </c>
      <c r="N902" s="47">
        <v>45695</v>
      </c>
      <c r="O902" s="20">
        <f>INDEX(Auxiliar!$D$5:$F$13,MATCH(Table1[[#This Row],[Tipologia_Testes]],Auxiliar!$B$5:$B$13,0),MATCH(Table1[[#This Row],[Complexidade]],Auxiliar!$D$4:$F$4,0))</f>
        <v>0.5</v>
      </c>
      <c r="P902" s="22" t="s">
        <v>1220</v>
      </c>
      <c r="Q902" s="2"/>
      <c r="R902" s="151">
        <v>45261</v>
      </c>
      <c r="S902" s="151"/>
      <c r="T902" s="151">
        <v>45563</v>
      </c>
      <c r="U902" s="151">
        <v>45603</v>
      </c>
      <c r="V902" s="151">
        <v>45604</v>
      </c>
      <c r="W902" s="2">
        <f>VLOOKUP(Table1[[#This Row],[Status]],Auxiliar!$B$16:$D$24,3,0)*Table1[[#This Row],[Estimação (horas)]]</f>
        <v>0.125</v>
      </c>
      <c r="X902" s="166">
        <f>+VLOOKUP(CONCATENATE(Table1[[#This Row],[Tabela]],Table1[[#This Row],[Campo]]),'2. Status Detalhe Campos FY24'!A:J,9,FALSE)</f>
        <v>0</v>
      </c>
    </row>
    <row r="903" spans="2:24" ht="17.850000000000001" hidden="1" customHeight="1">
      <c r="B903" s="2" t="s">
        <v>26</v>
      </c>
      <c r="C903" s="2" t="s">
        <v>181</v>
      </c>
      <c r="D903" s="2" t="s">
        <v>1214</v>
      </c>
      <c r="E903" s="2" t="s">
        <v>38</v>
      </c>
      <c r="F903" s="2" t="s">
        <v>2102</v>
      </c>
      <c r="G903" s="27" t="s">
        <v>2064</v>
      </c>
      <c r="H903" s="56" t="str">
        <f>Table1[[#This Row],[Tabela]]&amp;Table1[[#This Row],[Campo]]</f>
        <v>modesg_param_sfics_taxon_europeianome_purpose_esg_alinh_tax</v>
      </c>
      <c r="I903" s="2" t="s">
        <v>2325</v>
      </c>
      <c r="J903" s="54">
        <f>VLOOKUP(Table1[[#This Row],[Status]],Auxiliar!$B$16:$C$24,2,0)</f>
        <v>7</v>
      </c>
      <c r="K903" s="2" t="s">
        <v>1174</v>
      </c>
      <c r="L903" s="28" t="s">
        <v>1177</v>
      </c>
      <c r="M903" s="20" t="s">
        <v>1178</v>
      </c>
      <c r="N903" s="47">
        <v>45695</v>
      </c>
      <c r="O903" s="20">
        <f>INDEX(Auxiliar!$D$5:$F$13,MATCH(Table1[[#This Row],[Tipologia_Testes]],Auxiliar!$B$5:$B$13,0),MATCH(Table1[[#This Row],[Complexidade]],Auxiliar!$D$4:$F$4,0))</f>
        <v>0.1</v>
      </c>
      <c r="P903" s="2" t="s">
        <v>1197</v>
      </c>
      <c r="Q903" s="2"/>
      <c r="R903" s="151">
        <v>45561</v>
      </c>
      <c r="S903" s="151"/>
      <c r="T903" s="151">
        <v>45561</v>
      </c>
      <c r="U903" s="151"/>
      <c r="V903" s="151"/>
      <c r="W903" s="2">
        <f>VLOOKUP(Table1[[#This Row],[Status]],Auxiliar!$B$16:$D$24,3,0)*Table1[[#This Row],[Estimação (horas)]]</f>
        <v>2.5000000000000001E-2</v>
      </c>
      <c r="X903" s="166">
        <f>+VLOOKUP(CONCATENATE(Table1[[#This Row],[Tabela]],Table1[[#This Row],[Campo]]),'2. Status Detalhe Campos FY24'!A:J,9,FALSE)</f>
        <v>0</v>
      </c>
    </row>
    <row r="904" spans="2:24" ht="17.850000000000001" hidden="1" customHeight="1">
      <c r="B904" s="2" t="s">
        <v>26</v>
      </c>
      <c r="C904" s="2" t="s">
        <v>181</v>
      </c>
      <c r="D904" s="2" t="s">
        <v>1214</v>
      </c>
      <c r="E904" s="2" t="s">
        <v>38</v>
      </c>
      <c r="F904" s="2" t="s">
        <v>2102</v>
      </c>
      <c r="G904" s="2" t="s">
        <v>2416</v>
      </c>
      <c r="H904" s="56" t="str">
        <f>Table1[[#This Row],[Tabela]]&amp;Table1[[#This Row],[Campo]]</f>
        <v>modesg_param_sfics_taxon_europeiacgarante_bem</v>
      </c>
      <c r="I904" s="2" t="s">
        <v>2325</v>
      </c>
      <c r="J904" s="54">
        <f>VLOOKUP(Table1[[#This Row],[Status]],Auxiliar!$B$16:$C$24,2,0)</f>
        <v>7</v>
      </c>
      <c r="K904" s="2" t="s">
        <v>1174</v>
      </c>
      <c r="L904" s="28"/>
      <c r="M904" s="20"/>
      <c r="N904" s="47">
        <v>45695</v>
      </c>
      <c r="O904" s="20" t="e">
        <f>INDEX(Auxiliar!$D$5:$F$11,MATCH(Table1[[#This Row],[Tipologia_Testes]],Auxiliar!$B$5:$B$11,0),MATCH(Table1[[#This Row],[Complexidade]],Auxiliar!$D$4:$F$4,0))</f>
        <v>#N/A</v>
      </c>
      <c r="P904" s="2"/>
      <c r="Q904" s="2"/>
      <c r="R904" s="151"/>
      <c r="S904" s="151"/>
      <c r="T904" s="151"/>
      <c r="U904" s="151"/>
      <c r="V904" s="151"/>
      <c r="W904" s="2" t="e">
        <f>VLOOKUP(Table1[[#This Row],[Status]],Auxiliar!$B$16:$D$24,3,0)*Table1[[#This Row],[Estimação (horas)]]</f>
        <v>#N/A</v>
      </c>
      <c r="X904" s="166">
        <f>+VLOOKUP(CONCATENATE(Table1[[#This Row],[Tabela]],Table1[[#This Row],[Campo]]),'2. Status Detalhe Campos FY24'!A:J,9,FALSE)</f>
        <v>0</v>
      </c>
    </row>
    <row r="905" spans="2:24" ht="17.850000000000001" hidden="1" customHeight="1">
      <c r="B905" s="2" t="s">
        <v>26</v>
      </c>
      <c r="C905" s="2" t="s">
        <v>181</v>
      </c>
      <c r="D905" s="2" t="s">
        <v>1214</v>
      </c>
      <c r="E905" s="2" t="s">
        <v>38</v>
      </c>
      <c r="F905" s="2" t="s">
        <v>2102</v>
      </c>
      <c r="G905" s="27" t="s">
        <v>204</v>
      </c>
      <c r="H905" s="56" t="str">
        <f>Table1[[#This Row],[Tabela]]&amp;Table1[[#This Row],[Campo]]</f>
        <v>modesg_param_sfics_taxon_europeianome_general_specific_purpose</v>
      </c>
      <c r="I905" s="2" t="s">
        <v>2325</v>
      </c>
      <c r="J905" s="42">
        <f>VLOOKUP(Table1[[#This Row],[Status]],Auxiliar!$B$16:$C$24,2,0)</f>
        <v>7</v>
      </c>
      <c r="K905" s="2" t="s">
        <v>1182</v>
      </c>
      <c r="L905" s="28" t="s">
        <v>1177</v>
      </c>
      <c r="M905" s="20" t="s">
        <v>1178</v>
      </c>
      <c r="N905" s="47">
        <v>45695</v>
      </c>
      <c r="O905" s="20">
        <f>INDEX(Auxiliar!$D$5:$F$13,MATCH(Table1[[#This Row],[Tipologia_Testes]],Auxiliar!$B$5:$B$13,0),MATCH(Table1[[#This Row],[Complexidade]],Auxiliar!$D$4:$F$4,0))</f>
        <v>0.5</v>
      </c>
      <c r="P905" s="22" t="s">
        <v>1220</v>
      </c>
      <c r="Q905" s="2"/>
      <c r="R905" s="151">
        <v>45261</v>
      </c>
      <c r="S905" s="151"/>
      <c r="T905" s="151">
        <v>45563</v>
      </c>
      <c r="U905" s="151">
        <v>45603</v>
      </c>
      <c r="V905" s="151">
        <v>45604</v>
      </c>
      <c r="W905" s="2">
        <f>VLOOKUP(Table1[[#This Row],[Status]],Auxiliar!$B$16:$D$24,3,0)*Table1[[#This Row],[Estimação (horas)]]</f>
        <v>0.125</v>
      </c>
      <c r="X905" s="166">
        <f>+VLOOKUP(CONCATENATE(Table1[[#This Row],[Tabela]],Table1[[#This Row],[Campo]]),'2. Status Detalhe Campos FY24'!A:J,9,FALSE)</f>
        <v>0</v>
      </c>
    </row>
    <row r="906" spans="2:24" ht="17.850000000000001" hidden="1" customHeight="1">
      <c r="B906" s="2" t="s">
        <v>26</v>
      </c>
      <c r="C906" s="2" t="s">
        <v>181</v>
      </c>
      <c r="D906" s="2" t="s">
        <v>1214</v>
      </c>
      <c r="E906" s="2" t="s">
        <v>38</v>
      </c>
      <c r="F906" s="2" t="s">
        <v>2102</v>
      </c>
      <c r="G906" s="27" t="s">
        <v>204</v>
      </c>
      <c r="H906" s="56" t="str">
        <f>Table1[[#This Row],[Tabela]]&amp;Table1[[#This Row],[Campo]]</f>
        <v>modesg_param_sfics_taxon_europeianome_general_specific_purpose</v>
      </c>
      <c r="I906" s="2" t="s">
        <v>2325</v>
      </c>
      <c r="J906" s="54">
        <f>VLOOKUP(Table1[[#This Row],[Status]],Auxiliar!$B$16:$C$24,2,0)</f>
        <v>7</v>
      </c>
      <c r="K906" s="2" t="s">
        <v>1174</v>
      </c>
      <c r="L906" s="28" t="s">
        <v>1177</v>
      </c>
      <c r="M906" s="20" t="s">
        <v>1178</v>
      </c>
      <c r="N906" s="47">
        <v>45695</v>
      </c>
      <c r="O906" s="20">
        <f>INDEX(Auxiliar!$D$5:$F$13,MATCH(Table1[[#This Row],[Tipologia_Testes]],Auxiliar!$B$5:$B$13,0),MATCH(Table1[[#This Row],[Complexidade]],Auxiliar!$D$4:$F$4,0))</f>
        <v>0.1</v>
      </c>
      <c r="P906" s="2" t="s">
        <v>1197</v>
      </c>
      <c r="Q906" s="2"/>
      <c r="R906" s="151">
        <v>45561</v>
      </c>
      <c r="S906" s="151"/>
      <c r="T906" s="151">
        <v>45561</v>
      </c>
      <c r="U906" s="151"/>
      <c r="V906" s="151"/>
      <c r="W906" s="2">
        <f>VLOOKUP(Table1[[#This Row],[Status]],Auxiliar!$B$16:$D$24,3,0)*Table1[[#This Row],[Estimação (horas)]]</f>
        <v>2.5000000000000001E-2</v>
      </c>
      <c r="X906" s="166">
        <f>+VLOOKUP(CONCATENATE(Table1[[#This Row],[Tabela]],Table1[[#This Row],[Campo]]),'2. Status Detalhe Campos FY24'!A:J,9,FALSE)</f>
        <v>0</v>
      </c>
    </row>
    <row r="907" spans="2:24" ht="17.850000000000001" hidden="1" customHeight="1">
      <c r="B907" s="2" t="s">
        <v>26</v>
      </c>
      <c r="C907" s="2" t="s">
        <v>181</v>
      </c>
      <c r="D907" s="2" t="s">
        <v>1214</v>
      </c>
      <c r="E907" s="2" t="s">
        <v>38</v>
      </c>
      <c r="F907" s="2" t="s">
        <v>2102</v>
      </c>
      <c r="G907" s="27" t="s">
        <v>206</v>
      </c>
      <c r="H907" s="56" t="str">
        <f>Table1[[#This Row],[Tabela]]&amp;Table1[[#This Row],[Campo]]</f>
        <v>modesg_param_sfics_taxon_europeianome_specific_eligible</v>
      </c>
      <c r="I907" s="2" t="s">
        <v>2325</v>
      </c>
      <c r="J907" s="42">
        <f>VLOOKUP(Table1[[#This Row],[Status]],Auxiliar!$B$16:$C$24,2,0)</f>
        <v>7</v>
      </c>
      <c r="K907" s="2" t="s">
        <v>1182</v>
      </c>
      <c r="L907" s="28" t="s">
        <v>1177</v>
      </c>
      <c r="M907" s="20" t="s">
        <v>1178</v>
      </c>
      <c r="N907" s="47">
        <v>45695</v>
      </c>
      <c r="O907" s="20">
        <f>INDEX(Auxiliar!$D$5:$F$13,MATCH(Table1[[#This Row],[Tipologia_Testes]],Auxiliar!$B$5:$B$13,0),MATCH(Table1[[#This Row],[Complexidade]],Auxiliar!$D$4:$F$4,0))</f>
        <v>0.5</v>
      </c>
      <c r="P907" s="2"/>
      <c r="Q907" s="2"/>
      <c r="R907" s="151">
        <v>45563</v>
      </c>
      <c r="S907" s="151"/>
      <c r="T907" s="151">
        <v>45563</v>
      </c>
      <c r="U907" s="151">
        <v>45603</v>
      </c>
      <c r="V907" s="151">
        <v>45604</v>
      </c>
      <c r="W907" s="2">
        <f>VLOOKUP(Table1[[#This Row],[Status]],Auxiliar!$B$16:$D$24,3,0)*Table1[[#This Row],[Estimação (horas)]]</f>
        <v>0.125</v>
      </c>
      <c r="X907" s="166">
        <f>+VLOOKUP(CONCATENATE(Table1[[#This Row],[Tabela]],Table1[[#This Row],[Campo]]),'2. Status Detalhe Campos FY24'!A:J,9,FALSE)</f>
        <v>0</v>
      </c>
    </row>
    <row r="908" spans="2:24" ht="17.850000000000001" hidden="1" customHeight="1">
      <c r="B908" s="2" t="s">
        <v>26</v>
      </c>
      <c r="C908" s="2" t="s">
        <v>181</v>
      </c>
      <c r="D908" s="2" t="s">
        <v>1214</v>
      </c>
      <c r="E908" s="2" t="s">
        <v>38</v>
      </c>
      <c r="F908" s="2" t="s">
        <v>2102</v>
      </c>
      <c r="G908" s="27" t="s">
        <v>206</v>
      </c>
      <c r="H908" s="56" t="str">
        <f>Table1[[#This Row],[Tabela]]&amp;Table1[[#This Row],[Campo]]</f>
        <v>modesg_param_sfics_taxon_europeianome_specific_eligible</v>
      </c>
      <c r="I908" s="2" t="s">
        <v>2325</v>
      </c>
      <c r="J908" s="54">
        <f>VLOOKUP(Table1[[#This Row],[Status]],Auxiliar!$B$16:$C$24,2,0)</f>
        <v>7</v>
      </c>
      <c r="K908" s="2" t="s">
        <v>1174</v>
      </c>
      <c r="L908" s="28"/>
      <c r="M908" s="20"/>
      <c r="N908" s="47">
        <v>45695</v>
      </c>
      <c r="O908" s="20" t="e">
        <f>INDEX(Auxiliar!$D$5:$F$11,MATCH(Table1[[#This Row],[Tipologia_Testes]],Auxiliar!$B$5:$B$11,0),MATCH(Table1[[#This Row],[Complexidade]],Auxiliar!$D$4:$F$4,0))</f>
        <v>#N/A</v>
      </c>
      <c r="P908" s="2"/>
      <c r="Q908" s="2"/>
      <c r="R908" s="151"/>
      <c r="S908" s="151"/>
      <c r="T908" s="151"/>
      <c r="U908" s="151"/>
      <c r="V908" s="151"/>
      <c r="W908" s="2" t="e">
        <f>VLOOKUP(Table1[[#This Row],[Status]],Auxiliar!$B$16:$D$24,3,0)*Table1[[#This Row],[Estimação (horas)]]</f>
        <v>#N/A</v>
      </c>
      <c r="X908" s="166">
        <f>+VLOOKUP(CONCATENATE(Table1[[#This Row],[Tabela]],Table1[[#This Row],[Campo]]),'2. Status Detalhe Campos FY24'!A:J,9,FALSE)</f>
        <v>0</v>
      </c>
    </row>
    <row r="909" spans="2:24" ht="17.850000000000001" hidden="1" customHeight="1">
      <c r="B909" s="2" t="s">
        <v>26</v>
      </c>
      <c r="C909" s="2" t="s">
        <v>181</v>
      </c>
      <c r="D909" s="2" t="s">
        <v>1214</v>
      </c>
      <c r="E909" s="2" t="s">
        <v>38</v>
      </c>
      <c r="F909" s="2" t="s">
        <v>2102</v>
      </c>
      <c r="G909" s="27" t="s">
        <v>207</v>
      </c>
      <c r="H909" s="56" t="str">
        <f>Table1[[#This Row],[Tabela]]&amp;Table1[[#This Row],[Campo]]</f>
        <v>modesg_param_sfics_taxon_europeianome_specific_sustainable</v>
      </c>
      <c r="I909" s="2" t="s">
        <v>2325</v>
      </c>
      <c r="J909" s="54">
        <f>VLOOKUP(Table1[[#This Row],[Status]],Auxiliar!$B$16:$C$24,2,0)</f>
        <v>7</v>
      </c>
      <c r="K909" s="2" t="s">
        <v>1182</v>
      </c>
      <c r="L909" s="28" t="s">
        <v>1177</v>
      </c>
      <c r="M909" s="20" t="s">
        <v>1178</v>
      </c>
      <c r="N909" s="47">
        <v>45695</v>
      </c>
      <c r="O909" s="20">
        <f>INDEX(Auxiliar!$D$5:$F$13,MATCH(Table1[[#This Row],[Tipologia_Testes]],Auxiliar!$B$5:$B$13,0),MATCH(Table1[[#This Row],[Complexidade]],Auxiliar!$D$4:$F$4,0))</f>
        <v>0.5</v>
      </c>
      <c r="P909" s="2"/>
      <c r="Q909" s="2"/>
      <c r="R909" s="151">
        <v>45261</v>
      </c>
      <c r="S909" s="151"/>
      <c r="T909" s="151"/>
      <c r="U909" s="151">
        <v>45603</v>
      </c>
      <c r="V909" s="151"/>
      <c r="W909" s="2">
        <f>VLOOKUP(Table1[[#This Row],[Status]],Auxiliar!$B$16:$D$24,3,0)*Table1[[#This Row],[Estimação (horas)]]</f>
        <v>0.125</v>
      </c>
      <c r="X909" s="166">
        <f>+VLOOKUP(CONCATENATE(Table1[[#This Row],[Tabela]],Table1[[#This Row],[Campo]]),'2. Status Detalhe Campos FY24'!A:J,9,FALSE)</f>
        <v>0</v>
      </c>
    </row>
    <row r="910" spans="2:24" ht="17.850000000000001" hidden="1" customHeight="1">
      <c r="B910" s="2" t="s">
        <v>26</v>
      </c>
      <c r="C910" s="2" t="s">
        <v>181</v>
      </c>
      <c r="D910" s="2" t="s">
        <v>1214</v>
      </c>
      <c r="E910" s="2" t="s">
        <v>38</v>
      </c>
      <c r="F910" s="2" t="s">
        <v>2102</v>
      </c>
      <c r="G910" s="27" t="s">
        <v>207</v>
      </c>
      <c r="H910" s="56" t="str">
        <f>Table1[[#This Row],[Tabela]]&amp;Table1[[#This Row],[Campo]]</f>
        <v>modesg_param_sfics_taxon_europeianome_specific_sustainable</v>
      </c>
      <c r="I910" s="2" t="s">
        <v>2325</v>
      </c>
      <c r="J910" s="54">
        <f>VLOOKUP(Table1[[#This Row],[Status]],Auxiliar!$B$16:$C$24,2,0)</f>
        <v>7</v>
      </c>
      <c r="K910" s="2" t="s">
        <v>1174</v>
      </c>
      <c r="L910" s="28"/>
      <c r="M910" s="20"/>
      <c r="N910" s="47">
        <v>45695</v>
      </c>
      <c r="O910" s="20" t="e">
        <f>INDEX(Auxiliar!$D$5:$F$11,MATCH(Table1[[#This Row],[Tipologia_Testes]],Auxiliar!$B$5:$B$11,0),MATCH(Table1[[#This Row],[Complexidade]],Auxiliar!$D$4:$F$4,0))</f>
        <v>#N/A</v>
      </c>
      <c r="P910" s="2"/>
      <c r="Q910" s="2"/>
      <c r="R910" s="151"/>
      <c r="S910" s="151"/>
      <c r="T910" s="151"/>
      <c r="U910" s="151"/>
      <c r="V910" s="151"/>
      <c r="W910" s="2" t="e">
        <f>VLOOKUP(Table1[[#This Row],[Status]],Auxiliar!$B$16:$D$24,3,0)*Table1[[#This Row],[Estimação (horas)]]</f>
        <v>#N/A</v>
      </c>
      <c r="X910" s="166">
        <f>+VLOOKUP(CONCATENATE(Table1[[#This Row],[Tabela]],Table1[[#This Row],[Campo]]),'2. Status Detalhe Campos FY24'!A:J,9,FALSE)</f>
        <v>0</v>
      </c>
    </row>
    <row r="911" spans="2:24" ht="17.850000000000001" hidden="1" customHeight="1">
      <c r="B911" s="2" t="s">
        <v>26</v>
      </c>
      <c r="C911" s="2" t="s">
        <v>181</v>
      </c>
      <c r="D911" s="2" t="s">
        <v>1214</v>
      </c>
      <c r="E911" s="2" t="s">
        <v>38</v>
      </c>
      <c r="F911" s="2" t="s">
        <v>2102</v>
      </c>
      <c r="G911" s="2" t="s">
        <v>2059</v>
      </c>
      <c r="H911" s="56" t="str">
        <f>Table1[[#This Row],[Tabela]]&amp;Table1[[#This Row],[Campo]]</f>
        <v>modesg_param_sfics_taxon_europeiaproperty_purpose_code</v>
      </c>
      <c r="I911" s="2" t="s">
        <v>2325</v>
      </c>
      <c r="J911" s="42">
        <f>VLOOKUP(Table1[[#This Row],[Status]],Auxiliar!$B$16:$C$24,2,0)</f>
        <v>7</v>
      </c>
      <c r="K911" s="2" t="s">
        <v>1182</v>
      </c>
      <c r="L911" s="28" t="s">
        <v>1177</v>
      </c>
      <c r="M911" s="20" t="s">
        <v>1178</v>
      </c>
      <c r="N911" s="47">
        <v>45695</v>
      </c>
      <c r="O911" s="20">
        <f>INDEX(Auxiliar!$D$5:$F$13,MATCH(Table1[[#This Row],[Tipologia_Testes]],Auxiliar!$B$5:$B$13,0),MATCH(Table1[[#This Row],[Complexidade]],Auxiliar!$D$4:$F$4,0))</f>
        <v>0.5</v>
      </c>
      <c r="P911" s="2"/>
      <c r="Q911" s="2"/>
      <c r="R911" s="151">
        <v>45561</v>
      </c>
      <c r="S911" s="151"/>
      <c r="T911" s="151">
        <v>45561</v>
      </c>
      <c r="U911" s="151">
        <v>45603</v>
      </c>
      <c r="V911" s="151">
        <v>45604</v>
      </c>
      <c r="W911" s="2">
        <f>VLOOKUP(Table1[[#This Row],[Status]],Auxiliar!$B$16:$D$24,3,0)*Table1[[#This Row],[Estimação (horas)]]</f>
        <v>0.125</v>
      </c>
      <c r="X911" s="166">
        <f>+VLOOKUP(CONCATENATE(Table1[[#This Row],[Tabela]],Table1[[#This Row],[Campo]]),'2. Status Detalhe Campos FY24'!A:J,9,FALSE)</f>
        <v>0</v>
      </c>
    </row>
    <row r="912" spans="2:24" ht="17.850000000000001" hidden="1" customHeight="1">
      <c r="B912" s="2" t="s">
        <v>26</v>
      </c>
      <c r="C912" s="2" t="s">
        <v>181</v>
      </c>
      <c r="D912" s="2" t="s">
        <v>1214</v>
      </c>
      <c r="E912" s="2" t="s">
        <v>38</v>
      </c>
      <c r="F912" s="2" t="s">
        <v>2102</v>
      </c>
      <c r="G912" s="2" t="s">
        <v>2059</v>
      </c>
      <c r="H912" s="56" t="str">
        <f>Table1[[#This Row],[Tabela]]&amp;Table1[[#This Row],[Campo]]</f>
        <v>modesg_param_sfics_taxon_europeiaproperty_purpose_code</v>
      </c>
      <c r="I912" s="2" t="s">
        <v>2325</v>
      </c>
      <c r="J912" s="54">
        <f>VLOOKUP(Table1[[#This Row],[Status]],Auxiliar!$B$16:$C$24,2,0)</f>
        <v>7</v>
      </c>
      <c r="K912" s="2" t="s">
        <v>1174</v>
      </c>
      <c r="L912" s="28"/>
      <c r="M912" s="20"/>
      <c r="N912" s="47">
        <v>45695</v>
      </c>
      <c r="O912" s="20" t="e">
        <f>INDEX(Auxiliar!$D$5:$F$11,MATCH(Table1[[#This Row],[Tipologia_Testes]],Auxiliar!$B$5:$B$11,0),MATCH(Table1[[#This Row],[Complexidade]],Auxiliar!$D$4:$F$4,0))</f>
        <v>#N/A</v>
      </c>
      <c r="P912" s="2"/>
      <c r="Q912" s="2"/>
      <c r="R912" s="151"/>
      <c r="S912" s="151"/>
      <c r="T912" s="151"/>
      <c r="U912" s="151"/>
      <c r="V912" s="151"/>
      <c r="W912" s="2" t="e">
        <f>VLOOKUP(Table1[[#This Row],[Status]],Auxiliar!$B$16:$D$24,3,0)*Table1[[#This Row],[Estimação (horas)]]</f>
        <v>#N/A</v>
      </c>
      <c r="X912" s="166">
        <f>+VLOOKUP(CONCATENATE(Table1[[#This Row],[Tabela]],Table1[[#This Row],[Campo]]),'2. Status Detalhe Campos FY24'!A:J,9,FALSE)</f>
        <v>0</v>
      </c>
    </row>
    <row r="913" spans="2:24" ht="17.850000000000001" hidden="1" customHeight="1">
      <c r="B913" s="2" t="s">
        <v>26</v>
      </c>
      <c r="C913" s="2" t="s">
        <v>181</v>
      </c>
      <c r="D913" s="2" t="s">
        <v>1214</v>
      </c>
      <c r="E913" s="2" t="s">
        <v>38</v>
      </c>
      <c r="F913" s="2" t="s">
        <v>2102</v>
      </c>
      <c r="G913" s="2" t="s">
        <v>2060</v>
      </c>
      <c r="H913" s="56" t="str">
        <f>Table1[[#This Row],[Tabela]]&amp;Table1[[#This Row],[Campo]]</f>
        <v>modesg_param_sfics_taxon_europeiadabertur</v>
      </c>
      <c r="I913" s="2" t="s">
        <v>2325</v>
      </c>
      <c r="J913" s="42">
        <f>VLOOKUP(Table1[[#This Row],[Status]],Auxiliar!$B$16:$C$24,2,0)</f>
        <v>7</v>
      </c>
      <c r="K913" s="2" t="s">
        <v>1182</v>
      </c>
      <c r="L913" s="28" t="s">
        <v>1177</v>
      </c>
      <c r="M913" s="20" t="s">
        <v>1178</v>
      </c>
      <c r="N913" s="47">
        <v>45695</v>
      </c>
      <c r="O913" s="20">
        <f>INDEX(Auxiliar!$D$5:$F$13,MATCH(Table1[[#This Row],[Tipologia_Testes]],Auxiliar!$B$5:$B$13,0),MATCH(Table1[[#This Row],[Complexidade]],Auxiliar!$D$4:$F$4,0))</f>
        <v>0.5</v>
      </c>
      <c r="P913" s="2"/>
      <c r="Q913" s="2"/>
      <c r="R913" s="151">
        <v>45563</v>
      </c>
      <c r="S913" s="151"/>
      <c r="T913" s="151">
        <v>45563</v>
      </c>
      <c r="U913" s="151">
        <v>45603</v>
      </c>
      <c r="V913" s="151">
        <v>45604</v>
      </c>
      <c r="W913" s="2">
        <f>VLOOKUP(Table1[[#This Row],[Status]],Auxiliar!$B$16:$D$24,3,0)*Table1[[#This Row],[Estimação (horas)]]</f>
        <v>0.125</v>
      </c>
      <c r="X913" s="166">
        <f>+VLOOKUP(CONCATENATE(Table1[[#This Row],[Tabela]],Table1[[#This Row],[Campo]]),'2. Status Detalhe Campos FY24'!A:J,9,FALSE)</f>
        <v>0</v>
      </c>
    </row>
    <row r="914" spans="2:24" ht="17.850000000000001" hidden="1" customHeight="1">
      <c r="B914" s="2" t="s">
        <v>26</v>
      </c>
      <c r="C914" s="2" t="s">
        <v>181</v>
      </c>
      <c r="D914" s="2" t="s">
        <v>1214</v>
      </c>
      <c r="E914" s="2" t="s">
        <v>38</v>
      </c>
      <c r="F914" s="2" t="s">
        <v>2102</v>
      </c>
      <c r="G914" s="2" t="s">
        <v>2060</v>
      </c>
      <c r="H914" s="56" t="str">
        <f>Table1[[#This Row],[Tabela]]&amp;Table1[[#This Row],[Campo]]</f>
        <v>modesg_param_sfics_taxon_europeiadabertur</v>
      </c>
      <c r="I914" s="2" t="s">
        <v>2325</v>
      </c>
      <c r="J914" s="54">
        <f>VLOOKUP(Table1[[#This Row],[Status]],Auxiliar!$B$16:$C$24,2,0)</f>
        <v>7</v>
      </c>
      <c r="K914" s="2" t="s">
        <v>1174</v>
      </c>
      <c r="L914" s="28"/>
      <c r="M914" s="20"/>
      <c r="N914" s="47">
        <v>45695</v>
      </c>
      <c r="O914" s="20" t="e">
        <f>INDEX(Auxiliar!$D$5:$F$11,MATCH(Table1[[#This Row],[Tipologia_Testes]],Auxiliar!$B$5:$B$11,0),MATCH(Table1[[#This Row],[Complexidade]],Auxiliar!$D$4:$F$4,0))</f>
        <v>#N/A</v>
      </c>
      <c r="P914" s="2"/>
      <c r="Q914" s="2"/>
      <c r="R914" s="151"/>
      <c r="S914" s="151"/>
      <c r="T914" s="151"/>
      <c r="U914" s="151"/>
      <c r="V914" s="151"/>
      <c r="W914" s="2" t="e">
        <f>VLOOKUP(Table1[[#This Row],[Status]],Auxiliar!$B$16:$D$24,3,0)*Table1[[#This Row],[Estimação (horas)]]</f>
        <v>#N/A</v>
      </c>
      <c r="X914" s="166">
        <f>+VLOOKUP(CONCATENATE(Table1[[#This Row],[Tabela]],Table1[[#This Row],[Campo]]),'2. Status Detalhe Campos FY24'!A:J,9,FALSE)</f>
        <v>0</v>
      </c>
    </row>
    <row r="915" spans="2:24" ht="17.850000000000001" hidden="1" customHeight="1">
      <c r="B915" s="2" t="s">
        <v>26</v>
      </c>
      <c r="C915" s="2" t="s">
        <v>181</v>
      </c>
      <c r="D915" s="2" t="s">
        <v>1214</v>
      </c>
      <c r="E915" s="2" t="s">
        <v>38</v>
      </c>
      <c r="F915" s="2" t="s">
        <v>2102</v>
      </c>
      <c r="G915" s="2" t="s">
        <v>2061</v>
      </c>
      <c r="H915" s="56" t="str">
        <f>Table1[[#This Row],[Tabela]]&amp;Table1[[#This Row],[Campo]]</f>
        <v>modesg_param_sfics_taxon_europeiatipo_eqp</v>
      </c>
      <c r="I915" s="2" t="s">
        <v>2325</v>
      </c>
      <c r="J915" s="54">
        <f>VLOOKUP(Table1[[#This Row],[Status]],Auxiliar!$B$16:$C$24,2,0)</f>
        <v>7</v>
      </c>
      <c r="K915" s="2" t="s">
        <v>1182</v>
      </c>
      <c r="L915" s="28" t="s">
        <v>1177</v>
      </c>
      <c r="M915" s="20" t="s">
        <v>1178</v>
      </c>
      <c r="N915" s="47">
        <v>45695</v>
      </c>
      <c r="O915" s="20">
        <f>INDEX(Auxiliar!$D$5:$F$13,MATCH(Table1[[#This Row],[Tipologia_Testes]],Auxiliar!$B$5:$B$13,0),MATCH(Table1[[#This Row],[Complexidade]],Auxiliar!$D$4:$F$4,0))</f>
        <v>0.5</v>
      </c>
      <c r="P915" s="2"/>
      <c r="Q915" s="2"/>
      <c r="R915" s="151">
        <v>45261</v>
      </c>
      <c r="S915" s="151"/>
      <c r="T915" s="151"/>
      <c r="U915" s="151">
        <v>45603</v>
      </c>
      <c r="V915" s="151"/>
      <c r="W915" s="2">
        <f>VLOOKUP(Table1[[#This Row],[Status]],Auxiliar!$B$16:$D$24,3,0)*Table1[[#This Row],[Estimação (horas)]]</f>
        <v>0.125</v>
      </c>
      <c r="X915" s="166">
        <f>+VLOOKUP(CONCATENATE(Table1[[#This Row],[Tabela]],Table1[[#This Row],[Campo]]),'2. Status Detalhe Campos FY24'!A:J,9,FALSE)</f>
        <v>0</v>
      </c>
    </row>
    <row r="916" spans="2:24" ht="17.850000000000001" hidden="1" customHeight="1">
      <c r="B916" s="2" t="s">
        <v>26</v>
      </c>
      <c r="C916" s="2" t="s">
        <v>181</v>
      </c>
      <c r="D916" s="2" t="s">
        <v>1214</v>
      </c>
      <c r="E916" s="2" t="s">
        <v>38</v>
      </c>
      <c r="F916" s="2" t="s">
        <v>2102</v>
      </c>
      <c r="G916" s="2" t="s">
        <v>2061</v>
      </c>
      <c r="H916" s="56" t="str">
        <f>Table1[[#This Row],[Tabela]]&amp;Table1[[#This Row],[Campo]]</f>
        <v>modesg_param_sfics_taxon_europeiatipo_eqp</v>
      </c>
      <c r="I916" s="2" t="s">
        <v>2325</v>
      </c>
      <c r="J916" s="54">
        <f>VLOOKUP(Table1[[#This Row],[Status]],Auxiliar!$B$16:$C$24,2,0)</f>
        <v>7</v>
      </c>
      <c r="K916" s="2" t="s">
        <v>1174</v>
      </c>
      <c r="L916" s="28" t="s">
        <v>1177</v>
      </c>
      <c r="M916" s="20" t="s">
        <v>1178</v>
      </c>
      <c r="N916" s="47">
        <v>45695</v>
      </c>
      <c r="O916" s="20">
        <f>INDEX(Auxiliar!$D$5:$F$13,MATCH(Table1[[#This Row],[Tipologia_Testes]],Auxiliar!$B$5:$B$13,0),MATCH(Table1[[#This Row],[Complexidade]],Auxiliar!$D$4:$F$4,0))</f>
        <v>0.1</v>
      </c>
      <c r="P916" s="2"/>
      <c r="Q916" s="2"/>
      <c r="R916" s="151">
        <v>45563</v>
      </c>
      <c r="S916" s="151"/>
      <c r="T916" s="151">
        <v>45563</v>
      </c>
      <c r="U916" s="151">
        <v>45603</v>
      </c>
      <c r="V916" s="151">
        <v>45604</v>
      </c>
      <c r="W916" s="2">
        <f>VLOOKUP(Table1[[#This Row],[Status]],Auxiliar!$B$16:$D$24,3,0)*Table1[[#This Row],[Estimação (horas)]]</f>
        <v>2.5000000000000001E-2</v>
      </c>
      <c r="X916" s="166">
        <f>+VLOOKUP(CONCATENATE(Table1[[#This Row],[Tabela]],Table1[[#This Row],[Campo]]),'2. Status Detalhe Campos FY24'!A:J,9,FALSE)</f>
        <v>0</v>
      </c>
    </row>
    <row r="917" spans="2:24" ht="17.850000000000001" hidden="1" customHeight="1">
      <c r="B917" s="2" t="s">
        <v>26</v>
      </c>
      <c r="C917" s="2" t="s">
        <v>181</v>
      </c>
      <c r="D917" s="2" t="s">
        <v>1214</v>
      </c>
      <c r="E917" s="2" t="s">
        <v>38</v>
      </c>
      <c r="F917" s="2" t="s">
        <v>2102</v>
      </c>
      <c r="G917" s="2" t="s">
        <v>2062</v>
      </c>
      <c r="H917" s="56" t="str">
        <f>Table1[[#This Row],[Tabela]]&amp;Table1[[#This Row],[Campo]]</f>
        <v>modesg_param_sfics_taxon_europeiaconstruction_year</v>
      </c>
      <c r="I917" s="2" t="s">
        <v>2325</v>
      </c>
      <c r="J917" s="42">
        <f>VLOOKUP(Table1[[#This Row],[Status]],Auxiliar!$B$16:$C$24,2,0)</f>
        <v>7</v>
      </c>
      <c r="K917" s="2" t="s">
        <v>1182</v>
      </c>
      <c r="L917" s="28" t="s">
        <v>1177</v>
      </c>
      <c r="M917" s="20" t="s">
        <v>1178</v>
      </c>
      <c r="N917" s="47">
        <v>45695</v>
      </c>
      <c r="O917" s="20">
        <f>INDEX(Auxiliar!$D$5:$F$13,MATCH(Table1[[#This Row],[Tipologia_Testes]],Auxiliar!$B$5:$B$13,0),MATCH(Table1[[#This Row],[Complexidade]],Auxiliar!$D$4:$F$4,0))</f>
        <v>0.5</v>
      </c>
      <c r="P917" s="2"/>
      <c r="Q917" s="2"/>
      <c r="R917" s="151">
        <v>45563</v>
      </c>
      <c r="S917" s="151"/>
      <c r="T917" s="151">
        <v>45563</v>
      </c>
      <c r="U917" s="151">
        <v>45603</v>
      </c>
      <c r="V917" s="151">
        <v>45604</v>
      </c>
      <c r="W917" s="2">
        <f>VLOOKUP(Table1[[#This Row],[Status]],Auxiliar!$B$16:$D$24,3,0)*Table1[[#This Row],[Estimação (horas)]]</f>
        <v>0.125</v>
      </c>
      <c r="X917" s="166">
        <f>+VLOOKUP(CONCATENATE(Table1[[#This Row],[Tabela]],Table1[[#This Row],[Campo]]),'2. Status Detalhe Campos FY24'!A:J,9,FALSE)</f>
        <v>0</v>
      </c>
    </row>
    <row r="918" spans="2:24" ht="17.850000000000001" hidden="1" customHeight="1">
      <c r="B918" s="2" t="s">
        <v>26</v>
      </c>
      <c r="C918" s="2" t="s">
        <v>181</v>
      </c>
      <c r="D918" s="2" t="s">
        <v>1214</v>
      </c>
      <c r="E918" s="2" t="s">
        <v>38</v>
      </c>
      <c r="F918" s="2" t="s">
        <v>2102</v>
      </c>
      <c r="G918" s="2" t="s">
        <v>2062</v>
      </c>
      <c r="H918" s="56" t="str">
        <f>Table1[[#This Row],[Tabela]]&amp;Table1[[#This Row],[Campo]]</f>
        <v>modesg_param_sfics_taxon_europeiaconstruction_year</v>
      </c>
      <c r="I918" s="2" t="s">
        <v>2325</v>
      </c>
      <c r="J918" s="54">
        <f>VLOOKUP(Table1[[#This Row],[Status]],Auxiliar!$B$16:$C$24,2,0)</f>
        <v>7</v>
      </c>
      <c r="K918" s="2" t="s">
        <v>1174</v>
      </c>
      <c r="L918" s="28"/>
      <c r="M918" s="20"/>
      <c r="N918" s="47">
        <v>45695</v>
      </c>
      <c r="O918" s="20" t="e">
        <f>INDEX(Auxiliar!$D$5:$F$11,MATCH(Table1[[#This Row],[Tipologia_Testes]],Auxiliar!$B$5:$B$11,0),MATCH(Table1[[#This Row],[Complexidade]],Auxiliar!$D$4:$F$4,0))</f>
        <v>#N/A</v>
      </c>
      <c r="P918" s="2"/>
      <c r="Q918" s="2"/>
      <c r="R918" s="151"/>
      <c r="S918" s="151"/>
      <c r="T918" s="151"/>
      <c r="U918" s="151"/>
      <c r="V918" s="151"/>
      <c r="W918" s="2" t="e">
        <f>VLOOKUP(Table1[[#This Row],[Status]],Auxiliar!$B$16:$D$24,3,0)*Table1[[#This Row],[Estimação (horas)]]</f>
        <v>#N/A</v>
      </c>
      <c r="X918" s="166">
        <f>+VLOOKUP(CONCATENATE(Table1[[#This Row],[Tabela]],Table1[[#This Row],[Campo]]),'2. Status Detalhe Campos FY24'!A:J,9,FALSE)</f>
        <v>0</v>
      </c>
    </row>
    <row r="919" spans="2:24" ht="17.850000000000001" hidden="1" customHeight="1">
      <c r="B919" s="2" t="s">
        <v>26</v>
      </c>
      <c r="C919" s="2" t="s">
        <v>181</v>
      </c>
      <c r="D919" s="2" t="s">
        <v>1214</v>
      </c>
      <c r="E919" s="2" t="s">
        <v>38</v>
      </c>
      <c r="F919" s="2" t="s">
        <v>2102</v>
      </c>
      <c r="G919" s="2" t="s">
        <v>208</v>
      </c>
      <c r="H919" s="56" t="str">
        <f>Table1[[#This Row],[Tabela]]&amp;Table1[[#This Row],[Campo]]</f>
        <v>modesg_param_sfics_taxon_europeiaref_date</v>
      </c>
      <c r="I919" s="2" t="s">
        <v>2325</v>
      </c>
      <c r="J919" s="54">
        <f>VLOOKUP(Table1[[#This Row],[Status]],Auxiliar!$B$16:$C$24,2,0)</f>
        <v>7</v>
      </c>
      <c r="K919" s="2" t="s">
        <v>1182</v>
      </c>
      <c r="L919" s="28" t="s">
        <v>1177</v>
      </c>
      <c r="M919" s="20" t="s">
        <v>1178</v>
      </c>
      <c r="N919" s="47">
        <v>45695</v>
      </c>
      <c r="O919" s="20">
        <f>INDEX(Auxiliar!$D$5:$F$13,MATCH(Table1[[#This Row],[Tipologia_Testes]],Auxiliar!$B$5:$B$13,0),MATCH(Table1[[#This Row],[Complexidade]],Auxiliar!$D$4:$F$4,0))</f>
        <v>0.5</v>
      </c>
      <c r="P919" s="2"/>
      <c r="Q919" s="2"/>
      <c r="R919" s="151">
        <v>45261</v>
      </c>
      <c r="S919" s="151"/>
      <c r="T919" s="151"/>
      <c r="U919" s="151">
        <v>45603</v>
      </c>
      <c r="V919" s="151"/>
      <c r="W919" s="2">
        <f>VLOOKUP(Table1[[#This Row],[Status]],Auxiliar!$B$16:$D$24,3,0)*Table1[[#This Row],[Estimação (horas)]]</f>
        <v>0.125</v>
      </c>
      <c r="X919" s="166">
        <f>+VLOOKUP(CONCATENATE(Table1[[#This Row],[Tabela]],Table1[[#This Row],[Campo]]),'2. Status Detalhe Campos FY24'!A:J,9,FALSE)</f>
        <v>0</v>
      </c>
    </row>
    <row r="920" spans="2:24" ht="17.850000000000001" hidden="1" customHeight="1">
      <c r="B920" s="2" t="s">
        <v>26</v>
      </c>
      <c r="C920" s="2" t="s">
        <v>181</v>
      </c>
      <c r="D920" s="2" t="s">
        <v>1214</v>
      </c>
      <c r="E920" s="2" t="s">
        <v>38</v>
      </c>
      <c r="F920" s="2" t="s">
        <v>2102</v>
      </c>
      <c r="G920" s="2" t="s">
        <v>208</v>
      </c>
      <c r="H920" s="56" t="str">
        <f>Table1[[#This Row],[Tabela]]&amp;Table1[[#This Row],[Campo]]</f>
        <v>modesg_param_sfics_taxon_europeiaref_date</v>
      </c>
      <c r="I920" s="2" t="s">
        <v>2325</v>
      </c>
      <c r="J920" s="54">
        <f>VLOOKUP(Table1[[#This Row],[Status]],Auxiliar!$B$16:$C$24,2,0)</f>
        <v>7</v>
      </c>
      <c r="K920" s="2" t="s">
        <v>1174</v>
      </c>
      <c r="L920" s="28" t="s">
        <v>1177</v>
      </c>
      <c r="M920" s="20" t="s">
        <v>1178</v>
      </c>
      <c r="N920" s="47">
        <v>45695</v>
      </c>
      <c r="O920" s="20">
        <f>INDEX(Auxiliar!$D$5:$F$13,MATCH(Table1[[#This Row],[Tipologia_Testes]],Auxiliar!$B$5:$B$13,0),MATCH(Table1[[#This Row],[Complexidade]],Auxiliar!$D$4:$F$4,0))</f>
        <v>0.1</v>
      </c>
      <c r="P920" s="2"/>
      <c r="Q920" s="2"/>
      <c r="R920" s="151">
        <v>45563</v>
      </c>
      <c r="S920" s="151"/>
      <c r="T920" s="151">
        <v>45563</v>
      </c>
      <c r="U920" s="151">
        <v>45603</v>
      </c>
      <c r="V920" s="151">
        <v>45604</v>
      </c>
      <c r="W920" s="2">
        <f>VLOOKUP(Table1[[#This Row],[Status]],Auxiliar!$B$16:$D$24,3,0)*Table1[[#This Row],[Estimação (horas)]]</f>
        <v>2.5000000000000001E-2</v>
      </c>
      <c r="X920" s="166">
        <f>+VLOOKUP(CONCATENATE(Table1[[#This Row],[Tabela]],Table1[[#This Row],[Campo]]),'2. Status Detalhe Campos FY24'!A:J,9,FALSE)</f>
        <v>0</v>
      </c>
    </row>
    <row r="921" spans="2:24" ht="17.850000000000001" hidden="1" customHeight="1">
      <c r="B921" s="2" t="s">
        <v>26</v>
      </c>
      <c r="C921" s="2" t="s">
        <v>181</v>
      </c>
      <c r="D921" s="2" t="s">
        <v>1214</v>
      </c>
      <c r="E921" s="2" t="s">
        <v>38</v>
      </c>
      <c r="F921" s="2" t="s">
        <v>2102</v>
      </c>
      <c r="G921" s="2" t="s">
        <v>2063</v>
      </c>
      <c r="H921" s="56" t="str">
        <f>Table1[[#This Row],[Tabela]]&amp;Table1[[#This Row],[Campo]]</f>
        <v>modesg_param_sfics_taxon_europeiaquality_score</v>
      </c>
      <c r="I921" s="2" t="s">
        <v>2325</v>
      </c>
      <c r="J921" s="53">
        <f>VLOOKUP(Table1[[#This Row],[Status]],Auxiliar!$B$16:$C$24,2,0)</f>
        <v>7</v>
      </c>
      <c r="K921" s="2" t="s">
        <v>1182</v>
      </c>
      <c r="L921" s="28" t="s">
        <v>1177</v>
      </c>
      <c r="M921" s="20" t="s">
        <v>1178</v>
      </c>
      <c r="N921" s="47">
        <v>45695</v>
      </c>
      <c r="O921" s="20">
        <f>INDEX(Auxiliar!$D$5:$F$13,MATCH(Table1[[#This Row],[Tipologia_Testes]],Auxiliar!$B$5:$B$13,0),MATCH(Table1[[#This Row],[Complexidade]],Auxiliar!$D$4:$F$4,0))</f>
        <v>0.5</v>
      </c>
      <c r="P921" s="2"/>
      <c r="Q921" s="2"/>
      <c r="R921" s="151">
        <v>45261</v>
      </c>
      <c r="S921" s="151"/>
      <c r="T921" s="151"/>
      <c r="U921" s="151">
        <v>45603</v>
      </c>
      <c r="V921" s="151"/>
      <c r="W921" s="2">
        <f>VLOOKUP(Table1[[#This Row],[Status]],Auxiliar!$B$16:$D$24,3,0)*Table1[[#This Row],[Estimação (horas)]]</f>
        <v>0.125</v>
      </c>
      <c r="X921" s="166">
        <f>+VLOOKUP(CONCATENATE(Table1[[#This Row],[Tabela]],Table1[[#This Row],[Campo]]),'2. Status Detalhe Campos FY24'!A:J,9,FALSE)</f>
        <v>0</v>
      </c>
    </row>
    <row r="922" spans="2:24" ht="17.850000000000001" hidden="1" customHeight="1">
      <c r="B922" s="2" t="s">
        <v>26</v>
      </c>
      <c r="C922" s="2" t="s">
        <v>181</v>
      </c>
      <c r="D922" s="2" t="s">
        <v>1214</v>
      </c>
      <c r="E922" s="2" t="s">
        <v>38</v>
      </c>
      <c r="F922" s="2" t="s">
        <v>2102</v>
      </c>
      <c r="G922" s="2" t="s">
        <v>2063</v>
      </c>
      <c r="H922" s="56" t="str">
        <f>Table1[[#This Row],[Tabela]]&amp;Table1[[#This Row],[Campo]]</f>
        <v>modesg_param_sfics_taxon_europeiaquality_score</v>
      </c>
      <c r="I922" s="2" t="s">
        <v>2325</v>
      </c>
      <c r="J922" s="53">
        <f>VLOOKUP(Table1[[#This Row],[Status]],Auxiliar!$B$16:$C$24,2,0)</f>
        <v>7</v>
      </c>
      <c r="K922" s="2" t="s">
        <v>1174</v>
      </c>
      <c r="L922" s="28"/>
      <c r="M922" s="20"/>
      <c r="N922" s="47">
        <v>45695</v>
      </c>
      <c r="O922" s="20" t="e">
        <f>INDEX(Auxiliar!$D$5:$F$11,MATCH(Table1[[#This Row],[Tipologia_Testes]],Auxiliar!$B$5:$B$11,0),MATCH(Table1[[#This Row],[Complexidade]],Auxiliar!$D$4:$F$4,0))</f>
        <v>#N/A</v>
      </c>
      <c r="P922" s="2"/>
      <c r="Q922" s="2"/>
      <c r="R922" s="151"/>
      <c r="S922" s="151"/>
      <c r="T922" s="151"/>
      <c r="U922" s="151"/>
      <c r="V922" s="151"/>
      <c r="W922" s="2" t="e">
        <f>VLOOKUP(Table1[[#This Row],[Status]],Auxiliar!$B$16:$D$24,3,0)*Table1[[#This Row],[Estimação (horas)]]</f>
        <v>#N/A</v>
      </c>
      <c r="X922" s="166">
        <f>+VLOOKUP(CONCATENATE(Table1[[#This Row],[Tabela]],Table1[[#This Row],[Campo]]),'2. Status Detalhe Campos FY24'!A:J,9,FALSE)</f>
        <v>0</v>
      </c>
    </row>
    <row r="923" spans="2:24" ht="17.850000000000001" hidden="1" customHeight="1">
      <c r="B923" s="2" t="s">
        <v>26</v>
      </c>
      <c r="C923" s="2" t="s">
        <v>181</v>
      </c>
      <c r="D923" s="2" t="s">
        <v>1214</v>
      </c>
      <c r="E923" s="2" t="s">
        <v>38</v>
      </c>
      <c r="F923" s="2" t="s">
        <v>2102</v>
      </c>
      <c r="G923" s="2" t="s">
        <v>2418</v>
      </c>
      <c r="H923" s="56" t="str">
        <f>Table1[[#This Row],[Tabela]]&amp;Table1[[#This Row],[Campo]]</f>
        <v>modesg_param_sfics_taxon_europeiaprimary_energy_req_value</v>
      </c>
      <c r="I923" s="2" t="s">
        <v>2325</v>
      </c>
      <c r="J923" s="53">
        <f>VLOOKUP(Table1[[#This Row],[Status]],Auxiliar!$B$16:$C$24,2,0)</f>
        <v>7</v>
      </c>
      <c r="K923" s="2" t="s">
        <v>1182</v>
      </c>
      <c r="L923" s="28" t="s">
        <v>1177</v>
      </c>
      <c r="M923" s="20" t="s">
        <v>1178</v>
      </c>
      <c r="N923" s="47">
        <v>45695</v>
      </c>
      <c r="O923" s="20">
        <f>INDEX(Auxiliar!$D$5:$F$13,MATCH(Table1[[#This Row],[Tipologia_Testes]],Auxiliar!$B$5:$B$13,0),MATCH(Table1[[#This Row],[Complexidade]],Auxiliar!$D$4:$F$4,0))</f>
        <v>0.5</v>
      </c>
      <c r="P923" s="2"/>
      <c r="Q923" s="2"/>
      <c r="R923" s="151">
        <v>45261</v>
      </c>
      <c r="S923" s="151"/>
      <c r="T923" s="151"/>
      <c r="U923" s="151">
        <v>45603</v>
      </c>
      <c r="V923" s="151"/>
      <c r="W923" s="2">
        <f>VLOOKUP(Table1[[#This Row],[Status]],Auxiliar!$B$16:$D$24,3,0)*Table1[[#This Row],[Estimação (horas)]]</f>
        <v>0.125</v>
      </c>
      <c r="X923" s="166">
        <f>+VLOOKUP(CONCATENATE(Table1[[#This Row],[Tabela]],Table1[[#This Row],[Campo]]),'2. Status Detalhe Campos FY24'!A:J,9,FALSE)</f>
        <v>0</v>
      </c>
    </row>
    <row r="924" spans="2:24" ht="17.850000000000001" hidden="1" customHeight="1">
      <c r="B924" s="2" t="s">
        <v>26</v>
      </c>
      <c r="C924" s="2" t="s">
        <v>181</v>
      </c>
      <c r="D924" s="2" t="s">
        <v>1214</v>
      </c>
      <c r="E924" s="2" t="s">
        <v>38</v>
      </c>
      <c r="F924" s="2" t="s">
        <v>2102</v>
      </c>
      <c r="G924" s="2" t="s">
        <v>2418</v>
      </c>
      <c r="H924" s="56" t="str">
        <f>Table1[[#This Row],[Tabela]]&amp;Table1[[#This Row],[Campo]]</f>
        <v>modesg_param_sfics_taxon_europeiaprimary_energy_req_value</v>
      </c>
      <c r="I924" s="2" t="s">
        <v>2325</v>
      </c>
      <c r="J924" s="53">
        <f>VLOOKUP(Table1[[#This Row],[Status]],Auxiliar!$B$16:$C$24,2,0)</f>
        <v>7</v>
      </c>
      <c r="K924" s="2" t="s">
        <v>1174</v>
      </c>
      <c r="L924" s="28"/>
      <c r="M924" s="20"/>
      <c r="N924" s="47">
        <v>45695</v>
      </c>
      <c r="O924" s="20" t="e">
        <f>INDEX(Auxiliar!$D$5:$F$11,MATCH(Table1[[#This Row],[Tipologia_Testes]],Auxiliar!$B$5:$B$11,0),MATCH(Table1[[#This Row],[Complexidade]],Auxiliar!$D$4:$F$4,0))</f>
        <v>#N/A</v>
      </c>
      <c r="P924" s="2"/>
      <c r="Q924" s="2"/>
      <c r="R924" s="151"/>
      <c r="S924" s="151"/>
      <c r="T924" s="151"/>
      <c r="U924" s="151"/>
      <c r="V924" s="151"/>
      <c r="W924" s="2" t="e">
        <f>VLOOKUP(Table1[[#This Row],[Status]],Auxiliar!$B$16:$D$24,3,0)*Table1[[#This Row],[Estimação (horas)]]</f>
        <v>#N/A</v>
      </c>
      <c r="X924" s="166">
        <f>+VLOOKUP(CONCATENATE(Table1[[#This Row],[Tabela]],Table1[[#This Row],[Campo]]),'2. Status Detalhe Campos FY24'!A:J,9,FALSE)</f>
        <v>0</v>
      </c>
    </row>
    <row r="925" spans="2:24" ht="17.850000000000001" hidden="1" customHeight="1">
      <c r="B925" s="12" t="s">
        <v>26</v>
      </c>
      <c r="C925" s="12" t="s">
        <v>181</v>
      </c>
      <c r="D925" s="12" t="s">
        <v>1221</v>
      </c>
      <c r="E925" s="2" t="s">
        <v>38</v>
      </c>
      <c r="F925" s="12" t="s">
        <v>212</v>
      </c>
      <c r="G925" s="12" t="s">
        <v>38</v>
      </c>
      <c r="H925" s="57" t="str">
        <f>Table1[[#This Row],[Tabela]]&amp;Table1[[#This Row],[Campo]]</f>
        <v>modesg_inp_emss_vclsn.a.</v>
      </c>
      <c r="I925" s="2" t="s">
        <v>612</v>
      </c>
      <c r="J925" s="45">
        <f>VLOOKUP(Table1[[#This Row],[Status]],Auxiliar!$B$16:$C$24,2,0)</f>
        <v>1</v>
      </c>
      <c r="K925" s="20" t="s">
        <v>1168</v>
      </c>
      <c r="L925" s="244" t="s">
        <v>1177</v>
      </c>
      <c r="M925" s="20" t="s">
        <v>1178</v>
      </c>
      <c r="N925" s="47">
        <v>45546</v>
      </c>
      <c r="O925" s="20">
        <f>INDEX(Auxiliar!$D$5:$F$13,MATCH(Table1[[#This Row],[Tipologia_Testes]],Auxiliar!$B$5:$B$13,0),MATCH(Table1[[#This Row],[Complexidade]],Auxiliar!$D$4:$F$4,0))</f>
        <v>8</v>
      </c>
      <c r="P925" s="2" t="s">
        <v>1222</v>
      </c>
      <c r="Q925" s="2"/>
      <c r="R925" s="151">
        <v>45261</v>
      </c>
      <c r="S925" s="151"/>
      <c r="T925" s="151"/>
      <c r="U925" s="151">
        <v>45603</v>
      </c>
      <c r="V925" s="151">
        <v>45534</v>
      </c>
      <c r="W925" s="2">
        <f>VLOOKUP(Table1[[#This Row],[Status]],Auxiliar!$B$16:$D$24,3,0)*Table1[[#This Row],[Estimação (horas)]]</f>
        <v>8</v>
      </c>
      <c r="X925" s="166">
        <f>+VLOOKUP(CONCATENATE(Table1[[#This Row],[Tabela]],Table1[[#This Row],[Campo]]),'2. Status Detalhe Campos FY24'!A:J,9,FALSE)</f>
        <v>0</v>
      </c>
    </row>
    <row r="926" spans="2:24" ht="17.850000000000001" hidden="1" customHeight="1">
      <c r="B926" s="12" t="s">
        <v>26</v>
      </c>
      <c r="C926" s="12" t="s">
        <v>181</v>
      </c>
      <c r="D926" s="12" t="s">
        <v>1221</v>
      </c>
      <c r="E926" s="2" t="s">
        <v>38</v>
      </c>
      <c r="F926" s="12" t="s">
        <v>212</v>
      </c>
      <c r="G926" s="12" t="s">
        <v>38</v>
      </c>
      <c r="H926" s="57" t="str">
        <f>Table1[[#This Row],[Tabela]]&amp;Table1[[#This Row],[Campo]]</f>
        <v>modesg_inp_emss_vclsn.a.</v>
      </c>
      <c r="I926" s="2" t="s">
        <v>612</v>
      </c>
      <c r="J926" s="45">
        <f>VLOOKUP(Table1[[#This Row],[Status]],Auxiliar!$B$16:$C$24,2,0)</f>
        <v>1</v>
      </c>
      <c r="K926" s="20" t="s">
        <v>1215</v>
      </c>
      <c r="L926" s="244" t="s">
        <v>1177</v>
      </c>
      <c r="M926" s="20" t="s">
        <v>1178</v>
      </c>
      <c r="N926" s="47">
        <v>45546</v>
      </c>
      <c r="O926" s="20">
        <f>INDEX(Auxiliar!$D$5:$F$13,MATCH(Table1[[#This Row],[Tipologia_Testes]],Auxiliar!$B$5:$B$13,0),MATCH(Table1[[#This Row],[Complexidade]],Auxiliar!$D$4:$F$4,0))</f>
        <v>0.5</v>
      </c>
      <c r="P926" s="2" t="s">
        <v>1223</v>
      </c>
      <c r="Q926" s="2" t="s">
        <v>1224</v>
      </c>
      <c r="R926" s="151">
        <v>45261</v>
      </c>
      <c r="S926" s="151"/>
      <c r="T926" s="151">
        <v>45471</v>
      </c>
      <c r="U926" s="151">
        <v>45603</v>
      </c>
      <c r="V926" s="151">
        <v>45534</v>
      </c>
      <c r="W926" s="2">
        <f>VLOOKUP(Table1[[#This Row],[Status]],Auxiliar!$B$16:$D$24,3,0)*Table1[[#This Row],[Estimação (horas)]]</f>
        <v>0.5</v>
      </c>
      <c r="X926" s="166">
        <f>+VLOOKUP(CONCATENATE(Table1[[#This Row],[Tabela]],Table1[[#This Row],[Campo]]),'2. Status Detalhe Campos FY24'!A:J,9,FALSE)</f>
        <v>0</v>
      </c>
    </row>
    <row r="927" spans="2:24" ht="17.850000000000001" hidden="1" customHeight="1">
      <c r="B927" s="12" t="s">
        <v>26</v>
      </c>
      <c r="C927" s="12" t="s">
        <v>181</v>
      </c>
      <c r="D927" s="12" t="s">
        <v>1221</v>
      </c>
      <c r="E927" s="2" t="s">
        <v>38</v>
      </c>
      <c r="F927" s="12" t="s">
        <v>213</v>
      </c>
      <c r="G927" s="12" t="s">
        <v>38</v>
      </c>
      <c r="H927" s="57" t="str">
        <f>Table1[[#This Row],[Tabela]]&amp;Table1[[#This Row],[Campo]]</f>
        <v>modesg_inp_km_medios_emss_vclsn.a.</v>
      </c>
      <c r="I927" s="2" t="s">
        <v>612</v>
      </c>
      <c r="J927" s="45">
        <f>VLOOKUP(Table1[[#This Row],[Status]],Auxiliar!$B$16:$C$24,2,0)</f>
        <v>1</v>
      </c>
      <c r="K927" s="20" t="s">
        <v>1168</v>
      </c>
      <c r="L927" s="21"/>
      <c r="M927" s="20" t="s">
        <v>1178</v>
      </c>
      <c r="N927" s="47">
        <v>45537</v>
      </c>
      <c r="O927" s="20">
        <f>INDEX(Auxiliar!$D$5:$F$13,MATCH(Table1[[#This Row],[Tipologia_Testes]],Auxiliar!$B$5:$B$13,0),MATCH(Table1[[#This Row],[Complexidade]],Auxiliar!$D$4:$F$4,0))</f>
        <v>8</v>
      </c>
      <c r="P927" s="2"/>
      <c r="Q927" s="2"/>
      <c r="R927" s="151">
        <v>45261</v>
      </c>
      <c r="S927" s="151"/>
      <c r="T927" s="151"/>
      <c r="U927" s="151">
        <v>45603</v>
      </c>
      <c r="V927" s="151">
        <v>45534</v>
      </c>
      <c r="W927" s="2">
        <f>VLOOKUP(Table1[[#This Row],[Status]],Auxiliar!$B$16:$D$24,3,0)*Table1[[#This Row],[Estimação (horas)]]</f>
        <v>8</v>
      </c>
      <c r="X927" s="166">
        <f>+VLOOKUP(CONCATENATE(Table1[[#This Row],[Tabela]],Table1[[#This Row],[Campo]]),'2. Status Detalhe Campos FY24'!A:J,9,FALSE)</f>
        <v>0</v>
      </c>
    </row>
    <row r="928" spans="2:24" ht="17.850000000000001" hidden="1" customHeight="1">
      <c r="B928" s="12" t="s">
        <v>26</v>
      </c>
      <c r="C928" s="12" t="s">
        <v>181</v>
      </c>
      <c r="D928" s="12" t="s">
        <v>1221</v>
      </c>
      <c r="E928" s="2" t="s">
        <v>38</v>
      </c>
      <c r="F928" s="12" t="s">
        <v>213</v>
      </c>
      <c r="G928" s="12" t="s">
        <v>38</v>
      </c>
      <c r="H928" s="57" t="str">
        <f>Table1[[#This Row],[Tabela]]&amp;Table1[[#This Row],[Campo]]</f>
        <v>modesg_inp_km_medios_emss_vclsn.a.</v>
      </c>
      <c r="I928" s="2" t="s">
        <v>612</v>
      </c>
      <c r="J928" s="45">
        <f>VLOOKUP(Table1[[#This Row],[Status]],Auxiliar!$B$16:$C$24,2,0)</f>
        <v>1</v>
      </c>
      <c r="K928" s="20" t="s">
        <v>1215</v>
      </c>
      <c r="L928" s="21"/>
      <c r="M928" s="20" t="s">
        <v>1178</v>
      </c>
      <c r="N928" s="47">
        <v>45537</v>
      </c>
      <c r="O928" s="20">
        <f>INDEX(Auxiliar!$D$5:$F$13,MATCH(Table1[[#This Row],[Tipologia_Testes]],Auxiliar!$B$5:$B$13,0),MATCH(Table1[[#This Row],[Complexidade]],Auxiliar!$D$4:$F$4,0))</f>
        <v>0.5</v>
      </c>
      <c r="P928" s="2"/>
      <c r="Q928" s="2"/>
      <c r="R928" s="151">
        <v>45261</v>
      </c>
      <c r="S928" s="151"/>
      <c r="T928" s="151"/>
      <c r="U928" s="151">
        <v>45603</v>
      </c>
      <c r="V928" s="151">
        <v>45534</v>
      </c>
      <c r="W928" s="2">
        <f>VLOOKUP(Table1[[#This Row],[Status]],Auxiliar!$B$16:$D$24,3,0)*Table1[[#This Row],[Estimação (horas)]]</f>
        <v>0.5</v>
      </c>
      <c r="X928" s="166">
        <f>+VLOOKUP(CONCATENATE(Table1[[#This Row],[Tabela]],Table1[[#This Row],[Campo]]),'2. Status Detalhe Campos FY24'!A:J,9,FALSE)</f>
        <v>0</v>
      </c>
    </row>
    <row r="929" spans="2:24" ht="17.850000000000001" hidden="1" customHeight="1">
      <c r="B929" s="12" t="s">
        <v>26</v>
      </c>
      <c r="C929" s="12" t="s">
        <v>181</v>
      </c>
      <c r="D929" s="12" t="s">
        <v>1225</v>
      </c>
      <c r="E929" s="2" t="s">
        <v>38</v>
      </c>
      <c r="F929" s="12" t="s">
        <v>214</v>
      </c>
      <c r="G929" s="12" t="s">
        <v>38</v>
      </c>
      <c r="H929" s="57" t="str">
        <f>Table1[[#This Row],[Tabela]]&amp;Table1[[#This Row],[Campo]]</f>
        <v>modesg_inp_empr_excl_parisn.a.</v>
      </c>
      <c r="I929" s="2" t="s">
        <v>612</v>
      </c>
      <c r="J929" s="45">
        <f>VLOOKUP(Table1[[#This Row],[Status]],Auxiliar!$B$16:$C$24,2,0)</f>
        <v>1</v>
      </c>
      <c r="K929" s="20" t="s">
        <v>1168</v>
      </c>
      <c r="L929" s="21"/>
      <c r="M929" s="20" t="s">
        <v>1178</v>
      </c>
      <c r="N929" s="47">
        <v>45491</v>
      </c>
      <c r="O929" s="20">
        <f>INDEX(Auxiliar!$D$5:$F$13,MATCH(Table1[[#This Row],[Tipologia_Testes]],Auxiliar!$B$5:$B$13,0),MATCH(Table1[[#This Row],[Complexidade]],Auxiliar!$D$4:$F$4,0))</f>
        <v>8</v>
      </c>
      <c r="P929" s="2" t="s">
        <v>1226</v>
      </c>
      <c r="Q929" s="2"/>
      <c r="R929" s="151">
        <v>45261</v>
      </c>
      <c r="S929" s="151"/>
      <c r="T929" s="151"/>
      <c r="U929" s="151">
        <v>45603</v>
      </c>
      <c r="V929" s="151"/>
      <c r="W929" s="2">
        <f>VLOOKUP(Table1[[#This Row],[Status]],Auxiliar!$B$16:$D$24,3,0)*Table1[[#This Row],[Estimação (horas)]]</f>
        <v>8</v>
      </c>
      <c r="X929" s="166">
        <f>+VLOOKUP(CONCATENATE(Table1[[#This Row],[Tabela]],Table1[[#This Row],[Campo]]),'2. Status Detalhe Campos FY24'!A:J,9,FALSE)</f>
        <v>0</v>
      </c>
    </row>
    <row r="930" spans="2:24" ht="17.850000000000001" hidden="1" customHeight="1">
      <c r="B930" s="12" t="s">
        <v>26</v>
      </c>
      <c r="C930" s="12" t="s">
        <v>181</v>
      </c>
      <c r="D930" s="12" t="s">
        <v>1225</v>
      </c>
      <c r="E930" s="2" t="s">
        <v>38</v>
      </c>
      <c r="F930" s="12" t="s">
        <v>214</v>
      </c>
      <c r="G930" s="12" t="s">
        <v>38</v>
      </c>
      <c r="H930" s="57" t="str">
        <f>Table1[[#This Row],[Tabela]]&amp;Table1[[#This Row],[Campo]]</f>
        <v>modesg_inp_empr_excl_parisn.a.</v>
      </c>
      <c r="I930" s="2" t="s">
        <v>612</v>
      </c>
      <c r="J930" s="45">
        <f>VLOOKUP(Table1[[#This Row],[Status]],Auxiliar!$B$16:$C$24,2,0)</f>
        <v>1</v>
      </c>
      <c r="K930" s="20" t="s">
        <v>1215</v>
      </c>
      <c r="L930" s="21"/>
      <c r="M930" s="20" t="s">
        <v>1178</v>
      </c>
      <c r="N930" s="47">
        <v>45491</v>
      </c>
      <c r="O930" s="20">
        <f>INDEX(Auxiliar!$D$5:$F$13,MATCH(Table1[[#This Row],[Tipologia_Testes]],Auxiliar!$B$5:$B$13,0),MATCH(Table1[[#This Row],[Complexidade]],Auxiliar!$D$4:$F$4,0))</f>
        <v>0.5</v>
      </c>
      <c r="P930" s="2" t="s">
        <v>1227</v>
      </c>
      <c r="Q930" s="2"/>
      <c r="R930" s="151">
        <v>45261</v>
      </c>
      <c r="S930" s="151"/>
      <c r="T930" s="151"/>
      <c r="U930" s="151">
        <v>45603</v>
      </c>
      <c r="V930" s="151"/>
      <c r="W930" s="2">
        <f>VLOOKUP(Table1[[#This Row],[Status]],Auxiliar!$B$16:$D$24,3,0)*Table1[[#This Row],[Estimação (horas)]]</f>
        <v>0.5</v>
      </c>
      <c r="X930" s="166">
        <f>+VLOOKUP(CONCATENATE(Table1[[#This Row],[Tabela]],Table1[[#This Row],[Campo]]),'2. Status Detalhe Campos FY24'!A:J,9,FALSE)</f>
        <v>0</v>
      </c>
    </row>
    <row r="931" spans="2:24" ht="17.850000000000001" hidden="1" customHeight="1">
      <c r="B931" s="12" t="s">
        <v>26</v>
      </c>
      <c r="C931" s="12" t="s">
        <v>181</v>
      </c>
      <c r="D931" s="12" t="s">
        <v>1228</v>
      </c>
      <c r="E931" s="2" t="s">
        <v>38</v>
      </c>
      <c r="F931" s="12" t="s">
        <v>215</v>
      </c>
      <c r="G931" s="12" t="s">
        <v>38</v>
      </c>
      <c r="H931" s="57" t="str">
        <f>Table1[[#This Row],[Tabela]]&amp;Table1[[#This Row],[Campo]]</f>
        <v>modesg_inp_nfrd_alinhamento_taxn.a.</v>
      </c>
      <c r="I931" s="2" t="s">
        <v>612</v>
      </c>
      <c r="J931" s="45">
        <f>VLOOKUP(Table1[[#This Row],[Status]],Auxiliar!$B$16:$C$24,2,0)</f>
        <v>1</v>
      </c>
      <c r="K931" s="20" t="s">
        <v>1168</v>
      </c>
      <c r="L931" s="21"/>
      <c r="M931" s="20" t="s">
        <v>1178</v>
      </c>
      <c r="N931" s="47">
        <v>45540</v>
      </c>
      <c r="O931" s="20">
        <f>INDEX(Auxiliar!$D$5:$F$13,MATCH(Table1[[#This Row],[Tipologia_Testes]],Auxiliar!$B$5:$B$13,0),MATCH(Table1[[#This Row],[Complexidade]],Auxiliar!$D$4:$F$4,0))</f>
        <v>8</v>
      </c>
      <c r="P931" s="2"/>
      <c r="Q931" s="2"/>
      <c r="R931" s="151">
        <v>45261</v>
      </c>
      <c r="S931" s="151"/>
      <c r="T931" s="151"/>
      <c r="U931" s="151">
        <v>45603</v>
      </c>
      <c r="V931" s="151">
        <v>45534</v>
      </c>
      <c r="W931" s="2">
        <f>VLOOKUP(Table1[[#This Row],[Status]],Auxiliar!$B$16:$D$24,3,0)*Table1[[#This Row],[Estimação (horas)]]</f>
        <v>8</v>
      </c>
      <c r="X931" s="166">
        <f>+VLOOKUP(CONCATENATE(Table1[[#This Row],[Tabela]],Table1[[#This Row],[Campo]]),'2. Status Detalhe Campos FY24'!A:J,9,FALSE)</f>
        <v>0</v>
      </c>
    </row>
    <row r="932" spans="2:24" ht="17.850000000000001" hidden="1" customHeight="1">
      <c r="B932" s="12" t="s">
        <v>26</v>
      </c>
      <c r="C932" s="12" t="s">
        <v>181</v>
      </c>
      <c r="D932" s="12" t="s">
        <v>1228</v>
      </c>
      <c r="E932" s="2" t="s">
        <v>38</v>
      </c>
      <c r="F932" s="12" t="s">
        <v>215</v>
      </c>
      <c r="G932" s="12" t="s">
        <v>38</v>
      </c>
      <c r="H932" s="57" t="str">
        <f>Table1[[#This Row],[Tabela]]&amp;Table1[[#This Row],[Campo]]</f>
        <v>modesg_inp_nfrd_alinhamento_taxn.a.</v>
      </c>
      <c r="I932" s="2" t="s">
        <v>612</v>
      </c>
      <c r="J932" s="45">
        <f>VLOOKUP(Table1[[#This Row],[Status]],Auxiliar!$B$16:$C$24,2,0)</f>
        <v>1</v>
      </c>
      <c r="K932" s="20" t="s">
        <v>1215</v>
      </c>
      <c r="L932" s="21"/>
      <c r="M932" s="20" t="s">
        <v>1178</v>
      </c>
      <c r="N932" s="47">
        <v>45540</v>
      </c>
      <c r="O932" s="20">
        <f>INDEX(Auxiliar!$D$5:$F$13,MATCH(Table1[[#This Row],[Tipologia_Testes]],Auxiliar!$B$5:$B$13,0),MATCH(Table1[[#This Row],[Complexidade]],Auxiliar!$D$4:$F$4,0))</f>
        <v>0.5</v>
      </c>
      <c r="P932" s="2"/>
      <c r="Q932" s="2"/>
      <c r="R932" s="151">
        <v>45261</v>
      </c>
      <c r="S932" s="151"/>
      <c r="T932" s="151"/>
      <c r="U932" s="151">
        <v>45603</v>
      </c>
      <c r="V932" s="151">
        <v>45534</v>
      </c>
      <c r="W932" s="2">
        <f>VLOOKUP(Table1[[#This Row],[Status]],Auxiliar!$B$16:$D$24,3,0)*Table1[[#This Row],[Estimação (horas)]]</f>
        <v>0.5</v>
      </c>
      <c r="X932" s="166">
        <f>+VLOOKUP(CONCATENATE(Table1[[#This Row],[Tabela]],Table1[[#This Row],[Campo]]),'2. Status Detalhe Campos FY24'!A:J,9,FALSE)</f>
        <v>0</v>
      </c>
    </row>
    <row r="933" spans="2:24" ht="17.850000000000001" hidden="1" customHeight="1">
      <c r="B933" s="12" t="s">
        <v>26</v>
      </c>
      <c r="C933" s="12" t="s">
        <v>181</v>
      </c>
      <c r="D933" s="12" t="s">
        <v>1229</v>
      </c>
      <c r="E933" s="2" t="s">
        <v>38</v>
      </c>
      <c r="F933" s="12" t="s">
        <v>216</v>
      </c>
      <c r="G933" s="12" t="s">
        <v>38</v>
      </c>
      <c r="H933" s="57" t="str">
        <f>Table1[[#This Row],[Tabela]]&amp;Table1[[#This Row],[Campo]]</f>
        <v>modesg_inp_risco_fisicon.a.</v>
      </c>
      <c r="I933" s="2" t="s">
        <v>612</v>
      </c>
      <c r="J933" s="45">
        <f>VLOOKUP(Table1[[#This Row],[Status]],Auxiliar!$B$16:$C$24,2,0)</f>
        <v>1</v>
      </c>
      <c r="K933" s="20" t="s">
        <v>1168</v>
      </c>
      <c r="L933" s="20" t="s">
        <v>1177</v>
      </c>
      <c r="M933" s="20" t="s">
        <v>1178</v>
      </c>
      <c r="N933" s="47">
        <v>45485</v>
      </c>
      <c r="O933" s="20">
        <f>INDEX(Auxiliar!$D$5:$F$13,MATCH(Table1[[#This Row],[Tipologia_Testes]],Auxiliar!$B$5:$B$13,0),MATCH(Table1[[#This Row],[Complexidade]],Auxiliar!$D$4:$F$4,0))</f>
        <v>8</v>
      </c>
      <c r="P933" s="2"/>
      <c r="Q933" s="2"/>
      <c r="R933" s="151">
        <v>45261</v>
      </c>
      <c r="S933" s="151"/>
      <c r="T933" s="151"/>
      <c r="U933" s="151">
        <v>45603</v>
      </c>
      <c r="V933" s="151"/>
      <c r="W933" s="2">
        <f>VLOOKUP(Table1[[#This Row],[Status]],Auxiliar!$B$16:$D$24,3,0)*Table1[[#This Row],[Estimação (horas)]]</f>
        <v>8</v>
      </c>
      <c r="X933" s="166">
        <f>+VLOOKUP(CONCATENATE(Table1[[#This Row],[Tabela]],Table1[[#This Row],[Campo]]),'2. Status Detalhe Campos FY24'!A:J,9,FALSE)</f>
        <v>0</v>
      </c>
    </row>
    <row r="934" spans="2:24" ht="17.850000000000001" hidden="1" customHeight="1">
      <c r="B934" s="12" t="s">
        <v>26</v>
      </c>
      <c r="C934" s="12" t="s">
        <v>181</v>
      </c>
      <c r="D934" s="12" t="s">
        <v>1229</v>
      </c>
      <c r="E934" s="2" t="s">
        <v>38</v>
      </c>
      <c r="F934" s="12" t="s">
        <v>216</v>
      </c>
      <c r="G934" s="12" t="s">
        <v>38</v>
      </c>
      <c r="H934" s="57" t="str">
        <f>Table1[[#This Row],[Tabela]]&amp;Table1[[#This Row],[Campo]]</f>
        <v>modesg_inp_risco_fisicon.a.</v>
      </c>
      <c r="I934" s="2" t="s">
        <v>612</v>
      </c>
      <c r="J934" s="45">
        <f>VLOOKUP(Table1[[#This Row],[Status]],Auxiliar!$B$16:$C$24,2,0)</f>
        <v>1</v>
      </c>
      <c r="K934" s="20" t="s">
        <v>1215</v>
      </c>
      <c r="L934" s="20" t="s">
        <v>1169</v>
      </c>
      <c r="M934" s="20" t="s">
        <v>1178</v>
      </c>
      <c r="N934" s="47">
        <v>45485</v>
      </c>
      <c r="O934" s="20">
        <f>INDEX(Auxiliar!$D$5:$F$13,MATCH(Table1[[#This Row],[Tipologia_Testes]],Auxiliar!$B$5:$B$13,0),MATCH(Table1[[#This Row],[Complexidade]],Auxiliar!$D$4:$F$4,0))</f>
        <v>0.5</v>
      </c>
      <c r="P934" s="2" t="s">
        <v>1227</v>
      </c>
      <c r="Q934" s="2"/>
      <c r="R934" s="151">
        <v>45261</v>
      </c>
      <c r="S934" s="151"/>
      <c r="T934" s="151"/>
      <c r="U934" s="151">
        <v>45603</v>
      </c>
      <c r="V934" s="151"/>
      <c r="W934" s="2">
        <f>VLOOKUP(Table1[[#This Row],[Status]],Auxiliar!$B$16:$D$24,3,0)*Table1[[#This Row],[Estimação (horas)]]</f>
        <v>0.5</v>
      </c>
      <c r="X934" s="166">
        <f>+VLOOKUP(CONCATENATE(Table1[[#This Row],[Tabela]],Table1[[#This Row],[Campo]]),'2. Status Detalhe Campos FY24'!A:J,9,FALSE)</f>
        <v>0</v>
      </c>
    </row>
    <row r="935" spans="2:24" ht="17.850000000000001" hidden="1" customHeight="1">
      <c r="B935" s="12" t="s">
        <v>26</v>
      </c>
      <c r="C935" s="12" t="s">
        <v>181</v>
      </c>
      <c r="D935" s="12" t="s">
        <v>1221</v>
      </c>
      <c r="E935" s="2" t="s">
        <v>38</v>
      </c>
      <c r="F935" s="12" t="s">
        <v>217</v>
      </c>
      <c r="G935" s="12" t="s">
        <v>38</v>
      </c>
      <c r="H935" s="57" t="str">
        <f>Table1[[#This Row],[Tabela]]&amp;Table1[[#This Row],[Campo]]</f>
        <v>modesg_inp_emss_scibn.a.</v>
      </c>
      <c r="I935" s="2" t="s">
        <v>612</v>
      </c>
      <c r="J935" s="45">
        <f>VLOOKUP(Table1[[#This Row],[Status]],Auxiliar!$B$16:$C$24,2,0)</f>
        <v>1</v>
      </c>
      <c r="K935" s="20" t="s">
        <v>1168</v>
      </c>
      <c r="L935" s="20" t="s">
        <v>1177</v>
      </c>
      <c r="M935" s="20" t="s">
        <v>1178</v>
      </c>
      <c r="N935" s="47">
        <v>45490</v>
      </c>
      <c r="O935" s="20">
        <f>INDEX(Auxiliar!$D$5:$F$13,MATCH(Table1[[#This Row],[Tipologia_Testes]],Auxiliar!$B$5:$B$13,0),MATCH(Table1[[#This Row],[Complexidade]],Auxiliar!$D$4:$F$4,0))</f>
        <v>8</v>
      </c>
      <c r="P935" s="2"/>
      <c r="Q935" s="2" t="s">
        <v>1224</v>
      </c>
      <c r="R935" s="151">
        <v>45261</v>
      </c>
      <c r="S935" s="151"/>
      <c r="T935" s="151"/>
      <c r="U935" s="151">
        <v>45603</v>
      </c>
      <c r="V935" s="151"/>
      <c r="W935" s="2">
        <f>VLOOKUP(Table1[[#This Row],[Status]],Auxiliar!$B$16:$D$24,3,0)*Table1[[#This Row],[Estimação (horas)]]</f>
        <v>8</v>
      </c>
      <c r="X935" s="166">
        <f>+VLOOKUP(CONCATENATE(Table1[[#This Row],[Tabela]],Table1[[#This Row],[Campo]]),'2. Status Detalhe Campos FY24'!A:J,9,FALSE)</f>
        <v>0</v>
      </c>
    </row>
    <row r="936" spans="2:24" ht="17.850000000000001" hidden="1" customHeight="1">
      <c r="B936" s="12" t="s">
        <v>26</v>
      </c>
      <c r="C936" s="12" t="s">
        <v>181</v>
      </c>
      <c r="D936" s="12" t="s">
        <v>1221</v>
      </c>
      <c r="E936" s="2" t="s">
        <v>38</v>
      </c>
      <c r="F936" s="12" t="s">
        <v>217</v>
      </c>
      <c r="G936" s="12" t="s">
        <v>38</v>
      </c>
      <c r="H936" s="57" t="str">
        <f>Table1[[#This Row],[Tabela]]&amp;Table1[[#This Row],[Campo]]</f>
        <v>modesg_inp_emss_scibn.a.</v>
      </c>
      <c r="I936" s="2" t="s">
        <v>612</v>
      </c>
      <c r="J936" s="45">
        <f>VLOOKUP(Table1[[#This Row],[Status]],Auxiliar!$B$16:$C$24,2,0)</f>
        <v>1</v>
      </c>
      <c r="K936" s="20" t="s">
        <v>1215</v>
      </c>
      <c r="L936" s="20" t="s">
        <v>1169</v>
      </c>
      <c r="M936" s="20" t="s">
        <v>1178</v>
      </c>
      <c r="N936" s="47">
        <v>45490</v>
      </c>
      <c r="O936" s="20">
        <f>INDEX(Auxiliar!$D$5:$F$13,MATCH(Table1[[#This Row],[Tipologia_Testes]],Auxiliar!$B$5:$B$13,0),MATCH(Table1[[#This Row],[Complexidade]],Auxiliar!$D$4:$F$4,0))</f>
        <v>0.5</v>
      </c>
      <c r="P936" s="2"/>
      <c r="Q936" s="2" t="s">
        <v>1224</v>
      </c>
      <c r="R936" s="151">
        <v>45261</v>
      </c>
      <c r="S936" s="151"/>
      <c r="T936" s="151"/>
      <c r="U936" s="151">
        <v>45603</v>
      </c>
      <c r="V936" s="151"/>
      <c r="W936" s="2">
        <f>VLOOKUP(Table1[[#This Row],[Status]],Auxiliar!$B$16:$D$24,3,0)*Table1[[#This Row],[Estimação (horas)]]</f>
        <v>0.5</v>
      </c>
      <c r="X936" s="166">
        <f>+VLOOKUP(CONCATENATE(Table1[[#This Row],[Tabela]],Table1[[#This Row],[Campo]]),'2. Status Detalhe Campos FY24'!A:J,9,FALSE)</f>
        <v>0</v>
      </c>
    </row>
    <row r="937" spans="2:24" ht="17.850000000000001" hidden="1" customHeight="1">
      <c r="B937" s="12" t="s">
        <v>26</v>
      </c>
      <c r="C937" s="12" t="s">
        <v>181</v>
      </c>
      <c r="D937" s="12" t="s">
        <v>1221</v>
      </c>
      <c r="E937" s="2" t="s">
        <v>38</v>
      </c>
      <c r="F937" s="12" t="s">
        <v>218</v>
      </c>
      <c r="G937" s="12" t="s">
        <v>38</v>
      </c>
      <c r="H937" s="57" t="str">
        <f>Table1[[#This Row],[Tabela]]&amp;Table1[[#This Row],[Campo]]</f>
        <v>modesg_inp_emss_nacen.a.</v>
      </c>
      <c r="I937" s="2" t="s">
        <v>612</v>
      </c>
      <c r="J937" s="45">
        <f>VLOOKUP(Table1[[#This Row],[Status]],Auxiliar!$B$16:$C$24,2,0)</f>
        <v>1</v>
      </c>
      <c r="K937" s="20" t="s">
        <v>1168</v>
      </c>
      <c r="L937" s="20" t="s">
        <v>1177</v>
      </c>
      <c r="M937" s="20" t="s">
        <v>1178</v>
      </c>
      <c r="N937" s="47">
        <v>45540</v>
      </c>
      <c r="O937" s="20">
        <f>INDEX(Auxiliar!$D$5:$F$13,MATCH(Table1[[#This Row],[Tipologia_Testes]],Auxiliar!$B$5:$B$13,0),MATCH(Table1[[#This Row],[Complexidade]],Auxiliar!$D$4:$F$4,0))</f>
        <v>8</v>
      </c>
      <c r="P937" s="2"/>
      <c r="Q937" s="2"/>
      <c r="R937" s="151">
        <v>45261</v>
      </c>
      <c r="S937" s="151"/>
      <c r="T937" s="151"/>
      <c r="U937" s="151">
        <v>45603</v>
      </c>
      <c r="V937" s="151"/>
      <c r="W937" s="2">
        <f>VLOOKUP(Table1[[#This Row],[Status]],Auxiliar!$B$16:$D$24,3,0)*Table1[[#This Row],[Estimação (horas)]]</f>
        <v>8</v>
      </c>
      <c r="X937" s="166">
        <f>+VLOOKUP(CONCATENATE(Table1[[#This Row],[Tabela]],Table1[[#This Row],[Campo]]),'2. Status Detalhe Campos FY24'!A:J,9,FALSE)</f>
        <v>0</v>
      </c>
    </row>
    <row r="938" spans="2:24" ht="17.850000000000001" hidden="1" customHeight="1">
      <c r="B938" s="12" t="s">
        <v>26</v>
      </c>
      <c r="C938" s="12" t="s">
        <v>181</v>
      </c>
      <c r="D938" s="12" t="s">
        <v>1221</v>
      </c>
      <c r="E938" s="2" t="s">
        <v>38</v>
      </c>
      <c r="F938" s="12" t="s">
        <v>218</v>
      </c>
      <c r="G938" s="12" t="s">
        <v>38</v>
      </c>
      <c r="H938" s="57" t="str">
        <f>Table1[[#This Row],[Tabela]]&amp;Table1[[#This Row],[Campo]]</f>
        <v>modesg_inp_emss_nacen.a.</v>
      </c>
      <c r="I938" s="2" t="s">
        <v>612</v>
      </c>
      <c r="J938" s="45">
        <f>VLOOKUP(Table1[[#This Row],[Status]],Auxiliar!$B$16:$C$24,2,0)</f>
        <v>1</v>
      </c>
      <c r="K938" s="20" t="s">
        <v>1215</v>
      </c>
      <c r="L938" s="20" t="s">
        <v>1169</v>
      </c>
      <c r="M938" s="20" t="s">
        <v>1178</v>
      </c>
      <c r="N938" s="47">
        <v>45540</v>
      </c>
      <c r="O938" s="20">
        <f>INDEX(Auxiliar!$D$5:$F$13,MATCH(Table1[[#This Row],[Tipologia_Testes]],Auxiliar!$B$5:$B$13,0),MATCH(Table1[[#This Row],[Complexidade]],Auxiliar!$D$4:$F$4,0))</f>
        <v>0.5</v>
      </c>
      <c r="P938" s="2"/>
      <c r="Q938" s="2"/>
      <c r="R938" s="151">
        <v>45261</v>
      </c>
      <c r="S938" s="151"/>
      <c r="T938" s="151"/>
      <c r="U938" s="151">
        <v>45603</v>
      </c>
      <c r="V938" s="151"/>
      <c r="W938" s="2">
        <f>VLOOKUP(Table1[[#This Row],[Status]],Auxiliar!$B$16:$D$24,3,0)*Table1[[#This Row],[Estimação (horas)]]</f>
        <v>0.5</v>
      </c>
      <c r="X938" s="166">
        <f>+VLOOKUP(CONCATENATE(Table1[[#This Row],[Tabela]],Table1[[#This Row],[Campo]]),'2. Status Detalhe Campos FY24'!A:J,9,FALSE)</f>
        <v>0</v>
      </c>
    </row>
    <row r="939" spans="2:24" ht="17.850000000000001" hidden="1" customHeight="1">
      <c r="B939" s="12" t="s">
        <v>26</v>
      </c>
      <c r="C939" s="12" t="s">
        <v>181</v>
      </c>
      <c r="D939" s="12" t="s">
        <v>1221</v>
      </c>
      <c r="E939" s="2" t="s">
        <v>38</v>
      </c>
      <c r="F939" s="12" t="s">
        <v>219</v>
      </c>
      <c r="G939" s="12" t="s">
        <v>38</v>
      </c>
      <c r="H939" s="57" t="str">
        <f>Table1[[#This Row],[Tabela]]&amp;Table1[[#This Row],[Campo]]</f>
        <v>modesg_inp_emss_bens_imoveisn.a.</v>
      </c>
      <c r="I939" s="2" t="s">
        <v>612</v>
      </c>
      <c r="J939" s="45">
        <f>VLOOKUP(Table1[[#This Row],[Status]],Auxiliar!$B$16:$C$24,2,0)</f>
        <v>1</v>
      </c>
      <c r="K939" s="20" t="s">
        <v>1168</v>
      </c>
      <c r="L939" s="20" t="s">
        <v>1177</v>
      </c>
      <c r="M939" s="20" t="s">
        <v>1178</v>
      </c>
      <c r="N939" s="47">
        <v>45546</v>
      </c>
      <c r="O939" s="20">
        <f>INDEX(Auxiliar!$D$5:$F$13,MATCH(Table1[[#This Row],[Tipologia_Testes]],Auxiliar!$B$5:$B$13,0),MATCH(Table1[[#This Row],[Complexidade]],Auxiliar!$D$4:$F$4,0))</f>
        <v>8</v>
      </c>
      <c r="P939" s="2"/>
      <c r="Q939" s="2"/>
      <c r="R939" s="151">
        <v>45261</v>
      </c>
      <c r="S939" s="151"/>
      <c r="T939" s="151"/>
      <c r="U939" s="151">
        <v>45603</v>
      </c>
      <c r="V939" s="151">
        <v>45534</v>
      </c>
      <c r="W939" s="2">
        <f>VLOOKUP(Table1[[#This Row],[Status]],Auxiliar!$B$16:$D$24,3,0)*Table1[[#This Row],[Estimação (horas)]]</f>
        <v>8</v>
      </c>
      <c r="X939" s="166">
        <f>+VLOOKUP(CONCATENATE(Table1[[#This Row],[Tabela]],Table1[[#This Row],[Campo]]),'2. Status Detalhe Campos FY24'!A:J,9,FALSE)</f>
        <v>0</v>
      </c>
    </row>
    <row r="940" spans="2:24" ht="17.850000000000001" hidden="1" customHeight="1">
      <c r="B940" s="12" t="s">
        <v>26</v>
      </c>
      <c r="C940" s="12" t="s">
        <v>181</v>
      </c>
      <c r="D940" s="12" t="s">
        <v>1221</v>
      </c>
      <c r="E940" s="2" t="s">
        <v>38</v>
      </c>
      <c r="F940" s="12" t="s">
        <v>219</v>
      </c>
      <c r="G940" s="12" t="s">
        <v>38</v>
      </c>
      <c r="H940" s="57" t="str">
        <f>Table1[[#This Row],[Tabela]]&amp;Table1[[#This Row],[Campo]]</f>
        <v>modesg_inp_emss_bens_imoveisn.a.</v>
      </c>
      <c r="I940" s="2" t="s">
        <v>612</v>
      </c>
      <c r="J940" s="45">
        <f>VLOOKUP(Table1[[#This Row],[Status]],Auxiliar!$B$16:$C$24,2,0)</f>
        <v>1</v>
      </c>
      <c r="K940" s="20" t="s">
        <v>1215</v>
      </c>
      <c r="L940" s="20" t="s">
        <v>1169</v>
      </c>
      <c r="M940" s="20" t="s">
        <v>1178</v>
      </c>
      <c r="N940" s="47">
        <v>45546</v>
      </c>
      <c r="O940" s="20">
        <f>INDEX(Auxiliar!$D$5:$F$13,MATCH(Table1[[#This Row],[Tipologia_Testes]],Auxiliar!$B$5:$B$13,0),MATCH(Table1[[#This Row],[Complexidade]],Auxiliar!$D$4:$F$4,0))</f>
        <v>0.5</v>
      </c>
      <c r="P940" s="2" t="s">
        <v>1230</v>
      </c>
      <c r="Q940" s="2"/>
      <c r="R940" s="151">
        <v>45261</v>
      </c>
      <c r="S940" s="151"/>
      <c r="T940" s="151"/>
      <c r="U940" s="151">
        <v>45603</v>
      </c>
      <c r="V940" s="151">
        <v>45534</v>
      </c>
      <c r="W940" s="2">
        <f>VLOOKUP(Table1[[#This Row],[Status]],Auxiliar!$B$16:$D$24,3,0)*Table1[[#This Row],[Estimação (horas)]]</f>
        <v>0.5</v>
      </c>
      <c r="X940" s="166">
        <f>+VLOOKUP(CONCATENATE(Table1[[#This Row],[Tabela]],Table1[[#This Row],[Campo]]),'2. Status Detalhe Campos FY24'!A:J,9,FALSE)</f>
        <v>0</v>
      </c>
    </row>
    <row r="941" spans="2:24" ht="17.850000000000001" hidden="1" customHeight="1">
      <c r="B941" s="12" t="s">
        <v>26</v>
      </c>
      <c r="C941" s="12" t="s">
        <v>181</v>
      </c>
      <c r="D941" s="12" t="s">
        <v>1221</v>
      </c>
      <c r="E941" s="2" t="s">
        <v>38</v>
      </c>
      <c r="F941" s="12" t="s">
        <v>212</v>
      </c>
      <c r="G941" s="12" t="s">
        <v>208</v>
      </c>
      <c r="H941" s="57" t="str">
        <f>Table1[[#This Row],[Tabela]]&amp;Table1[[#This Row],[Campo]]</f>
        <v>modesg_inp_emss_vclsref_date</v>
      </c>
      <c r="I941" s="2" t="s">
        <v>612</v>
      </c>
      <c r="J941" s="45">
        <f>VLOOKUP(Table1[[#This Row],[Status]],Auxiliar!$B$16:$C$24,2,0)</f>
        <v>1</v>
      </c>
      <c r="K941" s="20" t="s">
        <v>1182</v>
      </c>
      <c r="L941" s="20" t="s">
        <v>1177</v>
      </c>
      <c r="M941" s="20" t="s">
        <v>1179</v>
      </c>
      <c r="N941" s="47">
        <v>45546</v>
      </c>
      <c r="O941" s="20">
        <f>INDEX(Auxiliar!$D$5:$F$13,MATCH(Table1[[#This Row],[Tipologia_Testes]],Auxiliar!$B$5:$B$13,0),MATCH(Table1[[#This Row],[Complexidade]],Auxiliar!$D$4:$F$4,0))</f>
        <v>0.5</v>
      </c>
      <c r="P941" s="2" t="s">
        <v>1231</v>
      </c>
      <c r="Q941" s="2"/>
      <c r="R941" s="151">
        <v>45261</v>
      </c>
      <c r="S941" s="151"/>
      <c r="T941" s="151"/>
      <c r="U941" s="151">
        <v>45603</v>
      </c>
      <c r="V941" s="151">
        <v>45534</v>
      </c>
      <c r="W941" s="2">
        <f>VLOOKUP(Table1[[#This Row],[Status]],Auxiliar!$B$16:$D$24,3,0)*Table1[[#This Row],[Estimação (horas)]]</f>
        <v>0.5</v>
      </c>
      <c r="X941" s="166">
        <f>+VLOOKUP(CONCATENATE(Table1[[#This Row],[Tabela]],Table1[[#This Row],[Campo]]),'2. Status Detalhe Campos FY24'!A:J,9,FALSE)</f>
        <v>0</v>
      </c>
    </row>
    <row r="942" spans="2:24" ht="69.599999999999994" hidden="1" customHeight="1">
      <c r="B942" s="12" t="s">
        <v>26</v>
      </c>
      <c r="C942" s="12" t="s">
        <v>181</v>
      </c>
      <c r="D942" s="12" t="s">
        <v>1221</v>
      </c>
      <c r="E942" s="2" t="s">
        <v>38</v>
      </c>
      <c r="F942" s="12" t="s">
        <v>212</v>
      </c>
      <c r="G942" s="12" t="s">
        <v>220</v>
      </c>
      <c r="H942" s="57" t="str">
        <f>Table1[[#This Row],[Tabela]]&amp;Table1[[#This Row],[Campo]]</f>
        <v>modesg_inp_emss_vclsnome_regiao</v>
      </c>
      <c r="I942" s="2" t="s">
        <v>612</v>
      </c>
      <c r="J942" s="45">
        <f>VLOOKUP(Table1[[#This Row],[Status]],Auxiliar!$B$16:$C$24,2,0)</f>
        <v>1</v>
      </c>
      <c r="K942" s="20" t="s">
        <v>1174</v>
      </c>
      <c r="L942" s="20" t="s">
        <v>1169</v>
      </c>
      <c r="M942" s="20" t="s">
        <v>1179</v>
      </c>
      <c r="N942" s="47">
        <v>45546</v>
      </c>
      <c r="O942" s="20">
        <f>INDEX(Auxiliar!$D$5:$F$13,MATCH(Table1[[#This Row],[Tipologia_Testes]],Auxiliar!$B$5:$B$13,0),MATCH(Table1[[#This Row],[Complexidade]],Auxiliar!$D$4:$F$4,0))</f>
        <v>0.1</v>
      </c>
      <c r="P942" s="2" t="s">
        <v>1232</v>
      </c>
      <c r="Q942" s="2"/>
      <c r="R942" s="151">
        <v>45261</v>
      </c>
      <c r="S942" s="151"/>
      <c r="T942" s="151"/>
      <c r="U942" s="151">
        <v>45603</v>
      </c>
      <c r="V942" s="151">
        <v>45534</v>
      </c>
      <c r="W942" s="2">
        <f>VLOOKUP(Table1[[#This Row],[Status]],Auxiliar!$B$16:$D$24,3,0)*Table1[[#This Row],[Estimação (horas)]]</f>
        <v>0.1</v>
      </c>
      <c r="X942" s="166">
        <f>+VLOOKUP(CONCATENATE(Table1[[#This Row],[Tabela]],Table1[[#This Row],[Campo]]),'2. Status Detalhe Campos FY24'!A:J,9,FALSE)</f>
        <v>0</v>
      </c>
    </row>
    <row r="943" spans="2:24" ht="17.850000000000001" hidden="1" customHeight="1">
      <c r="B943" s="12" t="s">
        <v>26</v>
      </c>
      <c r="C943" s="12" t="s">
        <v>181</v>
      </c>
      <c r="D943" s="12" t="s">
        <v>1221</v>
      </c>
      <c r="E943" s="2" t="s">
        <v>38</v>
      </c>
      <c r="F943" s="12" t="s">
        <v>212</v>
      </c>
      <c r="G943" s="12" t="s">
        <v>220</v>
      </c>
      <c r="H943" s="57" t="str">
        <f>Table1[[#This Row],[Tabela]]&amp;Table1[[#This Row],[Campo]]</f>
        <v>modesg_inp_emss_vclsnome_regiao</v>
      </c>
      <c r="I943" s="2" t="s">
        <v>612</v>
      </c>
      <c r="J943" s="45">
        <f>VLOOKUP(Table1[[#This Row],[Status]],Auxiliar!$B$16:$C$24,2,0)</f>
        <v>1</v>
      </c>
      <c r="K943" s="20" t="s">
        <v>1182</v>
      </c>
      <c r="L943" s="20" t="s">
        <v>1169</v>
      </c>
      <c r="M943" s="20" t="s">
        <v>1179</v>
      </c>
      <c r="N943" s="47">
        <v>45546</v>
      </c>
      <c r="O943" s="20">
        <f>INDEX(Auxiliar!$D$5:$F$13,MATCH(Table1[[#This Row],[Tipologia_Testes]],Auxiliar!$B$5:$B$13,0),MATCH(Table1[[#This Row],[Complexidade]],Auxiliar!$D$4:$F$4,0))</f>
        <v>0.5</v>
      </c>
      <c r="P943" s="22" t="s">
        <v>1233</v>
      </c>
      <c r="Q943" s="2"/>
      <c r="R943" s="151">
        <v>45261</v>
      </c>
      <c r="S943" s="151"/>
      <c r="T943" s="151"/>
      <c r="U943" s="151">
        <v>45603</v>
      </c>
      <c r="V943" s="151">
        <v>45534</v>
      </c>
      <c r="W943" s="2">
        <f>VLOOKUP(Table1[[#This Row],[Status]],Auxiliar!$B$16:$D$24,3,0)*Table1[[#This Row],[Estimação (horas)]]</f>
        <v>0.5</v>
      </c>
      <c r="X943" s="166">
        <f>+VLOOKUP(CONCATENATE(Table1[[#This Row],[Tabela]],Table1[[#This Row],[Campo]]),'2. Status Detalhe Campos FY24'!A:J,9,FALSE)</f>
        <v>0</v>
      </c>
    </row>
    <row r="944" spans="2:24" ht="69.599999999999994" hidden="1" customHeight="1">
      <c r="B944" s="12" t="s">
        <v>26</v>
      </c>
      <c r="C944" s="12" t="s">
        <v>181</v>
      </c>
      <c r="D944" s="12" t="s">
        <v>1221</v>
      </c>
      <c r="E944" s="2" t="s">
        <v>38</v>
      </c>
      <c r="F944" s="12" t="s">
        <v>212</v>
      </c>
      <c r="G944" s="12" t="s">
        <v>221</v>
      </c>
      <c r="H944" s="57" t="str">
        <f>Table1[[#This Row],[Tabela]]&amp;Table1[[#This Row],[Campo]]</f>
        <v>modesg_inp_emss_vclsnome_pais</v>
      </c>
      <c r="I944" s="2" t="s">
        <v>612</v>
      </c>
      <c r="J944" s="45">
        <f>VLOOKUP(Table1[[#This Row],[Status]],Auxiliar!$B$16:$C$24,2,0)</f>
        <v>1</v>
      </c>
      <c r="K944" s="20" t="s">
        <v>1174</v>
      </c>
      <c r="L944" s="2" t="s">
        <v>1169</v>
      </c>
      <c r="M944" s="20" t="s">
        <v>1179</v>
      </c>
      <c r="N944" s="47">
        <v>45546</v>
      </c>
      <c r="O944" s="20">
        <f>INDEX(Auxiliar!$D$5:$F$13,MATCH(Table1[[#This Row],[Tipologia_Testes]],Auxiliar!$B$5:$B$13,0),MATCH(Table1[[#This Row],[Complexidade]],Auxiliar!$D$4:$F$4,0))</f>
        <v>0.1</v>
      </c>
      <c r="P944" s="2" t="s">
        <v>1232</v>
      </c>
      <c r="Q944" s="2"/>
      <c r="R944" s="151">
        <v>45261</v>
      </c>
      <c r="S944" s="151"/>
      <c r="T944" s="151"/>
      <c r="U944" s="151">
        <v>45603</v>
      </c>
      <c r="V944" s="151">
        <v>45534</v>
      </c>
      <c r="W944" s="2">
        <f>VLOOKUP(Table1[[#This Row],[Status]],Auxiliar!$B$16:$D$24,3,0)*Table1[[#This Row],[Estimação (horas)]]</f>
        <v>0.1</v>
      </c>
      <c r="X944" s="166">
        <f>+VLOOKUP(CONCATENATE(Table1[[#This Row],[Tabela]],Table1[[#This Row],[Campo]]),'2. Status Detalhe Campos FY24'!A:J,9,FALSE)</f>
        <v>0</v>
      </c>
    </row>
    <row r="945" spans="2:24" ht="17.850000000000001" hidden="1" customHeight="1">
      <c r="B945" s="12" t="s">
        <v>26</v>
      </c>
      <c r="C945" s="12" t="s">
        <v>181</v>
      </c>
      <c r="D945" s="12" t="s">
        <v>1221</v>
      </c>
      <c r="E945" s="2" t="s">
        <v>38</v>
      </c>
      <c r="F945" s="12" t="s">
        <v>212</v>
      </c>
      <c r="G945" s="12" t="s">
        <v>221</v>
      </c>
      <c r="H945" s="57" t="str">
        <f>Table1[[#This Row],[Tabela]]&amp;Table1[[#This Row],[Campo]]</f>
        <v>modesg_inp_emss_vclsnome_pais</v>
      </c>
      <c r="I945" s="2" t="s">
        <v>612</v>
      </c>
      <c r="J945" s="45">
        <f>VLOOKUP(Table1[[#This Row],[Status]],Auxiliar!$B$16:$C$24,2,0)</f>
        <v>1</v>
      </c>
      <c r="K945" s="20" t="s">
        <v>1182</v>
      </c>
      <c r="L945" s="2" t="s">
        <v>1169</v>
      </c>
      <c r="M945" s="20" t="s">
        <v>1179</v>
      </c>
      <c r="N945" s="47">
        <v>45546</v>
      </c>
      <c r="O945" s="20">
        <f>INDEX(Auxiliar!$D$5:$F$13,MATCH(Table1[[#This Row],[Tipologia_Testes]],Auxiliar!$B$5:$B$13,0),MATCH(Table1[[#This Row],[Complexidade]],Auxiliar!$D$4:$F$4,0))</f>
        <v>0.5</v>
      </c>
      <c r="P945" s="22" t="s">
        <v>1233</v>
      </c>
      <c r="Q945" s="2"/>
      <c r="R945" s="151">
        <v>45261</v>
      </c>
      <c r="S945" s="151"/>
      <c r="T945" s="151"/>
      <c r="U945" s="151">
        <v>45603</v>
      </c>
      <c r="V945" s="151">
        <v>45534</v>
      </c>
      <c r="W945" s="2">
        <f>VLOOKUP(Table1[[#This Row],[Status]],Auxiliar!$B$16:$D$24,3,0)*Table1[[#This Row],[Estimação (horas)]]</f>
        <v>0.5</v>
      </c>
      <c r="X945" s="166">
        <f>+VLOOKUP(CONCATENATE(Table1[[#This Row],[Tabela]],Table1[[#This Row],[Campo]]),'2. Status Detalhe Campos FY24'!A:J,9,FALSE)</f>
        <v>0</v>
      </c>
    </row>
    <row r="946" spans="2:24" ht="17.850000000000001" hidden="1" customHeight="1">
      <c r="B946" s="12" t="s">
        <v>26</v>
      </c>
      <c r="C946" s="12" t="s">
        <v>181</v>
      </c>
      <c r="D946" s="12" t="s">
        <v>1221</v>
      </c>
      <c r="E946" s="2" t="s">
        <v>38</v>
      </c>
      <c r="F946" s="12" t="s">
        <v>212</v>
      </c>
      <c r="G946" s="12" t="s">
        <v>222</v>
      </c>
      <c r="H946" s="57" t="str">
        <f>Table1[[#This Row],[Tabela]]&amp;Table1[[#This Row],[Campo]]</f>
        <v>modesg_inp_emss_vclsnome_estado</v>
      </c>
      <c r="I946" s="2" t="s">
        <v>612</v>
      </c>
      <c r="J946" s="45">
        <f>VLOOKUP(Table1[[#This Row],[Status]],Auxiliar!$B$16:$C$24,2,0)</f>
        <v>1</v>
      </c>
      <c r="K946" s="20" t="s">
        <v>1182</v>
      </c>
      <c r="L946" s="20" t="s">
        <v>1177</v>
      </c>
      <c r="M946" s="20" t="s">
        <v>1179</v>
      </c>
      <c r="N946" s="47">
        <v>45546</v>
      </c>
      <c r="O946" s="20">
        <f>INDEX(Auxiliar!$D$5:$F$13,MATCH(Table1[[#This Row],[Tipologia_Testes]],Auxiliar!$B$5:$B$13,0),MATCH(Table1[[#This Row],[Complexidade]],Auxiliar!$D$4:$F$4,0))</f>
        <v>0.5</v>
      </c>
      <c r="P946" s="2" t="s">
        <v>1231</v>
      </c>
      <c r="Q946" s="2"/>
      <c r="R946" s="151">
        <v>45261</v>
      </c>
      <c r="S946" s="151"/>
      <c r="T946" s="151"/>
      <c r="U946" s="151">
        <v>45603</v>
      </c>
      <c r="V946" s="151">
        <v>45534</v>
      </c>
      <c r="W946" s="2">
        <f>VLOOKUP(Table1[[#This Row],[Status]],Auxiliar!$B$16:$D$24,3,0)*Table1[[#This Row],[Estimação (horas)]]</f>
        <v>0.5</v>
      </c>
      <c r="X946" s="166">
        <f>+VLOOKUP(CONCATENATE(Table1[[#This Row],[Tabela]],Table1[[#This Row],[Campo]]),'2. Status Detalhe Campos FY24'!A:J,9,FALSE)</f>
        <v>0</v>
      </c>
    </row>
    <row r="947" spans="2:24" ht="17.850000000000001" hidden="1" customHeight="1">
      <c r="B947" s="12" t="s">
        <v>26</v>
      </c>
      <c r="C947" s="12" t="s">
        <v>181</v>
      </c>
      <c r="D947" s="12" t="s">
        <v>1221</v>
      </c>
      <c r="E947" s="2" t="s">
        <v>38</v>
      </c>
      <c r="F947" s="12" t="s">
        <v>212</v>
      </c>
      <c r="G947" s="12" t="s">
        <v>223</v>
      </c>
      <c r="H947" s="57" t="str">
        <f>Table1[[#This Row],[Tabela]]&amp;Table1[[#This Row],[Campo]]</f>
        <v>modesg_inp_emss_vclstipo_veiculo</v>
      </c>
      <c r="I947" s="2" t="s">
        <v>612</v>
      </c>
      <c r="J947" s="45">
        <f>VLOOKUP(Table1[[#This Row],[Status]],Auxiliar!$B$16:$C$24,2,0)</f>
        <v>1</v>
      </c>
      <c r="K947" s="20" t="s">
        <v>1174</v>
      </c>
      <c r="L947" s="20" t="s">
        <v>1177</v>
      </c>
      <c r="M947" s="20" t="s">
        <v>1179</v>
      </c>
      <c r="N947" s="47">
        <v>45546</v>
      </c>
      <c r="O947" s="20">
        <f>INDEX(Auxiliar!$D$5:$F$13,MATCH(Table1[[#This Row],[Tipologia_Testes]],Auxiliar!$B$5:$B$13,0),MATCH(Table1[[#This Row],[Complexidade]],Auxiliar!$D$4:$F$4,0))</f>
        <v>0.1</v>
      </c>
      <c r="P947" s="2" t="s">
        <v>1232</v>
      </c>
      <c r="Q947" s="2"/>
      <c r="R947" s="151">
        <v>45261</v>
      </c>
      <c r="S947" s="151"/>
      <c r="T947" s="151"/>
      <c r="U947" s="151">
        <v>45603</v>
      </c>
      <c r="V947" s="151">
        <v>45534</v>
      </c>
      <c r="W947" s="2">
        <f>VLOOKUP(Table1[[#This Row],[Status]],Auxiliar!$B$16:$D$24,3,0)*Table1[[#This Row],[Estimação (horas)]]</f>
        <v>0.1</v>
      </c>
      <c r="X947" s="166">
        <f>+VLOOKUP(CONCATENATE(Table1[[#This Row],[Tabela]],Table1[[#This Row],[Campo]]),'2. Status Detalhe Campos FY24'!A:J,9,FALSE)</f>
        <v>0</v>
      </c>
    </row>
    <row r="948" spans="2:24" ht="17.850000000000001" hidden="1" customHeight="1">
      <c r="B948" s="12" t="s">
        <v>26</v>
      </c>
      <c r="C948" s="12" t="s">
        <v>181</v>
      </c>
      <c r="D948" s="12" t="s">
        <v>1221</v>
      </c>
      <c r="E948" s="2" t="s">
        <v>38</v>
      </c>
      <c r="F948" s="12" t="s">
        <v>212</v>
      </c>
      <c r="G948" s="12" t="s">
        <v>223</v>
      </c>
      <c r="H948" s="57" t="str">
        <f>Table1[[#This Row],[Tabela]]&amp;Table1[[#This Row],[Campo]]</f>
        <v>modesg_inp_emss_vclstipo_veiculo</v>
      </c>
      <c r="I948" s="2" t="s">
        <v>612</v>
      </c>
      <c r="J948" s="45">
        <f>VLOOKUP(Table1[[#This Row],[Status]],Auxiliar!$B$16:$C$24,2,0)</f>
        <v>1</v>
      </c>
      <c r="K948" s="20" t="s">
        <v>1182</v>
      </c>
      <c r="L948" s="20" t="s">
        <v>1177</v>
      </c>
      <c r="M948" s="20" t="s">
        <v>1179</v>
      </c>
      <c r="N948" s="47">
        <v>45546</v>
      </c>
      <c r="O948" s="20">
        <f>INDEX(Auxiliar!$D$5:$F$13,MATCH(Table1[[#This Row],[Tipologia_Testes]],Auxiliar!$B$5:$B$13,0),MATCH(Table1[[#This Row],[Complexidade]],Auxiliar!$D$4:$F$4,0))</f>
        <v>0.5</v>
      </c>
      <c r="P948" s="2" t="s">
        <v>1231</v>
      </c>
      <c r="Q948" s="2"/>
      <c r="R948" s="151">
        <v>45261</v>
      </c>
      <c r="S948" s="151"/>
      <c r="T948" s="151"/>
      <c r="U948" s="151">
        <v>45603</v>
      </c>
      <c r="V948" s="151">
        <v>45534</v>
      </c>
      <c r="W948" s="2">
        <f>VLOOKUP(Table1[[#This Row],[Status]],Auxiliar!$B$16:$D$24,3,0)*Table1[[#This Row],[Estimação (horas)]]</f>
        <v>0.5</v>
      </c>
      <c r="X948" s="166">
        <f>+VLOOKUP(CONCATENATE(Table1[[#This Row],[Tabela]],Table1[[#This Row],[Campo]]),'2. Status Detalhe Campos FY24'!A:J,9,FALSE)</f>
        <v>0</v>
      </c>
    </row>
    <row r="949" spans="2:24" ht="17.850000000000001" hidden="1" customHeight="1">
      <c r="B949" s="12" t="s">
        <v>26</v>
      </c>
      <c r="C949" s="12" t="s">
        <v>181</v>
      </c>
      <c r="D949" s="12" t="s">
        <v>1221</v>
      </c>
      <c r="E949" s="2" t="s">
        <v>38</v>
      </c>
      <c r="F949" s="12" t="s">
        <v>212</v>
      </c>
      <c r="G949" s="12" t="s">
        <v>224</v>
      </c>
      <c r="H949" s="57" t="str">
        <f>Table1[[#This Row],[Tabela]]&amp;Table1[[#This Row],[Campo]]</f>
        <v>modesg_inp_emss_vclstipo_motor</v>
      </c>
      <c r="I949" s="2" t="s">
        <v>612</v>
      </c>
      <c r="J949" s="45">
        <f>VLOOKUP(Table1[[#This Row],[Status]],Auxiliar!$B$16:$C$24,2,0)</f>
        <v>1</v>
      </c>
      <c r="K949" s="20" t="s">
        <v>1174</v>
      </c>
      <c r="L949" s="20" t="s">
        <v>1177</v>
      </c>
      <c r="M949" s="20" t="s">
        <v>1179</v>
      </c>
      <c r="N949" s="47">
        <v>45546</v>
      </c>
      <c r="O949" s="20">
        <f>INDEX(Auxiliar!$D$5:$F$13,MATCH(Table1[[#This Row],[Tipologia_Testes]],Auxiliar!$B$5:$B$13,0),MATCH(Table1[[#This Row],[Complexidade]],Auxiliar!$D$4:$F$4,0))</f>
        <v>0.1</v>
      </c>
      <c r="P949" s="2" t="s">
        <v>1232</v>
      </c>
      <c r="Q949" s="2"/>
      <c r="R949" s="151">
        <v>45261</v>
      </c>
      <c r="S949" s="151"/>
      <c r="T949" s="151"/>
      <c r="U949" s="151">
        <v>45603</v>
      </c>
      <c r="V949" s="151">
        <v>45534</v>
      </c>
      <c r="W949" s="2">
        <f>VLOOKUP(Table1[[#This Row],[Status]],Auxiliar!$B$16:$D$24,3,0)*Table1[[#This Row],[Estimação (horas)]]</f>
        <v>0.1</v>
      </c>
      <c r="X949" s="166">
        <f>+VLOOKUP(CONCATENATE(Table1[[#This Row],[Tabela]],Table1[[#This Row],[Campo]]),'2. Status Detalhe Campos FY24'!A:J,9,FALSE)</f>
        <v>0</v>
      </c>
    </row>
    <row r="950" spans="2:24" ht="17.850000000000001" hidden="1" customHeight="1">
      <c r="B950" s="12" t="s">
        <v>26</v>
      </c>
      <c r="C950" s="12" t="s">
        <v>181</v>
      </c>
      <c r="D950" s="12" t="s">
        <v>1221</v>
      </c>
      <c r="E950" s="2" t="s">
        <v>38</v>
      </c>
      <c r="F950" s="12" t="s">
        <v>212</v>
      </c>
      <c r="G950" s="12" t="s">
        <v>224</v>
      </c>
      <c r="H950" s="57" t="str">
        <f>Table1[[#This Row],[Tabela]]&amp;Table1[[#This Row],[Campo]]</f>
        <v>modesg_inp_emss_vclstipo_motor</v>
      </c>
      <c r="I950" s="2" t="s">
        <v>612</v>
      </c>
      <c r="J950" s="45">
        <f>VLOOKUP(Table1[[#This Row],[Status]],Auxiliar!$B$16:$C$24,2,0)</f>
        <v>1</v>
      </c>
      <c r="K950" s="20" t="s">
        <v>1182</v>
      </c>
      <c r="L950" s="20" t="s">
        <v>1177</v>
      </c>
      <c r="M950" s="20" t="s">
        <v>1179</v>
      </c>
      <c r="N950" s="47">
        <v>45546</v>
      </c>
      <c r="O950" s="20">
        <f>INDEX(Auxiliar!$D$5:$F$13,MATCH(Table1[[#This Row],[Tipologia_Testes]],Auxiliar!$B$5:$B$13,0),MATCH(Table1[[#This Row],[Complexidade]],Auxiliar!$D$4:$F$4,0))</f>
        <v>0.5</v>
      </c>
      <c r="P950" s="2" t="s">
        <v>1231</v>
      </c>
      <c r="Q950" s="2"/>
      <c r="R950" s="151">
        <v>45261</v>
      </c>
      <c r="S950" s="151"/>
      <c r="T950" s="151"/>
      <c r="U950" s="151">
        <v>45603</v>
      </c>
      <c r="V950" s="151">
        <v>45534</v>
      </c>
      <c r="W950" s="2">
        <f>VLOOKUP(Table1[[#This Row],[Status]],Auxiliar!$B$16:$D$24,3,0)*Table1[[#This Row],[Estimação (horas)]]</f>
        <v>0.5</v>
      </c>
      <c r="X950" s="166">
        <f>+VLOOKUP(CONCATENATE(Table1[[#This Row],[Tabela]],Table1[[#This Row],[Campo]]),'2. Status Detalhe Campos FY24'!A:J,9,FALSE)</f>
        <v>0</v>
      </c>
    </row>
    <row r="951" spans="2:24" ht="69.599999999999994" hidden="1" customHeight="1">
      <c r="B951" s="12" t="s">
        <v>26</v>
      </c>
      <c r="C951" s="12" t="s">
        <v>181</v>
      </c>
      <c r="D951" s="12" t="s">
        <v>1221</v>
      </c>
      <c r="E951" s="2" t="s">
        <v>38</v>
      </c>
      <c r="F951" s="12" t="s">
        <v>212</v>
      </c>
      <c r="G951" s="12" t="s">
        <v>225</v>
      </c>
      <c r="H951" s="57" t="str">
        <f>Table1[[#This Row],[Tabela]]&amp;Table1[[#This Row],[Campo]]</f>
        <v>modesg_inp_emss_vclsmarca</v>
      </c>
      <c r="I951" s="2" t="s">
        <v>612</v>
      </c>
      <c r="J951" s="45">
        <f>VLOOKUP(Table1[[#This Row],[Status]],Auxiliar!$B$16:$C$24,2,0)</f>
        <v>1</v>
      </c>
      <c r="K951" s="20" t="s">
        <v>1174</v>
      </c>
      <c r="L951" s="2" t="s">
        <v>1169</v>
      </c>
      <c r="M951" s="20" t="s">
        <v>1179</v>
      </c>
      <c r="N951" s="47">
        <v>45546</v>
      </c>
      <c r="O951" s="20">
        <f>INDEX(Auxiliar!$D$5:$F$13,MATCH(Table1[[#This Row],[Tipologia_Testes]],Auxiliar!$B$5:$B$13,0),MATCH(Table1[[#This Row],[Complexidade]],Auxiliar!$D$4:$F$4,0))</f>
        <v>0.1</v>
      </c>
      <c r="P951" s="2" t="s">
        <v>1232</v>
      </c>
      <c r="Q951" s="2"/>
      <c r="R951" s="151">
        <v>45261</v>
      </c>
      <c r="S951" s="151"/>
      <c r="T951" s="151"/>
      <c r="U951" s="151">
        <v>45603</v>
      </c>
      <c r="V951" s="151">
        <v>45534</v>
      </c>
      <c r="W951" s="2">
        <f>VLOOKUP(Table1[[#This Row],[Status]],Auxiliar!$B$16:$D$24,3,0)*Table1[[#This Row],[Estimação (horas)]]</f>
        <v>0.1</v>
      </c>
      <c r="X951" s="166">
        <f>+VLOOKUP(CONCATENATE(Table1[[#This Row],[Tabela]],Table1[[#This Row],[Campo]]),'2. Status Detalhe Campos FY24'!A:J,9,FALSE)</f>
        <v>0</v>
      </c>
    </row>
    <row r="952" spans="2:24" ht="17.850000000000001" hidden="1" customHeight="1">
      <c r="B952" s="12" t="s">
        <v>26</v>
      </c>
      <c r="C952" s="12" t="s">
        <v>181</v>
      </c>
      <c r="D952" s="12" t="s">
        <v>1221</v>
      </c>
      <c r="E952" s="2" t="s">
        <v>38</v>
      </c>
      <c r="F952" s="12" t="s">
        <v>212</v>
      </c>
      <c r="G952" s="12" t="s">
        <v>225</v>
      </c>
      <c r="H952" s="57" t="str">
        <f>Table1[[#This Row],[Tabela]]&amp;Table1[[#This Row],[Campo]]</f>
        <v>modesg_inp_emss_vclsmarca</v>
      </c>
      <c r="I952" s="2" t="s">
        <v>612</v>
      </c>
      <c r="J952" s="45">
        <f>VLOOKUP(Table1[[#This Row],[Status]],Auxiliar!$B$16:$C$24,2,0)</f>
        <v>1</v>
      </c>
      <c r="K952" s="20" t="s">
        <v>1182</v>
      </c>
      <c r="L952" s="2" t="s">
        <v>1169</v>
      </c>
      <c r="M952" s="20" t="s">
        <v>1179</v>
      </c>
      <c r="N952" s="47">
        <v>45546</v>
      </c>
      <c r="O952" s="20">
        <f>INDEX(Auxiliar!$D$5:$F$13,MATCH(Table1[[#This Row],[Tipologia_Testes]],Auxiliar!$B$5:$B$13,0),MATCH(Table1[[#This Row],[Complexidade]],Auxiliar!$D$4:$F$4,0))</f>
        <v>0.5</v>
      </c>
      <c r="P952" s="22" t="s">
        <v>1233</v>
      </c>
      <c r="Q952" s="2"/>
      <c r="R952" s="151">
        <v>45261</v>
      </c>
      <c r="S952" s="151"/>
      <c r="T952" s="151"/>
      <c r="U952" s="151">
        <v>45603</v>
      </c>
      <c r="V952" s="151">
        <v>45534</v>
      </c>
      <c r="W952" s="2">
        <f>VLOOKUP(Table1[[#This Row],[Status]],Auxiliar!$B$16:$D$24,3,0)*Table1[[#This Row],[Estimação (horas)]]</f>
        <v>0.5</v>
      </c>
      <c r="X952" s="166">
        <f>+VLOOKUP(CONCATENATE(Table1[[#This Row],[Tabela]],Table1[[#This Row],[Campo]]),'2. Status Detalhe Campos FY24'!A:J,9,FALSE)</f>
        <v>0</v>
      </c>
    </row>
    <row r="953" spans="2:24" ht="69.599999999999994" hidden="1" customHeight="1">
      <c r="B953" s="12" t="s">
        <v>26</v>
      </c>
      <c r="C953" s="12" t="s">
        <v>181</v>
      </c>
      <c r="D953" s="12" t="s">
        <v>1221</v>
      </c>
      <c r="E953" s="2" t="s">
        <v>38</v>
      </c>
      <c r="F953" s="12" t="s">
        <v>212</v>
      </c>
      <c r="G953" s="12" t="s">
        <v>226</v>
      </c>
      <c r="H953" s="57" t="str">
        <f>Table1[[#This Row],[Tabela]]&amp;Table1[[#This Row],[Campo]]</f>
        <v>modesg_inp_emss_vclsmodelo</v>
      </c>
      <c r="I953" s="2" t="s">
        <v>612</v>
      </c>
      <c r="J953" s="45">
        <f>VLOOKUP(Table1[[#This Row],[Status]],Auxiliar!$B$16:$C$24,2,0)</f>
        <v>1</v>
      </c>
      <c r="K953" s="20" t="s">
        <v>1174</v>
      </c>
      <c r="L953" s="2" t="s">
        <v>1169</v>
      </c>
      <c r="M953" s="20" t="s">
        <v>1179</v>
      </c>
      <c r="N953" s="47">
        <v>45546</v>
      </c>
      <c r="O953" s="20">
        <f>INDEX(Auxiliar!$D$5:$F$13,MATCH(Table1[[#This Row],[Tipologia_Testes]],Auxiliar!$B$5:$B$13,0),MATCH(Table1[[#This Row],[Complexidade]],Auxiliar!$D$4:$F$4,0))</f>
        <v>0.1</v>
      </c>
      <c r="P953" s="2" t="s">
        <v>1232</v>
      </c>
      <c r="Q953" s="2"/>
      <c r="R953" s="151">
        <v>45261</v>
      </c>
      <c r="S953" s="151"/>
      <c r="T953" s="151"/>
      <c r="U953" s="151">
        <v>45603</v>
      </c>
      <c r="V953" s="151">
        <v>45534</v>
      </c>
      <c r="W953" s="2">
        <f>VLOOKUP(Table1[[#This Row],[Status]],Auxiliar!$B$16:$D$24,3,0)*Table1[[#This Row],[Estimação (horas)]]</f>
        <v>0.1</v>
      </c>
      <c r="X953" s="166">
        <f>+VLOOKUP(CONCATENATE(Table1[[#This Row],[Tabela]],Table1[[#This Row],[Campo]]),'2. Status Detalhe Campos FY24'!A:J,9,FALSE)</f>
        <v>0</v>
      </c>
    </row>
    <row r="954" spans="2:24" ht="17.850000000000001" hidden="1" customHeight="1">
      <c r="B954" s="12" t="s">
        <v>26</v>
      </c>
      <c r="C954" s="12" t="s">
        <v>181</v>
      </c>
      <c r="D954" s="12" t="s">
        <v>1221</v>
      </c>
      <c r="E954" s="2" t="s">
        <v>38</v>
      </c>
      <c r="F954" s="12" t="s">
        <v>212</v>
      </c>
      <c r="G954" s="12" t="s">
        <v>226</v>
      </c>
      <c r="H954" s="57" t="str">
        <f>Table1[[#This Row],[Tabela]]&amp;Table1[[#This Row],[Campo]]</f>
        <v>modesg_inp_emss_vclsmodelo</v>
      </c>
      <c r="I954" s="2" t="s">
        <v>612</v>
      </c>
      <c r="J954" s="45">
        <f>VLOOKUP(Table1[[#This Row],[Status]],Auxiliar!$B$16:$C$24,2,0)</f>
        <v>1</v>
      </c>
      <c r="K954" s="20" t="s">
        <v>1182</v>
      </c>
      <c r="L954" s="2" t="s">
        <v>1169</v>
      </c>
      <c r="M954" s="20" t="s">
        <v>1179</v>
      </c>
      <c r="N954" s="47">
        <v>45546</v>
      </c>
      <c r="O954" s="20">
        <f>INDEX(Auxiliar!$D$5:$F$13,MATCH(Table1[[#This Row],[Tipologia_Testes]],Auxiliar!$B$5:$B$13,0),MATCH(Table1[[#This Row],[Complexidade]],Auxiliar!$D$4:$F$4,0))</f>
        <v>0.5</v>
      </c>
      <c r="P954" s="22" t="s">
        <v>1233</v>
      </c>
      <c r="Q954" s="2"/>
      <c r="R954" s="151">
        <v>45261</v>
      </c>
      <c r="S954" s="151"/>
      <c r="T954" s="151"/>
      <c r="U954" s="151">
        <v>45603</v>
      </c>
      <c r="V954" s="151">
        <v>45534</v>
      </c>
      <c r="W954" s="2">
        <f>VLOOKUP(Table1[[#This Row],[Status]],Auxiliar!$B$16:$D$24,3,0)*Table1[[#This Row],[Estimação (horas)]]</f>
        <v>0.5</v>
      </c>
      <c r="X954" s="166">
        <f>+VLOOKUP(CONCATENATE(Table1[[#This Row],[Tabela]],Table1[[#This Row],[Campo]]),'2. Status Detalhe Campos FY24'!A:J,9,FALSE)</f>
        <v>0</v>
      </c>
    </row>
    <row r="955" spans="2:24" ht="17.850000000000001" hidden="1" customHeight="1">
      <c r="B955" s="12" t="s">
        <v>26</v>
      </c>
      <c r="C955" s="12" t="s">
        <v>181</v>
      </c>
      <c r="D955" s="12" t="s">
        <v>1221</v>
      </c>
      <c r="E955" s="2" t="s">
        <v>38</v>
      </c>
      <c r="F955" s="12" t="s">
        <v>212</v>
      </c>
      <c r="G955" s="12" t="s">
        <v>227</v>
      </c>
      <c r="H955" s="57" t="str">
        <f>Table1[[#This Row],[Tabela]]&amp;Table1[[#This Row],[Campo]]</f>
        <v>modesg_inp_emss_vclssubgrupo</v>
      </c>
      <c r="I955" s="2" t="s">
        <v>612</v>
      </c>
      <c r="J955" s="45">
        <f>VLOOKUP(Table1[[#This Row],[Status]],Auxiliar!$B$16:$C$24,2,0)</f>
        <v>1</v>
      </c>
      <c r="K955" s="20" t="s">
        <v>1174</v>
      </c>
      <c r="L955" s="2" t="s">
        <v>641</v>
      </c>
      <c r="M955" s="20" t="s">
        <v>1179</v>
      </c>
      <c r="N955" s="47">
        <v>45546</v>
      </c>
      <c r="O955" s="20">
        <f>INDEX(Auxiliar!$D$5:$F$13,MATCH(Table1[[#This Row],[Tipologia_Testes]],Auxiliar!$B$5:$B$13,0),MATCH(Table1[[#This Row],[Complexidade]],Auxiliar!$D$4:$F$4,0))</f>
        <v>0.1</v>
      </c>
      <c r="P955" s="2" t="s">
        <v>1232</v>
      </c>
      <c r="Q955" s="2"/>
      <c r="R955" s="151">
        <v>45261</v>
      </c>
      <c r="S955" s="151"/>
      <c r="T955" s="151"/>
      <c r="U955" s="151">
        <v>45603</v>
      </c>
      <c r="V955" s="151">
        <v>45534</v>
      </c>
      <c r="W955" s="2">
        <f>VLOOKUP(Table1[[#This Row],[Status]],Auxiliar!$B$16:$D$24,3,0)*Table1[[#This Row],[Estimação (horas)]]</f>
        <v>0.1</v>
      </c>
      <c r="X955" s="166">
        <f>+VLOOKUP(CONCATENATE(Table1[[#This Row],[Tabela]],Table1[[#This Row],[Campo]]),'2. Status Detalhe Campos FY24'!A:J,9,FALSE)</f>
        <v>0</v>
      </c>
    </row>
    <row r="956" spans="2:24" ht="17.850000000000001" hidden="1" customHeight="1">
      <c r="B956" s="12" t="s">
        <v>26</v>
      </c>
      <c r="C956" s="12" t="s">
        <v>181</v>
      </c>
      <c r="D956" s="12" t="s">
        <v>1221</v>
      </c>
      <c r="E956" s="2" t="s">
        <v>38</v>
      </c>
      <c r="F956" s="12" t="s">
        <v>212</v>
      </c>
      <c r="G956" s="12" t="s">
        <v>227</v>
      </c>
      <c r="H956" s="57" t="str">
        <f>Table1[[#This Row],[Tabela]]&amp;Table1[[#This Row],[Campo]]</f>
        <v>modesg_inp_emss_vclssubgrupo</v>
      </c>
      <c r="I956" s="2" t="s">
        <v>612</v>
      </c>
      <c r="J956" s="45">
        <f>VLOOKUP(Table1[[#This Row],[Status]],Auxiliar!$B$16:$C$24,2,0)</f>
        <v>1</v>
      </c>
      <c r="K956" s="20" t="s">
        <v>1182</v>
      </c>
      <c r="L956" s="2" t="s">
        <v>641</v>
      </c>
      <c r="M956" s="20" t="s">
        <v>1179</v>
      </c>
      <c r="N956" s="47">
        <v>45546</v>
      </c>
      <c r="O956" s="20">
        <f>INDEX(Auxiliar!$D$5:$F$13,MATCH(Table1[[#This Row],[Tipologia_Testes]],Auxiliar!$B$5:$B$13,0),MATCH(Table1[[#This Row],[Complexidade]],Auxiliar!$D$4:$F$4,0))</f>
        <v>0.5</v>
      </c>
      <c r="P956" s="2" t="s">
        <v>1231</v>
      </c>
      <c r="Q956" s="2"/>
      <c r="R956" s="151">
        <v>45261</v>
      </c>
      <c r="S956" s="151"/>
      <c r="T956" s="151"/>
      <c r="U956" s="151">
        <v>45603</v>
      </c>
      <c r="V956" s="151">
        <v>45534</v>
      </c>
      <c r="W956" s="2">
        <f>VLOOKUP(Table1[[#This Row],[Status]],Auxiliar!$B$16:$D$24,3,0)*Table1[[#This Row],[Estimação (horas)]]</f>
        <v>0.5</v>
      </c>
      <c r="X956" s="166">
        <f>+VLOOKUP(CONCATENATE(Table1[[#This Row],[Tabela]],Table1[[#This Row],[Campo]]),'2. Status Detalhe Campos FY24'!A:J,9,FALSE)</f>
        <v>0</v>
      </c>
    </row>
    <row r="957" spans="2:24" ht="17.850000000000001" hidden="1" customHeight="1">
      <c r="B957" s="12" t="s">
        <v>26</v>
      </c>
      <c r="C957" s="12" t="s">
        <v>181</v>
      </c>
      <c r="D957" s="12" t="s">
        <v>1221</v>
      </c>
      <c r="E957" s="2" t="s">
        <v>38</v>
      </c>
      <c r="F957" s="12" t="s">
        <v>212</v>
      </c>
      <c r="G957" s="12" t="s">
        <v>228</v>
      </c>
      <c r="H957" s="57" t="str">
        <f>Table1[[#This Row],[Tabela]]&amp;Table1[[#This Row],[Campo]]</f>
        <v>modesg_inp_emss_vclsnome_unidade_funcional</v>
      </c>
      <c r="I957" s="2" t="s">
        <v>612</v>
      </c>
      <c r="J957" s="45">
        <f>VLOOKUP(Table1[[#This Row],[Status]],Auxiliar!$B$16:$C$24,2,0)</f>
        <v>1</v>
      </c>
      <c r="K957" s="20" t="s">
        <v>1174</v>
      </c>
      <c r="L957" s="20" t="s">
        <v>1177</v>
      </c>
      <c r="M957" s="20" t="s">
        <v>1179</v>
      </c>
      <c r="N957" s="47">
        <v>45546</v>
      </c>
      <c r="O957" s="20">
        <f>INDEX(Auxiliar!$D$5:$F$13,MATCH(Table1[[#This Row],[Tipologia_Testes]],Auxiliar!$B$5:$B$13,0),MATCH(Table1[[#This Row],[Complexidade]],Auxiliar!$D$4:$F$4,0))</f>
        <v>0.1</v>
      </c>
      <c r="P957" s="2" t="s">
        <v>1232</v>
      </c>
      <c r="Q957" s="2"/>
      <c r="R957" s="151">
        <v>45261</v>
      </c>
      <c r="S957" s="151"/>
      <c r="T957" s="151"/>
      <c r="U957" s="151">
        <v>45603</v>
      </c>
      <c r="V957" s="151">
        <v>45534</v>
      </c>
      <c r="W957" s="2">
        <f>VLOOKUP(Table1[[#This Row],[Status]],Auxiliar!$B$16:$D$24,3,0)*Table1[[#This Row],[Estimação (horas)]]</f>
        <v>0.1</v>
      </c>
      <c r="X957" s="166">
        <f>+VLOOKUP(CONCATENATE(Table1[[#This Row],[Tabela]],Table1[[#This Row],[Campo]]),'2. Status Detalhe Campos FY24'!A:J,9,FALSE)</f>
        <v>0</v>
      </c>
    </row>
    <row r="958" spans="2:24" ht="17.850000000000001" hidden="1" customHeight="1">
      <c r="B958" s="12" t="s">
        <v>26</v>
      </c>
      <c r="C958" s="12" t="s">
        <v>181</v>
      </c>
      <c r="D958" s="12" t="s">
        <v>1221</v>
      </c>
      <c r="E958" s="2" t="s">
        <v>38</v>
      </c>
      <c r="F958" s="12" t="s">
        <v>212</v>
      </c>
      <c r="G958" s="12" t="s">
        <v>228</v>
      </c>
      <c r="H958" s="57" t="str">
        <f>Table1[[#This Row],[Tabela]]&amp;Table1[[#This Row],[Campo]]</f>
        <v>modesg_inp_emss_vclsnome_unidade_funcional</v>
      </c>
      <c r="I958" s="2" t="s">
        <v>612</v>
      </c>
      <c r="J958" s="45">
        <f>VLOOKUP(Table1[[#This Row],[Status]],Auxiliar!$B$16:$C$24,2,0)</f>
        <v>1</v>
      </c>
      <c r="K958" s="20" t="s">
        <v>1182</v>
      </c>
      <c r="L958" s="20" t="s">
        <v>1177</v>
      </c>
      <c r="M958" s="20" t="s">
        <v>1179</v>
      </c>
      <c r="N958" s="47">
        <v>45546</v>
      </c>
      <c r="O958" s="20">
        <f>INDEX(Auxiliar!$D$5:$F$13,MATCH(Table1[[#This Row],[Tipologia_Testes]],Auxiliar!$B$5:$B$13,0),MATCH(Table1[[#This Row],[Complexidade]],Auxiliar!$D$4:$F$4,0))</f>
        <v>0.5</v>
      </c>
      <c r="P958" s="2" t="s">
        <v>1231</v>
      </c>
      <c r="Q958" s="2"/>
      <c r="R958" s="151">
        <v>45261</v>
      </c>
      <c r="S958" s="151"/>
      <c r="T958" s="151"/>
      <c r="U958" s="151">
        <v>45603</v>
      </c>
      <c r="V958" s="151">
        <v>45534</v>
      </c>
      <c r="W958" s="2">
        <f>VLOOKUP(Table1[[#This Row],[Status]],Auxiliar!$B$16:$D$24,3,0)*Table1[[#This Row],[Estimação (horas)]]</f>
        <v>0.5</v>
      </c>
      <c r="X958" s="166">
        <f>+VLOOKUP(CONCATENATE(Table1[[#This Row],[Tabela]],Table1[[#This Row],[Campo]]),'2. Status Detalhe Campos FY24'!A:J,9,FALSE)</f>
        <v>0</v>
      </c>
    </row>
    <row r="959" spans="2:24" ht="17.850000000000001" hidden="1" customHeight="1">
      <c r="B959" s="12" t="s">
        <v>26</v>
      </c>
      <c r="C959" s="12" t="s">
        <v>181</v>
      </c>
      <c r="D959" s="12" t="s">
        <v>1221</v>
      </c>
      <c r="E959" s="2" t="s">
        <v>38</v>
      </c>
      <c r="F959" s="12" t="s">
        <v>212</v>
      </c>
      <c r="G959" s="12" t="s">
        <v>229</v>
      </c>
      <c r="H959" s="57" t="str">
        <f>Table1[[#This Row],[Tabela]]&amp;Table1[[#This Row],[Campo]]</f>
        <v>modesg_inp_emss_vclsunidade_funcional</v>
      </c>
      <c r="I959" s="2" t="s">
        <v>612</v>
      </c>
      <c r="J959" s="45">
        <f>VLOOKUP(Table1[[#This Row],[Status]],Auxiliar!$B$16:$C$24,2,0)</f>
        <v>1</v>
      </c>
      <c r="K959" s="20" t="s">
        <v>1174</v>
      </c>
      <c r="L959" s="20" t="s">
        <v>1177</v>
      </c>
      <c r="M959" s="20" t="s">
        <v>1179</v>
      </c>
      <c r="N959" s="47">
        <v>45546</v>
      </c>
      <c r="O959" s="20">
        <f>INDEX(Auxiliar!$D$5:$F$13,MATCH(Table1[[#This Row],[Tipologia_Testes]],Auxiliar!$B$5:$B$13,0),MATCH(Table1[[#This Row],[Complexidade]],Auxiliar!$D$4:$F$4,0))</f>
        <v>0.1</v>
      </c>
      <c r="P959" s="2" t="s">
        <v>1232</v>
      </c>
      <c r="Q959" s="2"/>
      <c r="R959" s="151">
        <v>45261</v>
      </c>
      <c r="S959" s="151"/>
      <c r="T959" s="151"/>
      <c r="U959" s="151">
        <v>45603</v>
      </c>
      <c r="V959" s="151">
        <v>45534</v>
      </c>
      <c r="W959" s="2">
        <f>VLOOKUP(Table1[[#This Row],[Status]],Auxiliar!$B$16:$D$24,3,0)*Table1[[#This Row],[Estimação (horas)]]</f>
        <v>0.1</v>
      </c>
      <c r="X959" s="166">
        <f>+VLOOKUP(CONCATENATE(Table1[[#This Row],[Tabela]],Table1[[#This Row],[Campo]]),'2. Status Detalhe Campos FY24'!A:J,9,FALSE)</f>
        <v>0</v>
      </c>
    </row>
    <row r="960" spans="2:24" ht="17.850000000000001" hidden="1" customHeight="1">
      <c r="B960" s="12" t="s">
        <v>26</v>
      </c>
      <c r="C960" s="12" t="s">
        <v>181</v>
      </c>
      <c r="D960" s="12" t="s">
        <v>1221</v>
      </c>
      <c r="E960" s="2" t="s">
        <v>38</v>
      </c>
      <c r="F960" s="12" t="s">
        <v>212</v>
      </c>
      <c r="G960" s="12" t="s">
        <v>229</v>
      </c>
      <c r="H960" s="57" t="str">
        <f>Table1[[#This Row],[Tabela]]&amp;Table1[[#This Row],[Campo]]</f>
        <v>modesg_inp_emss_vclsunidade_funcional</v>
      </c>
      <c r="I960" s="2" t="s">
        <v>612</v>
      </c>
      <c r="J960" s="45">
        <f>VLOOKUP(Table1[[#This Row],[Status]],Auxiliar!$B$16:$C$24,2,0)</f>
        <v>1</v>
      </c>
      <c r="K960" s="20" t="s">
        <v>1182</v>
      </c>
      <c r="L960" s="20" t="s">
        <v>1177</v>
      </c>
      <c r="M960" s="20" t="s">
        <v>1179</v>
      </c>
      <c r="N960" s="47">
        <v>45546</v>
      </c>
      <c r="O960" s="20">
        <f>INDEX(Auxiliar!$D$5:$F$13,MATCH(Table1[[#This Row],[Tipologia_Testes]],Auxiliar!$B$5:$B$13,0),MATCH(Table1[[#This Row],[Complexidade]],Auxiliar!$D$4:$F$4,0))</f>
        <v>0.5</v>
      </c>
      <c r="P960" s="2" t="s">
        <v>1231</v>
      </c>
      <c r="Q960" s="2"/>
      <c r="R960" s="151">
        <v>45261</v>
      </c>
      <c r="S960" s="151"/>
      <c r="T960" s="151"/>
      <c r="U960" s="151">
        <v>45603</v>
      </c>
      <c r="V960" s="151">
        <v>45534</v>
      </c>
      <c r="W960" s="2">
        <f>VLOOKUP(Table1[[#This Row],[Status]],Auxiliar!$B$16:$D$24,3,0)*Table1[[#This Row],[Estimação (horas)]]</f>
        <v>0.5</v>
      </c>
      <c r="X960" s="166">
        <f>+VLOOKUP(CONCATENATE(Table1[[#This Row],[Tabela]],Table1[[#This Row],[Campo]]),'2. Status Detalhe Campos FY24'!A:J,9,FALSE)</f>
        <v>0</v>
      </c>
    </row>
    <row r="961" spans="2:24" ht="17.850000000000001" hidden="1" customHeight="1">
      <c r="B961" s="12" t="s">
        <v>26</v>
      </c>
      <c r="C961" s="12" t="s">
        <v>181</v>
      </c>
      <c r="D961" s="12" t="s">
        <v>1221</v>
      </c>
      <c r="E961" s="2" t="s">
        <v>38</v>
      </c>
      <c r="F961" s="12" t="s">
        <v>212</v>
      </c>
      <c r="G961" s="12" t="s">
        <v>230</v>
      </c>
      <c r="H961" s="57" t="str">
        <f>Table1[[#This Row],[Tabela]]&amp;Table1[[#This Row],[Campo]]</f>
        <v>modesg_inp_emss_vclsnome_fator_emissao</v>
      </c>
      <c r="I961" s="2" t="s">
        <v>612</v>
      </c>
      <c r="J961" s="45">
        <f>VLOOKUP(Table1[[#This Row],[Status]],Auxiliar!$B$16:$C$24,2,0)</f>
        <v>1</v>
      </c>
      <c r="K961" s="20" t="s">
        <v>1174</v>
      </c>
      <c r="L961" s="20" t="s">
        <v>1177</v>
      </c>
      <c r="M961" s="20" t="s">
        <v>1179</v>
      </c>
      <c r="N961" s="47">
        <v>45546</v>
      </c>
      <c r="O961" s="20">
        <f>INDEX(Auxiliar!$D$5:$F$13,MATCH(Table1[[#This Row],[Tipologia_Testes]],Auxiliar!$B$5:$B$13,0),MATCH(Table1[[#This Row],[Complexidade]],Auxiliar!$D$4:$F$4,0))</f>
        <v>0.1</v>
      </c>
      <c r="P961" s="2" t="s">
        <v>1232</v>
      </c>
      <c r="Q961" s="2"/>
      <c r="R961" s="151">
        <v>45261</v>
      </c>
      <c r="S961" s="151"/>
      <c r="T961" s="151"/>
      <c r="U961" s="151">
        <v>45603</v>
      </c>
      <c r="V961" s="151">
        <v>45534</v>
      </c>
      <c r="W961" s="2">
        <f>VLOOKUP(Table1[[#This Row],[Status]],Auxiliar!$B$16:$D$24,3,0)*Table1[[#This Row],[Estimação (horas)]]</f>
        <v>0.1</v>
      </c>
      <c r="X961" s="166">
        <f>+VLOOKUP(CONCATENATE(Table1[[#This Row],[Tabela]],Table1[[#This Row],[Campo]]),'2. Status Detalhe Campos FY24'!A:J,9,FALSE)</f>
        <v>0</v>
      </c>
    </row>
    <row r="962" spans="2:24" ht="17.850000000000001" hidden="1" customHeight="1">
      <c r="B962" s="12" t="s">
        <v>26</v>
      </c>
      <c r="C962" s="12" t="s">
        <v>181</v>
      </c>
      <c r="D962" s="12" t="s">
        <v>1221</v>
      </c>
      <c r="E962" s="2" t="s">
        <v>38</v>
      </c>
      <c r="F962" s="12" t="s">
        <v>212</v>
      </c>
      <c r="G962" s="12" t="s">
        <v>230</v>
      </c>
      <c r="H962" s="57" t="str">
        <f>Table1[[#This Row],[Tabela]]&amp;Table1[[#This Row],[Campo]]</f>
        <v>modesg_inp_emss_vclsnome_fator_emissao</v>
      </c>
      <c r="I962" s="2" t="s">
        <v>612</v>
      </c>
      <c r="J962" s="45">
        <f>VLOOKUP(Table1[[#This Row],[Status]],Auxiliar!$B$16:$C$24,2,0)</f>
        <v>1</v>
      </c>
      <c r="K962" s="20" t="s">
        <v>1182</v>
      </c>
      <c r="L962" s="20" t="s">
        <v>1177</v>
      </c>
      <c r="M962" s="20" t="s">
        <v>1179</v>
      </c>
      <c r="N962" s="47">
        <v>45546</v>
      </c>
      <c r="O962" s="20">
        <f>INDEX(Auxiliar!$D$5:$F$13,MATCH(Table1[[#This Row],[Tipologia_Testes]],Auxiliar!$B$5:$B$13,0),MATCH(Table1[[#This Row],[Complexidade]],Auxiliar!$D$4:$F$4,0))</f>
        <v>0.5</v>
      </c>
      <c r="P962" s="2" t="s">
        <v>1231</v>
      </c>
      <c r="Q962" s="2"/>
      <c r="R962" s="151">
        <v>45261</v>
      </c>
      <c r="S962" s="151"/>
      <c r="T962" s="151"/>
      <c r="U962" s="151">
        <v>45603</v>
      </c>
      <c r="V962" s="151">
        <v>45534</v>
      </c>
      <c r="W962" s="2">
        <f>VLOOKUP(Table1[[#This Row],[Status]],Auxiliar!$B$16:$D$24,3,0)*Table1[[#This Row],[Estimação (horas)]]</f>
        <v>0.5</v>
      </c>
      <c r="X962" s="166">
        <f>+VLOOKUP(CONCATENATE(Table1[[#This Row],[Tabela]],Table1[[#This Row],[Campo]]),'2. Status Detalhe Campos FY24'!A:J,9,FALSE)</f>
        <v>0</v>
      </c>
    </row>
    <row r="963" spans="2:24" ht="17.850000000000001" hidden="1" customHeight="1">
      <c r="B963" s="12" t="s">
        <v>26</v>
      </c>
      <c r="C963" s="12" t="s">
        <v>181</v>
      </c>
      <c r="D963" s="12" t="s">
        <v>1221</v>
      </c>
      <c r="E963" s="2" t="s">
        <v>38</v>
      </c>
      <c r="F963" s="12" t="s">
        <v>212</v>
      </c>
      <c r="G963" s="12" t="s">
        <v>231</v>
      </c>
      <c r="H963" s="57" t="str">
        <f>Table1[[#This Row],[Tabela]]&amp;Table1[[#This Row],[Campo]]</f>
        <v>modesg_inp_emss_vclsunidade_fator_de_emissao</v>
      </c>
      <c r="I963" s="2" t="s">
        <v>612</v>
      </c>
      <c r="J963" s="45">
        <f>VLOOKUP(Table1[[#This Row],[Status]],Auxiliar!$B$16:$C$24,2,0)</f>
        <v>1</v>
      </c>
      <c r="K963" s="20" t="s">
        <v>1174</v>
      </c>
      <c r="L963" s="20" t="s">
        <v>1177</v>
      </c>
      <c r="M963" s="20" t="s">
        <v>1179</v>
      </c>
      <c r="N963" s="47">
        <v>45546</v>
      </c>
      <c r="O963" s="20">
        <f>INDEX(Auxiliar!$D$5:$F$13,MATCH(Table1[[#This Row],[Tipologia_Testes]],Auxiliar!$B$5:$B$13,0),MATCH(Table1[[#This Row],[Complexidade]],Auxiliar!$D$4:$F$4,0))</f>
        <v>0.1</v>
      </c>
      <c r="P963" s="2" t="s">
        <v>1232</v>
      </c>
      <c r="Q963" s="2"/>
      <c r="R963" s="151">
        <v>45261</v>
      </c>
      <c r="S963" s="151"/>
      <c r="T963" s="151"/>
      <c r="U963" s="151">
        <v>45603</v>
      </c>
      <c r="V963" s="151">
        <v>45534</v>
      </c>
      <c r="W963" s="2">
        <f>VLOOKUP(Table1[[#This Row],[Status]],Auxiliar!$B$16:$D$24,3,0)*Table1[[#This Row],[Estimação (horas)]]</f>
        <v>0.1</v>
      </c>
      <c r="X963" s="166">
        <f>+VLOOKUP(CONCATENATE(Table1[[#This Row],[Tabela]],Table1[[#This Row],[Campo]]),'2. Status Detalhe Campos FY24'!A:J,9,FALSE)</f>
        <v>0</v>
      </c>
    </row>
    <row r="964" spans="2:24" ht="17.850000000000001" hidden="1" customHeight="1">
      <c r="B964" s="12" t="s">
        <v>26</v>
      </c>
      <c r="C964" s="12" t="s">
        <v>181</v>
      </c>
      <c r="D964" s="12" t="s">
        <v>1221</v>
      </c>
      <c r="E964" s="2" t="s">
        <v>38</v>
      </c>
      <c r="F964" s="12" t="s">
        <v>212</v>
      </c>
      <c r="G964" s="12" t="s">
        <v>231</v>
      </c>
      <c r="H964" s="57" t="str">
        <f>Table1[[#This Row],[Tabela]]&amp;Table1[[#This Row],[Campo]]</f>
        <v>modesg_inp_emss_vclsunidade_fator_de_emissao</v>
      </c>
      <c r="I964" s="2" t="s">
        <v>612</v>
      </c>
      <c r="J964" s="45">
        <f>VLOOKUP(Table1[[#This Row],[Status]],Auxiliar!$B$16:$C$24,2,0)</f>
        <v>1</v>
      </c>
      <c r="K964" s="20" t="s">
        <v>1182</v>
      </c>
      <c r="L964" s="20" t="s">
        <v>1177</v>
      </c>
      <c r="M964" s="20" t="s">
        <v>1179</v>
      </c>
      <c r="N964" s="47">
        <v>45546</v>
      </c>
      <c r="O964" s="20">
        <f>INDEX(Auxiliar!$D$5:$F$13,MATCH(Table1[[#This Row],[Tipologia_Testes]],Auxiliar!$B$5:$B$13,0),MATCH(Table1[[#This Row],[Complexidade]],Auxiliar!$D$4:$F$4,0))</f>
        <v>0.5</v>
      </c>
      <c r="P964" s="2" t="s">
        <v>1231</v>
      </c>
      <c r="Q964" s="2"/>
      <c r="R964" s="151">
        <v>45261</v>
      </c>
      <c r="S964" s="151"/>
      <c r="T964" s="151"/>
      <c r="U964" s="151">
        <v>45603</v>
      </c>
      <c r="V964" s="151">
        <v>45534</v>
      </c>
      <c r="W964" s="2">
        <f>VLOOKUP(Table1[[#This Row],[Status]],Auxiliar!$B$16:$D$24,3,0)*Table1[[#This Row],[Estimação (horas)]]</f>
        <v>0.5</v>
      </c>
      <c r="X964" s="166">
        <f>+VLOOKUP(CONCATENATE(Table1[[#This Row],[Tabela]],Table1[[#This Row],[Campo]]),'2. Status Detalhe Campos FY24'!A:J,9,FALSE)</f>
        <v>0</v>
      </c>
    </row>
    <row r="965" spans="2:24" ht="69.599999999999994" hidden="1" customHeight="1">
      <c r="B965" s="12" t="s">
        <v>26</v>
      </c>
      <c r="C965" s="12" t="s">
        <v>181</v>
      </c>
      <c r="D965" s="12" t="s">
        <v>1221</v>
      </c>
      <c r="E965" s="2" t="s">
        <v>38</v>
      </c>
      <c r="F965" s="12" t="s">
        <v>212</v>
      </c>
      <c r="G965" s="12" t="s">
        <v>232</v>
      </c>
      <c r="H965" s="57" t="str">
        <f>Table1[[#This Row],[Tabela]]&amp;Table1[[#This Row],[Campo]]</f>
        <v>modesg_inp_emss_vclsscore_qualidade</v>
      </c>
      <c r="I965" s="2" t="s">
        <v>612</v>
      </c>
      <c r="J965" s="45">
        <f>VLOOKUP(Table1[[#This Row],[Status]],Auxiliar!$B$16:$C$24,2,0)</f>
        <v>1</v>
      </c>
      <c r="K965" s="20" t="s">
        <v>1174</v>
      </c>
      <c r="L965" s="2" t="s">
        <v>1169</v>
      </c>
      <c r="M965" s="20" t="s">
        <v>1179</v>
      </c>
      <c r="N965" s="47">
        <v>45546</v>
      </c>
      <c r="O965" s="20">
        <f>INDEX(Auxiliar!$D$5:$F$13,MATCH(Table1[[#This Row],[Tipologia_Testes]],Auxiliar!$B$5:$B$13,0),MATCH(Table1[[#This Row],[Complexidade]],Auxiliar!$D$4:$F$4,0))</f>
        <v>0.1</v>
      </c>
      <c r="P965" s="2" t="s">
        <v>1232</v>
      </c>
      <c r="Q965" s="2"/>
      <c r="R965" s="151">
        <v>45261</v>
      </c>
      <c r="S965" s="151"/>
      <c r="T965" s="151"/>
      <c r="U965" s="151">
        <v>45603</v>
      </c>
      <c r="V965" s="151">
        <v>45534</v>
      </c>
      <c r="W965" s="2">
        <f>VLOOKUP(Table1[[#This Row],[Status]],Auxiliar!$B$16:$D$24,3,0)*Table1[[#This Row],[Estimação (horas)]]</f>
        <v>0.1</v>
      </c>
      <c r="X965" s="166">
        <f>+VLOOKUP(CONCATENATE(Table1[[#This Row],[Tabela]],Table1[[#This Row],[Campo]]),'2. Status Detalhe Campos FY24'!A:J,9,FALSE)</f>
        <v>0</v>
      </c>
    </row>
    <row r="966" spans="2:24" ht="17.850000000000001" hidden="1" customHeight="1">
      <c r="B966" s="12" t="s">
        <v>26</v>
      </c>
      <c r="C966" s="12" t="s">
        <v>181</v>
      </c>
      <c r="D966" s="12" t="s">
        <v>1221</v>
      </c>
      <c r="E966" s="2" t="s">
        <v>38</v>
      </c>
      <c r="F966" s="12" t="s">
        <v>212</v>
      </c>
      <c r="G966" s="12" t="s">
        <v>232</v>
      </c>
      <c r="H966" s="57" t="str">
        <f>Table1[[#This Row],[Tabela]]&amp;Table1[[#This Row],[Campo]]</f>
        <v>modesg_inp_emss_vclsscore_qualidade</v>
      </c>
      <c r="I966" s="2" t="s">
        <v>612</v>
      </c>
      <c r="J966" s="45">
        <f>VLOOKUP(Table1[[#This Row],[Status]],Auxiliar!$B$16:$C$24,2,0)</f>
        <v>1</v>
      </c>
      <c r="K966" s="20" t="s">
        <v>1182</v>
      </c>
      <c r="L966" s="2" t="s">
        <v>1169</v>
      </c>
      <c r="M966" s="20" t="s">
        <v>1179</v>
      </c>
      <c r="N966" s="47">
        <v>45546</v>
      </c>
      <c r="O966" s="20">
        <f>INDEX(Auxiliar!$D$5:$F$13,MATCH(Table1[[#This Row],[Tipologia_Testes]],Auxiliar!$B$5:$B$13,0),MATCH(Table1[[#This Row],[Complexidade]],Auxiliar!$D$4:$F$4,0))</f>
        <v>0.5</v>
      </c>
      <c r="P966" s="22" t="s">
        <v>1233</v>
      </c>
      <c r="Q966" s="2"/>
      <c r="R966" s="151">
        <v>45261</v>
      </c>
      <c r="S966" s="151"/>
      <c r="T966" s="151"/>
      <c r="U966" s="151">
        <v>45603</v>
      </c>
      <c r="V966" s="151">
        <v>45534</v>
      </c>
      <c r="W966" s="2">
        <f>VLOOKUP(Table1[[#This Row],[Status]],Auxiliar!$B$16:$D$24,3,0)*Table1[[#This Row],[Estimação (horas)]]</f>
        <v>0.5</v>
      </c>
      <c r="X966" s="166">
        <f>+VLOOKUP(CONCATENATE(Table1[[#This Row],[Tabela]],Table1[[#This Row],[Campo]]),'2. Status Detalhe Campos FY24'!A:J,9,FALSE)</f>
        <v>0</v>
      </c>
    </row>
    <row r="967" spans="2:24" ht="69.599999999999994" hidden="1" customHeight="1">
      <c r="B967" s="12" t="s">
        <v>26</v>
      </c>
      <c r="C967" s="12" t="s">
        <v>181</v>
      </c>
      <c r="D967" s="12" t="s">
        <v>1221</v>
      </c>
      <c r="E967" s="2" t="s">
        <v>38</v>
      </c>
      <c r="F967" s="12" t="s">
        <v>212</v>
      </c>
      <c r="G967" s="12" t="s">
        <v>233</v>
      </c>
      <c r="H967" s="57" t="str">
        <f>Table1[[#This Row],[Tabela]]&amp;Table1[[#This Row],[Campo]]</f>
        <v>modesg_inp_emss_vclsscp1_ftr_emss</v>
      </c>
      <c r="I967" s="2" t="s">
        <v>612</v>
      </c>
      <c r="J967" s="45">
        <f>VLOOKUP(Table1[[#This Row],[Status]],Auxiliar!$B$16:$C$24,2,0)</f>
        <v>1</v>
      </c>
      <c r="K967" s="20" t="s">
        <v>1174</v>
      </c>
      <c r="L967" s="2" t="s">
        <v>1169</v>
      </c>
      <c r="M967" s="20" t="s">
        <v>1179</v>
      </c>
      <c r="N967" s="47">
        <v>45546</v>
      </c>
      <c r="O967" s="20">
        <f>INDEX(Auxiliar!$D$5:$F$13,MATCH(Table1[[#This Row],[Tipologia_Testes]],Auxiliar!$B$5:$B$13,0),MATCH(Table1[[#This Row],[Complexidade]],Auxiliar!$D$4:$F$4,0))</f>
        <v>0.1</v>
      </c>
      <c r="P967" s="2" t="s">
        <v>1234</v>
      </c>
      <c r="Q967" s="2"/>
      <c r="R967" s="151">
        <v>45261</v>
      </c>
      <c r="S967" s="151"/>
      <c r="T967" s="151"/>
      <c r="U967" s="151">
        <v>45603</v>
      </c>
      <c r="V967" s="151">
        <v>45534</v>
      </c>
      <c r="W967" s="2">
        <f>VLOOKUP(Table1[[#This Row],[Status]],Auxiliar!$B$16:$D$24,3,0)*Table1[[#This Row],[Estimação (horas)]]</f>
        <v>0.1</v>
      </c>
      <c r="X967" s="166">
        <f>+VLOOKUP(CONCATENATE(Table1[[#This Row],[Tabela]],Table1[[#This Row],[Campo]]),'2. Status Detalhe Campos FY24'!A:J,9,FALSE)</f>
        <v>0</v>
      </c>
    </row>
    <row r="968" spans="2:24" ht="17.850000000000001" hidden="1" customHeight="1">
      <c r="B968" s="12" t="s">
        <v>26</v>
      </c>
      <c r="C968" s="12" t="s">
        <v>181</v>
      </c>
      <c r="D968" s="12" t="s">
        <v>1221</v>
      </c>
      <c r="E968" s="2" t="s">
        <v>38</v>
      </c>
      <c r="F968" s="12" t="s">
        <v>212</v>
      </c>
      <c r="G968" s="12" t="s">
        <v>233</v>
      </c>
      <c r="H968" s="57" t="str">
        <f>Table1[[#This Row],[Tabela]]&amp;Table1[[#This Row],[Campo]]</f>
        <v>modesg_inp_emss_vclsscp1_ftr_emss</v>
      </c>
      <c r="I968" s="2" t="s">
        <v>612</v>
      </c>
      <c r="J968" s="45">
        <f>VLOOKUP(Table1[[#This Row],[Status]],Auxiliar!$B$16:$C$24,2,0)</f>
        <v>1</v>
      </c>
      <c r="K968" s="20" t="s">
        <v>1182</v>
      </c>
      <c r="L968" s="2" t="s">
        <v>1169</v>
      </c>
      <c r="M968" s="20" t="s">
        <v>1179</v>
      </c>
      <c r="N968" s="47">
        <v>45546</v>
      </c>
      <c r="O968" s="20">
        <f>INDEX(Auxiliar!$D$5:$F$13,MATCH(Table1[[#This Row],[Tipologia_Testes]],Auxiliar!$B$5:$B$13,0),MATCH(Table1[[#This Row],[Complexidade]],Auxiliar!$D$4:$F$4,0))</f>
        <v>0.5</v>
      </c>
      <c r="P968" s="22" t="s">
        <v>1233</v>
      </c>
      <c r="Q968" s="2"/>
      <c r="R968" s="151">
        <v>45261</v>
      </c>
      <c r="S968" s="151"/>
      <c r="T968" s="151"/>
      <c r="U968" s="151">
        <v>45603</v>
      </c>
      <c r="V968" s="151">
        <v>45534</v>
      </c>
      <c r="W968" s="2">
        <f>VLOOKUP(Table1[[#This Row],[Status]],Auxiliar!$B$16:$D$24,3,0)*Table1[[#This Row],[Estimação (horas)]]</f>
        <v>0.5</v>
      </c>
      <c r="X968" s="166">
        <f>+VLOOKUP(CONCATENATE(Table1[[#This Row],[Tabela]],Table1[[#This Row],[Campo]]),'2. Status Detalhe Campos FY24'!A:J,9,FALSE)</f>
        <v>0</v>
      </c>
    </row>
    <row r="969" spans="2:24" ht="69.599999999999994" hidden="1" customHeight="1">
      <c r="B969" s="12" t="s">
        <v>26</v>
      </c>
      <c r="C969" s="12" t="s">
        <v>181</v>
      </c>
      <c r="D969" s="12" t="s">
        <v>1221</v>
      </c>
      <c r="E969" s="2" t="s">
        <v>38</v>
      </c>
      <c r="F969" s="12" t="s">
        <v>212</v>
      </c>
      <c r="G969" s="12" t="s">
        <v>234</v>
      </c>
      <c r="H969" s="57" t="str">
        <f>Table1[[#This Row],[Tabela]]&amp;Table1[[#This Row],[Campo]]</f>
        <v>modesg_inp_emss_vclsscp2_ftr_emss</v>
      </c>
      <c r="I969" s="2" t="s">
        <v>612</v>
      </c>
      <c r="J969" s="45">
        <f>VLOOKUP(Table1[[#This Row],[Status]],Auxiliar!$B$16:$C$24,2,0)</f>
        <v>1</v>
      </c>
      <c r="K969" s="20" t="s">
        <v>1174</v>
      </c>
      <c r="L969" s="2" t="s">
        <v>1169</v>
      </c>
      <c r="M969" s="20" t="s">
        <v>1179</v>
      </c>
      <c r="N969" s="47">
        <v>45546</v>
      </c>
      <c r="O969" s="20">
        <f>INDEX(Auxiliar!$D$5:$F$13,MATCH(Table1[[#This Row],[Tipologia_Testes]],Auxiliar!$B$5:$B$13,0),MATCH(Table1[[#This Row],[Complexidade]],Auxiliar!$D$4:$F$4,0))</f>
        <v>0.1</v>
      </c>
      <c r="P969" s="2" t="s">
        <v>1234</v>
      </c>
      <c r="Q969" s="2"/>
      <c r="R969" s="151">
        <v>45261</v>
      </c>
      <c r="S969" s="151"/>
      <c r="T969" s="151"/>
      <c r="U969" s="151">
        <v>45603</v>
      </c>
      <c r="V969" s="151">
        <v>45534</v>
      </c>
      <c r="W969" s="2">
        <f>VLOOKUP(Table1[[#This Row],[Status]],Auxiliar!$B$16:$D$24,3,0)*Table1[[#This Row],[Estimação (horas)]]</f>
        <v>0.1</v>
      </c>
      <c r="X969" s="166">
        <f>+VLOOKUP(CONCATENATE(Table1[[#This Row],[Tabela]],Table1[[#This Row],[Campo]]),'2. Status Detalhe Campos FY24'!A:J,9,FALSE)</f>
        <v>0</v>
      </c>
    </row>
    <row r="970" spans="2:24" ht="17.850000000000001" hidden="1" customHeight="1">
      <c r="B970" s="12" t="s">
        <v>26</v>
      </c>
      <c r="C970" s="12" t="s">
        <v>181</v>
      </c>
      <c r="D970" s="12" t="s">
        <v>1221</v>
      </c>
      <c r="E970" s="2" t="s">
        <v>38</v>
      </c>
      <c r="F970" s="12" t="s">
        <v>212</v>
      </c>
      <c r="G970" s="12" t="s">
        <v>234</v>
      </c>
      <c r="H970" s="57" t="str">
        <f>Table1[[#This Row],[Tabela]]&amp;Table1[[#This Row],[Campo]]</f>
        <v>modesg_inp_emss_vclsscp2_ftr_emss</v>
      </c>
      <c r="I970" s="2" t="s">
        <v>612</v>
      </c>
      <c r="J970" s="45">
        <f>VLOOKUP(Table1[[#This Row],[Status]],Auxiliar!$B$16:$C$24,2,0)</f>
        <v>1</v>
      </c>
      <c r="K970" s="20" t="s">
        <v>1182</v>
      </c>
      <c r="L970" s="2" t="s">
        <v>1169</v>
      </c>
      <c r="M970" s="20" t="s">
        <v>1179</v>
      </c>
      <c r="N970" s="47">
        <v>45546</v>
      </c>
      <c r="O970" s="20">
        <f>INDEX(Auxiliar!$D$5:$F$13,MATCH(Table1[[#This Row],[Tipologia_Testes]],Auxiliar!$B$5:$B$13,0),MATCH(Table1[[#This Row],[Complexidade]],Auxiliar!$D$4:$F$4,0))</f>
        <v>0.5</v>
      </c>
      <c r="P970" s="22" t="s">
        <v>1233</v>
      </c>
      <c r="Q970" s="2"/>
      <c r="R970" s="151">
        <v>45261</v>
      </c>
      <c r="S970" s="151"/>
      <c r="T970" s="151"/>
      <c r="U970" s="151">
        <v>45603</v>
      </c>
      <c r="V970" s="151">
        <v>45534</v>
      </c>
      <c r="W970" s="2">
        <f>VLOOKUP(Table1[[#This Row],[Status]],Auxiliar!$B$16:$D$24,3,0)*Table1[[#This Row],[Estimação (horas)]]</f>
        <v>0.5</v>
      </c>
      <c r="X970" s="166">
        <f>+VLOOKUP(CONCATENATE(Table1[[#This Row],[Tabela]],Table1[[#This Row],[Campo]]),'2. Status Detalhe Campos FY24'!A:J,9,FALSE)</f>
        <v>0</v>
      </c>
    </row>
    <row r="971" spans="2:24" ht="52.35" hidden="1" customHeight="1">
      <c r="B971" s="12" t="s">
        <v>26</v>
      </c>
      <c r="C971" s="12" t="s">
        <v>181</v>
      </c>
      <c r="D971" s="12" t="s">
        <v>1221</v>
      </c>
      <c r="E971" s="2" t="s">
        <v>38</v>
      </c>
      <c r="F971" s="12" t="s">
        <v>212</v>
      </c>
      <c r="G971" s="12" t="s">
        <v>235</v>
      </c>
      <c r="H971" s="57" t="str">
        <f>Table1[[#This Row],[Tabela]]&amp;Table1[[#This Row],[Campo]]</f>
        <v>modesg_inp_emss_vclsscp3_ftr_emss</v>
      </c>
      <c r="I971" s="2" t="s">
        <v>612</v>
      </c>
      <c r="J971" s="45">
        <f>VLOOKUP(Table1[[#This Row],[Status]],Auxiliar!$B$16:$C$24,2,0)</f>
        <v>1</v>
      </c>
      <c r="K971" s="20" t="s">
        <v>1174</v>
      </c>
      <c r="L971" s="2" t="s">
        <v>1169</v>
      </c>
      <c r="M971" s="20" t="s">
        <v>1179</v>
      </c>
      <c r="N971" s="47">
        <v>45546</v>
      </c>
      <c r="O971" s="20">
        <f>INDEX(Auxiliar!$D$5:$F$13,MATCH(Table1[[#This Row],[Tipologia_Testes]],Auxiliar!$B$5:$B$13,0),MATCH(Table1[[#This Row],[Complexidade]],Auxiliar!$D$4:$F$4,0))</f>
        <v>0.1</v>
      </c>
      <c r="P971" s="2" t="s">
        <v>1235</v>
      </c>
      <c r="Q971" s="2"/>
      <c r="R971" s="151">
        <v>45261</v>
      </c>
      <c r="S971" s="151"/>
      <c r="T971" s="151"/>
      <c r="U971" s="151">
        <v>45603</v>
      </c>
      <c r="V971" s="151">
        <v>45534</v>
      </c>
      <c r="W971" s="2">
        <f>VLOOKUP(Table1[[#This Row],[Status]],Auxiliar!$B$16:$D$24,3,0)*Table1[[#This Row],[Estimação (horas)]]</f>
        <v>0.1</v>
      </c>
      <c r="X971" s="166">
        <f>+VLOOKUP(CONCATENATE(Table1[[#This Row],[Tabela]],Table1[[#This Row],[Campo]]),'2. Status Detalhe Campos FY24'!A:J,9,FALSE)</f>
        <v>0</v>
      </c>
    </row>
    <row r="972" spans="2:24" ht="17.850000000000001" hidden="1" customHeight="1">
      <c r="B972" s="12" t="s">
        <v>26</v>
      </c>
      <c r="C972" s="12" t="s">
        <v>181</v>
      </c>
      <c r="D972" s="12" t="s">
        <v>1221</v>
      </c>
      <c r="E972" s="2" t="s">
        <v>38</v>
      </c>
      <c r="F972" s="12" t="s">
        <v>212</v>
      </c>
      <c r="G972" s="12" t="s">
        <v>235</v>
      </c>
      <c r="H972" s="57" t="str">
        <f>Table1[[#This Row],[Tabela]]&amp;Table1[[#This Row],[Campo]]</f>
        <v>modesg_inp_emss_vclsscp3_ftr_emss</v>
      </c>
      <c r="I972" s="2" t="s">
        <v>612</v>
      </c>
      <c r="J972" s="45">
        <f>VLOOKUP(Table1[[#This Row],[Status]],Auxiliar!$B$16:$C$24,2,0)</f>
        <v>1</v>
      </c>
      <c r="K972" s="20" t="s">
        <v>1182</v>
      </c>
      <c r="L972" s="2" t="s">
        <v>1169</v>
      </c>
      <c r="M972" s="20" t="s">
        <v>1179</v>
      </c>
      <c r="N972" s="47">
        <v>45546</v>
      </c>
      <c r="O972" s="20">
        <f>INDEX(Auxiliar!$D$5:$F$13,MATCH(Table1[[#This Row],[Tipologia_Testes]],Auxiliar!$B$5:$B$13,0),MATCH(Table1[[#This Row],[Complexidade]],Auxiliar!$D$4:$F$4,0))</f>
        <v>0.5</v>
      </c>
      <c r="P972" s="22" t="s">
        <v>1236</v>
      </c>
      <c r="Q972" s="2"/>
      <c r="R972" s="151">
        <v>45261</v>
      </c>
      <c r="S972" s="151"/>
      <c r="T972" s="151"/>
      <c r="U972" s="151">
        <v>45603</v>
      </c>
      <c r="V972" s="151">
        <v>45534</v>
      </c>
      <c r="W972" s="2">
        <f>VLOOKUP(Table1[[#This Row],[Status]],Auxiliar!$B$16:$D$24,3,0)*Table1[[#This Row],[Estimação (horas)]]</f>
        <v>0.5</v>
      </c>
      <c r="X972" s="166">
        <f>+VLOOKUP(CONCATENATE(Table1[[#This Row],[Tabela]],Table1[[#This Row],[Campo]]),'2. Status Detalhe Campos FY24'!A:J,9,FALSE)</f>
        <v>0</v>
      </c>
    </row>
    <row r="973" spans="2:24" ht="17.850000000000001" hidden="1" customHeight="1">
      <c r="B973" s="12" t="s">
        <v>26</v>
      </c>
      <c r="C973" s="12" t="s">
        <v>181</v>
      </c>
      <c r="D973" s="12" t="s">
        <v>1221</v>
      </c>
      <c r="E973" s="2" t="s">
        <v>38</v>
      </c>
      <c r="F973" s="12" t="s">
        <v>213</v>
      </c>
      <c r="G973" s="12" t="s">
        <v>208</v>
      </c>
      <c r="H973" s="57" t="str">
        <f>Table1[[#This Row],[Tabela]]&amp;Table1[[#This Row],[Campo]]</f>
        <v>modesg_inp_km_medios_emss_vclsref_date</v>
      </c>
      <c r="I973" s="2" t="s">
        <v>612</v>
      </c>
      <c r="J973" s="45">
        <f>VLOOKUP(Table1[[#This Row],[Status]],Auxiliar!$B$16:$C$24,2,0)</f>
        <v>1</v>
      </c>
      <c r="K973" s="20" t="s">
        <v>1182</v>
      </c>
      <c r="L973" s="27"/>
      <c r="M973" s="20" t="s">
        <v>1179</v>
      </c>
      <c r="N973" s="47">
        <v>45537</v>
      </c>
      <c r="O973" s="20">
        <f>INDEX(Auxiliar!$D$5:$F$13,MATCH(Table1[[#This Row],[Tipologia_Testes]],Auxiliar!$B$5:$B$13,0),MATCH(Table1[[#This Row],[Complexidade]],Auxiliar!$D$4:$F$4,0))</f>
        <v>0.5</v>
      </c>
      <c r="P973" s="2"/>
      <c r="Q973" s="2"/>
      <c r="R973" s="151">
        <v>45261</v>
      </c>
      <c r="S973" s="151"/>
      <c r="T973" s="151"/>
      <c r="U973" s="151">
        <v>45603</v>
      </c>
      <c r="V973" s="151">
        <v>45534</v>
      </c>
      <c r="W973" s="2">
        <f>VLOOKUP(Table1[[#This Row],[Status]],Auxiliar!$B$16:$D$24,3,0)*Table1[[#This Row],[Estimação (horas)]]</f>
        <v>0.5</v>
      </c>
      <c r="X973" s="166">
        <f>+VLOOKUP(CONCATENATE(Table1[[#This Row],[Tabela]],Table1[[#This Row],[Campo]]),'2. Status Detalhe Campos FY24'!A:J,9,FALSE)</f>
        <v>0</v>
      </c>
    </row>
    <row r="974" spans="2:24" ht="17.850000000000001" hidden="1" customHeight="1">
      <c r="B974" s="12" t="s">
        <v>26</v>
      </c>
      <c r="C974" s="12" t="s">
        <v>181</v>
      </c>
      <c r="D974" s="12" t="s">
        <v>1221</v>
      </c>
      <c r="E974" s="2" t="s">
        <v>38</v>
      </c>
      <c r="F974" s="12" t="s">
        <v>213</v>
      </c>
      <c r="G974" s="12" t="s">
        <v>221</v>
      </c>
      <c r="H974" s="57" t="str">
        <f>Table1[[#This Row],[Tabela]]&amp;Table1[[#This Row],[Campo]]</f>
        <v>modesg_inp_km_medios_emss_vclsnome_pais</v>
      </c>
      <c r="I974" s="2" t="s">
        <v>612</v>
      </c>
      <c r="J974" s="45">
        <f>VLOOKUP(Table1[[#This Row],[Status]],Auxiliar!$B$16:$C$24,2,0)</f>
        <v>1</v>
      </c>
      <c r="K974" s="20" t="s">
        <v>1174</v>
      </c>
      <c r="L974" s="27"/>
      <c r="M974" s="20" t="s">
        <v>1179</v>
      </c>
      <c r="N974" s="47">
        <v>45537</v>
      </c>
      <c r="O974" s="20">
        <f>INDEX(Auxiliar!$D$5:$F$13,MATCH(Table1[[#This Row],[Tipologia_Testes]],Auxiliar!$B$5:$B$13,0),MATCH(Table1[[#This Row],[Complexidade]],Auxiliar!$D$4:$F$4,0))</f>
        <v>0.1</v>
      </c>
      <c r="P974" s="2" t="s">
        <v>1237</v>
      </c>
      <c r="Q974" s="2"/>
      <c r="R974" s="151">
        <v>45261</v>
      </c>
      <c r="S974" s="151"/>
      <c r="T974" s="151"/>
      <c r="U974" s="151">
        <v>45603</v>
      </c>
      <c r="V974" s="151">
        <v>45534</v>
      </c>
      <c r="W974" s="2">
        <f>VLOOKUP(Table1[[#This Row],[Status]],Auxiliar!$B$16:$D$24,3,0)*Table1[[#This Row],[Estimação (horas)]]</f>
        <v>0.1</v>
      </c>
      <c r="X974" s="166">
        <f>+VLOOKUP(CONCATENATE(Table1[[#This Row],[Tabela]],Table1[[#This Row],[Campo]]),'2. Status Detalhe Campos FY24'!A:J,9,FALSE)</f>
        <v>0</v>
      </c>
    </row>
    <row r="975" spans="2:24" ht="17.850000000000001" hidden="1" customHeight="1">
      <c r="B975" s="12" t="s">
        <v>26</v>
      </c>
      <c r="C975" s="12" t="s">
        <v>181</v>
      </c>
      <c r="D975" s="12" t="s">
        <v>1221</v>
      </c>
      <c r="E975" s="2" t="s">
        <v>38</v>
      </c>
      <c r="F975" s="12" t="s">
        <v>213</v>
      </c>
      <c r="G975" s="12" t="s">
        <v>221</v>
      </c>
      <c r="H975" s="57" t="str">
        <f>Table1[[#This Row],[Tabela]]&amp;Table1[[#This Row],[Campo]]</f>
        <v>modesg_inp_km_medios_emss_vclsnome_pais</v>
      </c>
      <c r="I975" s="2" t="s">
        <v>612</v>
      </c>
      <c r="J975" s="45">
        <f>VLOOKUP(Table1[[#This Row],[Status]],Auxiliar!$B$16:$C$24,2,0)</f>
        <v>1</v>
      </c>
      <c r="K975" s="20" t="s">
        <v>1182</v>
      </c>
      <c r="L975" s="27"/>
      <c r="M975" s="20" t="s">
        <v>1179</v>
      </c>
      <c r="N975" s="47">
        <v>45537</v>
      </c>
      <c r="O975" s="20">
        <f>INDEX(Auxiliar!$D$5:$F$13,MATCH(Table1[[#This Row],[Tipologia_Testes]],Auxiliar!$B$5:$B$13,0),MATCH(Table1[[#This Row],[Complexidade]],Auxiliar!$D$4:$F$4,0))</f>
        <v>0.5</v>
      </c>
      <c r="P975" s="2"/>
      <c r="Q975" s="2"/>
      <c r="R975" s="151">
        <v>45261</v>
      </c>
      <c r="S975" s="151"/>
      <c r="T975" s="151"/>
      <c r="U975" s="151">
        <v>45603</v>
      </c>
      <c r="V975" s="151">
        <v>45534</v>
      </c>
      <c r="W975" s="2">
        <f>VLOOKUP(Table1[[#This Row],[Status]],Auxiliar!$B$16:$D$24,3,0)*Table1[[#This Row],[Estimação (horas)]]</f>
        <v>0.5</v>
      </c>
      <c r="X975" s="166">
        <f>+VLOOKUP(CONCATENATE(Table1[[#This Row],[Tabela]],Table1[[#This Row],[Campo]]),'2. Status Detalhe Campos FY24'!A:J,9,FALSE)</f>
        <v>0</v>
      </c>
    </row>
    <row r="976" spans="2:24" ht="17.850000000000001" hidden="1" customHeight="1">
      <c r="B976" s="12" t="s">
        <v>26</v>
      </c>
      <c r="C976" s="12" t="s">
        <v>181</v>
      </c>
      <c r="D976" s="12" t="s">
        <v>1221</v>
      </c>
      <c r="E976" s="2" t="s">
        <v>38</v>
      </c>
      <c r="F976" s="12" t="s">
        <v>213</v>
      </c>
      <c r="G976" s="12" t="s">
        <v>236</v>
      </c>
      <c r="H976" s="57" t="str">
        <f>Table1[[#This Row],[Tabela]]&amp;Table1[[#This Row],[Campo]]</f>
        <v>modesg_inp_km_medios_emss_vclstipo_vcl</v>
      </c>
      <c r="I976" s="2" t="s">
        <v>612</v>
      </c>
      <c r="J976" s="45">
        <f>VLOOKUP(Table1[[#This Row],[Status]],Auxiliar!$B$16:$C$24,2,0)</f>
        <v>1</v>
      </c>
      <c r="K976" s="20" t="s">
        <v>1174</v>
      </c>
      <c r="L976" s="2" t="s">
        <v>1169</v>
      </c>
      <c r="M976" s="20" t="s">
        <v>1179</v>
      </c>
      <c r="N976" s="47">
        <v>45537</v>
      </c>
      <c r="O976" s="20">
        <f>INDEX(Auxiliar!$D$5:$F$13,MATCH(Table1[[#This Row],[Tipologia_Testes]],Auxiliar!$B$5:$B$13,0),MATCH(Table1[[#This Row],[Complexidade]],Auxiliar!$D$4:$F$4,0))</f>
        <v>0.1</v>
      </c>
      <c r="P976" s="2" t="s">
        <v>1238</v>
      </c>
      <c r="Q976" s="2"/>
      <c r="R976" s="151">
        <v>45261</v>
      </c>
      <c r="S976" s="151"/>
      <c r="T976" s="151"/>
      <c r="U976" s="151">
        <v>45603</v>
      </c>
      <c r="V976" s="151">
        <v>45534</v>
      </c>
      <c r="W976" s="2">
        <f>VLOOKUP(Table1[[#This Row],[Status]],Auxiliar!$B$16:$D$24,3,0)*Table1[[#This Row],[Estimação (horas)]]</f>
        <v>0.1</v>
      </c>
      <c r="X976" s="166">
        <f>+VLOOKUP(CONCATENATE(Table1[[#This Row],[Tabela]],Table1[[#This Row],[Campo]]),'2. Status Detalhe Campos FY24'!A:J,9,FALSE)</f>
        <v>0</v>
      </c>
    </row>
    <row r="977" spans="2:24" ht="17.850000000000001" hidden="1" customHeight="1">
      <c r="B977" s="12" t="s">
        <v>26</v>
      </c>
      <c r="C977" s="12" t="s">
        <v>181</v>
      </c>
      <c r="D977" s="12" t="s">
        <v>1221</v>
      </c>
      <c r="E977" s="2" t="s">
        <v>38</v>
      </c>
      <c r="F977" s="12" t="s">
        <v>213</v>
      </c>
      <c r="G977" s="12" t="s">
        <v>236</v>
      </c>
      <c r="H977" s="57" t="str">
        <f>Table1[[#This Row],[Tabela]]&amp;Table1[[#This Row],[Campo]]</f>
        <v>modesg_inp_km_medios_emss_vclstipo_vcl</v>
      </c>
      <c r="I977" s="2" t="s">
        <v>612</v>
      </c>
      <c r="J977" s="45">
        <f>VLOOKUP(Table1[[#This Row],[Status]],Auxiliar!$B$16:$C$24,2,0)</f>
        <v>1</v>
      </c>
      <c r="K977" s="20" t="s">
        <v>1182</v>
      </c>
      <c r="L977" s="2" t="s">
        <v>1169</v>
      </c>
      <c r="M977" s="20" t="s">
        <v>1179</v>
      </c>
      <c r="N977" s="47">
        <v>45537</v>
      </c>
      <c r="O977" s="20">
        <f>INDEX(Auxiliar!$D$5:$F$13,MATCH(Table1[[#This Row],[Tipologia_Testes]],Auxiliar!$B$5:$B$13,0),MATCH(Table1[[#This Row],[Complexidade]],Auxiliar!$D$4:$F$4,0))</f>
        <v>0.5</v>
      </c>
      <c r="P977" s="2" t="s">
        <v>1239</v>
      </c>
      <c r="Q977" s="2"/>
      <c r="R977" s="151">
        <v>45261</v>
      </c>
      <c r="S977" s="151"/>
      <c r="T977" s="151"/>
      <c r="U977" s="151">
        <v>45603</v>
      </c>
      <c r="V977" s="151">
        <v>45534</v>
      </c>
      <c r="W977" s="2">
        <f>VLOOKUP(Table1[[#This Row],[Status]],Auxiliar!$B$16:$D$24,3,0)*Table1[[#This Row],[Estimação (horas)]]</f>
        <v>0.5</v>
      </c>
      <c r="X977" s="166">
        <f>+VLOOKUP(CONCATENATE(Table1[[#This Row],[Tabela]],Table1[[#This Row],[Campo]]),'2. Status Detalhe Campos FY24'!A:J,9,FALSE)</f>
        <v>0</v>
      </c>
    </row>
    <row r="978" spans="2:24" ht="17.850000000000001" hidden="1" customHeight="1">
      <c r="B978" s="12" t="s">
        <v>26</v>
      </c>
      <c r="C978" s="12" t="s">
        <v>181</v>
      </c>
      <c r="D978" s="12" t="s">
        <v>1221</v>
      </c>
      <c r="E978" s="2" t="s">
        <v>38</v>
      </c>
      <c r="F978" s="12" t="s">
        <v>213</v>
      </c>
      <c r="G978" s="12" t="s">
        <v>224</v>
      </c>
      <c r="H978" s="57" t="str">
        <f>Table1[[#This Row],[Tabela]]&amp;Table1[[#This Row],[Campo]]</f>
        <v>modesg_inp_km_medios_emss_vclstipo_motor</v>
      </c>
      <c r="I978" s="2" t="s">
        <v>612</v>
      </c>
      <c r="J978" s="45">
        <f>VLOOKUP(Table1[[#This Row],[Status]],Auxiliar!$B$16:$C$24,2,0)</f>
        <v>1</v>
      </c>
      <c r="K978" s="20" t="s">
        <v>1174</v>
      </c>
      <c r="L978" s="27"/>
      <c r="M978" s="20" t="s">
        <v>1179</v>
      </c>
      <c r="N978" s="47">
        <v>45537</v>
      </c>
      <c r="O978" s="20">
        <f>INDEX(Auxiliar!$D$5:$F$13,MATCH(Table1[[#This Row],[Tipologia_Testes]],Auxiliar!$B$5:$B$13,0),MATCH(Table1[[#This Row],[Complexidade]],Auxiliar!$D$4:$F$4,0))</f>
        <v>0.1</v>
      </c>
      <c r="P978" s="2" t="s">
        <v>1237</v>
      </c>
      <c r="Q978" s="2"/>
      <c r="R978" s="151">
        <v>45261</v>
      </c>
      <c r="S978" s="151"/>
      <c r="T978" s="151"/>
      <c r="U978" s="151">
        <v>45603</v>
      </c>
      <c r="V978" s="151">
        <v>45534</v>
      </c>
      <c r="W978" s="2">
        <f>VLOOKUP(Table1[[#This Row],[Status]],Auxiliar!$B$16:$D$24,3,0)*Table1[[#This Row],[Estimação (horas)]]</f>
        <v>0.1</v>
      </c>
      <c r="X978" s="166">
        <f>+VLOOKUP(CONCATENATE(Table1[[#This Row],[Tabela]],Table1[[#This Row],[Campo]]),'2. Status Detalhe Campos FY24'!A:J,9,FALSE)</f>
        <v>0</v>
      </c>
    </row>
    <row r="979" spans="2:24" ht="17.850000000000001" hidden="1" customHeight="1">
      <c r="B979" s="12" t="s">
        <v>26</v>
      </c>
      <c r="C979" s="12" t="s">
        <v>181</v>
      </c>
      <c r="D979" s="12" t="s">
        <v>1221</v>
      </c>
      <c r="E979" s="2" t="s">
        <v>38</v>
      </c>
      <c r="F979" s="12" t="s">
        <v>213</v>
      </c>
      <c r="G979" s="12" t="s">
        <v>224</v>
      </c>
      <c r="H979" s="57" t="str">
        <f>Table1[[#This Row],[Tabela]]&amp;Table1[[#This Row],[Campo]]</f>
        <v>modesg_inp_km_medios_emss_vclstipo_motor</v>
      </c>
      <c r="I979" s="2" t="s">
        <v>612</v>
      </c>
      <c r="J979" s="45">
        <f>VLOOKUP(Table1[[#This Row],[Status]],Auxiliar!$B$16:$C$24,2,0)</f>
        <v>1</v>
      </c>
      <c r="K979" s="20" t="s">
        <v>1182</v>
      </c>
      <c r="L979" s="27"/>
      <c r="M979" s="20" t="s">
        <v>1179</v>
      </c>
      <c r="N979" s="47">
        <v>45537</v>
      </c>
      <c r="O979" s="20">
        <f>INDEX(Auxiliar!$D$5:$F$13,MATCH(Table1[[#This Row],[Tipologia_Testes]],Auxiliar!$B$5:$B$13,0),MATCH(Table1[[#This Row],[Complexidade]],Auxiliar!$D$4:$F$4,0))</f>
        <v>0.5</v>
      </c>
      <c r="P979" s="2"/>
      <c r="Q979" s="2"/>
      <c r="R979" s="151">
        <v>45261</v>
      </c>
      <c r="S979" s="151"/>
      <c r="T979" s="151"/>
      <c r="U979" s="151">
        <v>45603</v>
      </c>
      <c r="V979" s="151">
        <v>45534</v>
      </c>
      <c r="W979" s="2">
        <f>VLOOKUP(Table1[[#This Row],[Status]],Auxiliar!$B$16:$D$24,3,0)*Table1[[#This Row],[Estimação (horas)]]</f>
        <v>0.5</v>
      </c>
      <c r="X979" s="166">
        <f>+VLOOKUP(CONCATENATE(Table1[[#This Row],[Tabela]],Table1[[#This Row],[Campo]]),'2. Status Detalhe Campos FY24'!A:J,9,FALSE)</f>
        <v>0</v>
      </c>
    </row>
    <row r="980" spans="2:24" ht="17.850000000000001" hidden="1" customHeight="1">
      <c r="B980" s="12" t="s">
        <v>26</v>
      </c>
      <c r="C980" s="12" t="s">
        <v>181</v>
      </c>
      <c r="D980" s="12" t="s">
        <v>1221</v>
      </c>
      <c r="E980" s="2" t="s">
        <v>38</v>
      </c>
      <c r="F980" s="12" t="s">
        <v>213</v>
      </c>
      <c r="G980" s="12" t="s">
        <v>227</v>
      </c>
      <c r="H980" s="57" t="str">
        <f>Table1[[#This Row],[Tabela]]&amp;Table1[[#This Row],[Campo]]</f>
        <v>modesg_inp_km_medios_emss_vclssubgrupo</v>
      </c>
      <c r="I980" s="2" t="s">
        <v>612</v>
      </c>
      <c r="J980" s="45">
        <f>VLOOKUP(Table1[[#This Row],[Status]],Auxiliar!$B$16:$C$24,2,0)</f>
        <v>1</v>
      </c>
      <c r="K980" s="20" t="s">
        <v>1174</v>
      </c>
      <c r="L980" s="2" t="s">
        <v>641</v>
      </c>
      <c r="M980" s="20" t="s">
        <v>1179</v>
      </c>
      <c r="N980" s="47">
        <v>45537</v>
      </c>
      <c r="O980" s="20">
        <f>INDEX(Auxiliar!$D$5:$F$13,MATCH(Table1[[#This Row],[Tipologia_Testes]],Auxiliar!$B$5:$B$13,0),MATCH(Table1[[#This Row],[Complexidade]],Auxiliar!$D$4:$F$4,0))</f>
        <v>0.1</v>
      </c>
      <c r="P980" s="2" t="s">
        <v>1237</v>
      </c>
      <c r="Q980" s="2"/>
      <c r="R980" s="151">
        <v>45261</v>
      </c>
      <c r="S980" s="151"/>
      <c r="T980" s="151"/>
      <c r="U980" s="151">
        <v>45603</v>
      </c>
      <c r="V980" s="151">
        <v>45534</v>
      </c>
      <c r="W980" s="2">
        <f>VLOOKUP(Table1[[#This Row],[Status]],Auxiliar!$B$16:$D$24,3,0)*Table1[[#This Row],[Estimação (horas)]]</f>
        <v>0.1</v>
      </c>
      <c r="X980" s="166">
        <f>+VLOOKUP(CONCATENATE(Table1[[#This Row],[Tabela]],Table1[[#This Row],[Campo]]),'2. Status Detalhe Campos FY24'!A:J,9,FALSE)</f>
        <v>0</v>
      </c>
    </row>
    <row r="981" spans="2:24" ht="17.850000000000001" hidden="1" customHeight="1">
      <c r="B981" s="12" t="s">
        <v>26</v>
      </c>
      <c r="C981" s="12" t="s">
        <v>181</v>
      </c>
      <c r="D981" s="12" t="s">
        <v>1221</v>
      </c>
      <c r="E981" s="2" t="s">
        <v>38</v>
      </c>
      <c r="F981" s="12" t="s">
        <v>213</v>
      </c>
      <c r="G981" s="12" t="s">
        <v>227</v>
      </c>
      <c r="H981" s="57" t="str">
        <f>Table1[[#This Row],[Tabela]]&amp;Table1[[#This Row],[Campo]]</f>
        <v>modesg_inp_km_medios_emss_vclssubgrupo</v>
      </c>
      <c r="I981" s="2" t="s">
        <v>612</v>
      </c>
      <c r="J981" s="45">
        <f>VLOOKUP(Table1[[#This Row],[Status]],Auxiliar!$B$16:$C$24,2,0)</f>
        <v>1</v>
      </c>
      <c r="K981" s="20" t="s">
        <v>1182</v>
      </c>
      <c r="L981" s="2" t="s">
        <v>641</v>
      </c>
      <c r="M981" s="20" t="s">
        <v>1179</v>
      </c>
      <c r="N981" s="47">
        <v>45537</v>
      </c>
      <c r="O981" s="20">
        <f>INDEX(Auxiliar!$D$5:$F$13,MATCH(Table1[[#This Row],[Tipologia_Testes]],Auxiliar!$B$5:$B$13,0),MATCH(Table1[[#This Row],[Complexidade]],Auxiliar!$D$4:$F$4,0))</f>
        <v>0.5</v>
      </c>
      <c r="P981" s="2"/>
      <c r="Q981" s="2"/>
      <c r="R981" s="151">
        <v>45261</v>
      </c>
      <c r="S981" s="151"/>
      <c r="T981" s="151"/>
      <c r="U981" s="151">
        <v>45603</v>
      </c>
      <c r="V981" s="151">
        <v>45534</v>
      </c>
      <c r="W981" s="2">
        <f>VLOOKUP(Table1[[#This Row],[Status]],Auxiliar!$B$16:$D$24,3,0)*Table1[[#This Row],[Estimação (horas)]]</f>
        <v>0.5</v>
      </c>
      <c r="X981" s="166">
        <f>+VLOOKUP(CONCATENATE(Table1[[#This Row],[Tabela]],Table1[[#This Row],[Campo]]),'2. Status Detalhe Campos FY24'!A:J,9,FALSE)</f>
        <v>0</v>
      </c>
    </row>
    <row r="982" spans="2:24" ht="17.850000000000001" hidden="1" customHeight="1">
      <c r="B982" s="12" t="s">
        <v>26</v>
      </c>
      <c r="C982" s="12" t="s">
        <v>181</v>
      </c>
      <c r="D982" s="12" t="s">
        <v>1221</v>
      </c>
      <c r="E982" s="2" t="s">
        <v>38</v>
      </c>
      <c r="F982" s="12" t="s">
        <v>213</v>
      </c>
      <c r="G982" s="12" t="s">
        <v>237</v>
      </c>
      <c r="H982" s="57" t="str">
        <f>Table1[[#This Row],[Tabela]]&amp;Table1[[#This Row],[Campo]]</f>
        <v>modesg_inp_km_medios_emss_vclsmedia_km</v>
      </c>
      <c r="I982" s="2" t="s">
        <v>612</v>
      </c>
      <c r="J982" s="45">
        <f>VLOOKUP(Table1[[#This Row],[Status]],Auxiliar!$B$16:$C$24,2,0)</f>
        <v>1</v>
      </c>
      <c r="K982" s="20" t="s">
        <v>1174</v>
      </c>
      <c r="L982" s="27"/>
      <c r="M982" s="20" t="s">
        <v>1179</v>
      </c>
      <c r="N982" s="47">
        <v>45537</v>
      </c>
      <c r="O982" s="20">
        <f>INDEX(Auxiliar!$D$5:$F$13,MATCH(Table1[[#This Row],[Tipologia_Testes]],Auxiliar!$B$5:$B$13,0),MATCH(Table1[[#This Row],[Complexidade]],Auxiliar!$D$4:$F$4,0))</f>
        <v>0.1</v>
      </c>
      <c r="P982" s="2" t="s">
        <v>1237</v>
      </c>
      <c r="Q982" s="2"/>
      <c r="R982" s="151">
        <v>45261</v>
      </c>
      <c r="S982" s="151"/>
      <c r="T982" s="151"/>
      <c r="U982" s="151">
        <v>45603</v>
      </c>
      <c r="V982" s="151">
        <v>45534</v>
      </c>
      <c r="W982" s="2">
        <f>VLOOKUP(Table1[[#This Row],[Status]],Auxiliar!$B$16:$D$24,3,0)*Table1[[#This Row],[Estimação (horas)]]</f>
        <v>0.1</v>
      </c>
      <c r="X982" s="166">
        <f>+VLOOKUP(CONCATENATE(Table1[[#This Row],[Tabela]],Table1[[#This Row],[Campo]]),'2. Status Detalhe Campos FY24'!A:J,9,FALSE)</f>
        <v>0</v>
      </c>
    </row>
    <row r="983" spans="2:24" ht="17.850000000000001" hidden="1" customHeight="1">
      <c r="B983" s="12" t="s">
        <v>26</v>
      </c>
      <c r="C983" s="12" t="s">
        <v>181</v>
      </c>
      <c r="D983" s="12" t="s">
        <v>1221</v>
      </c>
      <c r="E983" s="2" t="s">
        <v>38</v>
      </c>
      <c r="F983" s="12" t="s">
        <v>213</v>
      </c>
      <c r="G983" s="12" t="s">
        <v>237</v>
      </c>
      <c r="H983" s="57" t="str">
        <f>Table1[[#This Row],[Tabela]]&amp;Table1[[#This Row],[Campo]]</f>
        <v>modesg_inp_km_medios_emss_vclsmedia_km</v>
      </c>
      <c r="I983" s="2" t="s">
        <v>612</v>
      </c>
      <c r="J983" s="45">
        <f>VLOOKUP(Table1[[#This Row],[Status]],Auxiliar!$B$16:$C$24,2,0)</f>
        <v>1</v>
      </c>
      <c r="K983" s="20" t="s">
        <v>1182</v>
      </c>
      <c r="L983" s="27"/>
      <c r="M983" s="20" t="s">
        <v>1179</v>
      </c>
      <c r="N983" s="47">
        <v>45537</v>
      </c>
      <c r="O983" s="20">
        <f>INDEX(Auxiliar!$D$5:$F$13,MATCH(Table1[[#This Row],[Tipologia_Testes]],Auxiliar!$B$5:$B$13,0),MATCH(Table1[[#This Row],[Complexidade]],Auxiliar!$D$4:$F$4,0))</f>
        <v>0.5</v>
      </c>
      <c r="P983" s="2"/>
      <c r="Q983" s="2"/>
      <c r="R983" s="151">
        <v>45261</v>
      </c>
      <c r="S983" s="151"/>
      <c r="T983" s="151"/>
      <c r="U983" s="151">
        <v>45603</v>
      </c>
      <c r="V983" s="151">
        <v>45534</v>
      </c>
      <c r="W983" s="2">
        <f>VLOOKUP(Table1[[#This Row],[Status]],Auxiliar!$B$16:$D$24,3,0)*Table1[[#This Row],[Estimação (horas)]]</f>
        <v>0.5</v>
      </c>
      <c r="X983" s="166">
        <f>+VLOOKUP(CONCATENATE(Table1[[#This Row],[Tabela]],Table1[[#This Row],[Campo]]),'2. Status Detalhe Campos FY24'!A:J,9,FALSE)</f>
        <v>0</v>
      </c>
    </row>
    <row r="984" spans="2:24" ht="17.850000000000001" hidden="1" customHeight="1">
      <c r="B984" s="12" t="s">
        <v>26</v>
      </c>
      <c r="C984" s="12" t="s">
        <v>181</v>
      </c>
      <c r="D984" s="12" t="s">
        <v>1225</v>
      </c>
      <c r="E984" s="2" t="s">
        <v>38</v>
      </c>
      <c r="F984" s="12" t="s">
        <v>214</v>
      </c>
      <c r="G984" s="12" t="s">
        <v>208</v>
      </c>
      <c r="H984" s="57" t="str">
        <f>Table1[[#This Row],[Tabela]]&amp;Table1[[#This Row],[Campo]]</f>
        <v>modesg_inp_empr_excl_parisref_date</v>
      </c>
      <c r="I984" s="3" t="s">
        <v>612</v>
      </c>
      <c r="J984" s="53">
        <f>VLOOKUP(Table1[[#This Row],[Status]],Auxiliar!$B$16:$C$24,2,0)</f>
        <v>1</v>
      </c>
      <c r="K984" s="20" t="s">
        <v>1182</v>
      </c>
      <c r="L984" s="2" t="s">
        <v>1177</v>
      </c>
      <c r="M984" s="20" t="s">
        <v>1179</v>
      </c>
      <c r="N984" s="47">
        <v>45485</v>
      </c>
      <c r="O984" s="20">
        <f>INDEX(Auxiliar!$D$5:$F$13,MATCH(Table1[[#This Row],[Tipologia_Testes]],Auxiliar!$B$5:$B$13,0),MATCH(Table1[[#This Row],[Complexidade]],Auxiliar!$D$4:$F$4,0))</f>
        <v>0.5</v>
      </c>
      <c r="P984" s="2"/>
      <c r="Q984" s="2"/>
      <c r="R984" s="151">
        <v>45261</v>
      </c>
      <c r="S984" s="151"/>
      <c r="T984" s="151"/>
      <c r="U984" s="151">
        <v>45603</v>
      </c>
      <c r="V984" s="151"/>
      <c r="W984" s="2">
        <f>VLOOKUP(Table1[[#This Row],[Status]],Auxiliar!$B$16:$D$24,3,0)*Table1[[#This Row],[Estimação (horas)]]</f>
        <v>0.5</v>
      </c>
      <c r="X984" s="166">
        <f>+VLOOKUP(CONCATENATE(Table1[[#This Row],[Tabela]],Table1[[#This Row],[Campo]]),'2. Status Detalhe Campos FY24'!A:J,9,FALSE)</f>
        <v>0</v>
      </c>
    </row>
    <row r="985" spans="2:24" ht="17.850000000000001" hidden="1" customHeight="1">
      <c r="B985" s="12" t="s">
        <v>26</v>
      </c>
      <c r="C985" s="12" t="s">
        <v>181</v>
      </c>
      <c r="D985" s="12" t="s">
        <v>1225</v>
      </c>
      <c r="E985" s="2" t="s">
        <v>38</v>
      </c>
      <c r="F985" s="12" t="s">
        <v>214</v>
      </c>
      <c r="G985" s="12" t="s">
        <v>238</v>
      </c>
      <c r="H985" s="57" t="str">
        <f>Table1[[#This Row],[Tabela]]&amp;Table1[[#This Row],[Campo]]</f>
        <v>modesg_inp_empr_excl_parisisin</v>
      </c>
      <c r="I985" s="3" t="s">
        <v>612</v>
      </c>
      <c r="J985" s="53">
        <f>VLOOKUP(Table1[[#This Row],[Status]],Auxiliar!$B$16:$C$24,2,0)</f>
        <v>1</v>
      </c>
      <c r="K985" s="20" t="s">
        <v>1174</v>
      </c>
      <c r="L985" s="2" t="s">
        <v>1177</v>
      </c>
      <c r="M985" s="20" t="s">
        <v>1179</v>
      </c>
      <c r="N985" s="47">
        <v>45485</v>
      </c>
      <c r="O985" s="20">
        <f>INDEX(Auxiliar!$D$5:$F$13,MATCH(Table1[[#This Row],[Tipologia_Testes]],Auxiliar!$B$5:$B$13,0),MATCH(Table1[[#This Row],[Complexidade]],Auxiliar!$D$4:$F$4,0))</f>
        <v>0.1</v>
      </c>
      <c r="P985" s="2" t="s">
        <v>1240</v>
      </c>
      <c r="Q985" s="2"/>
      <c r="R985" s="151">
        <v>45261</v>
      </c>
      <c r="S985" s="151"/>
      <c r="T985" s="151"/>
      <c r="U985" s="151">
        <v>45603</v>
      </c>
      <c r="V985" s="151"/>
      <c r="W985" s="2">
        <f>VLOOKUP(Table1[[#This Row],[Status]],Auxiliar!$B$16:$D$24,3,0)*Table1[[#This Row],[Estimação (horas)]]</f>
        <v>0.1</v>
      </c>
      <c r="X985" s="166">
        <f>+VLOOKUP(CONCATENATE(Table1[[#This Row],[Tabela]],Table1[[#This Row],[Campo]]),'2. Status Detalhe Campos FY24'!A:J,9,FALSE)</f>
        <v>0</v>
      </c>
    </row>
    <row r="986" spans="2:24" ht="17.850000000000001" hidden="1" customHeight="1">
      <c r="B986" s="12" t="s">
        <v>26</v>
      </c>
      <c r="C986" s="12" t="s">
        <v>181</v>
      </c>
      <c r="D986" s="12" t="s">
        <v>1225</v>
      </c>
      <c r="E986" s="2" t="s">
        <v>38</v>
      </c>
      <c r="F986" s="12" t="s">
        <v>214</v>
      </c>
      <c r="G986" s="12" t="s">
        <v>238</v>
      </c>
      <c r="H986" s="57" t="str">
        <f>Table1[[#This Row],[Tabela]]&amp;Table1[[#This Row],[Campo]]</f>
        <v>modesg_inp_empr_excl_parisisin</v>
      </c>
      <c r="I986" s="3" t="s">
        <v>612</v>
      </c>
      <c r="J986" s="53">
        <f>VLOOKUP(Table1[[#This Row],[Status]],Auxiliar!$B$16:$C$24,2,0)</f>
        <v>1</v>
      </c>
      <c r="K986" s="20" t="s">
        <v>1182</v>
      </c>
      <c r="L986" s="2" t="s">
        <v>1169</v>
      </c>
      <c r="M986" s="20" t="s">
        <v>1179</v>
      </c>
      <c r="N986" s="47">
        <v>45485</v>
      </c>
      <c r="O986" s="20">
        <f>INDEX(Auxiliar!$D$5:$F$13,MATCH(Table1[[#This Row],[Tipologia_Testes]],Auxiliar!$B$5:$B$13,0),MATCH(Table1[[#This Row],[Complexidade]],Auxiliar!$D$4:$F$4,0))</f>
        <v>0.5</v>
      </c>
      <c r="P986" s="2"/>
      <c r="Q986" s="2"/>
      <c r="R986" s="151">
        <v>45261</v>
      </c>
      <c r="S986" s="151"/>
      <c r="T986" s="151"/>
      <c r="U986" s="151">
        <v>45603</v>
      </c>
      <c r="V986" s="151"/>
      <c r="W986" s="2">
        <f>VLOOKUP(Table1[[#This Row],[Status]],Auxiliar!$B$16:$D$24,3,0)*Table1[[#This Row],[Estimação (horas)]]</f>
        <v>0.5</v>
      </c>
      <c r="X986" s="166">
        <f>+VLOOKUP(CONCATENATE(Table1[[#This Row],[Tabela]],Table1[[#This Row],[Campo]]),'2. Status Detalhe Campos FY24'!A:J,9,FALSE)</f>
        <v>0</v>
      </c>
    </row>
    <row r="987" spans="2:24" ht="17.850000000000001" hidden="1" customHeight="1">
      <c r="B987" s="12" t="s">
        <v>26</v>
      </c>
      <c r="C987" s="12" t="s">
        <v>181</v>
      </c>
      <c r="D987" s="12" t="s">
        <v>1225</v>
      </c>
      <c r="E987" s="2" t="s">
        <v>38</v>
      </c>
      <c r="F987" s="12" t="s">
        <v>214</v>
      </c>
      <c r="G987" s="12" t="s">
        <v>239</v>
      </c>
      <c r="H987" s="57" t="str">
        <f>Table1[[#This Row],[Tabela]]&amp;Table1[[#This Row],[Campo]]</f>
        <v>modesg_inp_empr_excl_parisclei</v>
      </c>
      <c r="I987" s="3" t="s">
        <v>612</v>
      </c>
      <c r="J987" s="53">
        <f>VLOOKUP(Table1[[#This Row],[Status]],Auxiliar!$B$16:$C$24,2,0)</f>
        <v>1</v>
      </c>
      <c r="K987" s="20" t="s">
        <v>1174</v>
      </c>
      <c r="L987" s="2" t="s">
        <v>1177</v>
      </c>
      <c r="M987" s="20" t="s">
        <v>1179</v>
      </c>
      <c r="N987" s="47">
        <v>45485</v>
      </c>
      <c r="O987" s="20">
        <f>INDEX(Auxiliar!$D$5:$F$13,MATCH(Table1[[#This Row],[Tipologia_Testes]],Auxiliar!$B$5:$B$13,0),MATCH(Table1[[#This Row],[Complexidade]],Auxiliar!$D$4:$F$4,0))</f>
        <v>0.1</v>
      </c>
      <c r="P987" s="2" t="s">
        <v>1240</v>
      </c>
      <c r="Q987" s="2"/>
      <c r="R987" s="151">
        <v>45261</v>
      </c>
      <c r="S987" s="151"/>
      <c r="T987" s="151"/>
      <c r="U987" s="151">
        <v>45603</v>
      </c>
      <c r="V987" s="151"/>
      <c r="W987" s="2">
        <f>VLOOKUP(Table1[[#This Row],[Status]],Auxiliar!$B$16:$D$24,3,0)*Table1[[#This Row],[Estimação (horas)]]</f>
        <v>0.1</v>
      </c>
      <c r="X987" s="166">
        <f>+VLOOKUP(CONCATENATE(Table1[[#This Row],[Tabela]],Table1[[#This Row],[Campo]]),'2. Status Detalhe Campos FY24'!A:J,9,FALSE)</f>
        <v>0</v>
      </c>
    </row>
    <row r="988" spans="2:24" ht="17.850000000000001" hidden="1" customHeight="1">
      <c r="B988" s="12" t="s">
        <v>26</v>
      </c>
      <c r="C988" s="12" t="s">
        <v>181</v>
      </c>
      <c r="D988" s="12" t="s">
        <v>1225</v>
      </c>
      <c r="E988" s="2" t="s">
        <v>38</v>
      </c>
      <c r="F988" s="12" t="s">
        <v>214</v>
      </c>
      <c r="G988" s="12" t="s">
        <v>239</v>
      </c>
      <c r="H988" s="57" t="str">
        <f>Table1[[#This Row],[Tabela]]&amp;Table1[[#This Row],[Campo]]</f>
        <v>modesg_inp_empr_excl_parisclei</v>
      </c>
      <c r="I988" s="3" t="s">
        <v>612</v>
      </c>
      <c r="J988" s="53">
        <f>VLOOKUP(Table1[[#This Row],[Status]],Auxiliar!$B$16:$C$24,2,0)</f>
        <v>1</v>
      </c>
      <c r="K988" s="20" t="s">
        <v>1182</v>
      </c>
      <c r="L988" s="2" t="s">
        <v>1177</v>
      </c>
      <c r="M988" s="20" t="s">
        <v>1179</v>
      </c>
      <c r="N988" s="47">
        <v>45485</v>
      </c>
      <c r="O988" s="20">
        <f>INDEX(Auxiliar!$D$5:$F$13,MATCH(Table1[[#This Row],[Tipologia_Testes]],Auxiliar!$B$5:$B$13,0),MATCH(Table1[[#This Row],[Complexidade]],Auxiliar!$D$4:$F$4,0))</f>
        <v>0.5</v>
      </c>
      <c r="P988" s="2"/>
      <c r="Q988" s="2"/>
      <c r="R988" s="151">
        <v>45261</v>
      </c>
      <c r="S988" s="151"/>
      <c r="T988" s="151"/>
      <c r="U988" s="151">
        <v>45603</v>
      </c>
      <c r="V988" s="151"/>
      <c r="W988" s="2">
        <f>VLOOKUP(Table1[[#This Row],[Status]],Auxiliar!$B$16:$D$24,3,0)*Table1[[#This Row],[Estimação (horas)]]</f>
        <v>0.5</v>
      </c>
      <c r="X988" s="166">
        <f>+VLOOKUP(CONCATENATE(Table1[[#This Row],[Tabela]],Table1[[#This Row],[Campo]]),'2. Status Detalhe Campos FY24'!A:J,9,FALSE)</f>
        <v>0</v>
      </c>
    </row>
    <row r="989" spans="2:24" ht="17.850000000000001" hidden="1" customHeight="1">
      <c r="B989" s="12" t="s">
        <v>26</v>
      </c>
      <c r="C989" s="12" t="s">
        <v>181</v>
      </c>
      <c r="D989" s="12" t="s">
        <v>1225</v>
      </c>
      <c r="E989" s="2" t="s">
        <v>38</v>
      </c>
      <c r="F989" s="12" t="s">
        <v>214</v>
      </c>
      <c r="G989" s="12" t="s">
        <v>240</v>
      </c>
      <c r="H989" s="57" t="str">
        <f>Table1[[#This Row],[Tabela]]&amp;Table1[[#This Row],[Campo]]</f>
        <v>modesg_inp_empr_excl_parisccli_kgl</v>
      </c>
      <c r="I989" s="3" t="s">
        <v>612</v>
      </c>
      <c r="J989" s="53">
        <f>VLOOKUP(Table1[[#This Row],[Status]],Auxiliar!$B$16:$C$24,2,0)</f>
        <v>1</v>
      </c>
      <c r="K989" s="20" t="s">
        <v>1174</v>
      </c>
      <c r="L989" s="2" t="s">
        <v>1177</v>
      </c>
      <c r="M989" s="20" t="s">
        <v>1179</v>
      </c>
      <c r="N989" s="47">
        <v>45485</v>
      </c>
      <c r="O989" s="20">
        <f>INDEX(Auxiliar!$D$5:$F$13,MATCH(Table1[[#This Row],[Tipologia_Testes]],Auxiliar!$B$5:$B$13,0),MATCH(Table1[[#This Row],[Complexidade]],Auxiliar!$D$4:$F$4,0))</f>
        <v>0.1</v>
      </c>
      <c r="P989" s="2" t="s">
        <v>1240</v>
      </c>
      <c r="Q989" s="2"/>
      <c r="R989" s="151">
        <v>45261</v>
      </c>
      <c r="S989" s="151"/>
      <c r="T989" s="151"/>
      <c r="U989" s="151">
        <v>45603</v>
      </c>
      <c r="V989" s="151"/>
      <c r="W989" s="2">
        <f>VLOOKUP(Table1[[#This Row],[Status]],Auxiliar!$B$16:$D$24,3,0)*Table1[[#This Row],[Estimação (horas)]]</f>
        <v>0.1</v>
      </c>
      <c r="X989" s="166">
        <f>+VLOOKUP(CONCATENATE(Table1[[#This Row],[Tabela]],Table1[[#This Row],[Campo]]),'2. Status Detalhe Campos FY24'!A:J,9,FALSE)</f>
        <v>0</v>
      </c>
    </row>
    <row r="990" spans="2:24" ht="17.850000000000001" hidden="1" customHeight="1">
      <c r="B990" s="12" t="s">
        <v>26</v>
      </c>
      <c r="C990" s="12" t="s">
        <v>181</v>
      </c>
      <c r="D990" s="12" t="s">
        <v>1225</v>
      </c>
      <c r="E990" s="2" t="s">
        <v>38</v>
      </c>
      <c r="F990" s="12" t="s">
        <v>214</v>
      </c>
      <c r="G990" s="12" t="s">
        <v>240</v>
      </c>
      <c r="H990" s="57" t="str">
        <f>Table1[[#This Row],[Tabela]]&amp;Table1[[#This Row],[Campo]]</f>
        <v>modesg_inp_empr_excl_parisccli_kgl</v>
      </c>
      <c r="I990" s="3" t="s">
        <v>612</v>
      </c>
      <c r="J990" s="53">
        <f>VLOOKUP(Table1[[#This Row],[Status]],Auxiliar!$B$16:$C$24,2,0)</f>
        <v>1</v>
      </c>
      <c r="K990" s="20" t="s">
        <v>1182</v>
      </c>
      <c r="L990" s="2" t="s">
        <v>1177</v>
      </c>
      <c r="M990" s="20" t="s">
        <v>1179</v>
      </c>
      <c r="N990" s="47">
        <v>45485</v>
      </c>
      <c r="O990" s="20">
        <f>INDEX(Auxiliar!$D$5:$F$13,MATCH(Table1[[#This Row],[Tipologia_Testes]],Auxiliar!$B$5:$B$13,0),MATCH(Table1[[#This Row],[Complexidade]],Auxiliar!$D$4:$F$4,0))</f>
        <v>0.5</v>
      </c>
      <c r="P990" s="2"/>
      <c r="Q990" s="2"/>
      <c r="R990" s="151">
        <v>45261</v>
      </c>
      <c r="S990" s="151"/>
      <c r="T990" s="151"/>
      <c r="U990" s="151">
        <v>45603</v>
      </c>
      <c r="V990" s="151"/>
      <c r="W990" s="2">
        <f>VLOOKUP(Table1[[#This Row],[Status]],Auxiliar!$B$16:$D$24,3,0)*Table1[[#This Row],[Estimação (horas)]]</f>
        <v>0.5</v>
      </c>
      <c r="X990" s="166">
        <f>+VLOOKUP(CONCATENATE(Table1[[#This Row],[Tabela]],Table1[[#This Row],[Campo]]),'2. Status Detalhe Campos FY24'!A:J,9,FALSE)</f>
        <v>0</v>
      </c>
    </row>
    <row r="991" spans="2:24" ht="17.850000000000001" hidden="1" customHeight="1">
      <c r="B991" s="12" t="s">
        <v>26</v>
      </c>
      <c r="C991" s="12" t="s">
        <v>181</v>
      </c>
      <c r="D991" s="12" t="s">
        <v>1225</v>
      </c>
      <c r="E991" s="2" t="s">
        <v>38</v>
      </c>
      <c r="F991" s="12" t="s">
        <v>214</v>
      </c>
      <c r="G991" s="12" t="s">
        <v>241</v>
      </c>
      <c r="H991" s="57" t="str">
        <f>Table1[[#This Row],[Tabela]]&amp;Table1[[#This Row],[Campo]]</f>
        <v>modesg_inp_empr_excl_parisnome_entidade</v>
      </c>
      <c r="I991" s="3" t="s">
        <v>612</v>
      </c>
      <c r="J991" s="53">
        <f>VLOOKUP(Table1[[#This Row],[Status]],Auxiliar!$B$16:$C$24,2,0)</f>
        <v>1</v>
      </c>
      <c r="K991" s="20" t="s">
        <v>1182</v>
      </c>
      <c r="L991" s="2" t="s">
        <v>1177</v>
      </c>
      <c r="M991" s="20" t="s">
        <v>1179</v>
      </c>
      <c r="N991" s="47">
        <v>45485</v>
      </c>
      <c r="O991" s="20">
        <f>INDEX(Auxiliar!$D$5:$F$13,MATCH(Table1[[#This Row],[Tipologia_Testes]],Auxiliar!$B$5:$B$13,0),MATCH(Table1[[#This Row],[Complexidade]],Auxiliar!$D$4:$F$4,0))</f>
        <v>0.5</v>
      </c>
      <c r="P991" s="2"/>
      <c r="Q991" s="2"/>
      <c r="R991" s="151">
        <v>45261</v>
      </c>
      <c r="S991" s="151"/>
      <c r="T991" s="151"/>
      <c r="U991" s="151">
        <v>45603</v>
      </c>
      <c r="V991" s="151"/>
      <c r="W991" s="2">
        <f>VLOOKUP(Table1[[#This Row],[Status]],Auxiliar!$B$16:$D$24,3,0)*Table1[[#This Row],[Estimação (horas)]]</f>
        <v>0.5</v>
      </c>
      <c r="X991" s="166">
        <f>+VLOOKUP(CONCATENATE(Table1[[#This Row],[Tabela]],Table1[[#This Row],[Campo]]),'2. Status Detalhe Campos FY24'!A:J,9,FALSE)</f>
        <v>0</v>
      </c>
    </row>
    <row r="992" spans="2:24" ht="17.850000000000001" hidden="1" customHeight="1">
      <c r="B992" s="12" t="s">
        <v>26</v>
      </c>
      <c r="C992" s="12" t="s">
        <v>181</v>
      </c>
      <c r="D992" s="12" t="s">
        <v>1225</v>
      </c>
      <c r="E992" s="2" t="s">
        <v>38</v>
      </c>
      <c r="F992" s="12" t="s">
        <v>214</v>
      </c>
      <c r="G992" s="12" t="s">
        <v>242</v>
      </c>
      <c r="H992" s="57" t="str">
        <f>Table1[[#This Row],[Tabela]]&amp;Table1[[#This Row],[Campo]]</f>
        <v>modesg_inp_empr_excl_parisflg_scib</v>
      </c>
      <c r="I992" s="3" t="s">
        <v>612</v>
      </c>
      <c r="J992" s="53">
        <f>VLOOKUP(Table1[[#This Row],[Status]],Auxiliar!$B$16:$C$24,2,0)</f>
        <v>1</v>
      </c>
      <c r="K992" s="20" t="s">
        <v>1182</v>
      </c>
      <c r="L992" s="2" t="s">
        <v>1177</v>
      </c>
      <c r="M992" s="20" t="s">
        <v>1179</v>
      </c>
      <c r="N992" s="47">
        <v>45485</v>
      </c>
      <c r="O992" s="20">
        <f>INDEX(Auxiliar!$D$5:$F$13,MATCH(Table1[[#This Row],[Tipologia_Testes]],Auxiliar!$B$5:$B$13,0),MATCH(Table1[[#This Row],[Complexidade]],Auxiliar!$D$4:$F$4,0))</f>
        <v>0.5</v>
      </c>
      <c r="P992" s="2"/>
      <c r="Q992" s="2"/>
      <c r="R992" s="151">
        <v>45261</v>
      </c>
      <c r="S992" s="151"/>
      <c r="T992" s="151"/>
      <c r="U992" s="151">
        <v>45603</v>
      </c>
      <c r="V992" s="151"/>
      <c r="W992" s="2">
        <f>VLOOKUP(Table1[[#This Row],[Status]],Auxiliar!$B$16:$D$24,3,0)*Table1[[#This Row],[Estimação (horas)]]</f>
        <v>0.5</v>
      </c>
      <c r="X992" s="166">
        <f>+VLOOKUP(CONCATENATE(Table1[[#This Row],[Tabela]],Table1[[#This Row],[Campo]]),'2. Status Detalhe Campos FY24'!A:J,9,FALSE)</f>
        <v>0</v>
      </c>
    </row>
    <row r="993" spans="2:24" ht="17.850000000000001" hidden="1" customHeight="1">
      <c r="B993" s="12" t="s">
        <v>26</v>
      </c>
      <c r="C993" s="12" t="s">
        <v>181</v>
      </c>
      <c r="D993" s="12" t="s">
        <v>1225</v>
      </c>
      <c r="E993" s="2" t="s">
        <v>38</v>
      </c>
      <c r="F993" s="12" t="s">
        <v>214</v>
      </c>
      <c r="G993" s="12" t="s">
        <v>221</v>
      </c>
      <c r="H993" s="57" t="str">
        <f>Table1[[#This Row],[Tabela]]&amp;Table1[[#This Row],[Campo]]</f>
        <v>modesg_inp_empr_excl_parisnome_pais</v>
      </c>
      <c r="I993" s="3" t="s">
        <v>612</v>
      </c>
      <c r="J993" s="53">
        <f>VLOOKUP(Table1[[#This Row],[Status]],Auxiliar!$B$16:$C$24,2,0)</f>
        <v>1</v>
      </c>
      <c r="K993" s="20" t="s">
        <v>1182</v>
      </c>
      <c r="L993" s="27"/>
      <c r="M993" s="20" t="s">
        <v>1179</v>
      </c>
      <c r="N993" s="47">
        <v>45485</v>
      </c>
      <c r="O993" s="20">
        <f>INDEX(Auxiliar!$D$5:$F$13,MATCH(Table1[[#This Row],[Tipologia_Testes]],Auxiliar!$B$5:$B$13,0),MATCH(Table1[[#This Row],[Complexidade]],Auxiliar!$D$4:$F$4,0))</f>
        <v>0.5</v>
      </c>
      <c r="P993" s="2"/>
      <c r="Q993" s="2"/>
      <c r="R993" s="151">
        <v>45261</v>
      </c>
      <c r="S993" s="151"/>
      <c r="T993" s="151"/>
      <c r="U993" s="151">
        <v>45603</v>
      </c>
      <c r="V993" s="151"/>
      <c r="W993" s="2">
        <f>VLOOKUP(Table1[[#This Row],[Status]],Auxiliar!$B$16:$D$24,3,0)*Table1[[#This Row],[Estimação (horas)]]</f>
        <v>0.5</v>
      </c>
      <c r="X993" s="166">
        <f>+VLOOKUP(CONCATENATE(Table1[[#This Row],[Tabela]],Table1[[#This Row],[Campo]]),'2. Status Detalhe Campos FY24'!A:J,9,FALSE)</f>
        <v>0</v>
      </c>
    </row>
    <row r="994" spans="2:24" ht="17.850000000000001" hidden="1" customHeight="1">
      <c r="B994" s="12" t="s">
        <v>26</v>
      </c>
      <c r="C994" s="12" t="s">
        <v>181</v>
      </c>
      <c r="D994" s="12" t="s">
        <v>1228</v>
      </c>
      <c r="E994" s="2" t="s">
        <v>38</v>
      </c>
      <c r="F994" s="12" t="s">
        <v>215</v>
      </c>
      <c r="G994" s="12" t="s">
        <v>208</v>
      </c>
      <c r="H994" s="57" t="str">
        <f>Table1[[#This Row],[Tabela]]&amp;Table1[[#This Row],[Campo]]</f>
        <v>modesg_inp_nfrd_alinhamento_taxref_date</v>
      </c>
      <c r="I994" s="2" t="s">
        <v>612</v>
      </c>
      <c r="J994" s="45">
        <f>VLOOKUP(Table1[[#This Row],[Status]],Auxiliar!$B$16:$C$24,2,0)</f>
        <v>1</v>
      </c>
      <c r="K994" s="20" t="s">
        <v>1182</v>
      </c>
      <c r="L994" s="27"/>
      <c r="M994" s="20" t="s">
        <v>1179</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166">
        <f>+VLOOKUP(CONCATENATE(Table1[[#This Row],[Tabela]],Table1[[#This Row],[Campo]]),'2. Status Detalhe Campos FY24'!A:J,9,FALSE)</f>
        <v>0</v>
      </c>
    </row>
    <row r="995" spans="2:24" ht="17.850000000000001" hidden="1" customHeight="1">
      <c r="B995" s="12" t="s">
        <v>26</v>
      </c>
      <c r="C995" s="12" t="s">
        <v>181</v>
      </c>
      <c r="D995" s="12" t="s">
        <v>1228</v>
      </c>
      <c r="E995" s="2" t="s">
        <v>38</v>
      </c>
      <c r="F995" s="12" t="s">
        <v>215</v>
      </c>
      <c r="G995" s="12" t="s">
        <v>240</v>
      </c>
      <c r="H995" s="57" t="str">
        <f>Table1[[#This Row],[Tabela]]&amp;Table1[[#This Row],[Campo]]</f>
        <v>modesg_inp_nfrd_alinhamento_taxccli_kgl</v>
      </c>
      <c r="I995" s="2" t="s">
        <v>612</v>
      </c>
      <c r="J995" s="45">
        <f>VLOOKUP(Table1[[#This Row],[Status]],Auxiliar!$B$16:$C$24,2,0)</f>
        <v>1</v>
      </c>
      <c r="K995" s="20" t="s">
        <v>1174</v>
      </c>
      <c r="L995" s="27"/>
      <c r="M995" s="20" t="s">
        <v>1179</v>
      </c>
      <c r="N995" s="47">
        <v>45540</v>
      </c>
      <c r="O995" s="20">
        <f>INDEX(Auxiliar!$D$5:$F$13,MATCH(Table1[[#This Row],[Tipologia_Testes]],Auxiliar!$B$5:$B$13,0),MATCH(Table1[[#This Row],[Complexidade]],Auxiliar!$D$4:$F$4,0))</f>
        <v>0.1</v>
      </c>
      <c r="P995" s="2" t="s">
        <v>1241</v>
      </c>
      <c r="Q995" s="2"/>
      <c r="R995" s="151">
        <v>45261</v>
      </c>
      <c r="S995" s="151"/>
      <c r="T995" s="151"/>
      <c r="U995" s="151">
        <v>45603</v>
      </c>
      <c r="V995" s="151">
        <v>45534</v>
      </c>
      <c r="W995" s="2">
        <f>VLOOKUP(Table1[[#This Row],[Status]],Auxiliar!$B$16:$D$24,3,0)*Table1[[#This Row],[Estimação (horas)]]</f>
        <v>0.1</v>
      </c>
      <c r="X995" s="166">
        <f>+VLOOKUP(CONCATENATE(Table1[[#This Row],[Tabela]],Table1[[#This Row],[Campo]]),'2. Status Detalhe Campos FY24'!A:J,9,FALSE)</f>
        <v>0</v>
      </c>
    </row>
    <row r="996" spans="2:24" ht="17.850000000000001" hidden="1" customHeight="1">
      <c r="B996" s="12" t="s">
        <v>26</v>
      </c>
      <c r="C996" s="12" t="s">
        <v>181</v>
      </c>
      <c r="D996" s="12" t="s">
        <v>1228</v>
      </c>
      <c r="E996" s="2" t="s">
        <v>38</v>
      </c>
      <c r="F996" s="12" t="s">
        <v>215</v>
      </c>
      <c r="G996" s="12" t="s">
        <v>240</v>
      </c>
      <c r="H996" s="57" t="str">
        <f>Table1[[#This Row],[Tabela]]&amp;Table1[[#This Row],[Campo]]</f>
        <v>modesg_inp_nfrd_alinhamento_taxccli_kgl</v>
      </c>
      <c r="I996" s="2" t="s">
        <v>612</v>
      </c>
      <c r="J996" s="45">
        <f>VLOOKUP(Table1[[#This Row],[Status]],Auxiliar!$B$16:$C$24,2,0)</f>
        <v>1</v>
      </c>
      <c r="K996" s="20" t="s">
        <v>1182</v>
      </c>
      <c r="L996" s="27"/>
      <c r="M996" s="20" t="s">
        <v>1179</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166">
        <f>+VLOOKUP(CONCATENATE(Table1[[#This Row],[Tabela]],Table1[[#This Row],[Campo]]),'2. Status Detalhe Campos FY24'!A:J,9,FALSE)</f>
        <v>0</v>
      </c>
    </row>
    <row r="997" spans="2:24" ht="17.850000000000001" hidden="1" customHeight="1">
      <c r="B997" s="12" t="s">
        <v>26</v>
      </c>
      <c r="C997" s="12" t="s">
        <v>181</v>
      </c>
      <c r="D997" s="12" t="s">
        <v>1228</v>
      </c>
      <c r="E997" s="2" t="s">
        <v>38</v>
      </c>
      <c r="F997" s="12" t="s">
        <v>215</v>
      </c>
      <c r="G997" s="12" t="s">
        <v>239</v>
      </c>
      <c r="H997" s="57" t="str">
        <f>Table1[[#This Row],[Tabela]]&amp;Table1[[#This Row],[Campo]]</f>
        <v>modesg_inp_nfrd_alinhamento_taxclei</v>
      </c>
      <c r="I997" s="2" t="s">
        <v>612</v>
      </c>
      <c r="J997" s="45">
        <f>VLOOKUP(Table1[[#This Row],[Status]],Auxiliar!$B$16:$C$24,2,0)</f>
        <v>1</v>
      </c>
      <c r="K997" s="20" t="s">
        <v>1174</v>
      </c>
      <c r="L997" s="27"/>
      <c r="M997" s="20" t="s">
        <v>1179</v>
      </c>
      <c r="N997" s="47">
        <v>45540</v>
      </c>
      <c r="O997" s="20">
        <f>INDEX(Auxiliar!$D$5:$F$13,MATCH(Table1[[#This Row],[Tipologia_Testes]],Auxiliar!$B$5:$B$13,0),MATCH(Table1[[#This Row],[Complexidade]],Auxiliar!$D$4:$F$4,0))</f>
        <v>0.1</v>
      </c>
      <c r="P997" s="2" t="s">
        <v>1241</v>
      </c>
      <c r="Q997" s="2"/>
      <c r="R997" s="151">
        <v>45261</v>
      </c>
      <c r="S997" s="151"/>
      <c r="T997" s="151"/>
      <c r="U997" s="151">
        <v>45603</v>
      </c>
      <c r="V997" s="151">
        <v>45534</v>
      </c>
      <c r="W997" s="2">
        <f>VLOOKUP(Table1[[#This Row],[Status]],Auxiliar!$B$16:$D$24,3,0)*Table1[[#This Row],[Estimação (horas)]]</f>
        <v>0.1</v>
      </c>
      <c r="X997" s="166">
        <f>+VLOOKUP(CONCATENATE(Table1[[#This Row],[Tabela]],Table1[[#This Row],[Campo]]),'2. Status Detalhe Campos FY24'!A:J,9,FALSE)</f>
        <v>0</v>
      </c>
    </row>
    <row r="998" spans="2:24" ht="17.850000000000001" hidden="1" customHeight="1">
      <c r="B998" s="12" t="s">
        <v>26</v>
      </c>
      <c r="C998" s="12" t="s">
        <v>181</v>
      </c>
      <c r="D998" s="12" t="s">
        <v>1228</v>
      </c>
      <c r="E998" s="2" t="s">
        <v>38</v>
      </c>
      <c r="F998" s="12" t="s">
        <v>215</v>
      </c>
      <c r="G998" s="12" t="s">
        <v>239</v>
      </c>
      <c r="H998" s="57" t="str">
        <f>Table1[[#This Row],[Tabela]]&amp;Table1[[#This Row],[Campo]]</f>
        <v>modesg_inp_nfrd_alinhamento_taxclei</v>
      </c>
      <c r="I998" s="2" t="s">
        <v>612</v>
      </c>
      <c r="J998" s="45">
        <f>VLOOKUP(Table1[[#This Row],[Status]],Auxiliar!$B$16:$C$24,2,0)</f>
        <v>1</v>
      </c>
      <c r="K998" s="20" t="s">
        <v>1182</v>
      </c>
      <c r="L998" s="27"/>
      <c r="M998" s="20" t="s">
        <v>1179</v>
      </c>
      <c r="N998" s="47">
        <v>45540</v>
      </c>
      <c r="O998" s="20">
        <f>INDEX(Auxiliar!$D$5:$F$13,MATCH(Table1[[#This Row],[Tipologia_Testes]],Auxiliar!$B$5:$B$13,0),MATCH(Table1[[#This Row],[Complexidade]],Auxiliar!$D$4:$F$4,0))</f>
        <v>0.5</v>
      </c>
      <c r="P998" s="2"/>
      <c r="Q998" s="2"/>
      <c r="R998" s="151">
        <v>45261</v>
      </c>
      <c r="S998" s="151"/>
      <c r="T998" s="151"/>
      <c r="U998" s="151">
        <v>45603</v>
      </c>
      <c r="V998" s="151">
        <v>45534</v>
      </c>
      <c r="W998" s="2">
        <f>VLOOKUP(Table1[[#This Row],[Status]],Auxiliar!$B$16:$D$24,3,0)*Table1[[#This Row],[Estimação (horas)]]</f>
        <v>0.5</v>
      </c>
      <c r="X998" s="166">
        <f>+VLOOKUP(CONCATENATE(Table1[[#This Row],[Tabela]],Table1[[#This Row],[Campo]]),'2. Status Detalhe Campos FY24'!A:J,9,FALSE)</f>
        <v>0</v>
      </c>
    </row>
    <row r="999" spans="2:24" ht="17.850000000000001" hidden="1" customHeight="1">
      <c r="B999" s="12" t="s">
        <v>26</v>
      </c>
      <c r="C999" s="12" t="s">
        <v>181</v>
      </c>
      <c r="D999" s="12" t="s">
        <v>1228</v>
      </c>
      <c r="E999" s="2" t="s">
        <v>38</v>
      </c>
      <c r="F999" s="12" t="s">
        <v>215</v>
      </c>
      <c r="G999" s="12" t="s">
        <v>243</v>
      </c>
      <c r="H999" s="57" t="str">
        <f>Table1[[#This Row],[Tabela]]&amp;Table1[[#This Row],[Campo]]</f>
        <v>modesg_inp_nfrd_alinhamento_taxperm_id</v>
      </c>
      <c r="I999" s="2" t="s">
        <v>612</v>
      </c>
      <c r="J999" s="45">
        <f>VLOOKUP(Table1[[#This Row],[Status]],Auxiliar!$B$16:$C$24,2,0)</f>
        <v>1</v>
      </c>
      <c r="K999" s="20" t="s">
        <v>1182</v>
      </c>
      <c r="L999" s="27"/>
      <c r="M999" s="20" t="s">
        <v>1179</v>
      </c>
      <c r="N999" s="47">
        <v>45540</v>
      </c>
      <c r="O999" s="20">
        <f>INDEX(Auxiliar!$D$5:$F$13,MATCH(Table1[[#This Row],[Tipologia_Testes]],Auxiliar!$B$5:$B$13,0),MATCH(Table1[[#This Row],[Complexidade]],Auxiliar!$D$4:$F$4,0))</f>
        <v>0.5</v>
      </c>
      <c r="P999" s="2"/>
      <c r="Q999" s="2"/>
      <c r="R999" s="151">
        <v>45261</v>
      </c>
      <c r="S999" s="151"/>
      <c r="T999" s="151"/>
      <c r="U999" s="151">
        <v>45603</v>
      </c>
      <c r="V999" s="151">
        <v>45534</v>
      </c>
      <c r="W999" s="2">
        <f>VLOOKUP(Table1[[#This Row],[Status]],Auxiliar!$B$16:$D$24,3,0)*Table1[[#This Row],[Estimação (horas)]]</f>
        <v>0.5</v>
      </c>
      <c r="X999" s="166">
        <f>+VLOOKUP(CONCATENATE(Table1[[#This Row],[Tabela]],Table1[[#This Row],[Campo]]),'2. Status Detalhe Campos FY24'!A:J,9,FALSE)</f>
        <v>0</v>
      </c>
    </row>
    <row r="1000" spans="2:24" ht="17.850000000000001" hidden="1" customHeight="1">
      <c r="B1000" s="12" t="s">
        <v>26</v>
      </c>
      <c r="C1000" s="12" t="s">
        <v>181</v>
      </c>
      <c r="D1000" s="12" t="s">
        <v>1228</v>
      </c>
      <c r="E1000" s="2" t="s">
        <v>38</v>
      </c>
      <c r="F1000" s="12" t="s">
        <v>215</v>
      </c>
      <c r="G1000" s="12" t="s">
        <v>241</v>
      </c>
      <c r="H1000" s="57" t="str">
        <f>Table1[[#This Row],[Tabela]]&amp;Table1[[#This Row],[Campo]]</f>
        <v>modesg_inp_nfrd_alinhamento_taxnome_entidade</v>
      </c>
      <c r="I1000" s="2" t="s">
        <v>612</v>
      </c>
      <c r="J1000" s="45">
        <f>VLOOKUP(Table1[[#This Row],[Status]],Auxiliar!$B$16:$C$24,2,0)</f>
        <v>1</v>
      </c>
      <c r="K1000" s="20" t="s">
        <v>1182</v>
      </c>
      <c r="L1000" s="27"/>
      <c r="M1000" s="20" t="s">
        <v>1179</v>
      </c>
      <c r="N1000" s="47">
        <v>45540</v>
      </c>
      <c r="O1000" s="20">
        <f>INDEX(Auxiliar!$D$5:$F$13,MATCH(Table1[[#This Row],[Tipologia_Testes]],Auxiliar!$B$5:$B$13,0),MATCH(Table1[[#This Row],[Complexidade]],Auxiliar!$D$4:$F$4,0))</f>
        <v>0.5</v>
      </c>
      <c r="P1000" s="2"/>
      <c r="Q1000" s="2"/>
      <c r="R1000" s="151">
        <v>45261</v>
      </c>
      <c r="S1000" s="151"/>
      <c r="T1000" s="151"/>
      <c r="U1000" s="151">
        <v>45603</v>
      </c>
      <c r="V1000" s="151">
        <v>45534</v>
      </c>
      <c r="W1000" s="2">
        <f>VLOOKUP(Table1[[#This Row],[Status]],Auxiliar!$B$16:$D$24,3,0)*Table1[[#This Row],[Estimação (horas)]]</f>
        <v>0.5</v>
      </c>
      <c r="X1000" s="166">
        <f>+VLOOKUP(CONCATENATE(Table1[[#This Row],[Tabela]],Table1[[#This Row],[Campo]]),'2. Status Detalhe Campos FY24'!A:J,9,FALSE)</f>
        <v>0</v>
      </c>
    </row>
    <row r="1001" spans="2:24" ht="17.850000000000001" hidden="1" customHeight="1">
      <c r="B1001" s="12" t="s">
        <v>26</v>
      </c>
      <c r="C1001" s="12" t="s">
        <v>181</v>
      </c>
      <c r="D1001" s="12" t="s">
        <v>1228</v>
      </c>
      <c r="E1001" s="2" t="s">
        <v>38</v>
      </c>
      <c r="F1001" s="12" t="s">
        <v>215</v>
      </c>
      <c r="G1001" s="12" t="s">
        <v>221</v>
      </c>
      <c r="H1001" s="57" t="str">
        <f>Table1[[#This Row],[Tabela]]&amp;Table1[[#This Row],[Campo]]</f>
        <v>modesg_inp_nfrd_alinhamento_taxnome_pais</v>
      </c>
      <c r="I1001" s="2" t="s">
        <v>612</v>
      </c>
      <c r="J1001" s="45">
        <f>VLOOKUP(Table1[[#This Row],[Status]],Auxiliar!$B$16:$C$24,2,0)</f>
        <v>1</v>
      </c>
      <c r="K1001" s="20" t="s">
        <v>1182</v>
      </c>
      <c r="L1001" s="27"/>
      <c r="M1001" s="20" t="s">
        <v>1179</v>
      </c>
      <c r="N1001" s="47">
        <v>45540</v>
      </c>
      <c r="O1001" s="20">
        <f>INDEX(Auxiliar!$D$5:$F$13,MATCH(Table1[[#This Row],[Tipologia_Testes]],Auxiliar!$B$5:$B$13,0),MATCH(Table1[[#This Row],[Complexidade]],Auxiliar!$D$4:$F$4,0))</f>
        <v>0.5</v>
      </c>
      <c r="P1001" s="2"/>
      <c r="Q1001" s="2"/>
      <c r="R1001" s="151">
        <v>45261</v>
      </c>
      <c r="S1001" s="151"/>
      <c r="T1001" s="151"/>
      <c r="U1001" s="151">
        <v>45603</v>
      </c>
      <c r="V1001" s="151">
        <v>45534</v>
      </c>
      <c r="W1001" s="2">
        <f>VLOOKUP(Table1[[#This Row],[Status]],Auxiliar!$B$16:$D$24,3,0)*Table1[[#This Row],[Estimação (horas)]]</f>
        <v>0.5</v>
      </c>
      <c r="X1001" s="166">
        <f>+VLOOKUP(CONCATENATE(Table1[[#This Row],[Tabela]],Table1[[#This Row],[Campo]]),'2. Status Detalhe Campos FY24'!A:J,9,FALSE)</f>
        <v>0</v>
      </c>
    </row>
    <row r="1002" spans="2:24" ht="17.850000000000001" hidden="1" customHeight="1">
      <c r="B1002" s="12" t="s">
        <v>26</v>
      </c>
      <c r="C1002" s="12" t="s">
        <v>181</v>
      </c>
      <c r="D1002" s="12" t="s">
        <v>1228</v>
      </c>
      <c r="E1002" s="2" t="s">
        <v>38</v>
      </c>
      <c r="F1002" s="12" t="s">
        <v>215</v>
      </c>
      <c r="G1002" s="12" t="s">
        <v>244</v>
      </c>
      <c r="H1002" s="57" t="str">
        <f>Table1[[#This Row],[Tabela]]&amp;Table1[[#This Row],[Campo]]</f>
        <v>modesg_inp_nfrd_alinhamento_taxflg_nfrd</v>
      </c>
      <c r="I1002" s="2" t="s">
        <v>612</v>
      </c>
      <c r="J1002" s="45">
        <f>VLOOKUP(Table1[[#This Row],[Status]],Auxiliar!$B$16:$C$24,2,0)</f>
        <v>1</v>
      </c>
      <c r="K1002" s="20" t="s">
        <v>1182</v>
      </c>
      <c r="L1002" s="27"/>
      <c r="M1002" s="20" t="s">
        <v>1179</v>
      </c>
      <c r="N1002" s="47">
        <v>45540</v>
      </c>
      <c r="O1002" s="20">
        <f>INDEX(Auxiliar!$D$5:$F$13,MATCH(Table1[[#This Row],[Tipologia_Testes]],Auxiliar!$B$5:$B$13,0),MATCH(Table1[[#This Row],[Complexidade]],Auxiliar!$D$4:$F$4,0))</f>
        <v>0.5</v>
      </c>
      <c r="P1002" s="2"/>
      <c r="Q1002" s="2"/>
      <c r="R1002" s="151">
        <v>45261</v>
      </c>
      <c r="S1002" s="151"/>
      <c r="T1002" s="151"/>
      <c r="U1002" s="151">
        <v>45603</v>
      </c>
      <c r="V1002" s="151">
        <v>45534</v>
      </c>
      <c r="W1002" s="2">
        <f>VLOOKUP(Table1[[#This Row],[Status]],Auxiliar!$B$16:$D$24,3,0)*Table1[[#This Row],[Estimação (horas)]]</f>
        <v>0.5</v>
      </c>
      <c r="X1002" s="166">
        <f>+VLOOKUP(CONCATENATE(Table1[[#This Row],[Tabela]],Table1[[#This Row],[Campo]]),'2. Status Detalhe Campos FY24'!A:J,9,FALSE)</f>
        <v>0</v>
      </c>
    </row>
    <row r="1003" spans="2:24" ht="17.850000000000001" hidden="1" customHeight="1">
      <c r="B1003" s="12" t="s">
        <v>26</v>
      </c>
      <c r="C1003" s="12" t="s">
        <v>181</v>
      </c>
      <c r="D1003" s="12" t="s">
        <v>1228</v>
      </c>
      <c r="E1003" s="2" t="s">
        <v>38</v>
      </c>
      <c r="F1003" s="12" t="s">
        <v>215</v>
      </c>
      <c r="G1003" s="12" t="s">
        <v>245</v>
      </c>
      <c r="H1003" s="57" t="str">
        <f>Table1[[#This Row],[Tabela]]&amp;Table1[[#This Row],[Campo]]</f>
        <v>modesg_inp_nfrd_alinhamento_taxcca_trnvr_ttl_elgbl</v>
      </c>
      <c r="I1003" s="2" t="s">
        <v>612</v>
      </c>
      <c r="J1003" s="45">
        <f>VLOOKUP(Table1[[#This Row],[Status]],Auxiliar!$B$16:$C$24,2,0)</f>
        <v>1</v>
      </c>
      <c r="K1003" s="20" t="s">
        <v>1174</v>
      </c>
      <c r="L1003" s="27"/>
      <c r="M1003" s="20" t="s">
        <v>1179</v>
      </c>
      <c r="N1003" s="47">
        <v>45540</v>
      </c>
      <c r="O1003" s="20">
        <f>INDEX(Auxiliar!$D$5:$F$13,MATCH(Table1[[#This Row],[Tipologia_Testes]],Auxiliar!$B$5:$B$13,0),MATCH(Table1[[#This Row],[Complexidade]],Auxiliar!$D$4:$F$4,0))</f>
        <v>0.1</v>
      </c>
      <c r="P1003" s="2" t="s">
        <v>1242</v>
      </c>
      <c r="Q1003" s="2"/>
      <c r="R1003" s="151">
        <v>45261</v>
      </c>
      <c r="S1003" s="151"/>
      <c r="T1003" s="151"/>
      <c r="U1003" s="151">
        <v>45603</v>
      </c>
      <c r="V1003" s="151">
        <v>45534</v>
      </c>
      <c r="W1003" s="2">
        <f>VLOOKUP(Table1[[#This Row],[Status]],Auxiliar!$B$16:$D$24,3,0)*Table1[[#This Row],[Estimação (horas)]]</f>
        <v>0.1</v>
      </c>
      <c r="X1003" s="166">
        <f>+VLOOKUP(CONCATENATE(Table1[[#This Row],[Tabela]],Table1[[#This Row],[Campo]]),'2. Status Detalhe Campos FY24'!A:J,9,FALSE)</f>
        <v>0</v>
      </c>
    </row>
    <row r="1004" spans="2:24" ht="17.850000000000001" hidden="1" customHeight="1">
      <c r="B1004" s="12" t="s">
        <v>26</v>
      </c>
      <c r="C1004" s="12" t="s">
        <v>181</v>
      </c>
      <c r="D1004" s="12" t="s">
        <v>1228</v>
      </c>
      <c r="E1004" s="2" t="s">
        <v>38</v>
      </c>
      <c r="F1004" s="12" t="s">
        <v>215</v>
      </c>
      <c r="G1004" s="12" t="s">
        <v>245</v>
      </c>
      <c r="H1004" s="57" t="str">
        <f>Table1[[#This Row],[Tabela]]&amp;Table1[[#This Row],[Campo]]</f>
        <v>modesg_inp_nfrd_alinhamento_taxcca_trnvr_ttl_elgbl</v>
      </c>
      <c r="I1004" s="2" t="s">
        <v>612</v>
      </c>
      <c r="J1004" s="45">
        <f>VLOOKUP(Table1[[#This Row],[Status]],Auxiliar!$B$16:$C$24,2,0)</f>
        <v>1</v>
      </c>
      <c r="K1004" s="20" t="s">
        <v>1182</v>
      </c>
      <c r="L1004" s="27"/>
      <c r="M1004" s="20" t="s">
        <v>1179</v>
      </c>
      <c r="N1004" s="47">
        <v>45540</v>
      </c>
      <c r="O1004" s="20">
        <f>INDEX(Auxiliar!$D$5:$F$13,MATCH(Table1[[#This Row],[Tipologia_Testes]],Auxiliar!$B$5:$B$13,0),MATCH(Table1[[#This Row],[Complexidade]],Auxiliar!$D$4:$F$4,0))</f>
        <v>0.5</v>
      </c>
      <c r="P1004" s="2"/>
      <c r="Q1004" s="2"/>
      <c r="R1004" s="151">
        <v>45261</v>
      </c>
      <c r="S1004" s="151"/>
      <c r="T1004" s="151"/>
      <c r="U1004" s="151">
        <v>45603</v>
      </c>
      <c r="V1004" s="151">
        <v>45534</v>
      </c>
      <c r="W1004" s="2">
        <f>VLOOKUP(Table1[[#This Row],[Status]],Auxiliar!$B$16:$D$24,3,0)*Table1[[#This Row],[Estimação (horas)]]</f>
        <v>0.5</v>
      </c>
      <c r="X1004" s="166">
        <f>+VLOOKUP(CONCATENATE(Table1[[#This Row],[Tabela]],Table1[[#This Row],[Campo]]),'2. Status Detalhe Campos FY24'!A:J,9,FALSE)</f>
        <v>0</v>
      </c>
    </row>
    <row r="1005" spans="2:24" ht="17.850000000000001" hidden="1" customHeight="1">
      <c r="B1005" s="12" t="s">
        <v>26</v>
      </c>
      <c r="C1005" s="12" t="s">
        <v>181</v>
      </c>
      <c r="D1005" s="12" t="s">
        <v>1228</v>
      </c>
      <c r="E1005" s="2" t="s">
        <v>38</v>
      </c>
      <c r="F1005" s="12" t="s">
        <v>215</v>
      </c>
      <c r="G1005" s="12" t="s">
        <v>246</v>
      </c>
      <c r="H1005" s="57" t="str">
        <f>Table1[[#This Row],[Tabela]]&amp;Table1[[#This Row],[Campo]]</f>
        <v>modesg_inp_nfrd_alinhamento_taxcca_trnvr_enblng_alignd</v>
      </c>
      <c r="I1005" s="2" t="s">
        <v>612</v>
      </c>
      <c r="J1005" s="45">
        <f>VLOOKUP(Table1[[#This Row],[Status]],Auxiliar!$B$16:$C$24,2,0)</f>
        <v>1</v>
      </c>
      <c r="K1005" s="20" t="s">
        <v>1174</v>
      </c>
      <c r="L1005" s="27"/>
      <c r="M1005" s="20" t="s">
        <v>1179</v>
      </c>
      <c r="N1005" s="47">
        <v>45540</v>
      </c>
      <c r="O1005" s="20">
        <f>INDEX(Auxiliar!$D$5:$F$13,MATCH(Table1[[#This Row],[Tipologia_Testes]],Auxiliar!$B$5:$B$13,0),MATCH(Table1[[#This Row],[Complexidade]],Auxiliar!$D$4:$F$4,0))</f>
        <v>0.1</v>
      </c>
      <c r="P1005" s="2" t="s">
        <v>1242</v>
      </c>
      <c r="Q1005" s="2"/>
      <c r="R1005" s="151">
        <v>45261</v>
      </c>
      <c r="S1005" s="151"/>
      <c r="T1005" s="151"/>
      <c r="U1005" s="151">
        <v>45603</v>
      </c>
      <c r="V1005" s="151">
        <v>45534</v>
      </c>
      <c r="W1005" s="2">
        <f>VLOOKUP(Table1[[#This Row],[Status]],Auxiliar!$B$16:$D$24,3,0)*Table1[[#This Row],[Estimação (horas)]]</f>
        <v>0.1</v>
      </c>
      <c r="X1005" s="166">
        <f>+VLOOKUP(CONCATENATE(Table1[[#This Row],[Tabela]],Table1[[#This Row],[Campo]]),'2. Status Detalhe Campos FY24'!A:J,9,FALSE)</f>
        <v>0</v>
      </c>
    </row>
    <row r="1006" spans="2:24" ht="17.850000000000001" hidden="1" customHeight="1">
      <c r="B1006" s="12" t="s">
        <v>26</v>
      </c>
      <c r="C1006" s="12" t="s">
        <v>181</v>
      </c>
      <c r="D1006" s="12" t="s">
        <v>1228</v>
      </c>
      <c r="E1006" s="2" t="s">
        <v>38</v>
      </c>
      <c r="F1006" s="12" t="s">
        <v>215</v>
      </c>
      <c r="G1006" s="12" t="s">
        <v>246</v>
      </c>
      <c r="H1006" s="57" t="str">
        <f>Table1[[#This Row],[Tabela]]&amp;Table1[[#This Row],[Campo]]</f>
        <v>modesg_inp_nfrd_alinhamento_taxcca_trnvr_enblng_alignd</v>
      </c>
      <c r="I1006" s="2" t="s">
        <v>612</v>
      </c>
      <c r="J1006" s="45">
        <f>VLOOKUP(Table1[[#This Row],[Status]],Auxiliar!$B$16:$C$24,2,0)</f>
        <v>1</v>
      </c>
      <c r="K1006" s="20" t="s">
        <v>1182</v>
      </c>
      <c r="L1006" s="27"/>
      <c r="M1006" s="20" t="s">
        <v>1179</v>
      </c>
      <c r="N1006" s="47">
        <v>45540</v>
      </c>
      <c r="O1006" s="20">
        <f>INDEX(Auxiliar!$D$5:$F$13,MATCH(Table1[[#This Row],[Tipologia_Testes]],Auxiliar!$B$5:$B$13,0),MATCH(Table1[[#This Row],[Complexidade]],Auxiliar!$D$4:$F$4,0))</f>
        <v>0.5</v>
      </c>
      <c r="P1006" s="2"/>
      <c r="Q1006" s="2"/>
      <c r="R1006" s="151">
        <v>45261</v>
      </c>
      <c r="S1006" s="151"/>
      <c r="T1006" s="151"/>
      <c r="U1006" s="151">
        <v>45603</v>
      </c>
      <c r="V1006" s="151">
        <v>45534</v>
      </c>
      <c r="W1006" s="2">
        <f>VLOOKUP(Table1[[#This Row],[Status]],Auxiliar!$B$16:$D$24,3,0)*Table1[[#This Row],[Estimação (horas)]]</f>
        <v>0.5</v>
      </c>
      <c r="X1006" s="166">
        <f>+VLOOKUP(CONCATENATE(Table1[[#This Row],[Tabela]],Table1[[#This Row],[Campo]]),'2. Status Detalhe Campos FY24'!A:J,9,FALSE)</f>
        <v>0</v>
      </c>
    </row>
    <row r="1007" spans="2:24" ht="17.850000000000001" hidden="1" customHeight="1">
      <c r="B1007" s="12" t="s">
        <v>26</v>
      </c>
      <c r="C1007" s="12" t="s">
        <v>181</v>
      </c>
      <c r="D1007" s="12" t="s">
        <v>1228</v>
      </c>
      <c r="E1007" s="2" t="s">
        <v>38</v>
      </c>
      <c r="F1007" s="12" t="s">
        <v>215</v>
      </c>
      <c r="G1007" s="12" t="s">
        <v>247</v>
      </c>
      <c r="H1007" s="57" t="str">
        <f>Table1[[#This Row],[Tabela]]&amp;Table1[[#This Row],[Campo]]</f>
        <v>modesg_inp_nfrd_alinhamento_taxcca_turnover_own_prfrmnce_algnd</v>
      </c>
      <c r="I1007" s="2" t="s">
        <v>612</v>
      </c>
      <c r="J1007" s="45">
        <f>VLOOKUP(Table1[[#This Row],[Status]],Auxiliar!$B$16:$C$24,2,0)</f>
        <v>1</v>
      </c>
      <c r="K1007" s="20" t="s">
        <v>1174</v>
      </c>
      <c r="L1007" s="27"/>
      <c r="M1007" s="20" t="s">
        <v>1179</v>
      </c>
      <c r="N1007" s="47">
        <v>45540</v>
      </c>
      <c r="O1007" s="20">
        <f>INDEX(Auxiliar!$D$5:$F$13,MATCH(Table1[[#This Row],[Tipologia_Testes]],Auxiliar!$B$5:$B$13,0),MATCH(Table1[[#This Row],[Complexidade]],Auxiliar!$D$4:$F$4,0))</f>
        <v>0.1</v>
      </c>
      <c r="P1007" s="2" t="s">
        <v>1242</v>
      </c>
      <c r="Q1007" s="2"/>
      <c r="R1007" s="151">
        <v>45261</v>
      </c>
      <c r="S1007" s="151"/>
      <c r="T1007" s="151"/>
      <c r="U1007" s="151">
        <v>45603</v>
      </c>
      <c r="V1007" s="151">
        <v>45534</v>
      </c>
      <c r="W1007" s="2">
        <f>VLOOKUP(Table1[[#This Row],[Status]],Auxiliar!$B$16:$D$24,3,0)*Table1[[#This Row],[Estimação (horas)]]</f>
        <v>0.1</v>
      </c>
      <c r="X1007" s="166">
        <f>+VLOOKUP(CONCATENATE(Table1[[#This Row],[Tabela]],Table1[[#This Row],[Campo]]),'2. Status Detalhe Campos FY24'!A:J,9,FALSE)</f>
        <v>0</v>
      </c>
    </row>
    <row r="1008" spans="2:24" ht="17.850000000000001" hidden="1" customHeight="1">
      <c r="B1008" s="12" t="s">
        <v>26</v>
      </c>
      <c r="C1008" s="12" t="s">
        <v>181</v>
      </c>
      <c r="D1008" s="12" t="s">
        <v>1228</v>
      </c>
      <c r="E1008" s="2" t="s">
        <v>38</v>
      </c>
      <c r="F1008" s="12" t="s">
        <v>215</v>
      </c>
      <c r="G1008" s="12" t="s">
        <v>247</v>
      </c>
      <c r="H1008" s="57" t="str">
        <f>Table1[[#This Row],[Tabela]]&amp;Table1[[#This Row],[Campo]]</f>
        <v>modesg_inp_nfrd_alinhamento_taxcca_turnover_own_prfrmnce_algnd</v>
      </c>
      <c r="I1008" s="2" t="s">
        <v>612</v>
      </c>
      <c r="J1008" s="45">
        <f>VLOOKUP(Table1[[#This Row],[Status]],Auxiliar!$B$16:$C$24,2,0)</f>
        <v>1</v>
      </c>
      <c r="K1008" s="20" t="s">
        <v>1182</v>
      </c>
      <c r="L1008" s="27"/>
      <c r="M1008" s="20" t="s">
        <v>1179</v>
      </c>
      <c r="N1008" s="47">
        <v>45540</v>
      </c>
      <c r="O1008" s="20">
        <f>INDEX(Auxiliar!$D$5:$F$13,MATCH(Table1[[#This Row],[Tipologia_Testes]],Auxiliar!$B$5:$B$13,0),MATCH(Table1[[#This Row],[Complexidade]],Auxiliar!$D$4:$F$4,0))</f>
        <v>0.5</v>
      </c>
      <c r="P1008" s="2"/>
      <c r="Q1008" s="2"/>
      <c r="R1008" s="151">
        <v>45261</v>
      </c>
      <c r="S1008" s="151"/>
      <c r="T1008" s="151"/>
      <c r="U1008" s="151">
        <v>45603</v>
      </c>
      <c r="V1008" s="151">
        <v>45534</v>
      </c>
      <c r="W1008" s="2">
        <f>VLOOKUP(Table1[[#This Row],[Status]],Auxiliar!$B$16:$D$24,3,0)*Table1[[#This Row],[Estimação (horas)]]</f>
        <v>0.5</v>
      </c>
      <c r="X1008" s="166">
        <f>+VLOOKUP(CONCATENATE(Table1[[#This Row],[Tabela]],Table1[[#This Row],[Campo]]),'2. Status Detalhe Campos FY24'!A:J,9,FALSE)</f>
        <v>0</v>
      </c>
    </row>
    <row r="1009" spans="2:24" ht="17.850000000000001" hidden="1" customHeight="1">
      <c r="B1009" s="12" t="s">
        <v>26</v>
      </c>
      <c r="C1009" s="12" t="s">
        <v>181</v>
      </c>
      <c r="D1009" s="12" t="s">
        <v>1228</v>
      </c>
      <c r="E1009" s="2" t="s">
        <v>38</v>
      </c>
      <c r="F1009" s="12" t="s">
        <v>215</v>
      </c>
      <c r="G1009" s="12" t="s">
        <v>248</v>
      </c>
      <c r="H1009" s="57" t="str">
        <f>Table1[[#This Row],[Tabela]]&amp;Table1[[#This Row],[Campo]]</f>
        <v>modesg_inp_nfrd_alinhamento_taxcca_capex_ttl_elgbl</v>
      </c>
      <c r="I1009" s="2" t="s">
        <v>612</v>
      </c>
      <c r="J1009" s="45">
        <f>VLOOKUP(Table1[[#This Row],[Status]],Auxiliar!$B$16:$C$24,2,0)</f>
        <v>1</v>
      </c>
      <c r="K1009" s="20" t="s">
        <v>1174</v>
      </c>
      <c r="L1009" s="27"/>
      <c r="M1009" s="20" t="s">
        <v>1179</v>
      </c>
      <c r="N1009" s="47">
        <v>45540</v>
      </c>
      <c r="O1009" s="20">
        <f>INDEX(Auxiliar!$D$5:$F$13,MATCH(Table1[[#This Row],[Tipologia_Testes]],Auxiliar!$B$5:$B$13,0),MATCH(Table1[[#This Row],[Complexidade]],Auxiliar!$D$4:$F$4,0))</f>
        <v>0.1</v>
      </c>
      <c r="P1009" s="2" t="s">
        <v>1242</v>
      </c>
      <c r="Q1009" s="2"/>
      <c r="R1009" s="151">
        <v>45261</v>
      </c>
      <c r="S1009" s="151"/>
      <c r="T1009" s="151"/>
      <c r="U1009" s="151">
        <v>45603</v>
      </c>
      <c r="V1009" s="151">
        <v>45534</v>
      </c>
      <c r="W1009" s="2">
        <f>VLOOKUP(Table1[[#This Row],[Status]],Auxiliar!$B$16:$D$24,3,0)*Table1[[#This Row],[Estimação (horas)]]</f>
        <v>0.1</v>
      </c>
      <c r="X1009" s="166">
        <f>+VLOOKUP(CONCATENATE(Table1[[#This Row],[Tabela]],Table1[[#This Row],[Campo]]),'2. Status Detalhe Campos FY24'!A:J,9,FALSE)</f>
        <v>0</v>
      </c>
    </row>
    <row r="1010" spans="2:24" ht="17.850000000000001" hidden="1" customHeight="1">
      <c r="B1010" s="12" t="s">
        <v>26</v>
      </c>
      <c r="C1010" s="12" t="s">
        <v>181</v>
      </c>
      <c r="D1010" s="12" t="s">
        <v>1228</v>
      </c>
      <c r="E1010" s="2" t="s">
        <v>38</v>
      </c>
      <c r="F1010" s="12" t="s">
        <v>215</v>
      </c>
      <c r="G1010" s="12" t="s">
        <v>248</v>
      </c>
      <c r="H1010" s="57" t="str">
        <f>Table1[[#This Row],[Tabela]]&amp;Table1[[#This Row],[Campo]]</f>
        <v>modesg_inp_nfrd_alinhamento_taxcca_capex_ttl_elgbl</v>
      </c>
      <c r="I1010" s="2" t="s">
        <v>612</v>
      </c>
      <c r="J1010" s="45">
        <f>VLOOKUP(Table1[[#This Row],[Status]],Auxiliar!$B$16:$C$24,2,0)</f>
        <v>1</v>
      </c>
      <c r="K1010" s="20" t="s">
        <v>1182</v>
      </c>
      <c r="L1010" s="27"/>
      <c r="M1010" s="20" t="s">
        <v>1179</v>
      </c>
      <c r="N1010" s="47">
        <v>45540</v>
      </c>
      <c r="O1010" s="20">
        <f>INDEX(Auxiliar!$D$5:$F$13,MATCH(Table1[[#This Row],[Tipologia_Testes]],Auxiliar!$B$5:$B$13,0),MATCH(Table1[[#This Row],[Complexidade]],Auxiliar!$D$4:$F$4,0))</f>
        <v>0.5</v>
      </c>
      <c r="P1010" s="2"/>
      <c r="Q1010" s="2"/>
      <c r="R1010" s="151">
        <v>45261</v>
      </c>
      <c r="S1010" s="151"/>
      <c r="T1010" s="151"/>
      <c r="U1010" s="151">
        <v>45603</v>
      </c>
      <c r="V1010" s="151">
        <v>45534</v>
      </c>
      <c r="W1010" s="2">
        <f>VLOOKUP(Table1[[#This Row],[Status]],Auxiliar!$B$16:$D$24,3,0)*Table1[[#This Row],[Estimação (horas)]]</f>
        <v>0.5</v>
      </c>
      <c r="X1010" s="166">
        <f>+VLOOKUP(CONCATENATE(Table1[[#This Row],[Tabela]],Table1[[#This Row],[Campo]]),'2. Status Detalhe Campos FY24'!A:J,9,FALSE)</f>
        <v>0</v>
      </c>
    </row>
    <row r="1011" spans="2:24" ht="17.850000000000001" hidden="1" customHeight="1">
      <c r="B1011" s="12" t="s">
        <v>26</v>
      </c>
      <c r="C1011" s="12" t="s">
        <v>181</v>
      </c>
      <c r="D1011" s="12" t="s">
        <v>1228</v>
      </c>
      <c r="E1011" s="2" t="s">
        <v>38</v>
      </c>
      <c r="F1011" s="12" t="s">
        <v>215</v>
      </c>
      <c r="G1011" s="12" t="s">
        <v>249</v>
      </c>
      <c r="H1011" s="57" t="str">
        <f>Table1[[#This Row],[Tabela]]&amp;Table1[[#This Row],[Campo]]</f>
        <v>modesg_inp_nfrd_alinhamento_taxcca_capex_enblng_algnd</v>
      </c>
      <c r="I1011" s="2" t="s">
        <v>612</v>
      </c>
      <c r="J1011" s="45">
        <f>VLOOKUP(Table1[[#This Row],[Status]],Auxiliar!$B$16:$C$24,2,0)</f>
        <v>1</v>
      </c>
      <c r="K1011" s="20" t="s">
        <v>1174</v>
      </c>
      <c r="L1011" s="27"/>
      <c r="M1011" s="20" t="s">
        <v>1179</v>
      </c>
      <c r="N1011" s="47">
        <v>45540</v>
      </c>
      <c r="O1011" s="20">
        <f>INDEX(Auxiliar!$D$5:$F$13,MATCH(Table1[[#This Row],[Tipologia_Testes]],Auxiliar!$B$5:$B$13,0),MATCH(Table1[[#This Row],[Complexidade]],Auxiliar!$D$4:$F$4,0))</f>
        <v>0.1</v>
      </c>
      <c r="P1011" s="2" t="s">
        <v>1242</v>
      </c>
      <c r="Q1011" s="2"/>
      <c r="R1011" s="151">
        <v>45261</v>
      </c>
      <c r="S1011" s="151"/>
      <c r="T1011" s="151"/>
      <c r="U1011" s="151">
        <v>45603</v>
      </c>
      <c r="V1011" s="151">
        <v>45534</v>
      </c>
      <c r="W1011" s="2">
        <f>VLOOKUP(Table1[[#This Row],[Status]],Auxiliar!$B$16:$D$24,3,0)*Table1[[#This Row],[Estimação (horas)]]</f>
        <v>0.1</v>
      </c>
      <c r="X1011" s="166">
        <f>+VLOOKUP(CONCATENATE(Table1[[#This Row],[Tabela]],Table1[[#This Row],[Campo]]),'2. Status Detalhe Campos FY24'!A:J,9,FALSE)</f>
        <v>0</v>
      </c>
    </row>
    <row r="1012" spans="2:24" ht="17.850000000000001" hidden="1" customHeight="1">
      <c r="B1012" s="12" t="s">
        <v>26</v>
      </c>
      <c r="C1012" s="12" t="s">
        <v>181</v>
      </c>
      <c r="D1012" s="12" t="s">
        <v>1228</v>
      </c>
      <c r="E1012" s="2" t="s">
        <v>38</v>
      </c>
      <c r="F1012" s="12" t="s">
        <v>215</v>
      </c>
      <c r="G1012" s="12" t="s">
        <v>249</v>
      </c>
      <c r="H1012" s="57" t="str">
        <f>Table1[[#This Row],[Tabela]]&amp;Table1[[#This Row],[Campo]]</f>
        <v>modesg_inp_nfrd_alinhamento_taxcca_capex_enblng_algnd</v>
      </c>
      <c r="I1012" s="2" t="s">
        <v>612</v>
      </c>
      <c r="J1012" s="45">
        <f>VLOOKUP(Table1[[#This Row],[Status]],Auxiliar!$B$16:$C$24,2,0)</f>
        <v>1</v>
      </c>
      <c r="K1012" s="20" t="s">
        <v>1182</v>
      </c>
      <c r="L1012" s="27"/>
      <c r="M1012" s="20" t="s">
        <v>1179</v>
      </c>
      <c r="N1012" s="47">
        <v>45540</v>
      </c>
      <c r="O1012" s="20">
        <f>INDEX(Auxiliar!$D$5:$F$13,MATCH(Table1[[#This Row],[Tipologia_Testes]],Auxiliar!$B$5:$B$13,0),MATCH(Table1[[#This Row],[Complexidade]],Auxiliar!$D$4:$F$4,0))</f>
        <v>0.5</v>
      </c>
      <c r="P1012" s="2"/>
      <c r="Q1012" s="2"/>
      <c r="R1012" s="151">
        <v>45261</v>
      </c>
      <c r="S1012" s="151"/>
      <c r="T1012" s="151"/>
      <c r="U1012" s="151">
        <v>45603</v>
      </c>
      <c r="V1012" s="151">
        <v>45534</v>
      </c>
      <c r="W1012" s="2">
        <f>VLOOKUP(Table1[[#This Row],[Status]],Auxiliar!$B$16:$D$24,3,0)*Table1[[#This Row],[Estimação (horas)]]</f>
        <v>0.5</v>
      </c>
      <c r="X1012" s="166">
        <f>+VLOOKUP(CONCATENATE(Table1[[#This Row],[Tabela]],Table1[[#This Row],[Campo]]),'2. Status Detalhe Campos FY24'!A:J,9,FALSE)</f>
        <v>0</v>
      </c>
    </row>
    <row r="1013" spans="2:24" ht="17.850000000000001" hidden="1" customHeight="1">
      <c r="B1013" s="12" t="s">
        <v>26</v>
      </c>
      <c r="C1013" s="12" t="s">
        <v>181</v>
      </c>
      <c r="D1013" s="12" t="s">
        <v>1228</v>
      </c>
      <c r="E1013" s="2" t="s">
        <v>38</v>
      </c>
      <c r="F1013" s="12" t="s">
        <v>215</v>
      </c>
      <c r="G1013" s="12" t="s">
        <v>250</v>
      </c>
      <c r="H1013" s="57" t="str">
        <f>Table1[[#This Row],[Tabela]]&amp;Table1[[#This Row],[Campo]]</f>
        <v>modesg_inp_nfrd_alinhamento_taxcca_capex_own_prfrmnce_algnd</v>
      </c>
      <c r="I1013" s="2" t="s">
        <v>612</v>
      </c>
      <c r="J1013" s="45">
        <f>VLOOKUP(Table1[[#This Row],[Status]],Auxiliar!$B$16:$C$24,2,0)</f>
        <v>1</v>
      </c>
      <c r="K1013" s="20" t="s">
        <v>1174</v>
      </c>
      <c r="L1013" s="27"/>
      <c r="M1013" s="20" t="s">
        <v>1179</v>
      </c>
      <c r="N1013" s="47">
        <v>45540</v>
      </c>
      <c r="O1013" s="20">
        <f>INDEX(Auxiliar!$D$5:$F$13,MATCH(Table1[[#This Row],[Tipologia_Testes]],Auxiliar!$B$5:$B$13,0),MATCH(Table1[[#This Row],[Complexidade]],Auxiliar!$D$4:$F$4,0))</f>
        <v>0.1</v>
      </c>
      <c r="P1013" s="2" t="s">
        <v>1242</v>
      </c>
      <c r="Q1013" s="2"/>
      <c r="R1013" s="151">
        <v>45261</v>
      </c>
      <c r="S1013" s="151"/>
      <c r="T1013" s="151"/>
      <c r="U1013" s="151">
        <v>45603</v>
      </c>
      <c r="V1013" s="151">
        <v>45534</v>
      </c>
      <c r="W1013" s="2">
        <f>VLOOKUP(Table1[[#This Row],[Status]],Auxiliar!$B$16:$D$24,3,0)*Table1[[#This Row],[Estimação (horas)]]</f>
        <v>0.1</v>
      </c>
      <c r="X1013" s="166">
        <f>+VLOOKUP(CONCATENATE(Table1[[#This Row],[Tabela]],Table1[[#This Row],[Campo]]),'2. Status Detalhe Campos FY24'!A:J,9,FALSE)</f>
        <v>0</v>
      </c>
    </row>
    <row r="1014" spans="2:24" ht="17.850000000000001" hidden="1" customHeight="1">
      <c r="B1014" s="12" t="s">
        <v>26</v>
      </c>
      <c r="C1014" s="12" t="s">
        <v>181</v>
      </c>
      <c r="D1014" s="12" t="s">
        <v>1228</v>
      </c>
      <c r="E1014" s="2" t="s">
        <v>38</v>
      </c>
      <c r="F1014" s="12" t="s">
        <v>215</v>
      </c>
      <c r="G1014" s="12" t="s">
        <v>250</v>
      </c>
      <c r="H1014" s="57" t="str">
        <f>Table1[[#This Row],[Tabela]]&amp;Table1[[#This Row],[Campo]]</f>
        <v>modesg_inp_nfrd_alinhamento_taxcca_capex_own_prfrmnce_algnd</v>
      </c>
      <c r="I1014" s="2" t="s">
        <v>612</v>
      </c>
      <c r="J1014" s="45">
        <f>VLOOKUP(Table1[[#This Row],[Status]],Auxiliar!$B$16:$C$24,2,0)</f>
        <v>1</v>
      </c>
      <c r="K1014" s="20" t="s">
        <v>1182</v>
      </c>
      <c r="L1014" s="27"/>
      <c r="M1014" s="20" t="s">
        <v>1179</v>
      </c>
      <c r="N1014" s="47">
        <v>45540</v>
      </c>
      <c r="O1014" s="20">
        <f>INDEX(Auxiliar!$D$5:$F$13,MATCH(Table1[[#This Row],[Tipologia_Testes]],Auxiliar!$B$5:$B$13,0),MATCH(Table1[[#This Row],[Complexidade]],Auxiliar!$D$4:$F$4,0))</f>
        <v>0.5</v>
      </c>
      <c r="P1014" s="2"/>
      <c r="Q1014" s="2"/>
      <c r="R1014" s="151">
        <v>45261</v>
      </c>
      <c r="S1014" s="151"/>
      <c r="T1014" s="151"/>
      <c r="U1014" s="151">
        <v>45603</v>
      </c>
      <c r="V1014" s="151">
        <v>45534</v>
      </c>
      <c r="W1014" s="2">
        <f>VLOOKUP(Table1[[#This Row],[Status]],Auxiliar!$B$16:$D$24,3,0)*Table1[[#This Row],[Estimação (horas)]]</f>
        <v>0.5</v>
      </c>
      <c r="X1014" s="166">
        <f>+VLOOKUP(CONCATENATE(Table1[[#This Row],[Tabela]],Table1[[#This Row],[Campo]]),'2. Status Detalhe Campos FY24'!A:J,9,FALSE)</f>
        <v>0</v>
      </c>
    </row>
    <row r="1015" spans="2:24" ht="17.850000000000001" hidden="1" customHeight="1">
      <c r="B1015" s="12" t="s">
        <v>26</v>
      </c>
      <c r="C1015" s="12" t="s">
        <v>181</v>
      </c>
      <c r="D1015" s="12" t="s">
        <v>1228</v>
      </c>
      <c r="E1015" s="2" t="s">
        <v>38</v>
      </c>
      <c r="F1015" s="12" t="s">
        <v>215</v>
      </c>
      <c r="G1015" s="12" t="s">
        <v>251</v>
      </c>
      <c r="H1015" s="57" t="str">
        <f>Table1[[#This Row],[Tabela]]&amp;Table1[[#This Row],[Campo]]</f>
        <v>modesg_inp_nfrd_alinhamento_taxccm_trnvr_ttl_elgbl</v>
      </c>
      <c r="I1015" s="2" t="s">
        <v>612</v>
      </c>
      <c r="J1015" s="45">
        <f>VLOOKUP(Table1[[#This Row],[Status]],Auxiliar!$B$16:$C$24,2,0)</f>
        <v>1</v>
      </c>
      <c r="K1015" s="20" t="s">
        <v>1174</v>
      </c>
      <c r="L1015" s="27"/>
      <c r="M1015" s="20" t="s">
        <v>1179</v>
      </c>
      <c r="N1015" s="47">
        <v>45540</v>
      </c>
      <c r="O1015" s="20">
        <f>INDEX(Auxiliar!$D$5:$F$13,MATCH(Table1[[#This Row],[Tipologia_Testes]],Auxiliar!$B$5:$B$13,0),MATCH(Table1[[#This Row],[Complexidade]],Auxiliar!$D$4:$F$4,0))</f>
        <v>0.1</v>
      </c>
      <c r="P1015" s="2" t="s">
        <v>1242</v>
      </c>
      <c r="Q1015" s="2"/>
      <c r="R1015" s="151">
        <v>45261</v>
      </c>
      <c r="S1015" s="151"/>
      <c r="T1015" s="151"/>
      <c r="U1015" s="151">
        <v>45603</v>
      </c>
      <c r="V1015" s="151">
        <v>45534</v>
      </c>
      <c r="W1015" s="2">
        <f>VLOOKUP(Table1[[#This Row],[Status]],Auxiliar!$B$16:$D$24,3,0)*Table1[[#This Row],[Estimação (horas)]]</f>
        <v>0.1</v>
      </c>
      <c r="X1015" s="166">
        <f>+VLOOKUP(CONCATENATE(Table1[[#This Row],[Tabela]],Table1[[#This Row],[Campo]]),'2. Status Detalhe Campos FY24'!A:J,9,FALSE)</f>
        <v>0</v>
      </c>
    </row>
    <row r="1016" spans="2:24" ht="17.850000000000001" hidden="1" customHeight="1">
      <c r="B1016" s="12" t="s">
        <v>26</v>
      </c>
      <c r="C1016" s="12" t="s">
        <v>181</v>
      </c>
      <c r="D1016" s="12" t="s">
        <v>1228</v>
      </c>
      <c r="E1016" s="2" t="s">
        <v>38</v>
      </c>
      <c r="F1016" s="12" t="s">
        <v>215</v>
      </c>
      <c r="G1016" s="12" t="s">
        <v>251</v>
      </c>
      <c r="H1016" s="57" t="str">
        <f>Table1[[#This Row],[Tabela]]&amp;Table1[[#This Row],[Campo]]</f>
        <v>modesg_inp_nfrd_alinhamento_taxccm_trnvr_ttl_elgbl</v>
      </c>
      <c r="I1016" s="2" t="s">
        <v>612</v>
      </c>
      <c r="J1016" s="45">
        <f>VLOOKUP(Table1[[#This Row],[Status]],Auxiliar!$B$16:$C$24,2,0)</f>
        <v>1</v>
      </c>
      <c r="K1016" s="20" t="s">
        <v>1182</v>
      </c>
      <c r="L1016" s="27"/>
      <c r="M1016" s="20" t="s">
        <v>1179</v>
      </c>
      <c r="N1016" s="47">
        <v>45540</v>
      </c>
      <c r="O1016" s="20">
        <f>INDEX(Auxiliar!$D$5:$F$13,MATCH(Table1[[#This Row],[Tipologia_Testes]],Auxiliar!$B$5:$B$13,0),MATCH(Table1[[#This Row],[Complexidade]],Auxiliar!$D$4:$F$4,0))</f>
        <v>0.5</v>
      </c>
      <c r="P1016" s="2"/>
      <c r="Q1016" s="2"/>
      <c r="R1016" s="151">
        <v>45261</v>
      </c>
      <c r="S1016" s="151"/>
      <c r="T1016" s="151"/>
      <c r="U1016" s="151">
        <v>45603</v>
      </c>
      <c r="V1016" s="151">
        <v>45534</v>
      </c>
      <c r="W1016" s="2">
        <f>VLOOKUP(Table1[[#This Row],[Status]],Auxiliar!$B$16:$D$24,3,0)*Table1[[#This Row],[Estimação (horas)]]</f>
        <v>0.5</v>
      </c>
      <c r="X1016" s="166">
        <f>+VLOOKUP(CONCATENATE(Table1[[#This Row],[Tabela]],Table1[[#This Row],[Campo]]),'2. Status Detalhe Campos FY24'!A:J,9,FALSE)</f>
        <v>0</v>
      </c>
    </row>
    <row r="1017" spans="2:24" ht="17.850000000000001" hidden="1" customHeight="1">
      <c r="B1017" s="12" t="s">
        <v>26</v>
      </c>
      <c r="C1017" s="12" t="s">
        <v>181</v>
      </c>
      <c r="D1017" s="12" t="s">
        <v>1228</v>
      </c>
      <c r="E1017" s="2" t="s">
        <v>38</v>
      </c>
      <c r="F1017" s="12" t="s">
        <v>215</v>
      </c>
      <c r="G1017" s="12" t="s">
        <v>252</v>
      </c>
      <c r="H1017" s="57" t="str">
        <f>Table1[[#This Row],[Tabela]]&amp;Table1[[#This Row],[Campo]]</f>
        <v>modesg_inp_nfrd_alinhamento_taxccm_trnvr_enblng_algnd</v>
      </c>
      <c r="I1017" s="2" t="s">
        <v>612</v>
      </c>
      <c r="J1017" s="45">
        <f>VLOOKUP(Table1[[#This Row],[Status]],Auxiliar!$B$16:$C$24,2,0)</f>
        <v>1</v>
      </c>
      <c r="K1017" s="20" t="s">
        <v>1174</v>
      </c>
      <c r="L1017" s="27"/>
      <c r="M1017" s="20" t="s">
        <v>1179</v>
      </c>
      <c r="N1017" s="47">
        <v>45540</v>
      </c>
      <c r="O1017" s="20">
        <f>INDEX(Auxiliar!$D$5:$F$13,MATCH(Table1[[#This Row],[Tipologia_Testes]],Auxiliar!$B$5:$B$13,0),MATCH(Table1[[#This Row],[Complexidade]],Auxiliar!$D$4:$F$4,0))</f>
        <v>0.1</v>
      </c>
      <c r="P1017" s="2" t="s">
        <v>1242</v>
      </c>
      <c r="Q1017" s="2"/>
      <c r="R1017" s="151">
        <v>45261</v>
      </c>
      <c r="S1017" s="151"/>
      <c r="T1017" s="151"/>
      <c r="U1017" s="151">
        <v>45603</v>
      </c>
      <c r="V1017" s="151">
        <v>45534</v>
      </c>
      <c r="W1017" s="2">
        <f>VLOOKUP(Table1[[#This Row],[Status]],Auxiliar!$B$16:$D$24,3,0)*Table1[[#This Row],[Estimação (horas)]]</f>
        <v>0.1</v>
      </c>
      <c r="X1017" s="166">
        <f>+VLOOKUP(CONCATENATE(Table1[[#This Row],[Tabela]],Table1[[#This Row],[Campo]]),'2. Status Detalhe Campos FY24'!A:J,9,FALSE)</f>
        <v>0</v>
      </c>
    </row>
    <row r="1018" spans="2:24" ht="17.850000000000001" hidden="1" customHeight="1">
      <c r="B1018" s="12" t="s">
        <v>26</v>
      </c>
      <c r="C1018" s="12" t="s">
        <v>181</v>
      </c>
      <c r="D1018" s="12" t="s">
        <v>1228</v>
      </c>
      <c r="E1018" s="2" t="s">
        <v>38</v>
      </c>
      <c r="F1018" s="12" t="s">
        <v>215</v>
      </c>
      <c r="G1018" s="12" t="s">
        <v>252</v>
      </c>
      <c r="H1018" s="57" t="str">
        <f>Table1[[#This Row],[Tabela]]&amp;Table1[[#This Row],[Campo]]</f>
        <v>modesg_inp_nfrd_alinhamento_taxccm_trnvr_enblng_algnd</v>
      </c>
      <c r="I1018" s="2" t="s">
        <v>612</v>
      </c>
      <c r="J1018" s="45">
        <f>VLOOKUP(Table1[[#This Row],[Status]],Auxiliar!$B$16:$C$24,2,0)</f>
        <v>1</v>
      </c>
      <c r="K1018" s="20" t="s">
        <v>1182</v>
      </c>
      <c r="L1018" s="27"/>
      <c r="M1018" s="20" t="s">
        <v>1179</v>
      </c>
      <c r="N1018" s="47">
        <v>45540</v>
      </c>
      <c r="O1018" s="20">
        <f>INDEX(Auxiliar!$D$5:$F$13,MATCH(Table1[[#This Row],[Tipologia_Testes]],Auxiliar!$B$5:$B$13,0),MATCH(Table1[[#This Row],[Complexidade]],Auxiliar!$D$4:$F$4,0))</f>
        <v>0.5</v>
      </c>
      <c r="P1018" s="2"/>
      <c r="Q1018" s="2"/>
      <c r="R1018" s="151">
        <v>45261</v>
      </c>
      <c r="S1018" s="151"/>
      <c r="T1018" s="151"/>
      <c r="U1018" s="151">
        <v>45603</v>
      </c>
      <c r="V1018" s="151">
        <v>45534</v>
      </c>
      <c r="W1018" s="2">
        <f>VLOOKUP(Table1[[#This Row],[Status]],Auxiliar!$B$16:$D$24,3,0)*Table1[[#This Row],[Estimação (horas)]]</f>
        <v>0.5</v>
      </c>
      <c r="X1018" s="166">
        <f>+VLOOKUP(CONCATENATE(Table1[[#This Row],[Tabela]],Table1[[#This Row],[Campo]]),'2. Status Detalhe Campos FY24'!A:J,9,FALSE)</f>
        <v>0</v>
      </c>
    </row>
    <row r="1019" spans="2:24" ht="17.850000000000001" hidden="1" customHeight="1">
      <c r="B1019" s="12" t="s">
        <v>26</v>
      </c>
      <c r="C1019" s="12" t="s">
        <v>181</v>
      </c>
      <c r="D1019" s="12" t="s">
        <v>1228</v>
      </c>
      <c r="E1019" s="2" t="s">
        <v>38</v>
      </c>
      <c r="F1019" s="12" t="s">
        <v>215</v>
      </c>
      <c r="G1019" s="12" t="s">
        <v>253</v>
      </c>
      <c r="H1019" s="57" t="str">
        <f>Table1[[#This Row],[Tabela]]&amp;Table1[[#This Row],[Campo]]</f>
        <v>modesg_inp_nfrd_alinhamento_taxccm_trnvr_trnstn_alignd</v>
      </c>
      <c r="I1019" s="2" t="s">
        <v>612</v>
      </c>
      <c r="J1019" s="45">
        <f>VLOOKUP(Table1[[#This Row],[Status]],Auxiliar!$B$16:$C$24,2,0)</f>
        <v>1</v>
      </c>
      <c r="K1019" s="20" t="s">
        <v>1174</v>
      </c>
      <c r="L1019" s="27"/>
      <c r="M1019" s="20" t="s">
        <v>1179</v>
      </c>
      <c r="N1019" s="47">
        <v>45540</v>
      </c>
      <c r="O1019" s="20">
        <f>INDEX(Auxiliar!$D$5:$F$13,MATCH(Table1[[#This Row],[Tipologia_Testes]],Auxiliar!$B$5:$B$13,0),MATCH(Table1[[#This Row],[Complexidade]],Auxiliar!$D$4:$F$4,0))</f>
        <v>0.1</v>
      </c>
      <c r="P1019" s="2" t="s">
        <v>1242</v>
      </c>
      <c r="Q1019" s="2"/>
      <c r="R1019" s="151">
        <v>45261</v>
      </c>
      <c r="S1019" s="151"/>
      <c r="T1019" s="151"/>
      <c r="U1019" s="151">
        <v>45603</v>
      </c>
      <c r="V1019" s="151">
        <v>45534</v>
      </c>
      <c r="W1019" s="2">
        <f>VLOOKUP(Table1[[#This Row],[Status]],Auxiliar!$B$16:$D$24,3,0)*Table1[[#This Row],[Estimação (horas)]]</f>
        <v>0.1</v>
      </c>
      <c r="X1019" s="166">
        <f>+VLOOKUP(CONCATENATE(Table1[[#This Row],[Tabela]],Table1[[#This Row],[Campo]]),'2. Status Detalhe Campos FY24'!A:J,9,FALSE)</f>
        <v>0</v>
      </c>
    </row>
    <row r="1020" spans="2:24" ht="17.850000000000001" hidden="1" customHeight="1">
      <c r="B1020" s="12" t="s">
        <v>26</v>
      </c>
      <c r="C1020" s="12" t="s">
        <v>181</v>
      </c>
      <c r="D1020" s="12" t="s">
        <v>1228</v>
      </c>
      <c r="E1020" s="2" t="s">
        <v>38</v>
      </c>
      <c r="F1020" s="12" t="s">
        <v>215</v>
      </c>
      <c r="G1020" s="12" t="s">
        <v>253</v>
      </c>
      <c r="H1020" s="57" t="str">
        <f>Table1[[#This Row],[Tabela]]&amp;Table1[[#This Row],[Campo]]</f>
        <v>modesg_inp_nfrd_alinhamento_taxccm_trnvr_trnstn_alignd</v>
      </c>
      <c r="I1020" s="2" t="s">
        <v>612</v>
      </c>
      <c r="J1020" s="45">
        <f>VLOOKUP(Table1[[#This Row],[Status]],Auxiliar!$B$16:$C$24,2,0)</f>
        <v>1</v>
      </c>
      <c r="K1020" s="20" t="s">
        <v>1182</v>
      </c>
      <c r="L1020" s="27"/>
      <c r="M1020" s="20" t="s">
        <v>1179</v>
      </c>
      <c r="N1020" s="47">
        <v>45540</v>
      </c>
      <c r="O1020" s="20">
        <f>INDEX(Auxiliar!$D$5:$F$13,MATCH(Table1[[#This Row],[Tipologia_Testes]],Auxiliar!$B$5:$B$13,0),MATCH(Table1[[#This Row],[Complexidade]],Auxiliar!$D$4:$F$4,0))</f>
        <v>0.5</v>
      </c>
      <c r="P1020" s="2"/>
      <c r="Q1020" s="2"/>
      <c r="R1020" s="151">
        <v>45261</v>
      </c>
      <c r="S1020" s="151"/>
      <c r="T1020" s="151"/>
      <c r="U1020" s="151">
        <v>45603</v>
      </c>
      <c r="V1020" s="151">
        <v>45534</v>
      </c>
      <c r="W1020" s="2">
        <f>VLOOKUP(Table1[[#This Row],[Status]],Auxiliar!$B$16:$D$24,3,0)*Table1[[#This Row],[Estimação (horas)]]</f>
        <v>0.5</v>
      </c>
      <c r="X1020" s="166">
        <f>+VLOOKUP(CONCATENATE(Table1[[#This Row],[Tabela]],Table1[[#This Row],[Campo]]),'2. Status Detalhe Campos FY24'!A:J,9,FALSE)</f>
        <v>0</v>
      </c>
    </row>
    <row r="1021" spans="2:24" ht="17.850000000000001" hidden="1" customHeight="1">
      <c r="B1021" s="12" t="s">
        <v>26</v>
      </c>
      <c r="C1021" s="12" t="s">
        <v>181</v>
      </c>
      <c r="D1021" s="12" t="s">
        <v>1228</v>
      </c>
      <c r="E1021" s="2" t="s">
        <v>38</v>
      </c>
      <c r="F1021" s="12" t="s">
        <v>215</v>
      </c>
      <c r="G1021" s="12" t="s">
        <v>254</v>
      </c>
      <c r="H1021" s="57" t="str">
        <f>Table1[[#This Row],[Tabela]]&amp;Table1[[#This Row],[Campo]]</f>
        <v>modesg_inp_nfrd_alinhamento_taxccm_trnvr_own_prfrmnce_algnd</v>
      </c>
      <c r="I1021" s="2" t="s">
        <v>612</v>
      </c>
      <c r="J1021" s="45">
        <f>VLOOKUP(Table1[[#This Row],[Status]],Auxiliar!$B$16:$C$24,2,0)</f>
        <v>1</v>
      </c>
      <c r="K1021" s="20" t="s">
        <v>1174</v>
      </c>
      <c r="L1021" s="27"/>
      <c r="M1021" s="20" t="s">
        <v>1179</v>
      </c>
      <c r="N1021" s="47">
        <v>45540</v>
      </c>
      <c r="O1021" s="20">
        <f>INDEX(Auxiliar!$D$5:$F$13,MATCH(Table1[[#This Row],[Tipologia_Testes]],Auxiliar!$B$5:$B$13,0),MATCH(Table1[[#This Row],[Complexidade]],Auxiliar!$D$4:$F$4,0))</f>
        <v>0.1</v>
      </c>
      <c r="P1021" s="2" t="s">
        <v>1242</v>
      </c>
      <c r="Q1021" s="2"/>
      <c r="R1021" s="151">
        <v>45261</v>
      </c>
      <c r="S1021" s="151"/>
      <c r="T1021" s="151"/>
      <c r="U1021" s="151">
        <v>45603</v>
      </c>
      <c r="V1021" s="151">
        <v>45534</v>
      </c>
      <c r="W1021" s="2">
        <f>VLOOKUP(Table1[[#This Row],[Status]],Auxiliar!$B$16:$D$24,3,0)*Table1[[#This Row],[Estimação (horas)]]</f>
        <v>0.1</v>
      </c>
      <c r="X1021" s="166">
        <f>+VLOOKUP(CONCATENATE(Table1[[#This Row],[Tabela]],Table1[[#This Row],[Campo]]),'2. Status Detalhe Campos FY24'!A:J,9,FALSE)</f>
        <v>0</v>
      </c>
    </row>
    <row r="1022" spans="2:24" ht="17.850000000000001" hidden="1" customHeight="1">
      <c r="B1022" s="12" t="s">
        <v>26</v>
      </c>
      <c r="C1022" s="12" t="s">
        <v>181</v>
      </c>
      <c r="D1022" s="12" t="s">
        <v>1228</v>
      </c>
      <c r="E1022" s="2" t="s">
        <v>38</v>
      </c>
      <c r="F1022" s="12" t="s">
        <v>215</v>
      </c>
      <c r="G1022" s="12" t="s">
        <v>254</v>
      </c>
      <c r="H1022" s="57" t="str">
        <f>Table1[[#This Row],[Tabela]]&amp;Table1[[#This Row],[Campo]]</f>
        <v>modesg_inp_nfrd_alinhamento_taxccm_trnvr_own_prfrmnce_algnd</v>
      </c>
      <c r="I1022" s="2" t="s">
        <v>612</v>
      </c>
      <c r="J1022" s="45">
        <f>VLOOKUP(Table1[[#This Row],[Status]],Auxiliar!$B$16:$C$24,2,0)</f>
        <v>1</v>
      </c>
      <c r="K1022" s="20" t="s">
        <v>1182</v>
      </c>
      <c r="L1022" s="27"/>
      <c r="M1022" s="20" t="s">
        <v>1179</v>
      </c>
      <c r="N1022" s="47">
        <v>45540</v>
      </c>
      <c r="O1022" s="20">
        <f>INDEX(Auxiliar!$D$5:$F$13,MATCH(Table1[[#This Row],[Tipologia_Testes]],Auxiliar!$B$5:$B$13,0),MATCH(Table1[[#This Row],[Complexidade]],Auxiliar!$D$4:$F$4,0))</f>
        <v>0.5</v>
      </c>
      <c r="P1022" s="2"/>
      <c r="Q1022" s="2"/>
      <c r="R1022" s="151">
        <v>45261</v>
      </c>
      <c r="S1022" s="151"/>
      <c r="T1022" s="151"/>
      <c r="U1022" s="151">
        <v>45603</v>
      </c>
      <c r="V1022" s="151">
        <v>45534</v>
      </c>
      <c r="W1022" s="2">
        <f>VLOOKUP(Table1[[#This Row],[Status]],Auxiliar!$B$16:$D$24,3,0)*Table1[[#This Row],[Estimação (horas)]]</f>
        <v>0.5</v>
      </c>
      <c r="X1022" s="166">
        <f>+VLOOKUP(CONCATENATE(Table1[[#This Row],[Tabela]],Table1[[#This Row],[Campo]]),'2. Status Detalhe Campos FY24'!A:J,9,FALSE)</f>
        <v>0</v>
      </c>
    </row>
    <row r="1023" spans="2:24" ht="17.850000000000001" hidden="1" customHeight="1">
      <c r="B1023" s="12" t="s">
        <v>26</v>
      </c>
      <c r="C1023" s="12" t="s">
        <v>181</v>
      </c>
      <c r="D1023" s="12" t="s">
        <v>1228</v>
      </c>
      <c r="E1023" s="2" t="s">
        <v>38</v>
      </c>
      <c r="F1023" s="12" t="s">
        <v>215</v>
      </c>
      <c r="G1023" s="12" t="s">
        <v>255</v>
      </c>
      <c r="H1023" s="57" t="str">
        <f>Table1[[#This Row],[Tabela]]&amp;Table1[[#This Row],[Campo]]</f>
        <v>modesg_inp_nfrd_alinhamento_taxccm_capex_ttl_elgbl</v>
      </c>
      <c r="I1023" s="2" t="s">
        <v>612</v>
      </c>
      <c r="J1023" s="45">
        <f>VLOOKUP(Table1[[#This Row],[Status]],Auxiliar!$B$16:$C$24,2,0)</f>
        <v>1</v>
      </c>
      <c r="K1023" s="20" t="s">
        <v>1174</v>
      </c>
      <c r="L1023" s="27"/>
      <c r="M1023" s="20" t="s">
        <v>1179</v>
      </c>
      <c r="N1023" s="47">
        <v>45540</v>
      </c>
      <c r="O1023" s="20">
        <f>INDEX(Auxiliar!$D$5:$F$13,MATCH(Table1[[#This Row],[Tipologia_Testes]],Auxiliar!$B$5:$B$13,0),MATCH(Table1[[#This Row],[Complexidade]],Auxiliar!$D$4:$F$4,0))</f>
        <v>0.1</v>
      </c>
      <c r="P1023" s="2" t="s">
        <v>1242</v>
      </c>
      <c r="Q1023" s="2"/>
      <c r="R1023" s="151">
        <v>45261</v>
      </c>
      <c r="S1023" s="151"/>
      <c r="T1023" s="151"/>
      <c r="U1023" s="151">
        <v>45603</v>
      </c>
      <c r="V1023" s="151">
        <v>45534</v>
      </c>
      <c r="W1023" s="2">
        <f>VLOOKUP(Table1[[#This Row],[Status]],Auxiliar!$B$16:$D$24,3,0)*Table1[[#This Row],[Estimação (horas)]]</f>
        <v>0.1</v>
      </c>
      <c r="X1023" s="166">
        <f>+VLOOKUP(CONCATENATE(Table1[[#This Row],[Tabela]],Table1[[#This Row],[Campo]]),'2. Status Detalhe Campos FY24'!A:J,9,FALSE)</f>
        <v>0</v>
      </c>
    </row>
    <row r="1024" spans="2:24" ht="17.850000000000001" hidden="1" customHeight="1">
      <c r="B1024" s="12" t="s">
        <v>26</v>
      </c>
      <c r="C1024" s="12" t="s">
        <v>181</v>
      </c>
      <c r="D1024" s="12" t="s">
        <v>1228</v>
      </c>
      <c r="E1024" s="2" t="s">
        <v>38</v>
      </c>
      <c r="F1024" s="12" t="s">
        <v>215</v>
      </c>
      <c r="G1024" s="12" t="s">
        <v>255</v>
      </c>
      <c r="H1024" s="57" t="str">
        <f>Table1[[#This Row],[Tabela]]&amp;Table1[[#This Row],[Campo]]</f>
        <v>modesg_inp_nfrd_alinhamento_taxccm_capex_ttl_elgbl</v>
      </c>
      <c r="I1024" s="2" t="s">
        <v>612</v>
      </c>
      <c r="J1024" s="45">
        <f>VLOOKUP(Table1[[#This Row],[Status]],Auxiliar!$B$16:$C$24,2,0)</f>
        <v>1</v>
      </c>
      <c r="K1024" s="20" t="s">
        <v>1182</v>
      </c>
      <c r="L1024" s="27"/>
      <c r="M1024" s="20" t="s">
        <v>1179</v>
      </c>
      <c r="N1024" s="47">
        <v>45540</v>
      </c>
      <c r="O1024" s="20">
        <f>INDEX(Auxiliar!$D$5:$F$13,MATCH(Table1[[#This Row],[Tipologia_Testes]],Auxiliar!$B$5:$B$13,0),MATCH(Table1[[#This Row],[Complexidade]],Auxiliar!$D$4:$F$4,0))</f>
        <v>0.5</v>
      </c>
      <c r="P1024" s="2"/>
      <c r="Q1024" s="2"/>
      <c r="R1024" s="151">
        <v>45261</v>
      </c>
      <c r="S1024" s="151"/>
      <c r="T1024" s="151"/>
      <c r="U1024" s="151">
        <v>45603</v>
      </c>
      <c r="V1024" s="151">
        <v>45534</v>
      </c>
      <c r="W1024" s="2">
        <f>VLOOKUP(Table1[[#This Row],[Status]],Auxiliar!$B$16:$D$24,3,0)*Table1[[#This Row],[Estimação (horas)]]</f>
        <v>0.5</v>
      </c>
      <c r="X1024" s="166">
        <f>+VLOOKUP(CONCATENATE(Table1[[#This Row],[Tabela]],Table1[[#This Row],[Campo]]),'2. Status Detalhe Campos FY24'!A:J,9,FALSE)</f>
        <v>0</v>
      </c>
    </row>
    <row r="1025" spans="2:24" ht="17.850000000000001" hidden="1" customHeight="1">
      <c r="B1025" s="12" t="s">
        <v>26</v>
      </c>
      <c r="C1025" s="12" t="s">
        <v>181</v>
      </c>
      <c r="D1025" s="12" t="s">
        <v>1228</v>
      </c>
      <c r="E1025" s="2" t="s">
        <v>38</v>
      </c>
      <c r="F1025" s="12" t="s">
        <v>215</v>
      </c>
      <c r="G1025" s="12" t="s">
        <v>256</v>
      </c>
      <c r="H1025" s="57" t="str">
        <f>Table1[[#This Row],[Tabela]]&amp;Table1[[#This Row],[Campo]]</f>
        <v>modesg_inp_nfrd_alinhamento_taxccm_capex_enblng_algnd</v>
      </c>
      <c r="I1025" s="2" t="s">
        <v>612</v>
      </c>
      <c r="J1025" s="45">
        <f>VLOOKUP(Table1[[#This Row],[Status]],Auxiliar!$B$16:$C$24,2,0)</f>
        <v>1</v>
      </c>
      <c r="K1025" s="20" t="s">
        <v>1174</v>
      </c>
      <c r="L1025" s="27"/>
      <c r="M1025" s="20" t="s">
        <v>1179</v>
      </c>
      <c r="N1025" s="47">
        <v>45540</v>
      </c>
      <c r="O1025" s="20">
        <f>INDEX(Auxiliar!$D$5:$F$13,MATCH(Table1[[#This Row],[Tipologia_Testes]],Auxiliar!$B$5:$B$13,0),MATCH(Table1[[#This Row],[Complexidade]],Auxiliar!$D$4:$F$4,0))</f>
        <v>0.1</v>
      </c>
      <c r="P1025" s="2" t="s">
        <v>1242</v>
      </c>
      <c r="Q1025" s="2"/>
      <c r="R1025" s="151">
        <v>45261</v>
      </c>
      <c r="S1025" s="151"/>
      <c r="T1025" s="151"/>
      <c r="U1025" s="151">
        <v>45603</v>
      </c>
      <c r="V1025" s="151">
        <v>45534</v>
      </c>
      <c r="W1025" s="2">
        <f>VLOOKUP(Table1[[#This Row],[Status]],Auxiliar!$B$16:$D$24,3,0)*Table1[[#This Row],[Estimação (horas)]]</f>
        <v>0.1</v>
      </c>
      <c r="X1025" s="166">
        <f>+VLOOKUP(CONCATENATE(Table1[[#This Row],[Tabela]],Table1[[#This Row],[Campo]]),'2. Status Detalhe Campos FY24'!A:J,9,FALSE)</f>
        <v>0</v>
      </c>
    </row>
    <row r="1026" spans="2:24" ht="17.850000000000001" hidden="1" customHeight="1">
      <c r="B1026" s="12" t="s">
        <v>26</v>
      </c>
      <c r="C1026" s="12" t="s">
        <v>181</v>
      </c>
      <c r="D1026" s="12" t="s">
        <v>1228</v>
      </c>
      <c r="E1026" s="2" t="s">
        <v>38</v>
      </c>
      <c r="F1026" s="12" t="s">
        <v>215</v>
      </c>
      <c r="G1026" s="12" t="s">
        <v>256</v>
      </c>
      <c r="H1026" s="57" t="str">
        <f>Table1[[#This Row],[Tabela]]&amp;Table1[[#This Row],[Campo]]</f>
        <v>modesg_inp_nfrd_alinhamento_taxccm_capex_enblng_algnd</v>
      </c>
      <c r="I1026" s="2" t="s">
        <v>612</v>
      </c>
      <c r="J1026" s="45">
        <f>VLOOKUP(Table1[[#This Row],[Status]],Auxiliar!$B$16:$C$24,2,0)</f>
        <v>1</v>
      </c>
      <c r="K1026" s="20" t="s">
        <v>1182</v>
      </c>
      <c r="L1026" s="27"/>
      <c r="M1026" s="20" t="s">
        <v>1179</v>
      </c>
      <c r="N1026" s="47">
        <v>45540</v>
      </c>
      <c r="O1026" s="20">
        <f>INDEX(Auxiliar!$D$5:$F$13,MATCH(Table1[[#This Row],[Tipologia_Testes]],Auxiliar!$B$5:$B$13,0),MATCH(Table1[[#This Row],[Complexidade]],Auxiliar!$D$4:$F$4,0))</f>
        <v>0.5</v>
      </c>
      <c r="P1026" s="2"/>
      <c r="Q1026" s="2"/>
      <c r="R1026" s="151">
        <v>45261</v>
      </c>
      <c r="S1026" s="151"/>
      <c r="T1026" s="151"/>
      <c r="U1026" s="151">
        <v>45603</v>
      </c>
      <c r="V1026" s="151">
        <v>45534</v>
      </c>
      <c r="W1026" s="2">
        <f>VLOOKUP(Table1[[#This Row],[Status]],Auxiliar!$B$16:$D$24,3,0)*Table1[[#This Row],[Estimação (horas)]]</f>
        <v>0.5</v>
      </c>
      <c r="X1026" s="166">
        <f>+VLOOKUP(CONCATENATE(Table1[[#This Row],[Tabela]],Table1[[#This Row],[Campo]]),'2. Status Detalhe Campos FY24'!A:J,9,FALSE)</f>
        <v>0</v>
      </c>
    </row>
    <row r="1027" spans="2:24" ht="17.850000000000001" hidden="1" customHeight="1">
      <c r="B1027" s="12" t="s">
        <v>26</v>
      </c>
      <c r="C1027" s="12" t="s">
        <v>181</v>
      </c>
      <c r="D1027" s="12" t="s">
        <v>1228</v>
      </c>
      <c r="E1027" s="2" t="s">
        <v>38</v>
      </c>
      <c r="F1027" s="12" t="s">
        <v>215</v>
      </c>
      <c r="G1027" s="12" t="s">
        <v>257</v>
      </c>
      <c r="H1027" s="57" t="str">
        <f>Table1[[#This Row],[Tabela]]&amp;Table1[[#This Row],[Campo]]</f>
        <v>modesg_inp_nfrd_alinhamento_taxccm_capex_trnstn_algnd</v>
      </c>
      <c r="I1027" s="2" t="s">
        <v>612</v>
      </c>
      <c r="J1027" s="45">
        <f>VLOOKUP(Table1[[#This Row],[Status]],Auxiliar!$B$16:$C$24,2,0)</f>
        <v>1</v>
      </c>
      <c r="K1027" s="20" t="s">
        <v>1174</v>
      </c>
      <c r="L1027" s="27"/>
      <c r="M1027" s="20" t="s">
        <v>1179</v>
      </c>
      <c r="N1027" s="47">
        <v>45540</v>
      </c>
      <c r="O1027" s="20">
        <f>INDEX(Auxiliar!$D$5:$F$13,MATCH(Table1[[#This Row],[Tipologia_Testes]],Auxiliar!$B$5:$B$13,0),MATCH(Table1[[#This Row],[Complexidade]],Auxiliar!$D$4:$F$4,0))</f>
        <v>0.1</v>
      </c>
      <c r="P1027" s="2" t="s">
        <v>1242</v>
      </c>
      <c r="Q1027" s="2"/>
      <c r="R1027" s="151">
        <v>45261</v>
      </c>
      <c r="S1027" s="151"/>
      <c r="T1027" s="151"/>
      <c r="U1027" s="151">
        <v>45603</v>
      </c>
      <c r="V1027" s="151">
        <v>45534</v>
      </c>
      <c r="W1027" s="2">
        <f>VLOOKUP(Table1[[#This Row],[Status]],Auxiliar!$B$16:$D$24,3,0)*Table1[[#This Row],[Estimação (horas)]]</f>
        <v>0.1</v>
      </c>
      <c r="X1027" s="166">
        <f>+VLOOKUP(CONCATENATE(Table1[[#This Row],[Tabela]],Table1[[#This Row],[Campo]]),'2. Status Detalhe Campos FY24'!A:J,9,FALSE)</f>
        <v>0</v>
      </c>
    </row>
    <row r="1028" spans="2:24" ht="17.850000000000001" hidden="1" customHeight="1">
      <c r="B1028" s="12" t="s">
        <v>26</v>
      </c>
      <c r="C1028" s="12" t="s">
        <v>181</v>
      </c>
      <c r="D1028" s="12" t="s">
        <v>1228</v>
      </c>
      <c r="E1028" s="2" t="s">
        <v>38</v>
      </c>
      <c r="F1028" s="12" t="s">
        <v>215</v>
      </c>
      <c r="G1028" s="12" t="s">
        <v>257</v>
      </c>
      <c r="H1028" s="57" t="str">
        <f>Table1[[#This Row],[Tabela]]&amp;Table1[[#This Row],[Campo]]</f>
        <v>modesg_inp_nfrd_alinhamento_taxccm_capex_trnstn_algnd</v>
      </c>
      <c r="I1028" s="2" t="s">
        <v>612</v>
      </c>
      <c r="J1028" s="45">
        <f>VLOOKUP(Table1[[#This Row],[Status]],Auxiliar!$B$16:$C$24,2,0)</f>
        <v>1</v>
      </c>
      <c r="K1028" s="20" t="s">
        <v>1182</v>
      </c>
      <c r="L1028" s="27"/>
      <c r="M1028" s="20" t="s">
        <v>1179</v>
      </c>
      <c r="N1028" s="47">
        <v>45540</v>
      </c>
      <c r="O1028" s="20">
        <f>INDEX(Auxiliar!$D$5:$F$13,MATCH(Table1[[#This Row],[Tipologia_Testes]],Auxiliar!$B$5:$B$13,0),MATCH(Table1[[#This Row],[Complexidade]],Auxiliar!$D$4:$F$4,0))</f>
        <v>0.5</v>
      </c>
      <c r="P1028" s="2"/>
      <c r="Q1028" s="2"/>
      <c r="R1028" s="151">
        <v>45261</v>
      </c>
      <c r="S1028" s="151"/>
      <c r="T1028" s="151"/>
      <c r="U1028" s="151">
        <v>45603</v>
      </c>
      <c r="V1028" s="151">
        <v>45534</v>
      </c>
      <c r="W1028" s="2">
        <f>VLOOKUP(Table1[[#This Row],[Status]],Auxiliar!$B$16:$D$24,3,0)*Table1[[#This Row],[Estimação (horas)]]</f>
        <v>0.5</v>
      </c>
      <c r="X1028" s="166">
        <f>+VLOOKUP(CONCATENATE(Table1[[#This Row],[Tabela]],Table1[[#This Row],[Campo]]),'2. Status Detalhe Campos FY24'!A:J,9,FALSE)</f>
        <v>0</v>
      </c>
    </row>
    <row r="1029" spans="2:24" ht="17.850000000000001" hidden="1" customHeight="1">
      <c r="B1029" s="12" t="s">
        <v>26</v>
      </c>
      <c r="C1029" s="12" t="s">
        <v>181</v>
      </c>
      <c r="D1029" s="12" t="s">
        <v>1228</v>
      </c>
      <c r="E1029" s="2" t="s">
        <v>38</v>
      </c>
      <c r="F1029" s="12" t="s">
        <v>215</v>
      </c>
      <c r="G1029" s="12" t="s">
        <v>258</v>
      </c>
      <c r="H1029" s="57" t="str">
        <f>Table1[[#This Row],[Tabela]]&amp;Table1[[#This Row],[Campo]]</f>
        <v>modesg_inp_nfrd_alinhamento_taxccm_capex_own_prfrmnce_algnd</v>
      </c>
      <c r="I1029" s="2" t="s">
        <v>612</v>
      </c>
      <c r="J1029" s="45">
        <f>VLOOKUP(Table1[[#This Row],[Status]],Auxiliar!$B$16:$C$24,2,0)</f>
        <v>1</v>
      </c>
      <c r="K1029" s="20" t="s">
        <v>1174</v>
      </c>
      <c r="L1029" s="27"/>
      <c r="M1029" s="20" t="s">
        <v>1179</v>
      </c>
      <c r="N1029" s="47">
        <v>45540</v>
      </c>
      <c r="O1029" s="20">
        <f>INDEX(Auxiliar!$D$5:$F$13,MATCH(Table1[[#This Row],[Tipologia_Testes]],Auxiliar!$B$5:$B$13,0),MATCH(Table1[[#This Row],[Complexidade]],Auxiliar!$D$4:$F$4,0))</f>
        <v>0.1</v>
      </c>
      <c r="P1029" s="2" t="s">
        <v>1243</v>
      </c>
      <c r="Q1029" s="2"/>
      <c r="R1029" s="151">
        <v>45261</v>
      </c>
      <c r="S1029" s="151"/>
      <c r="T1029" s="151"/>
      <c r="U1029" s="151">
        <v>45603</v>
      </c>
      <c r="V1029" s="151">
        <v>45534</v>
      </c>
      <c r="W1029" s="2">
        <f>VLOOKUP(Table1[[#This Row],[Status]],Auxiliar!$B$16:$D$24,3,0)*Table1[[#This Row],[Estimação (horas)]]</f>
        <v>0.1</v>
      </c>
      <c r="X1029" s="166">
        <f>+VLOOKUP(CONCATENATE(Table1[[#This Row],[Tabela]],Table1[[#This Row],[Campo]]),'2. Status Detalhe Campos FY24'!A:J,9,FALSE)</f>
        <v>0</v>
      </c>
    </row>
    <row r="1030" spans="2:24" ht="17.850000000000001" hidden="1" customHeight="1">
      <c r="B1030" s="12" t="s">
        <v>26</v>
      </c>
      <c r="C1030" s="12" t="s">
        <v>181</v>
      </c>
      <c r="D1030" s="12" t="s">
        <v>1228</v>
      </c>
      <c r="E1030" s="2" t="s">
        <v>38</v>
      </c>
      <c r="F1030" s="12" t="s">
        <v>215</v>
      </c>
      <c r="G1030" s="12" t="s">
        <v>258</v>
      </c>
      <c r="H1030" s="57" t="str">
        <f>Table1[[#This Row],[Tabela]]&amp;Table1[[#This Row],[Campo]]</f>
        <v>modesg_inp_nfrd_alinhamento_taxccm_capex_own_prfrmnce_algnd</v>
      </c>
      <c r="I1030" s="2" t="s">
        <v>612</v>
      </c>
      <c r="J1030" s="45">
        <f>VLOOKUP(Table1[[#This Row],[Status]],Auxiliar!$B$16:$C$24,2,0)</f>
        <v>1</v>
      </c>
      <c r="K1030" s="20" t="s">
        <v>1182</v>
      </c>
      <c r="L1030" s="27"/>
      <c r="M1030" s="20" t="s">
        <v>1179</v>
      </c>
      <c r="N1030" s="47">
        <v>45540</v>
      </c>
      <c r="O1030" s="20">
        <f>INDEX(Auxiliar!$D$5:$F$13,MATCH(Table1[[#This Row],[Tipologia_Testes]],Auxiliar!$B$5:$B$13,0),MATCH(Table1[[#This Row],[Complexidade]],Auxiliar!$D$4:$F$4,0))</f>
        <v>0.5</v>
      </c>
      <c r="P1030" s="2"/>
      <c r="Q1030" s="2"/>
      <c r="R1030" s="151">
        <v>45261</v>
      </c>
      <c r="S1030" s="151"/>
      <c r="T1030" s="151"/>
      <c r="U1030" s="151">
        <v>45603</v>
      </c>
      <c r="V1030" s="151">
        <v>45534</v>
      </c>
      <c r="W1030" s="2">
        <f>VLOOKUP(Table1[[#This Row],[Status]],Auxiliar!$B$16:$D$24,3,0)*Table1[[#This Row],[Estimação (horas)]]</f>
        <v>0.5</v>
      </c>
      <c r="X1030" s="166">
        <f>+VLOOKUP(CONCATENATE(Table1[[#This Row],[Tabela]],Table1[[#This Row],[Campo]]),'2. Status Detalhe Campos FY24'!A:J,9,FALSE)</f>
        <v>0</v>
      </c>
    </row>
    <row r="1031" spans="2:24" ht="17.850000000000001" hidden="1" customHeight="1">
      <c r="B1031" s="12" t="s">
        <v>26</v>
      </c>
      <c r="C1031" s="12" t="s">
        <v>181</v>
      </c>
      <c r="D1031" s="12" t="s">
        <v>1228</v>
      </c>
      <c r="E1031" s="2" t="s">
        <v>38</v>
      </c>
      <c r="F1031" s="12" t="s">
        <v>215</v>
      </c>
      <c r="G1031" s="12" t="s">
        <v>259</v>
      </c>
      <c r="H1031" s="57" t="str">
        <f>Table1[[#This Row],[Tabela]]&amp;Table1[[#This Row],[Campo]]</f>
        <v>modesg_inp_nfrd_alinhamento_taxppc_trnvr_ttl_elgbl</v>
      </c>
      <c r="I1031" s="2" t="s">
        <v>612</v>
      </c>
      <c r="J1031" s="45">
        <f>VLOOKUP(Table1[[#This Row],[Status]],Auxiliar!$B$16:$C$24,2,0)</f>
        <v>1</v>
      </c>
      <c r="K1031" s="20" t="s">
        <v>1174</v>
      </c>
      <c r="L1031" s="2" t="s">
        <v>641</v>
      </c>
      <c r="M1031" s="20" t="s">
        <v>1179</v>
      </c>
      <c r="N1031" s="47">
        <v>45540</v>
      </c>
      <c r="O1031" s="20">
        <f>INDEX(Auxiliar!$D$5:$F$13,MATCH(Table1[[#This Row],[Tipologia_Testes]],Auxiliar!$B$5:$B$13,0),MATCH(Table1[[#This Row],[Complexidade]],Auxiliar!$D$4:$F$4,0))</f>
        <v>0.1</v>
      </c>
      <c r="P1031" s="2" t="s">
        <v>1244</v>
      </c>
      <c r="Q1031" s="2"/>
      <c r="R1031" s="151">
        <v>45261</v>
      </c>
      <c r="S1031" s="151"/>
      <c r="T1031" s="151"/>
      <c r="U1031" s="151">
        <v>45603</v>
      </c>
      <c r="V1031" s="151">
        <v>45534</v>
      </c>
      <c r="W1031" s="2">
        <f>VLOOKUP(Table1[[#This Row],[Status]],Auxiliar!$B$16:$D$24,3,0)*Table1[[#This Row],[Estimação (horas)]]</f>
        <v>0.1</v>
      </c>
      <c r="X1031" s="166">
        <f>+VLOOKUP(CONCATENATE(Table1[[#This Row],[Tabela]],Table1[[#This Row],[Campo]]),'2. Status Detalhe Campos FY24'!A:J,9,FALSE)</f>
        <v>0</v>
      </c>
    </row>
    <row r="1032" spans="2:24" ht="17.850000000000001" hidden="1" customHeight="1">
      <c r="B1032" s="12" t="s">
        <v>26</v>
      </c>
      <c r="C1032" s="12" t="s">
        <v>181</v>
      </c>
      <c r="D1032" s="12" t="s">
        <v>1228</v>
      </c>
      <c r="E1032" s="2" t="s">
        <v>38</v>
      </c>
      <c r="F1032" s="12" t="s">
        <v>215</v>
      </c>
      <c r="G1032" s="12" t="s">
        <v>259</v>
      </c>
      <c r="H1032" s="57" t="str">
        <f>Table1[[#This Row],[Tabela]]&amp;Table1[[#This Row],[Campo]]</f>
        <v>modesg_inp_nfrd_alinhamento_taxppc_trnvr_ttl_elgbl</v>
      </c>
      <c r="I1032" s="2" t="s">
        <v>612</v>
      </c>
      <c r="J1032" s="45">
        <f>VLOOKUP(Table1[[#This Row],[Status]],Auxiliar!$B$16:$C$24,2,0)</f>
        <v>1</v>
      </c>
      <c r="K1032" s="20" t="s">
        <v>1182</v>
      </c>
      <c r="L1032" s="2" t="s">
        <v>641</v>
      </c>
      <c r="M1032" s="20" t="s">
        <v>1179</v>
      </c>
      <c r="N1032" s="47">
        <v>45540</v>
      </c>
      <c r="O1032" s="20">
        <f>INDEX(Auxiliar!$D$5:$F$13,MATCH(Table1[[#This Row],[Tipologia_Testes]],Auxiliar!$B$5:$B$13,0),MATCH(Table1[[#This Row],[Complexidade]],Auxiliar!$D$4:$F$4,0))</f>
        <v>0.5</v>
      </c>
      <c r="P1032" s="2"/>
      <c r="Q1032" s="2"/>
      <c r="R1032" s="151">
        <v>45261</v>
      </c>
      <c r="S1032" s="151"/>
      <c r="T1032" s="151"/>
      <c r="U1032" s="151">
        <v>45603</v>
      </c>
      <c r="V1032" s="151">
        <v>45534</v>
      </c>
      <c r="W1032" s="2">
        <f>VLOOKUP(Table1[[#This Row],[Status]],Auxiliar!$B$16:$D$24,3,0)*Table1[[#This Row],[Estimação (horas)]]</f>
        <v>0.5</v>
      </c>
      <c r="X1032" s="166">
        <f>+VLOOKUP(CONCATENATE(Table1[[#This Row],[Tabela]],Table1[[#This Row],[Campo]]),'2. Status Detalhe Campos FY24'!A:J,9,FALSE)</f>
        <v>0</v>
      </c>
    </row>
    <row r="1033" spans="2:24" ht="17.850000000000001" hidden="1" customHeight="1">
      <c r="B1033" s="12" t="s">
        <v>26</v>
      </c>
      <c r="C1033" s="12" t="s">
        <v>181</v>
      </c>
      <c r="D1033" s="12" t="s">
        <v>1228</v>
      </c>
      <c r="E1033" s="2" t="s">
        <v>38</v>
      </c>
      <c r="F1033" s="12" t="s">
        <v>215</v>
      </c>
      <c r="G1033" s="12" t="s">
        <v>260</v>
      </c>
      <c r="H1033" s="57" t="str">
        <f>Table1[[#This Row],[Tabela]]&amp;Table1[[#This Row],[Campo]]</f>
        <v>modesg_inp_nfrd_alinhamento_taxppc_turnover_own_prfrmnce_algnd</v>
      </c>
      <c r="I1033" s="2" t="s">
        <v>612</v>
      </c>
      <c r="J1033" s="45">
        <f>VLOOKUP(Table1[[#This Row],[Status]],Auxiliar!$B$16:$C$24,2,0)</f>
        <v>1</v>
      </c>
      <c r="K1033" s="20" t="s">
        <v>1174</v>
      </c>
      <c r="L1033" s="2" t="s">
        <v>641</v>
      </c>
      <c r="M1033" s="20" t="s">
        <v>1179</v>
      </c>
      <c r="N1033" s="47">
        <v>45540</v>
      </c>
      <c r="O1033" s="20">
        <f>INDEX(Auxiliar!$D$5:$F$13,MATCH(Table1[[#This Row],[Tipologia_Testes]],Auxiliar!$B$5:$B$13,0),MATCH(Table1[[#This Row],[Complexidade]],Auxiliar!$D$4:$F$4,0))</f>
        <v>0.1</v>
      </c>
      <c r="P1033" s="2" t="s">
        <v>1244</v>
      </c>
      <c r="Q1033" s="2"/>
      <c r="R1033" s="151">
        <v>45261</v>
      </c>
      <c r="S1033" s="151"/>
      <c r="T1033" s="151"/>
      <c r="U1033" s="151">
        <v>45603</v>
      </c>
      <c r="V1033" s="151">
        <v>45534</v>
      </c>
      <c r="W1033" s="2">
        <f>VLOOKUP(Table1[[#This Row],[Status]],Auxiliar!$B$16:$D$24,3,0)*Table1[[#This Row],[Estimação (horas)]]</f>
        <v>0.1</v>
      </c>
      <c r="X1033" s="166">
        <f>+VLOOKUP(CONCATENATE(Table1[[#This Row],[Tabela]],Table1[[#This Row],[Campo]]),'2. Status Detalhe Campos FY24'!A:J,9,FALSE)</f>
        <v>0</v>
      </c>
    </row>
    <row r="1034" spans="2:24" ht="17.850000000000001" hidden="1" customHeight="1">
      <c r="B1034" s="12" t="s">
        <v>26</v>
      </c>
      <c r="C1034" s="12" t="s">
        <v>181</v>
      </c>
      <c r="D1034" s="12" t="s">
        <v>1228</v>
      </c>
      <c r="E1034" s="2" t="s">
        <v>38</v>
      </c>
      <c r="F1034" s="12" t="s">
        <v>215</v>
      </c>
      <c r="G1034" s="12" t="s">
        <v>260</v>
      </c>
      <c r="H1034" s="57" t="str">
        <f>Table1[[#This Row],[Tabela]]&amp;Table1[[#This Row],[Campo]]</f>
        <v>modesg_inp_nfrd_alinhamento_taxppc_turnover_own_prfrmnce_algnd</v>
      </c>
      <c r="I1034" s="2" t="s">
        <v>612</v>
      </c>
      <c r="J1034" s="45">
        <f>VLOOKUP(Table1[[#This Row],[Status]],Auxiliar!$B$16:$C$24,2,0)</f>
        <v>1</v>
      </c>
      <c r="K1034" s="20" t="s">
        <v>1182</v>
      </c>
      <c r="L1034" s="2" t="s">
        <v>641</v>
      </c>
      <c r="M1034" s="20" t="s">
        <v>1179</v>
      </c>
      <c r="N1034" s="47">
        <v>45540</v>
      </c>
      <c r="O1034" s="20">
        <f>INDEX(Auxiliar!$D$5:$F$13,MATCH(Table1[[#This Row],[Tipologia_Testes]],Auxiliar!$B$5:$B$13,0),MATCH(Table1[[#This Row],[Complexidade]],Auxiliar!$D$4:$F$4,0))</f>
        <v>0.5</v>
      </c>
      <c r="P1034" s="2"/>
      <c r="Q1034" s="2"/>
      <c r="R1034" s="151">
        <v>45261</v>
      </c>
      <c r="S1034" s="151"/>
      <c r="T1034" s="151"/>
      <c r="U1034" s="151">
        <v>45603</v>
      </c>
      <c r="V1034" s="151">
        <v>45534</v>
      </c>
      <c r="W1034" s="2">
        <f>VLOOKUP(Table1[[#This Row],[Status]],Auxiliar!$B$16:$D$24,3,0)*Table1[[#This Row],[Estimação (horas)]]</f>
        <v>0.5</v>
      </c>
      <c r="X1034" s="166">
        <f>+VLOOKUP(CONCATENATE(Table1[[#This Row],[Tabela]],Table1[[#This Row],[Campo]]),'2. Status Detalhe Campos FY24'!A:J,9,FALSE)</f>
        <v>0</v>
      </c>
    </row>
    <row r="1035" spans="2:24" ht="17.850000000000001" hidden="1" customHeight="1">
      <c r="B1035" s="12" t="s">
        <v>26</v>
      </c>
      <c r="C1035" s="12" t="s">
        <v>181</v>
      </c>
      <c r="D1035" s="12" t="s">
        <v>1228</v>
      </c>
      <c r="E1035" s="2" t="s">
        <v>38</v>
      </c>
      <c r="F1035" s="12" t="s">
        <v>215</v>
      </c>
      <c r="G1035" s="12" t="s">
        <v>261</v>
      </c>
      <c r="H1035" s="57" t="str">
        <f>Table1[[#This Row],[Tabela]]&amp;Table1[[#This Row],[Campo]]</f>
        <v>modesg_inp_nfrd_alinhamento_taxppc_capex_ttl_elgbl</v>
      </c>
      <c r="I1035" s="2" t="s">
        <v>612</v>
      </c>
      <c r="J1035" s="45">
        <f>VLOOKUP(Table1[[#This Row],[Status]],Auxiliar!$B$16:$C$24,2,0)</f>
        <v>1</v>
      </c>
      <c r="K1035" s="20" t="s">
        <v>1174</v>
      </c>
      <c r="L1035" s="2" t="s">
        <v>641</v>
      </c>
      <c r="M1035" s="20" t="s">
        <v>1179</v>
      </c>
      <c r="N1035" s="47">
        <v>45540</v>
      </c>
      <c r="O1035" s="20">
        <f>INDEX(Auxiliar!$D$5:$F$13,MATCH(Table1[[#This Row],[Tipologia_Testes]],Auxiliar!$B$5:$B$13,0),MATCH(Table1[[#This Row],[Complexidade]],Auxiliar!$D$4:$F$4,0))</f>
        <v>0.1</v>
      </c>
      <c r="P1035" s="2" t="s">
        <v>1244</v>
      </c>
      <c r="Q1035" s="2"/>
      <c r="R1035" s="151">
        <v>45261</v>
      </c>
      <c r="S1035" s="151"/>
      <c r="T1035" s="151"/>
      <c r="U1035" s="151">
        <v>45603</v>
      </c>
      <c r="V1035" s="151">
        <v>45534</v>
      </c>
      <c r="W1035" s="2">
        <f>VLOOKUP(Table1[[#This Row],[Status]],Auxiliar!$B$16:$D$24,3,0)*Table1[[#This Row],[Estimação (horas)]]</f>
        <v>0.1</v>
      </c>
      <c r="X1035" s="166">
        <f>+VLOOKUP(CONCATENATE(Table1[[#This Row],[Tabela]],Table1[[#This Row],[Campo]]),'2. Status Detalhe Campos FY24'!A:J,9,FALSE)</f>
        <v>0</v>
      </c>
    </row>
    <row r="1036" spans="2:24" ht="17.850000000000001" hidden="1" customHeight="1">
      <c r="B1036" s="12" t="s">
        <v>26</v>
      </c>
      <c r="C1036" s="12" t="s">
        <v>181</v>
      </c>
      <c r="D1036" s="12" t="s">
        <v>1228</v>
      </c>
      <c r="E1036" s="2" t="s">
        <v>38</v>
      </c>
      <c r="F1036" s="12" t="s">
        <v>215</v>
      </c>
      <c r="G1036" s="12" t="s">
        <v>261</v>
      </c>
      <c r="H1036" s="57" t="str">
        <f>Table1[[#This Row],[Tabela]]&amp;Table1[[#This Row],[Campo]]</f>
        <v>modesg_inp_nfrd_alinhamento_taxppc_capex_ttl_elgbl</v>
      </c>
      <c r="I1036" s="2" t="s">
        <v>612</v>
      </c>
      <c r="J1036" s="45">
        <f>VLOOKUP(Table1[[#This Row],[Status]],Auxiliar!$B$16:$C$24,2,0)</f>
        <v>1</v>
      </c>
      <c r="K1036" s="20" t="s">
        <v>1182</v>
      </c>
      <c r="L1036" s="2" t="s">
        <v>641</v>
      </c>
      <c r="M1036" s="20" t="s">
        <v>1179</v>
      </c>
      <c r="N1036" s="47">
        <v>45540</v>
      </c>
      <c r="O1036" s="20">
        <f>INDEX(Auxiliar!$D$5:$F$13,MATCH(Table1[[#This Row],[Tipologia_Testes]],Auxiliar!$B$5:$B$13,0),MATCH(Table1[[#This Row],[Complexidade]],Auxiliar!$D$4:$F$4,0))</f>
        <v>0.5</v>
      </c>
      <c r="P1036" s="2"/>
      <c r="Q1036" s="2"/>
      <c r="R1036" s="151">
        <v>45261</v>
      </c>
      <c r="S1036" s="151"/>
      <c r="T1036" s="151"/>
      <c r="U1036" s="151">
        <v>45603</v>
      </c>
      <c r="V1036" s="151">
        <v>45534</v>
      </c>
      <c r="W1036" s="2">
        <f>VLOOKUP(Table1[[#This Row],[Status]],Auxiliar!$B$16:$D$24,3,0)*Table1[[#This Row],[Estimação (horas)]]</f>
        <v>0.5</v>
      </c>
      <c r="X1036" s="166">
        <f>+VLOOKUP(CONCATENATE(Table1[[#This Row],[Tabela]],Table1[[#This Row],[Campo]]),'2. Status Detalhe Campos FY24'!A:J,9,FALSE)</f>
        <v>0</v>
      </c>
    </row>
    <row r="1037" spans="2:24" ht="17.850000000000001" hidden="1" customHeight="1">
      <c r="B1037" s="12" t="s">
        <v>26</v>
      </c>
      <c r="C1037" s="12" t="s">
        <v>181</v>
      </c>
      <c r="D1037" s="12" t="s">
        <v>1228</v>
      </c>
      <c r="E1037" s="2" t="s">
        <v>38</v>
      </c>
      <c r="F1037" s="12" t="s">
        <v>215</v>
      </c>
      <c r="G1037" s="12" t="s">
        <v>262</v>
      </c>
      <c r="H1037" s="57" t="str">
        <f>Table1[[#This Row],[Tabela]]&amp;Table1[[#This Row],[Campo]]</f>
        <v>modesg_inp_nfrd_alinhamento_taxppc_capex_own_prfrmnce_algnd</v>
      </c>
      <c r="I1037" s="2" t="s">
        <v>612</v>
      </c>
      <c r="J1037" s="45">
        <f>VLOOKUP(Table1[[#This Row],[Status]],Auxiliar!$B$16:$C$24,2,0)</f>
        <v>1</v>
      </c>
      <c r="K1037" s="20" t="s">
        <v>1174</v>
      </c>
      <c r="L1037" s="2" t="s">
        <v>641</v>
      </c>
      <c r="M1037" s="20" t="s">
        <v>1179</v>
      </c>
      <c r="N1037" s="47">
        <v>45540</v>
      </c>
      <c r="O1037" s="20">
        <f>INDEX(Auxiliar!$D$5:$F$13,MATCH(Table1[[#This Row],[Tipologia_Testes]],Auxiliar!$B$5:$B$13,0),MATCH(Table1[[#This Row],[Complexidade]],Auxiliar!$D$4:$F$4,0))</f>
        <v>0.1</v>
      </c>
      <c r="P1037" s="2" t="s">
        <v>1244</v>
      </c>
      <c r="Q1037" s="2"/>
      <c r="R1037" s="151">
        <v>45261</v>
      </c>
      <c r="S1037" s="151"/>
      <c r="T1037" s="151"/>
      <c r="U1037" s="151">
        <v>45603</v>
      </c>
      <c r="V1037" s="151">
        <v>45534</v>
      </c>
      <c r="W1037" s="2">
        <f>VLOOKUP(Table1[[#This Row],[Status]],Auxiliar!$B$16:$D$24,3,0)*Table1[[#This Row],[Estimação (horas)]]</f>
        <v>0.1</v>
      </c>
      <c r="X1037" s="166">
        <f>+VLOOKUP(CONCATENATE(Table1[[#This Row],[Tabela]],Table1[[#This Row],[Campo]]),'2. Status Detalhe Campos FY24'!A:J,9,FALSE)</f>
        <v>0</v>
      </c>
    </row>
    <row r="1038" spans="2:24" ht="17.850000000000001" hidden="1" customHeight="1">
      <c r="B1038" s="12" t="s">
        <v>26</v>
      </c>
      <c r="C1038" s="12" t="s">
        <v>181</v>
      </c>
      <c r="D1038" s="12" t="s">
        <v>1228</v>
      </c>
      <c r="E1038" s="2" t="s">
        <v>38</v>
      </c>
      <c r="F1038" s="12" t="s">
        <v>215</v>
      </c>
      <c r="G1038" s="12" t="s">
        <v>262</v>
      </c>
      <c r="H1038" s="57" t="str">
        <f>Table1[[#This Row],[Tabela]]&amp;Table1[[#This Row],[Campo]]</f>
        <v>modesg_inp_nfrd_alinhamento_taxppc_capex_own_prfrmnce_algnd</v>
      </c>
      <c r="I1038" s="2" t="s">
        <v>612</v>
      </c>
      <c r="J1038" s="45">
        <f>VLOOKUP(Table1[[#This Row],[Status]],Auxiliar!$B$16:$C$24,2,0)</f>
        <v>1</v>
      </c>
      <c r="K1038" s="20" t="s">
        <v>1182</v>
      </c>
      <c r="L1038" s="2" t="s">
        <v>641</v>
      </c>
      <c r="M1038" s="20" t="s">
        <v>1179</v>
      </c>
      <c r="N1038" s="47">
        <v>45540</v>
      </c>
      <c r="O1038" s="20">
        <f>INDEX(Auxiliar!$D$5:$F$13,MATCH(Table1[[#This Row],[Tipologia_Testes]],Auxiliar!$B$5:$B$13,0),MATCH(Table1[[#This Row],[Complexidade]],Auxiliar!$D$4:$F$4,0))</f>
        <v>0.5</v>
      </c>
      <c r="P1038" s="2"/>
      <c r="Q1038" s="2"/>
      <c r="R1038" s="151">
        <v>45261</v>
      </c>
      <c r="S1038" s="151"/>
      <c r="T1038" s="151"/>
      <c r="U1038" s="151">
        <v>45603</v>
      </c>
      <c r="V1038" s="151">
        <v>45534</v>
      </c>
      <c r="W1038" s="2">
        <f>VLOOKUP(Table1[[#This Row],[Status]],Auxiliar!$B$16:$D$24,3,0)*Table1[[#This Row],[Estimação (horas)]]</f>
        <v>0.5</v>
      </c>
      <c r="X1038" s="166">
        <f>+VLOOKUP(CONCATENATE(Table1[[#This Row],[Tabela]],Table1[[#This Row],[Campo]]),'2. Status Detalhe Campos FY24'!A:J,9,FALSE)</f>
        <v>0</v>
      </c>
    </row>
    <row r="1039" spans="2:24" ht="17.850000000000001" hidden="1" customHeight="1">
      <c r="B1039" s="12" t="s">
        <v>26</v>
      </c>
      <c r="C1039" s="12" t="s">
        <v>181</v>
      </c>
      <c r="D1039" s="12" t="s">
        <v>1228</v>
      </c>
      <c r="E1039" s="2" t="s">
        <v>38</v>
      </c>
      <c r="F1039" s="12" t="s">
        <v>215</v>
      </c>
      <c r="G1039" s="12" t="s">
        <v>263</v>
      </c>
      <c r="H1039" s="57" t="str">
        <f>Table1[[#This Row],[Tabela]]&amp;Table1[[#This Row],[Campo]]</f>
        <v>modesg_inp_nfrd_alinhamento_taxbio_trnvr_ttl_elgbl</v>
      </c>
      <c r="I1039" s="2" t="s">
        <v>612</v>
      </c>
      <c r="J1039" s="45">
        <f>VLOOKUP(Table1[[#This Row],[Status]],Auxiliar!$B$16:$C$24,2,0)</f>
        <v>1</v>
      </c>
      <c r="K1039" s="20" t="s">
        <v>1174</v>
      </c>
      <c r="L1039" s="2" t="s">
        <v>641</v>
      </c>
      <c r="M1039" s="20" t="s">
        <v>1179</v>
      </c>
      <c r="N1039" s="47">
        <v>45540</v>
      </c>
      <c r="O1039" s="20">
        <f>INDEX(Auxiliar!$D$5:$F$13,MATCH(Table1[[#This Row],[Tipologia_Testes]],Auxiliar!$B$5:$B$13,0),MATCH(Table1[[#This Row],[Complexidade]],Auxiliar!$D$4:$F$4,0))</f>
        <v>0.1</v>
      </c>
      <c r="P1039" s="2" t="s">
        <v>1244</v>
      </c>
      <c r="Q1039" s="2"/>
      <c r="R1039" s="151">
        <v>45261</v>
      </c>
      <c r="S1039" s="151"/>
      <c r="T1039" s="151"/>
      <c r="U1039" s="151">
        <v>45603</v>
      </c>
      <c r="V1039" s="151">
        <v>45534</v>
      </c>
      <c r="W1039" s="2">
        <f>VLOOKUP(Table1[[#This Row],[Status]],Auxiliar!$B$16:$D$24,3,0)*Table1[[#This Row],[Estimação (horas)]]</f>
        <v>0.1</v>
      </c>
      <c r="X1039" s="166">
        <f>+VLOOKUP(CONCATENATE(Table1[[#This Row],[Tabela]],Table1[[#This Row],[Campo]]),'2. Status Detalhe Campos FY24'!A:J,9,FALSE)</f>
        <v>0</v>
      </c>
    </row>
    <row r="1040" spans="2:24" ht="17.850000000000001" hidden="1" customHeight="1">
      <c r="B1040" s="12" t="s">
        <v>26</v>
      </c>
      <c r="C1040" s="12" t="s">
        <v>181</v>
      </c>
      <c r="D1040" s="12" t="s">
        <v>1228</v>
      </c>
      <c r="E1040" s="2" t="s">
        <v>38</v>
      </c>
      <c r="F1040" s="12" t="s">
        <v>215</v>
      </c>
      <c r="G1040" s="12" t="s">
        <v>263</v>
      </c>
      <c r="H1040" s="57" t="str">
        <f>Table1[[#This Row],[Tabela]]&amp;Table1[[#This Row],[Campo]]</f>
        <v>modesg_inp_nfrd_alinhamento_taxbio_trnvr_ttl_elgbl</v>
      </c>
      <c r="I1040" s="2" t="s">
        <v>612</v>
      </c>
      <c r="J1040" s="45">
        <f>VLOOKUP(Table1[[#This Row],[Status]],Auxiliar!$B$16:$C$24,2,0)</f>
        <v>1</v>
      </c>
      <c r="K1040" s="20" t="s">
        <v>1182</v>
      </c>
      <c r="L1040" s="2" t="s">
        <v>641</v>
      </c>
      <c r="M1040" s="20" t="s">
        <v>1179</v>
      </c>
      <c r="N1040" s="47">
        <v>45540</v>
      </c>
      <c r="O1040" s="20">
        <f>INDEX(Auxiliar!$D$5:$F$13,MATCH(Table1[[#This Row],[Tipologia_Testes]],Auxiliar!$B$5:$B$13,0),MATCH(Table1[[#This Row],[Complexidade]],Auxiliar!$D$4:$F$4,0))</f>
        <v>0.5</v>
      </c>
      <c r="P1040" s="2"/>
      <c r="Q1040" s="2"/>
      <c r="R1040" s="151">
        <v>45261</v>
      </c>
      <c r="S1040" s="151"/>
      <c r="T1040" s="151"/>
      <c r="U1040" s="151">
        <v>45603</v>
      </c>
      <c r="V1040" s="151">
        <v>45534</v>
      </c>
      <c r="W1040" s="2">
        <f>VLOOKUP(Table1[[#This Row],[Status]],Auxiliar!$B$16:$D$24,3,0)*Table1[[#This Row],[Estimação (horas)]]</f>
        <v>0.5</v>
      </c>
      <c r="X1040" s="166">
        <f>+VLOOKUP(CONCATENATE(Table1[[#This Row],[Tabela]],Table1[[#This Row],[Campo]]),'2. Status Detalhe Campos FY24'!A:J,9,FALSE)</f>
        <v>0</v>
      </c>
    </row>
    <row r="1041" spans="2:24" ht="17.850000000000001" hidden="1" customHeight="1">
      <c r="B1041" s="12" t="s">
        <v>26</v>
      </c>
      <c r="C1041" s="12" t="s">
        <v>181</v>
      </c>
      <c r="D1041" s="12" t="s">
        <v>1228</v>
      </c>
      <c r="E1041" s="2" t="s">
        <v>38</v>
      </c>
      <c r="F1041" s="12" t="s">
        <v>215</v>
      </c>
      <c r="G1041" s="12" t="s">
        <v>264</v>
      </c>
      <c r="H1041" s="57" t="str">
        <f>Table1[[#This Row],[Tabela]]&amp;Table1[[#This Row],[Campo]]</f>
        <v>modesg_inp_nfrd_alinhamento_taxbio_turnover_own_prfrmnce_algnd</v>
      </c>
      <c r="I1041" s="2" t="s">
        <v>612</v>
      </c>
      <c r="J1041" s="45">
        <f>VLOOKUP(Table1[[#This Row],[Status]],Auxiliar!$B$16:$C$24,2,0)</f>
        <v>1</v>
      </c>
      <c r="K1041" s="20" t="s">
        <v>1174</v>
      </c>
      <c r="L1041" s="2" t="s">
        <v>641</v>
      </c>
      <c r="M1041" s="20" t="s">
        <v>1179</v>
      </c>
      <c r="N1041" s="47">
        <v>45540</v>
      </c>
      <c r="O1041" s="20">
        <f>INDEX(Auxiliar!$D$5:$F$13,MATCH(Table1[[#This Row],[Tipologia_Testes]],Auxiliar!$B$5:$B$13,0),MATCH(Table1[[#This Row],[Complexidade]],Auxiliar!$D$4:$F$4,0))</f>
        <v>0.1</v>
      </c>
      <c r="P1041" s="2" t="s">
        <v>1244</v>
      </c>
      <c r="Q1041" s="2"/>
      <c r="R1041" s="151">
        <v>45261</v>
      </c>
      <c r="S1041" s="151"/>
      <c r="T1041" s="151"/>
      <c r="U1041" s="151">
        <v>45603</v>
      </c>
      <c r="V1041" s="151">
        <v>45534</v>
      </c>
      <c r="W1041" s="2">
        <f>VLOOKUP(Table1[[#This Row],[Status]],Auxiliar!$B$16:$D$24,3,0)*Table1[[#This Row],[Estimação (horas)]]</f>
        <v>0.1</v>
      </c>
      <c r="X1041" s="166">
        <f>+VLOOKUP(CONCATENATE(Table1[[#This Row],[Tabela]],Table1[[#This Row],[Campo]]),'2. Status Detalhe Campos FY24'!A:J,9,FALSE)</f>
        <v>0</v>
      </c>
    </row>
    <row r="1042" spans="2:24" ht="17.850000000000001" hidden="1" customHeight="1">
      <c r="B1042" s="12" t="s">
        <v>26</v>
      </c>
      <c r="C1042" s="12" t="s">
        <v>181</v>
      </c>
      <c r="D1042" s="12" t="s">
        <v>1228</v>
      </c>
      <c r="E1042" s="2" t="s">
        <v>38</v>
      </c>
      <c r="F1042" s="12" t="s">
        <v>215</v>
      </c>
      <c r="G1042" s="12" t="s">
        <v>264</v>
      </c>
      <c r="H1042" s="57" t="str">
        <f>Table1[[#This Row],[Tabela]]&amp;Table1[[#This Row],[Campo]]</f>
        <v>modesg_inp_nfrd_alinhamento_taxbio_turnover_own_prfrmnce_algnd</v>
      </c>
      <c r="I1042" s="2" t="s">
        <v>612</v>
      </c>
      <c r="J1042" s="45">
        <f>VLOOKUP(Table1[[#This Row],[Status]],Auxiliar!$B$16:$C$24,2,0)</f>
        <v>1</v>
      </c>
      <c r="K1042" s="20" t="s">
        <v>1182</v>
      </c>
      <c r="L1042" s="2" t="s">
        <v>641</v>
      </c>
      <c r="M1042" s="20" t="s">
        <v>1179</v>
      </c>
      <c r="N1042" s="47">
        <v>45540</v>
      </c>
      <c r="O1042" s="20">
        <f>INDEX(Auxiliar!$D$5:$F$13,MATCH(Table1[[#This Row],[Tipologia_Testes]],Auxiliar!$B$5:$B$13,0),MATCH(Table1[[#This Row],[Complexidade]],Auxiliar!$D$4:$F$4,0))</f>
        <v>0.5</v>
      </c>
      <c r="P1042" s="2"/>
      <c r="Q1042" s="2"/>
      <c r="R1042" s="151">
        <v>45261</v>
      </c>
      <c r="S1042" s="151"/>
      <c r="T1042" s="151"/>
      <c r="U1042" s="151">
        <v>45603</v>
      </c>
      <c r="V1042" s="151">
        <v>45534</v>
      </c>
      <c r="W1042" s="2">
        <f>VLOOKUP(Table1[[#This Row],[Status]],Auxiliar!$B$16:$D$24,3,0)*Table1[[#This Row],[Estimação (horas)]]</f>
        <v>0.5</v>
      </c>
      <c r="X1042" s="166">
        <f>+VLOOKUP(CONCATENATE(Table1[[#This Row],[Tabela]],Table1[[#This Row],[Campo]]),'2. Status Detalhe Campos FY24'!A:J,9,FALSE)</f>
        <v>0</v>
      </c>
    </row>
    <row r="1043" spans="2:24" ht="17.850000000000001" hidden="1" customHeight="1">
      <c r="B1043" s="12" t="s">
        <v>26</v>
      </c>
      <c r="C1043" s="12" t="s">
        <v>181</v>
      </c>
      <c r="D1043" s="12" t="s">
        <v>1228</v>
      </c>
      <c r="E1043" s="2" t="s">
        <v>38</v>
      </c>
      <c r="F1043" s="12" t="s">
        <v>215</v>
      </c>
      <c r="G1043" s="12" t="s">
        <v>265</v>
      </c>
      <c r="H1043" s="57" t="str">
        <f>Table1[[#This Row],[Tabela]]&amp;Table1[[#This Row],[Campo]]</f>
        <v>modesg_inp_nfrd_alinhamento_taxbio_capex_ttl_elgbl</v>
      </c>
      <c r="I1043" s="2" t="s">
        <v>612</v>
      </c>
      <c r="J1043" s="45">
        <f>VLOOKUP(Table1[[#This Row],[Status]],Auxiliar!$B$16:$C$24,2,0)</f>
        <v>1</v>
      </c>
      <c r="K1043" s="20" t="s">
        <v>1174</v>
      </c>
      <c r="L1043" s="2" t="s">
        <v>641</v>
      </c>
      <c r="M1043" s="20" t="s">
        <v>1179</v>
      </c>
      <c r="N1043" s="47">
        <v>45540</v>
      </c>
      <c r="O1043" s="20">
        <f>INDEX(Auxiliar!$D$5:$F$13,MATCH(Table1[[#This Row],[Tipologia_Testes]],Auxiliar!$B$5:$B$13,0),MATCH(Table1[[#This Row],[Complexidade]],Auxiliar!$D$4:$F$4,0))</f>
        <v>0.1</v>
      </c>
      <c r="P1043" s="2" t="s">
        <v>1244</v>
      </c>
      <c r="Q1043" s="2"/>
      <c r="R1043" s="151">
        <v>45261</v>
      </c>
      <c r="S1043" s="151"/>
      <c r="T1043" s="151"/>
      <c r="U1043" s="151">
        <v>45603</v>
      </c>
      <c r="V1043" s="151">
        <v>45534</v>
      </c>
      <c r="W1043" s="2">
        <f>VLOOKUP(Table1[[#This Row],[Status]],Auxiliar!$B$16:$D$24,3,0)*Table1[[#This Row],[Estimação (horas)]]</f>
        <v>0.1</v>
      </c>
      <c r="X1043" s="166">
        <f>+VLOOKUP(CONCATENATE(Table1[[#This Row],[Tabela]],Table1[[#This Row],[Campo]]),'2. Status Detalhe Campos FY24'!A:J,9,FALSE)</f>
        <v>0</v>
      </c>
    </row>
    <row r="1044" spans="2:24" ht="17.850000000000001" hidden="1" customHeight="1">
      <c r="B1044" s="12" t="s">
        <v>26</v>
      </c>
      <c r="C1044" s="12" t="s">
        <v>181</v>
      </c>
      <c r="D1044" s="12" t="s">
        <v>1228</v>
      </c>
      <c r="E1044" s="2" t="s">
        <v>38</v>
      </c>
      <c r="F1044" s="12" t="s">
        <v>215</v>
      </c>
      <c r="G1044" s="12" t="s">
        <v>265</v>
      </c>
      <c r="H1044" s="57" t="str">
        <f>Table1[[#This Row],[Tabela]]&amp;Table1[[#This Row],[Campo]]</f>
        <v>modesg_inp_nfrd_alinhamento_taxbio_capex_ttl_elgbl</v>
      </c>
      <c r="I1044" s="2" t="s">
        <v>612</v>
      </c>
      <c r="J1044" s="45">
        <f>VLOOKUP(Table1[[#This Row],[Status]],Auxiliar!$B$16:$C$24,2,0)</f>
        <v>1</v>
      </c>
      <c r="K1044" s="20" t="s">
        <v>1182</v>
      </c>
      <c r="L1044" s="2" t="s">
        <v>641</v>
      </c>
      <c r="M1044" s="20" t="s">
        <v>1179</v>
      </c>
      <c r="N1044" s="47">
        <v>45540</v>
      </c>
      <c r="O1044" s="20">
        <f>INDEX(Auxiliar!$D$5:$F$13,MATCH(Table1[[#This Row],[Tipologia_Testes]],Auxiliar!$B$5:$B$13,0),MATCH(Table1[[#This Row],[Complexidade]],Auxiliar!$D$4:$F$4,0))</f>
        <v>0.5</v>
      </c>
      <c r="P1044" s="2"/>
      <c r="Q1044" s="2"/>
      <c r="R1044" s="151">
        <v>45261</v>
      </c>
      <c r="S1044" s="151"/>
      <c r="T1044" s="151"/>
      <c r="U1044" s="151">
        <v>45603</v>
      </c>
      <c r="V1044" s="151">
        <v>45534</v>
      </c>
      <c r="W1044" s="2">
        <f>VLOOKUP(Table1[[#This Row],[Status]],Auxiliar!$B$16:$D$24,3,0)*Table1[[#This Row],[Estimação (horas)]]</f>
        <v>0.5</v>
      </c>
      <c r="X1044" s="166">
        <f>+VLOOKUP(CONCATENATE(Table1[[#This Row],[Tabela]],Table1[[#This Row],[Campo]]),'2. Status Detalhe Campos FY24'!A:J,9,FALSE)</f>
        <v>0</v>
      </c>
    </row>
    <row r="1045" spans="2:24" ht="17.850000000000001" hidden="1" customHeight="1">
      <c r="B1045" s="12" t="s">
        <v>26</v>
      </c>
      <c r="C1045" s="12" t="s">
        <v>181</v>
      </c>
      <c r="D1045" s="12" t="s">
        <v>1228</v>
      </c>
      <c r="E1045" s="2" t="s">
        <v>38</v>
      </c>
      <c r="F1045" s="12" t="s">
        <v>215</v>
      </c>
      <c r="G1045" s="12" t="s">
        <v>266</v>
      </c>
      <c r="H1045" s="57" t="str">
        <f>Table1[[#This Row],[Tabela]]&amp;Table1[[#This Row],[Campo]]</f>
        <v>modesg_inp_nfrd_alinhamento_taxbio_capex_own_prfrmnce_algnd</v>
      </c>
      <c r="I1045" s="2" t="s">
        <v>612</v>
      </c>
      <c r="J1045" s="45">
        <f>VLOOKUP(Table1[[#This Row],[Status]],Auxiliar!$B$16:$C$24,2,0)</f>
        <v>1</v>
      </c>
      <c r="K1045" s="20" t="s">
        <v>1174</v>
      </c>
      <c r="L1045" s="2" t="s">
        <v>641</v>
      </c>
      <c r="M1045" s="20" t="s">
        <v>1179</v>
      </c>
      <c r="N1045" s="47">
        <v>45540</v>
      </c>
      <c r="O1045" s="20">
        <f>INDEX(Auxiliar!$D$5:$F$13,MATCH(Table1[[#This Row],[Tipologia_Testes]],Auxiliar!$B$5:$B$13,0),MATCH(Table1[[#This Row],[Complexidade]],Auxiliar!$D$4:$F$4,0))</f>
        <v>0.1</v>
      </c>
      <c r="P1045" s="2" t="s">
        <v>1244</v>
      </c>
      <c r="Q1045" s="2"/>
      <c r="R1045" s="151">
        <v>45261</v>
      </c>
      <c r="S1045" s="151"/>
      <c r="T1045" s="151"/>
      <c r="U1045" s="151">
        <v>45603</v>
      </c>
      <c r="V1045" s="151">
        <v>45534</v>
      </c>
      <c r="W1045" s="2">
        <f>VLOOKUP(Table1[[#This Row],[Status]],Auxiliar!$B$16:$D$24,3,0)*Table1[[#This Row],[Estimação (horas)]]</f>
        <v>0.1</v>
      </c>
      <c r="X1045" s="166">
        <f>+VLOOKUP(CONCATENATE(Table1[[#This Row],[Tabela]],Table1[[#This Row],[Campo]]),'2. Status Detalhe Campos FY24'!A:J,9,FALSE)</f>
        <v>0</v>
      </c>
    </row>
    <row r="1046" spans="2:24" ht="17.850000000000001" hidden="1" customHeight="1">
      <c r="B1046" s="12" t="s">
        <v>26</v>
      </c>
      <c r="C1046" s="12" t="s">
        <v>181</v>
      </c>
      <c r="D1046" s="12" t="s">
        <v>1228</v>
      </c>
      <c r="E1046" s="2" t="s">
        <v>38</v>
      </c>
      <c r="F1046" s="12" t="s">
        <v>215</v>
      </c>
      <c r="G1046" s="12" t="s">
        <v>266</v>
      </c>
      <c r="H1046" s="57" t="str">
        <f>Table1[[#This Row],[Tabela]]&amp;Table1[[#This Row],[Campo]]</f>
        <v>modesg_inp_nfrd_alinhamento_taxbio_capex_own_prfrmnce_algnd</v>
      </c>
      <c r="I1046" s="2" t="s">
        <v>612</v>
      </c>
      <c r="J1046" s="45">
        <f>VLOOKUP(Table1[[#This Row],[Status]],Auxiliar!$B$16:$C$24,2,0)</f>
        <v>1</v>
      </c>
      <c r="K1046" s="20" t="s">
        <v>1182</v>
      </c>
      <c r="L1046" s="2" t="s">
        <v>641</v>
      </c>
      <c r="M1046" s="20" t="s">
        <v>1179</v>
      </c>
      <c r="N1046" s="47">
        <v>45540</v>
      </c>
      <c r="O1046" s="20">
        <f>INDEX(Auxiliar!$D$5:$F$13,MATCH(Table1[[#This Row],[Tipologia_Testes]],Auxiliar!$B$5:$B$13,0),MATCH(Table1[[#This Row],[Complexidade]],Auxiliar!$D$4:$F$4,0))</f>
        <v>0.5</v>
      </c>
      <c r="P1046" s="2"/>
      <c r="Q1046" s="2"/>
      <c r="R1046" s="151">
        <v>45261</v>
      </c>
      <c r="S1046" s="151"/>
      <c r="T1046" s="151"/>
      <c r="U1046" s="151">
        <v>45603</v>
      </c>
      <c r="V1046" s="151">
        <v>45534</v>
      </c>
      <c r="W1046" s="2">
        <f>VLOOKUP(Table1[[#This Row],[Status]],Auxiliar!$B$16:$D$24,3,0)*Table1[[#This Row],[Estimação (horas)]]</f>
        <v>0.5</v>
      </c>
      <c r="X1046" s="166">
        <f>+VLOOKUP(CONCATENATE(Table1[[#This Row],[Tabela]],Table1[[#This Row],[Campo]]),'2. Status Detalhe Campos FY24'!A:J,9,FALSE)</f>
        <v>0</v>
      </c>
    </row>
    <row r="1047" spans="2:24" ht="17.850000000000001" hidden="1" customHeight="1">
      <c r="B1047" s="12" t="s">
        <v>26</v>
      </c>
      <c r="C1047" s="12" t="s">
        <v>181</v>
      </c>
      <c r="D1047" s="12" t="s">
        <v>1228</v>
      </c>
      <c r="E1047" s="2" t="s">
        <v>38</v>
      </c>
      <c r="F1047" s="12" t="s">
        <v>215</v>
      </c>
      <c r="G1047" s="12" t="s">
        <v>267</v>
      </c>
      <c r="H1047" s="57" t="str">
        <f>Table1[[#This Row],[Tabela]]&amp;Table1[[#This Row],[Campo]]</f>
        <v>modesg_inp_nfrd_alinhamento_taxwtr_trnvr_ttl_elgbl</v>
      </c>
      <c r="I1047" s="2" t="s">
        <v>612</v>
      </c>
      <c r="J1047" s="45">
        <f>VLOOKUP(Table1[[#This Row],[Status]],Auxiliar!$B$16:$C$24,2,0)</f>
        <v>1</v>
      </c>
      <c r="K1047" s="20" t="s">
        <v>1174</v>
      </c>
      <c r="L1047" s="2" t="s">
        <v>641</v>
      </c>
      <c r="M1047" s="20" t="s">
        <v>1179</v>
      </c>
      <c r="N1047" s="47">
        <v>45540</v>
      </c>
      <c r="O1047" s="20">
        <f>INDEX(Auxiliar!$D$5:$F$13,MATCH(Table1[[#This Row],[Tipologia_Testes]],Auxiliar!$B$5:$B$13,0),MATCH(Table1[[#This Row],[Complexidade]],Auxiliar!$D$4:$F$4,0))</f>
        <v>0.1</v>
      </c>
      <c r="P1047" s="2" t="s">
        <v>1244</v>
      </c>
      <c r="Q1047" s="2"/>
      <c r="R1047" s="151">
        <v>45261</v>
      </c>
      <c r="S1047" s="151"/>
      <c r="T1047" s="151"/>
      <c r="U1047" s="151">
        <v>45603</v>
      </c>
      <c r="V1047" s="151">
        <v>45534</v>
      </c>
      <c r="W1047" s="2">
        <f>VLOOKUP(Table1[[#This Row],[Status]],Auxiliar!$B$16:$D$24,3,0)*Table1[[#This Row],[Estimação (horas)]]</f>
        <v>0.1</v>
      </c>
      <c r="X1047" s="166">
        <f>+VLOOKUP(CONCATENATE(Table1[[#This Row],[Tabela]],Table1[[#This Row],[Campo]]),'2. Status Detalhe Campos FY24'!A:J,9,FALSE)</f>
        <v>0</v>
      </c>
    </row>
    <row r="1048" spans="2:24" ht="17.850000000000001" hidden="1" customHeight="1">
      <c r="B1048" s="12" t="s">
        <v>26</v>
      </c>
      <c r="C1048" s="12" t="s">
        <v>181</v>
      </c>
      <c r="D1048" s="12" t="s">
        <v>1228</v>
      </c>
      <c r="E1048" s="2" t="s">
        <v>38</v>
      </c>
      <c r="F1048" s="12" t="s">
        <v>215</v>
      </c>
      <c r="G1048" s="12" t="s">
        <v>267</v>
      </c>
      <c r="H1048" s="57" t="str">
        <f>Table1[[#This Row],[Tabela]]&amp;Table1[[#This Row],[Campo]]</f>
        <v>modesg_inp_nfrd_alinhamento_taxwtr_trnvr_ttl_elgbl</v>
      </c>
      <c r="I1048" s="2" t="s">
        <v>612</v>
      </c>
      <c r="J1048" s="45">
        <f>VLOOKUP(Table1[[#This Row],[Status]],Auxiliar!$B$16:$C$24,2,0)</f>
        <v>1</v>
      </c>
      <c r="K1048" s="20" t="s">
        <v>1182</v>
      </c>
      <c r="L1048" s="2" t="s">
        <v>641</v>
      </c>
      <c r="M1048" s="20" t="s">
        <v>1179</v>
      </c>
      <c r="N1048" s="47">
        <v>45540</v>
      </c>
      <c r="O1048" s="20">
        <f>INDEX(Auxiliar!$D$5:$F$13,MATCH(Table1[[#This Row],[Tipologia_Testes]],Auxiliar!$B$5:$B$13,0),MATCH(Table1[[#This Row],[Complexidade]],Auxiliar!$D$4:$F$4,0))</f>
        <v>0.5</v>
      </c>
      <c r="P1048" s="2"/>
      <c r="Q1048" s="2"/>
      <c r="R1048" s="151">
        <v>45261</v>
      </c>
      <c r="S1048" s="151"/>
      <c r="T1048" s="151"/>
      <c r="U1048" s="151">
        <v>45603</v>
      </c>
      <c r="V1048" s="151">
        <v>45534</v>
      </c>
      <c r="W1048" s="2">
        <f>VLOOKUP(Table1[[#This Row],[Status]],Auxiliar!$B$16:$D$24,3,0)*Table1[[#This Row],[Estimação (horas)]]</f>
        <v>0.5</v>
      </c>
      <c r="X1048" s="166">
        <f>+VLOOKUP(CONCATENATE(Table1[[#This Row],[Tabela]],Table1[[#This Row],[Campo]]),'2. Status Detalhe Campos FY24'!A:J,9,FALSE)</f>
        <v>0</v>
      </c>
    </row>
    <row r="1049" spans="2:24" ht="17.850000000000001" hidden="1" customHeight="1">
      <c r="B1049" s="12" t="s">
        <v>26</v>
      </c>
      <c r="C1049" s="12" t="s">
        <v>181</v>
      </c>
      <c r="D1049" s="12" t="s">
        <v>1228</v>
      </c>
      <c r="E1049" s="2" t="s">
        <v>38</v>
      </c>
      <c r="F1049" s="12" t="s">
        <v>215</v>
      </c>
      <c r="G1049" s="12" t="s">
        <v>268</v>
      </c>
      <c r="H1049" s="57" t="str">
        <f>Table1[[#This Row],[Tabela]]&amp;Table1[[#This Row],[Campo]]</f>
        <v>modesg_inp_nfrd_alinhamento_taxwtr_trnvr_enblng_alignd</v>
      </c>
      <c r="I1049" s="2" t="s">
        <v>612</v>
      </c>
      <c r="J1049" s="45">
        <f>VLOOKUP(Table1[[#This Row],[Status]],Auxiliar!$B$16:$C$24,2,0)</f>
        <v>1</v>
      </c>
      <c r="K1049" s="20" t="s">
        <v>1174</v>
      </c>
      <c r="L1049" s="2" t="s">
        <v>641</v>
      </c>
      <c r="M1049" s="20" t="s">
        <v>1179</v>
      </c>
      <c r="N1049" s="47">
        <v>45540</v>
      </c>
      <c r="O1049" s="20">
        <f>INDEX(Auxiliar!$D$5:$F$13,MATCH(Table1[[#This Row],[Tipologia_Testes]],Auxiliar!$B$5:$B$13,0),MATCH(Table1[[#This Row],[Complexidade]],Auxiliar!$D$4:$F$4,0))</f>
        <v>0.1</v>
      </c>
      <c r="P1049" s="2" t="s">
        <v>1244</v>
      </c>
      <c r="Q1049" s="2"/>
      <c r="R1049" s="151">
        <v>45261</v>
      </c>
      <c r="S1049" s="151"/>
      <c r="T1049" s="151"/>
      <c r="U1049" s="151">
        <v>45603</v>
      </c>
      <c r="V1049" s="151">
        <v>45534</v>
      </c>
      <c r="W1049" s="2">
        <f>VLOOKUP(Table1[[#This Row],[Status]],Auxiliar!$B$16:$D$24,3,0)*Table1[[#This Row],[Estimação (horas)]]</f>
        <v>0.1</v>
      </c>
      <c r="X1049" s="166">
        <f>+VLOOKUP(CONCATENATE(Table1[[#This Row],[Tabela]],Table1[[#This Row],[Campo]]),'2. Status Detalhe Campos FY24'!A:J,9,FALSE)</f>
        <v>0</v>
      </c>
    </row>
    <row r="1050" spans="2:24" ht="17.850000000000001" hidden="1" customHeight="1">
      <c r="B1050" s="12" t="s">
        <v>26</v>
      </c>
      <c r="C1050" s="12" t="s">
        <v>181</v>
      </c>
      <c r="D1050" s="12" t="s">
        <v>1228</v>
      </c>
      <c r="E1050" s="2" t="s">
        <v>38</v>
      </c>
      <c r="F1050" s="12" t="s">
        <v>215</v>
      </c>
      <c r="G1050" s="12" t="s">
        <v>268</v>
      </c>
      <c r="H1050" s="57" t="str">
        <f>Table1[[#This Row],[Tabela]]&amp;Table1[[#This Row],[Campo]]</f>
        <v>modesg_inp_nfrd_alinhamento_taxwtr_trnvr_enblng_alignd</v>
      </c>
      <c r="I1050" s="2" t="s">
        <v>612</v>
      </c>
      <c r="J1050" s="45">
        <f>VLOOKUP(Table1[[#This Row],[Status]],Auxiliar!$B$16:$C$24,2,0)</f>
        <v>1</v>
      </c>
      <c r="K1050" s="20" t="s">
        <v>1182</v>
      </c>
      <c r="L1050" s="2" t="s">
        <v>641</v>
      </c>
      <c r="M1050" s="20" t="s">
        <v>1179</v>
      </c>
      <c r="N1050" s="47">
        <v>45540</v>
      </c>
      <c r="O1050" s="20">
        <f>INDEX(Auxiliar!$D$5:$F$13,MATCH(Table1[[#This Row],[Tipologia_Testes]],Auxiliar!$B$5:$B$13,0),MATCH(Table1[[#This Row],[Complexidade]],Auxiliar!$D$4:$F$4,0))</f>
        <v>0.5</v>
      </c>
      <c r="P1050" s="2"/>
      <c r="Q1050" s="2"/>
      <c r="R1050" s="151">
        <v>45261</v>
      </c>
      <c r="S1050" s="151"/>
      <c r="T1050" s="151"/>
      <c r="U1050" s="151">
        <v>45603</v>
      </c>
      <c r="V1050" s="151">
        <v>45534</v>
      </c>
      <c r="W1050" s="2">
        <f>VLOOKUP(Table1[[#This Row],[Status]],Auxiliar!$B$16:$D$24,3,0)*Table1[[#This Row],[Estimação (horas)]]</f>
        <v>0.5</v>
      </c>
      <c r="X1050" s="166">
        <f>+VLOOKUP(CONCATENATE(Table1[[#This Row],[Tabela]],Table1[[#This Row],[Campo]]),'2. Status Detalhe Campos FY24'!A:J,9,FALSE)</f>
        <v>0</v>
      </c>
    </row>
    <row r="1051" spans="2:24" ht="17.850000000000001" hidden="1" customHeight="1">
      <c r="B1051" s="12" t="s">
        <v>26</v>
      </c>
      <c r="C1051" s="12" t="s">
        <v>181</v>
      </c>
      <c r="D1051" s="12" t="s">
        <v>1228</v>
      </c>
      <c r="E1051" s="2" t="s">
        <v>38</v>
      </c>
      <c r="F1051" s="12" t="s">
        <v>215</v>
      </c>
      <c r="G1051" s="12" t="s">
        <v>269</v>
      </c>
      <c r="H1051" s="57" t="str">
        <f>Table1[[#This Row],[Tabela]]&amp;Table1[[#This Row],[Campo]]</f>
        <v>modesg_inp_nfrd_alinhamento_taxwtr_turnover_own_prfrmnce_algnd</v>
      </c>
      <c r="I1051" s="2" t="s">
        <v>612</v>
      </c>
      <c r="J1051" s="45">
        <f>VLOOKUP(Table1[[#This Row],[Status]],Auxiliar!$B$16:$C$24,2,0)</f>
        <v>1</v>
      </c>
      <c r="K1051" s="20" t="s">
        <v>1174</v>
      </c>
      <c r="L1051" s="2" t="s">
        <v>641</v>
      </c>
      <c r="M1051" s="20" t="s">
        <v>1179</v>
      </c>
      <c r="N1051" s="47">
        <v>45540</v>
      </c>
      <c r="O1051" s="20">
        <f>INDEX(Auxiliar!$D$5:$F$13,MATCH(Table1[[#This Row],[Tipologia_Testes]],Auxiliar!$B$5:$B$13,0),MATCH(Table1[[#This Row],[Complexidade]],Auxiliar!$D$4:$F$4,0))</f>
        <v>0.1</v>
      </c>
      <c r="P1051" s="2" t="s">
        <v>1244</v>
      </c>
      <c r="Q1051" s="2"/>
      <c r="R1051" s="151">
        <v>45261</v>
      </c>
      <c r="S1051" s="151"/>
      <c r="T1051" s="151"/>
      <c r="U1051" s="151">
        <v>45603</v>
      </c>
      <c r="V1051" s="151">
        <v>45534</v>
      </c>
      <c r="W1051" s="2">
        <f>VLOOKUP(Table1[[#This Row],[Status]],Auxiliar!$B$16:$D$24,3,0)*Table1[[#This Row],[Estimação (horas)]]</f>
        <v>0.1</v>
      </c>
      <c r="X1051" s="166">
        <f>+VLOOKUP(CONCATENATE(Table1[[#This Row],[Tabela]],Table1[[#This Row],[Campo]]),'2. Status Detalhe Campos FY24'!A:J,9,FALSE)</f>
        <v>0</v>
      </c>
    </row>
    <row r="1052" spans="2:24" ht="17.850000000000001" hidden="1" customHeight="1">
      <c r="B1052" s="12" t="s">
        <v>26</v>
      </c>
      <c r="C1052" s="12" t="s">
        <v>181</v>
      </c>
      <c r="D1052" s="12" t="s">
        <v>1228</v>
      </c>
      <c r="E1052" s="2" t="s">
        <v>38</v>
      </c>
      <c r="F1052" s="12" t="s">
        <v>215</v>
      </c>
      <c r="G1052" s="12" t="s">
        <v>269</v>
      </c>
      <c r="H1052" s="57" t="str">
        <f>Table1[[#This Row],[Tabela]]&amp;Table1[[#This Row],[Campo]]</f>
        <v>modesg_inp_nfrd_alinhamento_taxwtr_turnover_own_prfrmnce_algnd</v>
      </c>
      <c r="I1052" s="2" t="s">
        <v>612</v>
      </c>
      <c r="J1052" s="45">
        <f>VLOOKUP(Table1[[#This Row],[Status]],Auxiliar!$B$16:$C$24,2,0)</f>
        <v>1</v>
      </c>
      <c r="K1052" s="20" t="s">
        <v>1182</v>
      </c>
      <c r="L1052" s="2" t="s">
        <v>641</v>
      </c>
      <c r="M1052" s="20" t="s">
        <v>1179</v>
      </c>
      <c r="N1052" s="47">
        <v>45540</v>
      </c>
      <c r="O1052" s="20">
        <f>INDEX(Auxiliar!$D$5:$F$13,MATCH(Table1[[#This Row],[Tipologia_Testes]],Auxiliar!$B$5:$B$13,0),MATCH(Table1[[#This Row],[Complexidade]],Auxiliar!$D$4:$F$4,0))</f>
        <v>0.5</v>
      </c>
      <c r="P1052" s="2"/>
      <c r="Q1052" s="2"/>
      <c r="R1052" s="151">
        <v>45261</v>
      </c>
      <c r="S1052" s="151"/>
      <c r="T1052" s="151"/>
      <c r="U1052" s="151">
        <v>45603</v>
      </c>
      <c r="V1052" s="151">
        <v>45534</v>
      </c>
      <c r="W1052" s="2">
        <f>VLOOKUP(Table1[[#This Row],[Status]],Auxiliar!$B$16:$D$24,3,0)*Table1[[#This Row],[Estimação (horas)]]</f>
        <v>0.5</v>
      </c>
      <c r="X1052" s="166">
        <f>+VLOOKUP(CONCATENATE(Table1[[#This Row],[Tabela]],Table1[[#This Row],[Campo]]),'2. Status Detalhe Campos FY24'!A:J,9,FALSE)</f>
        <v>0</v>
      </c>
    </row>
    <row r="1053" spans="2:24" ht="17.850000000000001" hidden="1" customHeight="1">
      <c r="B1053" s="12" t="s">
        <v>26</v>
      </c>
      <c r="C1053" s="12" t="s">
        <v>181</v>
      </c>
      <c r="D1053" s="12" t="s">
        <v>1228</v>
      </c>
      <c r="E1053" s="2" t="s">
        <v>38</v>
      </c>
      <c r="F1053" s="12" t="s">
        <v>215</v>
      </c>
      <c r="G1053" s="12" t="s">
        <v>270</v>
      </c>
      <c r="H1053" s="57" t="str">
        <f>Table1[[#This Row],[Tabela]]&amp;Table1[[#This Row],[Campo]]</f>
        <v>modesg_inp_nfrd_alinhamento_taxwtr_capex_ttl_elgbl</v>
      </c>
      <c r="I1053" s="2" t="s">
        <v>612</v>
      </c>
      <c r="J1053" s="45">
        <f>VLOOKUP(Table1[[#This Row],[Status]],Auxiliar!$B$16:$C$24,2,0)</f>
        <v>1</v>
      </c>
      <c r="K1053" s="20" t="s">
        <v>1174</v>
      </c>
      <c r="L1053" s="2" t="s">
        <v>641</v>
      </c>
      <c r="M1053" s="20" t="s">
        <v>1179</v>
      </c>
      <c r="N1053" s="47">
        <v>45540</v>
      </c>
      <c r="O1053" s="20">
        <f>INDEX(Auxiliar!$D$5:$F$13,MATCH(Table1[[#This Row],[Tipologia_Testes]],Auxiliar!$B$5:$B$13,0),MATCH(Table1[[#This Row],[Complexidade]],Auxiliar!$D$4:$F$4,0))</f>
        <v>0.1</v>
      </c>
      <c r="P1053" s="2" t="s">
        <v>1244</v>
      </c>
      <c r="Q1053" s="2"/>
      <c r="R1053" s="151">
        <v>45261</v>
      </c>
      <c r="S1053" s="151"/>
      <c r="T1053" s="151"/>
      <c r="U1053" s="151">
        <v>45603</v>
      </c>
      <c r="V1053" s="151">
        <v>45534</v>
      </c>
      <c r="W1053" s="2">
        <f>VLOOKUP(Table1[[#This Row],[Status]],Auxiliar!$B$16:$D$24,3,0)*Table1[[#This Row],[Estimação (horas)]]</f>
        <v>0.1</v>
      </c>
      <c r="X1053" s="166">
        <f>+VLOOKUP(CONCATENATE(Table1[[#This Row],[Tabela]],Table1[[#This Row],[Campo]]),'2. Status Detalhe Campos FY24'!A:J,9,FALSE)</f>
        <v>0</v>
      </c>
    </row>
    <row r="1054" spans="2:24" ht="17.850000000000001" hidden="1" customHeight="1">
      <c r="B1054" s="12" t="s">
        <v>26</v>
      </c>
      <c r="C1054" s="12" t="s">
        <v>181</v>
      </c>
      <c r="D1054" s="12" t="s">
        <v>1228</v>
      </c>
      <c r="E1054" s="2" t="s">
        <v>38</v>
      </c>
      <c r="F1054" s="12" t="s">
        <v>215</v>
      </c>
      <c r="G1054" s="12" t="s">
        <v>270</v>
      </c>
      <c r="H1054" s="57" t="str">
        <f>Table1[[#This Row],[Tabela]]&amp;Table1[[#This Row],[Campo]]</f>
        <v>modesg_inp_nfrd_alinhamento_taxwtr_capex_ttl_elgbl</v>
      </c>
      <c r="I1054" s="2" t="s">
        <v>612</v>
      </c>
      <c r="J1054" s="45">
        <f>VLOOKUP(Table1[[#This Row],[Status]],Auxiliar!$B$16:$C$24,2,0)</f>
        <v>1</v>
      </c>
      <c r="K1054" s="20" t="s">
        <v>1182</v>
      </c>
      <c r="L1054" s="2" t="s">
        <v>641</v>
      </c>
      <c r="M1054" s="20" t="s">
        <v>1179</v>
      </c>
      <c r="N1054" s="47">
        <v>45540</v>
      </c>
      <c r="O1054" s="20">
        <f>INDEX(Auxiliar!$D$5:$F$13,MATCH(Table1[[#This Row],[Tipologia_Testes]],Auxiliar!$B$5:$B$13,0),MATCH(Table1[[#This Row],[Complexidade]],Auxiliar!$D$4:$F$4,0))</f>
        <v>0.5</v>
      </c>
      <c r="P1054" s="2"/>
      <c r="Q1054" s="2"/>
      <c r="R1054" s="151">
        <v>45261</v>
      </c>
      <c r="S1054" s="151"/>
      <c r="T1054" s="151"/>
      <c r="U1054" s="151">
        <v>45603</v>
      </c>
      <c r="V1054" s="151">
        <v>45534</v>
      </c>
      <c r="W1054" s="2">
        <f>VLOOKUP(Table1[[#This Row],[Status]],Auxiliar!$B$16:$D$24,3,0)*Table1[[#This Row],[Estimação (horas)]]</f>
        <v>0.5</v>
      </c>
      <c r="X1054" s="166">
        <f>+VLOOKUP(CONCATENATE(Table1[[#This Row],[Tabela]],Table1[[#This Row],[Campo]]),'2. Status Detalhe Campos FY24'!A:J,9,FALSE)</f>
        <v>0</v>
      </c>
    </row>
    <row r="1055" spans="2:24" ht="17.850000000000001" hidden="1" customHeight="1">
      <c r="B1055" s="12" t="s">
        <v>26</v>
      </c>
      <c r="C1055" s="12" t="s">
        <v>181</v>
      </c>
      <c r="D1055" s="12" t="s">
        <v>1228</v>
      </c>
      <c r="E1055" s="2" t="s">
        <v>38</v>
      </c>
      <c r="F1055" s="12" t="s">
        <v>215</v>
      </c>
      <c r="G1055" s="12" t="s">
        <v>271</v>
      </c>
      <c r="H1055" s="57" t="str">
        <f>Table1[[#This Row],[Tabela]]&amp;Table1[[#This Row],[Campo]]</f>
        <v>modesg_inp_nfrd_alinhamento_taxwtr_capex_enblng_algnd</v>
      </c>
      <c r="I1055" s="2" t="s">
        <v>612</v>
      </c>
      <c r="J1055" s="45">
        <f>VLOOKUP(Table1[[#This Row],[Status]],Auxiliar!$B$16:$C$24,2,0)</f>
        <v>1</v>
      </c>
      <c r="K1055" s="20" t="s">
        <v>1174</v>
      </c>
      <c r="L1055" s="2" t="s">
        <v>641</v>
      </c>
      <c r="M1055" s="20" t="s">
        <v>1179</v>
      </c>
      <c r="N1055" s="47">
        <v>45540</v>
      </c>
      <c r="O1055" s="20">
        <f>INDEX(Auxiliar!$D$5:$F$13,MATCH(Table1[[#This Row],[Tipologia_Testes]],Auxiliar!$B$5:$B$13,0),MATCH(Table1[[#This Row],[Complexidade]],Auxiliar!$D$4:$F$4,0))</f>
        <v>0.1</v>
      </c>
      <c r="P1055" s="2" t="s">
        <v>1244</v>
      </c>
      <c r="Q1055" s="2"/>
      <c r="R1055" s="151">
        <v>45261</v>
      </c>
      <c r="S1055" s="151"/>
      <c r="T1055" s="151"/>
      <c r="U1055" s="151">
        <v>45603</v>
      </c>
      <c r="V1055" s="151">
        <v>45534</v>
      </c>
      <c r="W1055" s="2">
        <f>VLOOKUP(Table1[[#This Row],[Status]],Auxiliar!$B$16:$D$24,3,0)*Table1[[#This Row],[Estimação (horas)]]</f>
        <v>0.1</v>
      </c>
      <c r="X1055" s="166">
        <f>+VLOOKUP(CONCATENATE(Table1[[#This Row],[Tabela]],Table1[[#This Row],[Campo]]),'2. Status Detalhe Campos FY24'!A:J,9,FALSE)</f>
        <v>0</v>
      </c>
    </row>
    <row r="1056" spans="2:24" ht="17.850000000000001" hidden="1" customHeight="1">
      <c r="B1056" s="12" t="s">
        <v>26</v>
      </c>
      <c r="C1056" s="12" t="s">
        <v>181</v>
      </c>
      <c r="D1056" s="12" t="s">
        <v>1228</v>
      </c>
      <c r="E1056" s="2" t="s">
        <v>38</v>
      </c>
      <c r="F1056" s="12" t="s">
        <v>215</v>
      </c>
      <c r="G1056" s="12" t="s">
        <v>271</v>
      </c>
      <c r="H1056" s="57" t="str">
        <f>Table1[[#This Row],[Tabela]]&amp;Table1[[#This Row],[Campo]]</f>
        <v>modesg_inp_nfrd_alinhamento_taxwtr_capex_enblng_algnd</v>
      </c>
      <c r="I1056" s="2" t="s">
        <v>612</v>
      </c>
      <c r="J1056" s="45">
        <f>VLOOKUP(Table1[[#This Row],[Status]],Auxiliar!$B$16:$C$24,2,0)</f>
        <v>1</v>
      </c>
      <c r="K1056" s="20" t="s">
        <v>1182</v>
      </c>
      <c r="L1056" s="2" t="s">
        <v>641</v>
      </c>
      <c r="M1056" s="20" t="s">
        <v>1179</v>
      </c>
      <c r="N1056" s="47">
        <v>45540</v>
      </c>
      <c r="O1056" s="20">
        <f>INDEX(Auxiliar!$D$5:$F$13,MATCH(Table1[[#This Row],[Tipologia_Testes]],Auxiliar!$B$5:$B$13,0),MATCH(Table1[[#This Row],[Complexidade]],Auxiliar!$D$4:$F$4,0))</f>
        <v>0.5</v>
      </c>
      <c r="P1056" s="2"/>
      <c r="Q1056" s="2"/>
      <c r="R1056" s="151">
        <v>45261</v>
      </c>
      <c r="S1056" s="151"/>
      <c r="T1056" s="151"/>
      <c r="U1056" s="151">
        <v>45603</v>
      </c>
      <c r="V1056" s="151">
        <v>45534</v>
      </c>
      <c r="W1056" s="2">
        <f>VLOOKUP(Table1[[#This Row],[Status]],Auxiliar!$B$16:$D$24,3,0)*Table1[[#This Row],[Estimação (horas)]]</f>
        <v>0.5</v>
      </c>
      <c r="X1056" s="166">
        <f>+VLOOKUP(CONCATENATE(Table1[[#This Row],[Tabela]],Table1[[#This Row],[Campo]]),'2. Status Detalhe Campos FY24'!A:J,9,FALSE)</f>
        <v>0</v>
      </c>
    </row>
    <row r="1057" spans="2:24" ht="17.850000000000001" hidden="1" customHeight="1">
      <c r="B1057" s="12" t="s">
        <v>26</v>
      </c>
      <c r="C1057" s="12" t="s">
        <v>181</v>
      </c>
      <c r="D1057" s="12" t="s">
        <v>1228</v>
      </c>
      <c r="E1057" s="2" t="s">
        <v>38</v>
      </c>
      <c r="F1057" s="12" t="s">
        <v>215</v>
      </c>
      <c r="G1057" s="12" t="s">
        <v>272</v>
      </c>
      <c r="H1057" s="57" t="str">
        <f>Table1[[#This Row],[Tabela]]&amp;Table1[[#This Row],[Campo]]</f>
        <v>modesg_inp_nfrd_alinhamento_taxwtr_capex_own_prfrmnce_algnd</v>
      </c>
      <c r="I1057" s="2" t="s">
        <v>612</v>
      </c>
      <c r="J1057" s="45">
        <f>VLOOKUP(Table1[[#This Row],[Status]],Auxiliar!$B$16:$C$24,2,0)</f>
        <v>1</v>
      </c>
      <c r="K1057" s="20" t="s">
        <v>1174</v>
      </c>
      <c r="L1057" s="2" t="s">
        <v>641</v>
      </c>
      <c r="M1057" s="20" t="s">
        <v>1179</v>
      </c>
      <c r="N1057" s="47">
        <v>45540</v>
      </c>
      <c r="O1057" s="20">
        <f>INDEX(Auxiliar!$D$5:$F$13,MATCH(Table1[[#This Row],[Tipologia_Testes]],Auxiliar!$B$5:$B$13,0),MATCH(Table1[[#This Row],[Complexidade]],Auxiliar!$D$4:$F$4,0))</f>
        <v>0.1</v>
      </c>
      <c r="P1057" s="2" t="s">
        <v>1244</v>
      </c>
      <c r="Q1057" s="2"/>
      <c r="R1057" s="151">
        <v>45261</v>
      </c>
      <c r="S1057" s="151"/>
      <c r="T1057" s="151"/>
      <c r="U1057" s="151">
        <v>45603</v>
      </c>
      <c r="V1057" s="151">
        <v>45534</v>
      </c>
      <c r="W1057" s="2">
        <f>VLOOKUP(Table1[[#This Row],[Status]],Auxiliar!$B$16:$D$24,3,0)*Table1[[#This Row],[Estimação (horas)]]</f>
        <v>0.1</v>
      </c>
      <c r="X1057" s="166">
        <f>+VLOOKUP(CONCATENATE(Table1[[#This Row],[Tabela]],Table1[[#This Row],[Campo]]),'2. Status Detalhe Campos FY24'!A:J,9,FALSE)</f>
        <v>0</v>
      </c>
    </row>
    <row r="1058" spans="2:24" ht="17.850000000000001" hidden="1" customHeight="1">
      <c r="B1058" s="12" t="s">
        <v>26</v>
      </c>
      <c r="C1058" s="12" t="s">
        <v>181</v>
      </c>
      <c r="D1058" s="12" t="s">
        <v>1228</v>
      </c>
      <c r="E1058" s="2" t="s">
        <v>38</v>
      </c>
      <c r="F1058" s="12" t="s">
        <v>215</v>
      </c>
      <c r="G1058" s="12" t="s">
        <v>272</v>
      </c>
      <c r="H1058" s="57" t="str">
        <f>Table1[[#This Row],[Tabela]]&amp;Table1[[#This Row],[Campo]]</f>
        <v>modesg_inp_nfrd_alinhamento_taxwtr_capex_own_prfrmnce_algnd</v>
      </c>
      <c r="I1058" s="2" t="s">
        <v>612</v>
      </c>
      <c r="J1058" s="45">
        <f>VLOOKUP(Table1[[#This Row],[Status]],Auxiliar!$B$16:$C$24,2,0)</f>
        <v>1</v>
      </c>
      <c r="K1058" s="20" t="s">
        <v>1182</v>
      </c>
      <c r="L1058" s="2" t="s">
        <v>641</v>
      </c>
      <c r="M1058" s="20" t="s">
        <v>1179</v>
      </c>
      <c r="N1058" s="47">
        <v>45540</v>
      </c>
      <c r="O1058" s="20">
        <f>INDEX(Auxiliar!$D$5:$F$13,MATCH(Table1[[#This Row],[Tipologia_Testes]],Auxiliar!$B$5:$B$13,0),MATCH(Table1[[#This Row],[Complexidade]],Auxiliar!$D$4:$F$4,0))</f>
        <v>0.5</v>
      </c>
      <c r="P1058" s="2"/>
      <c r="Q1058" s="2"/>
      <c r="R1058" s="151">
        <v>45261</v>
      </c>
      <c r="S1058" s="151"/>
      <c r="T1058" s="151"/>
      <c r="U1058" s="151">
        <v>45603</v>
      </c>
      <c r="V1058" s="151">
        <v>45534</v>
      </c>
      <c r="W1058" s="2">
        <f>VLOOKUP(Table1[[#This Row],[Status]],Auxiliar!$B$16:$D$24,3,0)*Table1[[#This Row],[Estimação (horas)]]</f>
        <v>0.5</v>
      </c>
      <c r="X1058" s="166">
        <f>+VLOOKUP(CONCATENATE(Table1[[#This Row],[Tabela]],Table1[[#This Row],[Campo]]),'2. Status Detalhe Campos FY24'!A:J,9,FALSE)</f>
        <v>0</v>
      </c>
    </row>
    <row r="1059" spans="2:24" ht="17.850000000000001" hidden="1" customHeight="1">
      <c r="B1059" s="12" t="s">
        <v>26</v>
      </c>
      <c r="C1059" s="12" t="s">
        <v>181</v>
      </c>
      <c r="D1059" s="12" t="s">
        <v>1228</v>
      </c>
      <c r="E1059" s="2" t="s">
        <v>38</v>
      </c>
      <c r="F1059" s="12" t="s">
        <v>215</v>
      </c>
      <c r="G1059" s="12" t="s">
        <v>273</v>
      </c>
      <c r="H1059" s="57" t="str">
        <f>Table1[[#This Row],[Tabela]]&amp;Table1[[#This Row],[Campo]]</f>
        <v>modesg_inp_nfrd_alinhamento_taxce_trnvr_ttl_elgbl</v>
      </c>
      <c r="I1059" s="2" t="s">
        <v>612</v>
      </c>
      <c r="J1059" s="45">
        <f>VLOOKUP(Table1[[#This Row],[Status]],Auxiliar!$B$16:$C$24,2,0)</f>
        <v>1</v>
      </c>
      <c r="K1059" s="20" t="s">
        <v>1174</v>
      </c>
      <c r="L1059" s="2" t="s">
        <v>641</v>
      </c>
      <c r="M1059" s="20" t="s">
        <v>1179</v>
      </c>
      <c r="N1059" s="47">
        <v>45540</v>
      </c>
      <c r="O1059" s="20">
        <f>INDEX(Auxiliar!$D$5:$F$13,MATCH(Table1[[#This Row],[Tipologia_Testes]],Auxiliar!$B$5:$B$13,0),MATCH(Table1[[#This Row],[Complexidade]],Auxiliar!$D$4:$F$4,0))</f>
        <v>0.1</v>
      </c>
      <c r="P1059" s="2" t="s">
        <v>1244</v>
      </c>
      <c r="Q1059" s="2"/>
      <c r="R1059" s="151">
        <v>45261</v>
      </c>
      <c r="S1059" s="151"/>
      <c r="T1059" s="151"/>
      <c r="U1059" s="151">
        <v>45603</v>
      </c>
      <c r="V1059" s="151">
        <v>45534</v>
      </c>
      <c r="W1059" s="2">
        <f>VLOOKUP(Table1[[#This Row],[Status]],Auxiliar!$B$16:$D$24,3,0)*Table1[[#This Row],[Estimação (horas)]]</f>
        <v>0.1</v>
      </c>
      <c r="X1059" s="166">
        <f>+VLOOKUP(CONCATENATE(Table1[[#This Row],[Tabela]],Table1[[#This Row],[Campo]]),'2. Status Detalhe Campos FY24'!A:J,9,FALSE)</f>
        <v>0</v>
      </c>
    </row>
    <row r="1060" spans="2:24" ht="17.850000000000001" hidden="1" customHeight="1">
      <c r="B1060" s="12" t="s">
        <v>26</v>
      </c>
      <c r="C1060" s="12" t="s">
        <v>181</v>
      </c>
      <c r="D1060" s="12" t="s">
        <v>1228</v>
      </c>
      <c r="E1060" s="2" t="s">
        <v>38</v>
      </c>
      <c r="F1060" s="12" t="s">
        <v>215</v>
      </c>
      <c r="G1060" s="12" t="s">
        <v>273</v>
      </c>
      <c r="H1060" s="57" t="str">
        <f>Table1[[#This Row],[Tabela]]&amp;Table1[[#This Row],[Campo]]</f>
        <v>modesg_inp_nfrd_alinhamento_taxce_trnvr_ttl_elgbl</v>
      </c>
      <c r="I1060" s="2" t="s">
        <v>612</v>
      </c>
      <c r="J1060" s="45">
        <f>VLOOKUP(Table1[[#This Row],[Status]],Auxiliar!$B$16:$C$24,2,0)</f>
        <v>1</v>
      </c>
      <c r="K1060" s="20" t="s">
        <v>1182</v>
      </c>
      <c r="L1060" s="2" t="s">
        <v>641</v>
      </c>
      <c r="M1060" s="20" t="s">
        <v>1179</v>
      </c>
      <c r="N1060" s="47">
        <v>45540</v>
      </c>
      <c r="O1060" s="20">
        <f>INDEX(Auxiliar!$D$5:$F$13,MATCH(Table1[[#This Row],[Tipologia_Testes]],Auxiliar!$B$5:$B$13,0),MATCH(Table1[[#This Row],[Complexidade]],Auxiliar!$D$4:$F$4,0))</f>
        <v>0.5</v>
      </c>
      <c r="P1060" s="2"/>
      <c r="Q1060" s="2"/>
      <c r="R1060" s="151">
        <v>45261</v>
      </c>
      <c r="S1060" s="151"/>
      <c r="T1060" s="151"/>
      <c r="U1060" s="151">
        <v>45603</v>
      </c>
      <c r="V1060" s="151">
        <v>45534</v>
      </c>
      <c r="W1060" s="2">
        <f>VLOOKUP(Table1[[#This Row],[Status]],Auxiliar!$B$16:$D$24,3,0)*Table1[[#This Row],[Estimação (horas)]]</f>
        <v>0.5</v>
      </c>
      <c r="X1060" s="166">
        <f>+VLOOKUP(CONCATENATE(Table1[[#This Row],[Tabela]],Table1[[#This Row],[Campo]]),'2. Status Detalhe Campos FY24'!A:J,9,FALSE)</f>
        <v>0</v>
      </c>
    </row>
    <row r="1061" spans="2:24" ht="17.850000000000001" hidden="1" customHeight="1">
      <c r="B1061" s="12" t="s">
        <v>26</v>
      </c>
      <c r="C1061" s="12" t="s">
        <v>181</v>
      </c>
      <c r="D1061" s="12" t="s">
        <v>1228</v>
      </c>
      <c r="E1061" s="2" t="s">
        <v>38</v>
      </c>
      <c r="F1061" s="12" t="s">
        <v>215</v>
      </c>
      <c r="G1061" s="12" t="s">
        <v>274</v>
      </c>
      <c r="H1061" s="57" t="str">
        <f>Table1[[#This Row],[Tabela]]&amp;Table1[[#This Row],[Campo]]</f>
        <v>modesg_inp_nfrd_alinhamento_taxce_trnvr_enblng_alignd</v>
      </c>
      <c r="I1061" s="2" t="s">
        <v>612</v>
      </c>
      <c r="J1061" s="45">
        <f>VLOOKUP(Table1[[#This Row],[Status]],Auxiliar!$B$16:$C$24,2,0)</f>
        <v>1</v>
      </c>
      <c r="K1061" s="20" t="s">
        <v>1174</v>
      </c>
      <c r="L1061" s="2" t="s">
        <v>641</v>
      </c>
      <c r="M1061" s="20" t="s">
        <v>1179</v>
      </c>
      <c r="N1061" s="47">
        <v>45540</v>
      </c>
      <c r="O1061" s="20">
        <f>INDEX(Auxiliar!$D$5:$F$13,MATCH(Table1[[#This Row],[Tipologia_Testes]],Auxiliar!$B$5:$B$13,0),MATCH(Table1[[#This Row],[Complexidade]],Auxiliar!$D$4:$F$4,0))</f>
        <v>0.1</v>
      </c>
      <c r="P1061" s="2" t="s">
        <v>1244</v>
      </c>
      <c r="Q1061" s="2"/>
      <c r="R1061" s="151">
        <v>45261</v>
      </c>
      <c r="S1061" s="151"/>
      <c r="T1061" s="151"/>
      <c r="U1061" s="151">
        <v>45603</v>
      </c>
      <c r="V1061" s="151">
        <v>45534</v>
      </c>
      <c r="W1061" s="2">
        <f>VLOOKUP(Table1[[#This Row],[Status]],Auxiliar!$B$16:$D$24,3,0)*Table1[[#This Row],[Estimação (horas)]]</f>
        <v>0.1</v>
      </c>
      <c r="X1061" s="166">
        <f>+VLOOKUP(CONCATENATE(Table1[[#This Row],[Tabela]],Table1[[#This Row],[Campo]]),'2. Status Detalhe Campos FY24'!A:J,9,FALSE)</f>
        <v>0</v>
      </c>
    </row>
    <row r="1062" spans="2:24" ht="17.850000000000001" hidden="1" customHeight="1">
      <c r="B1062" s="12" t="s">
        <v>26</v>
      </c>
      <c r="C1062" s="12" t="s">
        <v>181</v>
      </c>
      <c r="D1062" s="12" t="s">
        <v>1228</v>
      </c>
      <c r="E1062" s="2" t="s">
        <v>38</v>
      </c>
      <c r="F1062" s="12" t="s">
        <v>215</v>
      </c>
      <c r="G1062" s="12" t="s">
        <v>274</v>
      </c>
      <c r="H1062" s="57" t="str">
        <f>Table1[[#This Row],[Tabela]]&amp;Table1[[#This Row],[Campo]]</f>
        <v>modesg_inp_nfrd_alinhamento_taxce_trnvr_enblng_alignd</v>
      </c>
      <c r="I1062" s="2" t="s">
        <v>612</v>
      </c>
      <c r="J1062" s="45">
        <f>VLOOKUP(Table1[[#This Row],[Status]],Auxiliar!$B$16:$C$24,2,0)</f>
        <v>1</v>
      </c>
      <c r="K1062" s="20" t="s">
        <v>1182</v>
      </c>
      <c r="L1062" s="2" t="s">
        <v>641</v>
      </c>
      <c r="M1062" s="20" t="s">
        <v>1179</v>
      </c>
      <c r="N1062" s="47">
        <v>45540</v>
      </c>
      <c r="O1062" s="20">
        <f>INDEX(Auxiliar!$D$5:$F$13,MATCH(Table1[[#This Row],[Tipologia_Testes]],Auxiliar!$B$5:$B$13,0),MATCH(Table1[[#This Row],[Complexidade]],Auxiliar!$D$4:$F$4,0))</f>
        <v>0.5</v>
      </c>
      <c r="P1062" s="2"/>
      <c r="Q1062" s="2"/>
      <c r="R1062" s="151">
        <v>45261</v>
      </c>
      <c r="S1062" s="151"/>
      <c r="T1062" s="151"/>
      <c r="U1062" s="151">
        <v>45603</v>
      </c>
      <c r="V1062" s="151">
        <v>45534</v>
      </c>
      <c r="W1062" s="2">
        <f>VLOOKUP(Table1[[#This Row],[Status]],Auxiliar!$B$16:$D$24,3,0)*Table1[[#This Row],[Estimação (horas)]]</f>
        <v>0.5</v>
      </c>
      <c r="X1062" s="166">
        <f>+VLOOKUP(CONCATENATE(Table1[[#This Row],[Tabela]],Table1[[#This Row],[Campo]]),'2. Status Detalhe Campos FY24'!A:J,9,FALSE)</f>
        <v>0</v>
      </c>
    </row>
    <row r="1063" spans="2:24" ht="17.850000000000001" hidden="1" customHeight="1">
      <c r="B1063" s="12" t="s">
        <v>26</v>
      </c>
      <c r="C1063" s="12" t="s">
        <v>181</v>
      </c>
      <c r="D1063" s="12" t="s">
        <v>1228</v>
      </c>
      <c r="E1063" s="2" t="s">
        <v>38</v>
      </c>
      <c r="F1063" s="12" t="s">
        <v>215</v>
      </c>
      <c r="G1063" s="12" t="s">
        <v>275</v>
      </c>
      <c r="H1063" s="57" t="str">
        <f>Table1[[#This Row],[Tabela]]&amp;Table1[[#This Row],[Campo]]</f>
        <v>modesg_inp_nfrd_alinhamento_taxce_turnover_own_prfrmnce_algnd</v>
      </c>
      <c r="I1063" s="2" t="s">
        <v>612</v>
      </c>
      <c r="J1063" s="45">
        <f>VLOOKUP(Table1[[#This Row],[Status]],Auxiliar!$B$16:$C$24,2,0)</f>
        <v>1</v>
      </c>
      <c r="K1063" s="20" t="s">
        <v>1174</v>
      </c>
      <c r="L1063" s="2" t="s">
        <v>641</v>
      </c>
      <c r="M1063" s="20" t="s">
        <v>1179</v>
      </c>
      <c r="N1063" s="47">
        <v>45540</v>
      </c>
      <c r="O1063" s="20">
        <f>INDEX(Auxiliar!$D$5:$F$13,MATCH(Table1[[#This Row],[Tipologia_Testes]],Auxiliar!$B$5:$B$13,0),MATCH(Table1[[#This Row],[Complexidade]],Auxiliar!$D$4:$F$4,0))</f>
        <v>0.1</v>
      </c>
      <c r="P1063" s="2" t="s">
        <v>1244</v>
      </c>
      <c r="Q1063" s="2"/>
      <c r="R1063" s="151">
        <v>45261</v>
      </c>
      <c r="S1063" s="151"/>
      <c r="T1063" s="151"/>
      <c r="U1063" s="151">
        <v>45603</v>
      </c>
      <c r="V1063" s="151">
        <v>45534</v>
      </c>
      <c r="W1063" s="2">
        <f>VLOOKUP(Table1[[#This Row],[Status]],Auxiliar!$B$16:$D$24,3,0)*Table1[[#This Row],[Estimação (horas)]]</f>
        <v>0.1</v>
      </c>
      <c r="X1063" s="166">
        <f>+VLOOKUP(CONCATENATE(Table1[[#This Row],[Tabela]],Table1[[#This Row],[Campo]]),'2. Status Detalhe Campos FY24'!A:J,9,FALSE)</f>
        <v>0</v>
      </c>
    </row>
    <row r="1064" spans="2:24" ht="17.850000000000001" hidden="1" customHeight="1">
      <c r="B1064" s="12" t="s">
        <v>26</v>
      </c>
      <c r="C1064" s="12" t="s">
        <v>181</v>
      </c>
      <c r="D1064" s="12" t="s">
        <v>1228</v>
      </c>
      <c r="E1064" s="2" t="s">
        <v>38</v>
      </c>
      <c r="F1064" s="12" t="s">
        <v>215</v>
      </c>
      <c r="G1064" s="12" t="s">
        <v>275</v>
      </c>
      <c r="H1064" s="57" t="str">
        <f>Table1[[#This Row],[Tabela]]&amp;Table1[[#This Row],[Campo]]</f>
        <v>modesg_inp_nfrd_alinhamento_taxce_turnover_own_prfrmnce_algnd</v>
      </c>
      <c r="I1064" s="2" t="s">
        <v>612</v>
      </c>
      <c r="J1064" s="45">
        <f>VLOOKUP(Table1[[#This Row],[Status]],Auxiliar!$B$16:$C$24,2,0)</f>
        <v>1</v>
      </c>
      <c r="K1064" s="20" t="s">
        <v>1182</v>
      </c>
      <c r="L1064" s="2" t="s">
        <v>641</v>
      </c>
      <c r="M1064" s="20" t="s">
        <v>1179</v>
      </c>
      <c r="N1064" s="47">
        <v>45540</v>
      </c>
      <c r="O1064" s="20">
        <f>INDEX(Auxiliar!$D$5:$F$13,MATCH(Table1[[#This Row],[Tipologia_Testes]],Auxiliar!$B$5:$B$13,0),MATCH(Table1[[#This Row],[Complexidade]],Auxiliar!$D$4:$F$4,0))</f>
        <v>0.5</v>
      </c>
      <c r="P1064" s="2"/>
      <c r="Q1064" s="2"/>
      <c r="R1064" s="151">
        <v>45261</v>
      </c>
      <c r="S1064" s="151"/>
      <c r="T1064" s="151"/>
      <c r="U1064" s="151">
        <v>45603</v>
      </c>
      <c r="V1064" s="151">
        <v>45534</v>
      </c>
      <c r="W1064" s="2">
        <f>VLOOKUP(Table1[[#This Row],[Status]],Auxiliar!$B$16:$D$24,3,0)*Table1[[#This Row],[Estimação (horas)]]</f>
        <v>0.5</v>
      </c>
      <c r="X1064" s="166">
        <f>+VLOOKUP(CONCATENATE(Table1[[#This Row],[Tabela]],Table1[[#This Row],[Campo]]),'2. Status Detalhe Campos FY24'!A:J,9,FALSE)</f>
        <v>0</v>
      </c>
    </row>
    <row r="1065" spans="2:24" ht="17.850000000000001" hidden="1" customHeight="1">
      <c r="B1065" s="12" t="s">
        <v>26</v>
      </c>
      <c r="C1065" s="12" t="s">
        <v>181</v>
      </c>
      <c r="D1065" s="12" t="s">
        <v>1228</v>
      </c>
      <c r="E1065" s="2" t="s">
        <v>38</v>
      </c>
      <c r="F1065" s="12" t="s">
        <v>215</v>
      </c>
      <c r="G1065" s="12" t="s">
        <v>276</v>
      </c>
      <c r="H1065" s="57" t="str">
        <f>Table1[[#This Row],[Tabela]]&amp;Table1[[#This Row],[Campo]]</f>
        <v>modesg_inp_nfrd_alinhamento_taxce_capex_ttl_elgbl</v>
      </c>
      <c r="I1065" s="2" t="s">
        <v>612</v>
      </c>
      <c r="J1065" s="45">
        <f>VLOOKUP(Table1[[#This Row],[Status]],Auxiliar!$B$16:$C$24,2,0)</f>
        <v>1</v>
      </c>
      <c r="K1065" s="20" t="s">
        <v>1174</v>
      </c>
      <c r="L1065" s="2" t="s">
        <v>641</v>
      </c>
      <c r="M1065" s="20" t="s">
        <v>1179</v>
      </c>
      <c r="N1065" s="47">
        <v>45540</v>
      </c>
      <c r="O1065" s="20">
        <f>INDEX(Auxiliar!$D$5:$F$13,MATCH(Table1[[#This Row],[Tipologia_Testes]],Auxiliar!$B$5:$B$13,0),MATCH(Table1[[#This Row],[Complexidade]],Auxiliar!$D$4:$F$4,0))</f>
        <v>0.1</v>
      </c>
      <c r="P1065" s="2" t="s">
        <v>1244</v>
      </c>
      <c r="Q1065" s="2"/>
      <c r="R1065" s="151">
        <v>45261</v>
      </c>
      <c r="S1065" s="151"/>
      <c r="T1065" s="151"/>
      <c r="U1065" s="151">
        <v>45603</v>
      </c>
      <c r="V1065" s="151">
        <v>45534</v>
      </c>
      <c r="W1065" s="2">
        <f>VLOOKUP(Table1[[#This Row],[Status]],Auxiliar!$B$16:$D$24,3,0)*Table1[[#This Row],[Estimação (horas)]]</f>
        <v>0.1</v>
      </c>
      <c r="X1065" s="166">
        <f>+VLOOKUP(CONCATENATE(Table1[[#This Row],[Tabela]],Table1[[#This Row],[Campo]]),'2. Status Detalhe Campos FY24'!A:J,9,FALSE)</f>
        <v>0</v>
      </c>
    </row>
    <row r="1066" spans="2:24" ht="17.850000000000001" hidden="1" customHeight="1">
      <c r="B1066" s="12" t="s">
        <v>26</v>
      </c>
      <c r="C1066" s="12" t="s">
        <v>181</v>
      </c>
      <c r="D1066" s="12" t="s">
        <v>1228</v>
      </c>
      <c r="E1066" s="2" t="s">
        <v>38</v>
      </c>
      <c r="F1066" s="12" t="s">
        <v>215</v>
      </c>
      <c r="G1066" s="12" t="s">
        <v>276</v>
      </c>
      <c r="H1066" s="57" t="str">
        <f>Table1[[#This Row],[Tabela]]&amp;Table1[[#This Row],[Campo]]</f>
        <v>modesg_inp_nfrd_alinhamento_taxce_capex_ttl_elgbl</v>
      </c>
      <c r="I1066" s="2" t="s">
        <v>612</v>
      </c>
      <c r="J1066" s="45">
        <f>VLOOKUP(Table1[[#This Row],[Status]],Auxiliar!$B$16:$C$24,2,0)</f>
        <v>1</v>
      </c>
      <c r="K1066" s="20" t="s">
        <v>1182</v>
      </c>
      <c r="L1066" s="2" t="s">
        <v>641</v>
      </c>
      <c r="M1066" s="20" t="s">
        <v>1179</v>
      </c>
      <c r="N1066" s="47">
        <v>45540</v>
      </c>
      <c r="O1066" s="20">
        <f>INDEX(Auxiliar!$D$5:$F$13,MATCH(Table1[[#This Row],[Tipologia_Testes]],Auxiliar!$B$5:$B$13,0),MATCH(Table1[[#This Row],[Complexidade]],Auxiliar!$D$4:$F$4,0))</f>
        <v>0.5</v>
      </c>
      <c r="P1066" s="2"/>
      <c r="Q1066" s="2"/>
      <c r="R1066" s="151">
        <v>45261</v>
      </c>
      <c r="S1066" s="151"/>
      <c r="T1066" s="151"/>
      <c r="U1066" s="151">
        <v>45603</v>
      </c>
      <c r="V1066" s="151">
        <v>45534</v>
      </c>
      <c r="W1066" s="2">
        <f>VLOOKUP(Table1[[#This Row],[Status]],Auxiliar!$B$16:$D$24,3,0)*Table1[[#This Row],[Estimação (horas)]]</f>
        <v>0.5</v>
      </c>
      <c r="X1066" s="166">
        <f>+VLOOKUP(CONCATENATE(Table1[[#This Row],[Tabela]],Table1[[#This Row],[Campo]]),'2. Status Detalhe Campos FY24'!A:J,9,FALSE)</f>
        <v>0</v>
      </c>
    </row>
    <row r="1067" spans="2:24" ht="17.850000000000001" hidden="1" customHeight="1">
      <c r="B1067" s="12" t="s">
        <v>26</v>
      </c>
      <c r="C1067" s="12" t="s">
        <v>181</v>
      </c>
      <c r="D1067" s="12" t="s">
        <v>1228</v>
      </c>
      <c r="E1067" s="2" t="s">
        <v>38</v>
      </c>
      <c r="F1067" s="12" t="s">
        <v>215</v>
      </c>
      <c r="G1067" s="12" t="s">
        <v>277</v>
      </c>
      <c r="H1067" s="57" t="str">
        <f>Table1[[#This Row],[Tabela]]&amp;Table1[[#This Row],[Campo]]</f>
        <v>modesg_inp_nfrd_alinhamento_taxce_capex_enblng_algnd</v>
      </c>
      <c r="I1067" s="2" t="s">
        <v>612</v>
      </c>
      <c r="J1067" s="45">
        <f>VLOOKUP(Table1[[#This Row],[Status]],Auxiliar!$B$16:$C$24,2,0)</f>
        <v>1</v>
      </c>
      <c r="K1067" s="20" t="s">
        <v>1174</v>
      </c>
      <c r="L1067" s="2" t="s">
        <v>641</v>
      </c>
      <c r="M1067" s="20" t="s">
        <v>1179</v>
      </c>
      <c r="N1067" s="47">
        <v>45540</v>
      </c>
      <c r="O1067" s="20">
        <f>INDEX(Auxiliar!$D$5:$F$13,MATCH(Table1[[#This Row],[Tipologia_Testes]],Auxiliar!$B$5:$B$13,0),MATCH(Table1[[#This Row],[Complexidade]],Auxiliar!$D$4:$F$4,0))</f>
        <v>0.1</v>
      </c>
      <c r="P1067" s="2" t="s">
        <v>1244</v>
      </c>
      <c r="Q1067" s="2"/>
      <c r="R1067" s="151">
        <v>45261</v>
      </c>
      <c r="S1067" s="151"/>
      <c r="T1067" s="151"/>
      <c r="U1067" s="151">
        <v>45603</v>
      </c>
      <c r="V1067" s="151">
        <v>45534</v>
      </c>
      <c r="W1067" s="2">
        <f>VLOOKUP(Table1[[#This Row],[Status]],Auxiliar!$B$16:$D$24,3,0)*Table1[[#This Row],[Estimação (horas)]]</f>
        <v>0.1</v>
      </c>
      <c r="X1067" s="166">
        <f>+VLOOKUP(CONCATENATE(Table1[[#This Row],[Tabela]],Table1[[#This Row],[Campo]]),'2. Status Detalhe Campos FY24'!A:J,9,FALSE)</f>
        <v>0</v>
      </c>
    </row>
    <row r="1068" spans="2:24" ht="17.850000000000001" hidden="1" customHeight="1">
      <c r="B1068" s="12" t="s">
        <v>26</v>
      </c>
      <c r="C1068" s="12" t="s">
        <v>181</v>
      </c>
      <c r="D1068" s="12" t="s">
        <v>1228</v>
      </c>
      <c r="E1068" s="2" t="s">
        <v>38</v>
      </c>
      <c r="F1068" s="12" t="s">
        <v>215</v>
      </c>
      <c r="G1068" s="12" t="s">
        <v>277</v>
      </c>
      <c r="H1068" s="57" t="str">
        <f>Table1[[#This Row],[Tabela]]&amp;Table1[[#This Row],[Campo]]</f>
        <v>modesg_inp_nfrd_alinhamento_taxce_capex_enblng_algnd</v>
      </c>
      <c r="I1068" s="2" t="s">
        <v>612</v>
      </c>
      <c r="J1068" s="45">
        <f>VLOOKUP(Table1[[#This Row],[Status]],Auxiliar!$B$16:$C$24,2,0)</f>
        <v>1</v>
      </c>
      <c r="K1068" s="20" t="s">
        <v>1182</v>
      </c>
      <c r="L1068" s="2" t="s">
        <v>641</v>
      </c>
      <c r="M1068" s="20" t="s">
        <v>1179</v>
      </c>
      <c r="N1068" s="47">
        <v>45540</v>
      </c>
      <c r="O1068" s="20">
        <f>INDEX(Auxiliar!$D$5:$F$13,MATCH(Table1[[#This Row],[Tipologia_Testes]],Auxiliar!$B$5:$B$13,0),MATCH(Table1[[#This Row],[Complexidade]],Auxiliar!$D$4:$F$4,0))</f>
        <v>0.5</v>
      </c>
      <c r="P1068" s="2"/>
      <c r="Q1068" s="2"/>
      <c r="R1068" s="151">
        <v>45261</v>
      </c>
      <c r="S1068" s="151"/>
      <c r="T1068" s="151"/>
      <c r="U1068" s="151">
        <v>45603</v>
      </c>
      <c r="V1068" s="151">
        <v>45534</v>
      </c>
      <c r="W1068" s="2">
        <f>VLOOKUP(Table1[[#This Row],[Status]],Auxiliar!$B$16:$D$24,3,0)*Table1[[#This Row],[Estimação (horas)]]</f>
        <v>0.5</v>
      </c>
      <c r="X1068" s="166">
        <f>+VLOOKUP(CONCATENATE(Table1[[#This Row],[Tabela]],Table1[[#This Row],[Campo]]),'2. Status Detalhe Campos FY24'!A:J,9,FALSE)</f>
        <v>0</v>
      </c>
    </row>
    <row r="1069" spans="2:24" ht="17.850000000000001" hidden="1" customHeight="1">
      <c r="B1069" s="12" t="s">
        <v>26</v>
      </c>
      <c r="C1069" s="12" t="s">
        <v>181</v>
      </c>
      <c r="D1069" s="12" t="s">
        <v>1228</v>
      </c>
      <c r="E1069" s="2" t="s">
        <v>38</v>
      </c>
      <c r="F1069" s="12" t="s">
        <v>215</v>
      </c>
      <c r="G1069" s="12" t="s">
        <v>278</v>
      </c>
      <c r="H1069" s="57" t="str">
        <f>Table1[[#This Row],[Tabela]]&amp;Table1[[#This Row],[Campo]]</f>
        <v>modesg_inp_nfrd_alinhamento_taxce_capex_own_prfrmnce_algnd</v>
      </c>
      <c r="I1069" s="2" t="s">
        <v>612</v>
      </c>
      <c r="J1069" s="45">
        <f>VLOOKUP(Table1[[#This Row],[Status]],Auxiliar!$B$16:$C$24,2,0)</f>
        <v>1</v>
      </c>
      <c r="K1069" s="20" t="s">
        <v>1174</v>
      </c>
      <c r="L1069" s="2" t="s">
        <v>641</v>
      </c>
      <c r="M1069" s="20" t="s">
        <v>1179</v>
      </c>
      <c r="N1069" s="47">
        <v>45540</v>
      </c>
      <c r="O1069" s="20">
        <f>INDEX(Auxiliar!$D$5:$F$13,MATCH(Table1[[#This Row],[Tipologia_Testes]],Auxiliar!$B$5:$B$13,0),MATCH(Table1[[#This Row],[Complexidade]],Auxiliar!$D$4:$F$4,0))</f>
        <v>0.1</v>
      </c>
      <c r="P1069" s="2" t="s">
        <v>1244</v>
      </c>
      <c r="Q1069" s="2"/>
      <c r="R1069" s="151">
        <v>45261</v>
      </c>
      <c r="S1069" s="151"/>
      <c r="T1069" s="151"/>
      <c r="U1069" s="151">
        <v>45603</v>
      </c>
      <c r="V1069" s="151">
        <v>45534</v>
      </c>
      <c r="W1069" s="2">
        <f>VLOOKUP(Table1[[#This Row],[Status]],Auxiliar!$B$16:$D$24,3,0)*Table1[[#This Row],[Estimação (horas)]]</f>
        <v>0.1</v>
      </c>
      <c r="X1069" s="166">
        <f>+VLOOKUP(CONCATENATE(Table1[[#This Row],[Tabela]],Table1[[#This Row],[Campo]]),'2. Status Detalhe Campos FY24'!A:J,9,FALSE)</f>
        <v>0</v>
      </c>
    </row>
    <row r="1070" spans="2:24" ht="17.850000000000001" hidden="1" customHeight="1">
      <c r="B1070" s="12" t="s">
        <v>26</v>
      </c>
      <c r="C1070" s="12" t="s">
        <v>181</v>
      </c>
      <c r="D1070" s="12" t="s">
        <v>1228</v>
      </c>
      <c r="E1070" s="2" t="s">
        <v>38</v>
      </c>
      <c r="F1070" s="12" t="s">
        <v>215</v>
      </c>
      <c r="G1070" s="12" t="s">
        <v>278</v>
      </c>
      <c r="H1070" s="57" t="str">
        <f>Table1[[#This Row],[Tabela]]&amp;Table1[[#This Row],[Campo]]</f>
        <v>modesg_inp_nfrd_alinhamento_taxce_capex_own_prfrmnce_algnd</v>
      </c>
      <c r="I1070" s="2" t="s">
        <v>612</v>
      </c>
      <c r="J1070" s="45">
        <f>VLOOKUP(Table1[[#This Row],[Status]],Auxiliar!$B$16:$C$24,2,0)</f>
        <v>1</v>
      </c>
      <c r="K1070" s="20" t="s">
        <v>1182</v>
      </c>
      <c r="L1070" s="2" t="s">
        <v>641</v>
      </c>
      <c r="M1070" s="20" t="s">
        <v>1179</v>
      </c>
      <c r="N1070" s="47">
        <v>45540</v>
      </c>
      <c r="O1070" s="20">
        <f>INDEX(Auxiliar!$D$5:$F$13,MATCH(Table1[[#This Row],[Tipologia_Testes]],Auxiliar!$B$5:$B$13,0),MATCH(Table1[[#This Row],[Complexidade]],Auxiliar!$D$4:$F$4,0))</f>
        <v>0.5</v>
      </c>
      <c r="P1070" s="2"/>
      <c r="Q1070" s="2"/>
      <c r="R1070" s="151">
        <v>45261</v>
      </c>
      <c r="S1070" s="151"/>
      <c r="T1070" s="151"/>
      <c r="U1070" s="151">
        <v>45603</v>
      </c>
      <c r="V1070" s="151">
        <v>45534</v>
      </c>
      <c r="W1070" s="2">
        <f>VLOOKUP(Table1[[#This Row],[Status]],Auxiliar!$B$16:$D$24,3,0)*Table1[[#This Row],[Estimação (horas)]]</f>
        <v>0.5</v>
      </c>
      <c r="X1070" s="166">
        <f>+VLOOKUP(CONCATENATE(Table1[[#This Row],[Tabela]],Table1[[#This Row],[Campo]]),'2. Status Detalhe Campos FY24'!A:J,9,FALSE)</f>
        <v>0</v>
      </c>
    </row>
    <row r="1071" spans="2:24" ht="17.850000000000001" hidden="1" customHeight="1">
      <c r="B1071" s="12" t="s">
        <v>26</v>
      </c>
      <c r="C1071" s="12" t="s">
        <v>181</v>
      </c>
      <c r="D1071" s="12" t="s">
        <v>1229</v>
      </c>
      <c r="E1071" s="2" t="s">
        <v>38</v>
      </c>
      <c r="F1071" s="12" t="s">
        <v>216</v>
      </c>
      <c r="G1071" s="12" t="s">
        <v>208</v>
      </c>
      <c r="H1071" s="57" t="str">
        <f>Table1[[#This Row],[Tabela]]&amp;Table1[[#This Row],[Campo]]</f>
        <v>modesg_inp_risco_fisicoref_date</v>
      </c>
      <c r="I1071" s="3" t="s">
        <v>612</v>
      </c>
      <c r="J1071" s="53">
        <f>VLOOKUP(Table1[[#This Row],[Status]],Auxiliar!$B$16:$C$24,2,0)</f>
        <v>1</v>
      </c>
      <c r="K1071" s="20" t="s">
        <v>1182</v>
      </c>
      <c r="L1071" s="2" t="s">
        <v>641</v>
      </c>
      <c r="M1071" s="20" t="s">
        <v>1179</v>
      </c>
      <c r="N1071" s="47">
        <v>45485</v>
      </c>
      <c r="O1071" s="20">
        <f>INDEX(Auxiliar!$D$5:$F$13,MATCH(Table1[[#This Row],[Tipologia_Testes]],Auxiliar!$B$5:$B$13,0),MATCH(Table1[[#This Row],[Complexidade]],Auxiliar!$D$4:$F$4,0))</f>
        <v>0.5</v>
      </c>
      <c r="P1071" s="2"/>
      <c r="Q1071" s="2"/>
      <c r="R1071" s="151">
        <v>45261</v>
      </c>
      <c r="S1071" s="151"/>
      <c r="T1071" s="151"/>
      <c r="U1071" s="151">
        <v>45603</v>
      </c>
      <c r="V1071" s="151"/>
      <c r="W1071" s="2">
        <f>VLOOKUP(Table1[[#This Row],[Status]],Auxiliar!$B$16:$D$24,3,0)*Table1[[#This Row],[Estimação (horas)]]</f>
        <v>0.5</v>
      </c>
      <c r="X1071" s="166">
        <f>+VLOOKUP(CONCATENATE(Table1[[#This Row],[Tabela]],Table1[[#This Row],[Campo]]),'2. Status Detalhe Campos FY24'!A:J,9,FALSE)</f>
        <v>0</v>
      </c>
    </row>
    <row r="1072" spans="2:24" ht="17.850000000000001" hidden="1" customHeight="1">
      <c r="B1072" s="12" t="s">
        <v>26</v>
      </c>
      <c r="C1072" s="12" t="s">
        <v>181</v>
      </c>
      <c r="D1072" s="12" t="s">
        <v>1229</v>
      </c>
      <c r="E1072" s="2" t="s">
        <v>38</v>
      </c>
      <c r="F1072" s="12" t="s">
        <v>216</v>
      </c>
      <c r="G1072" s="12" t="s">
        <v>279</v>
      </c>
      <c r="H1072" s="57" t="str">
        <f>Table1[[#This Row],[Tabela]]&amp;Table1[[#This Row],[Campo]]</f>
        <v>modesg_inp_risco_fisicocod_pais</v>
      </c>
      <c r="I1072" s="3" t="s">
        <v>612</v>
      </c>
      <c r="J1072" s="53">
        <f>VLOOKUP(Table1[[#This Row],[Status]],Auxiliar!$B$16:$C$24,2,0)</f>
        <v>1</v>
      </c>
      <c r="K1072" s="20" t="s">
        <v>1174</v>
      </c>
      <c r="L1072" s="2" t="s">
        <v>1177</v>
      </c>
      <c r="M1072" s="20" t="s">
        <v>1179</v>
      </c>
      <c r="N1072" s="47">
        <v>45485</v>
      </c>
      <c r="O1072" s="20">
        <f>INDEX(Auxiliar!$D$5:$F$13,MATCH(Table1[[#This Row],[Tipologia_Testes]],Auxiliar!$B$5:$B$13,0),MATCH(Table1[[#This Row],[Complexidade]],Auxiliar!$D$4:$F$4,0))</f>
        <v>0.1</v>
      </c>
      <c r="P1072" s="2" t="s">
        <v>1245</v>
      </c>
      <c r="Q1072" s="2"/>
      <c r="R1072" s="151">
        <v>45261</v>
      </c>
      <c r="S1072" s="151"/>
      <c r="T1072" s="151"/>
      <c r="U1072" s="151">
        <v>45603</v>
      </c>
      <c r="V1072" s="151"/>
      <c r="W1072" s="2">
        <f>VLOOKUP(Table1[[#This Row],[Status]],Auxiliar!$B$16:$D$24,3,0)*Table1[[#This Row],[Estimação (horas)]]</f>
        <v>0.1</v>
      </c>
      <c r="X1072" s="166">
        <f>+VLOOKUP(CONCATENATE(Table1[[#This Row],[Tabela]],Table1[[#This Row],[Campo]]),'2. Status Detalhe Campos FY24'!A:J,9,FALSE)</f>
        <v>0</v>
      </c>
    </row>
    <row r="1073" spans="2:24" ht="17.850000000000001" hidden="1" customHeight="1">
      <c r="B1073" s="12" t="s">
        <v>26</v>
      </c>
      <c r="C1073" s="12" t="s">
        <v>181</v>
      </c>
      <c r="D1073" s="12" t="s">
        <v>1229</v>
      </c>
      <c r="E1073" s="2" t="s">
        <v>38</v>
      </c>
      <c r="F1073" s="12" t="s">
        <v>216</v>
      </c>
      <c r="G1073" s="12" t="s">
        <v>279</v>
      </c>
      <c r="H1073" s="57" t="str">
        <f>Table1[[#This Row],[Tabela]]&amp;Table1[[#This Row],[Campo]]</f>
        <v>modesg_inp_risco_fisicocod_pais</v>
      </c>
      <c r="I1073" s="3" t="s">
        <v>612</v>
      </c>
      <c r="J1073" s="53">
        <f>VLOOKUP(Table1[[#This Row],[Status]],Auxiliar!$B$16:$C$24,2,0)</f>
        <v>1</v>
      </c>
      <c r="K1073" s="20" t="s">
        <v>1182</v>
      </c>
      <c r="L1073" s="2" t="s">
        <v>1177</v>
      </c>
      <c r="M1073" s="20" t="s">
        <v>1179</v>
      </c>
      <c r="N1073" s="47">
        <v>45485</v>
      </c>
      <c r="O1073" s="20">
        <f>INDEX(Auxiliar!$D$5:$F$13,MATCH(Table1[[#This Row],[Tipologia_Testes]],Auxiliar!$B$5:$B$13,0),MATCH(Table1[[#This Row],[Complexidade]],Auxiliar!$D$4:$F$4,0))</f>
        <v>0.5</v>
      </c>
      <c r="P1073" s="2"/>
      <c r="Q1073" s="2"/>
      <c r="R1073" s="151">
        <v>45261</v>
      </c>
      <c r="S1073" s="151"/>
      <c r="T1073" s="151"/>
      <c r="U1073" s="151">
        <v>45603</v>
      </c>
      <c r="V1073" s="151"/>
      <c r="W1073" s="2">
        <f>VLOOKUP(Table1[[#This Row],[Status]],Auxiliar!$B$16:$D$24,3,0)*Table1[[#This Row],[Estimação (horas)]]</f>
        <v>0.5</v>
      </c>
      <c r="X1073" s="166">
        <f>+VLOOKUP(CONCATENATE(Table1[[#This Row],[Tabela]],Table1[[#This Row],[Campo]]),'2. Status Detalhe Campos FY24'!A:J,9,FALSE)</f>
        <v>0</v>
      </c>
    </row>
    <row r="1074" spans="2:24" ht="17.850000000000001" hidden="1" customHeight="1">
      <c r="B1074" s="12" t="s">
        <v>26</v>
      </c>
      <c r="C1074" s="12" t="s">
        <v>181</v>
      </c>
      <c r="D1074" s="12" t="s">
        <v>1229</v>
      </c>
      <c r="E1074" s="2" t="s">
        <v>38</v>
      </c>
      <c r="F1074" s="12" t="s">
        <v>216</v>
      </c>
      <c r="G1074" s="12" t="s">
        <v>280</v>
      </c>
      <c r="H1074" s="57" t="str">
        <f>Table1[[#This Row],[Tabela]]&amp;Table1[[#This Row],[Campo]]</f>
        <v>modesg_inp_risco_fisicocod_nutiii</v>
      </c>
      <c r="I1074" s="3" t="s">
        <v>612</v>
      </c>
      <c r="J1074" s="53">
        <f>VLOOKUP(Table1[[#This Row],[Status]],Auxiliar!$B$16:$C$24,2,0)</f>
        <v>1</v>
      </c>
      <c r="K1074" s="20" t="s">
        <v>1182</v>
      </c>
      <c r="L1074" s="2" t="s">
        <v>1177</v>
      </c>
      <c r="M1074" s="20" t="s">
        <v>1179</v>
      </c>
      <c r="N1074" s="47">
        <v>45485</v>
      </c>
      <c r="O1074" s="20">
        <f>INDEX(Auxiliar!$D$5:$F$13,MATCH(Table1[[#This Row],[Tipologia_Testes]],Auxiliar!$B$5:$B$13,0),MATCH(Table1[[#This Row],[Complexidade]],Auxiliar!$D$4:$F$4,0))</f>
        <v>0.5</v>
      </c>
      <c r="P1074" s="2"/>
      <c r="Q1074" s="2"/>
      <c r="R1074" s="151">
        <v>45261</v>
      </c>
      <c r="S1074" s="151"/>
      <c r="T1074" s="151"/>
      <c r="U1074" s="151">
        <v>45603</v>
      </c>
      <c r="V1074" s="151"/>
      <c r="W1074" s="2">
        <f>VLOOKUP(Table1[[#This Row],[Status]],Auxiliar!$B$16:$D$24,3,0)*Table1[[#This Row],[Estimação (horas)]]</f>
        <v>0.5</v>
      </c>
      <c r="X1074" s="166">
        <f>+VLOOKUP(CONCATENATE(Table1[[#This Row],[Tabela]],Table1[[#This Row],[Campo]]),'2. Status Detalhe Campos FY24'!A:J,9,FALSE)</f>
        <v>0</v>
      </c>
    </row>
    <row r="1075" spans="2:24" ht="17.850000000000001" hidden="1" customHeight="1">
      <c r="B1075" s="12" t="s">
        <v>26</v>
      </c>
      <c r="C1075" s="12" t="s">
        <v>181</v>
      </c>
      <c r="D1075" s="12" t="s">
        <v>1229</v>
      </c>
      <c r="E1075" s="2" t="s">
        <v>38</v>
      </c>
      <c r="F1075" s="12" t="s">
        <v>216</v>
      </c>
      <c r="G1075" s="12" t="s">
        <v>281</v>
      </c>
      <c r="H1075" s="57" t="str">
        <f>Table1[[#This Row],[Tabela]]&amp;Table1[[#This Row],[Campo]]</f>
        <v>modesg_inp_risco_fisicocod_nace_esg</v>
      </c>
      <c r="I1075" s="3" t="s">
        <v>612</v>
      </c>
      <c r="J1075" s="53">
        <f>VLOOKUP(Table1[[#This Row],[Status]],Auxiliar!$B$16:$C$24,2,0)</f>
        <v>1</v>
      </c>
      <c r="K1075" s="20" t="s">
        <v>1174</v>
      </c>
      <c r="L1075" s="2" t="s">
        <v>1177</v>
      </c>
      <c r="M1075" s="20" t="s">
        <v>1179</v>
      </c>
      <c r="N1075" s="47">
        <v>45569</v>
      </c>
      <c r="O1075" s="20">
        <f>INDEX(Auxiliar!$D$5:$F$13,MATCH(Table1[[#This Row],[Tipologia_Testes]],Auxiliar!$B$5:$B$13,0),MATCH(Table1[[#This Row],[Complexidade]],Auxiliar!$D$4:$F$4,0))</f>
        <v>0.1</v>
      </c>
      <c r="P1075" s="2" t="s">
        <v>1245</v>
      </c>
      <c r="Q1075" s="2"/>
      <c r="R1075" s="151">
        <v>45261</v>
      </c>
      <c r="S1075" s="151"/>
      <c r="T1075" s="151"/>
      <c r="U1075" s="151">
        <v>45603</v>
      </c>
      <c r="V1075" s="151"/>
      <c r="W1075" s="2">
        <f>VLOOKUP(Table1[[#This Row],[Status]],Auxiliar!$B$16:$D$24,3,0)*Table1[[#This Row],[Estimação (horas)]]</f>
        <v>0.1</v>
      </c>
      <c r="X1075" s="166">
        <f>+VLOOKUP(CONCATENATE(Table1[[#This Row],[Tabela]],Table1[[#This Row],[Campo]]),'2. Status Detalhe Campos FY24'!A:J,9,FALSE)</f>
        <v>0</v>
      </c>
    </row>
    <row r="1076" spans="2:24" ht="17.850000000000001" hidden="1" customHeight="1">
      <c r="B1076" s="12" t="s">
        <v>26</v>
      </c>
      <c r="C1076" s="12" t="s">
        <v>181</v>
      </c>
      <c r="D1076" s="12" t="s">
        <v>1229</v>
      </c>
      <c r="E1076" s="2" t="s">
        <v>38</v>
      </c>
      <c r="F1076" s="12" t="s">
        <v>216</v>
      </c>
      <c r="G1076" s="12" t="s">
        <v>281</v>
      </c>
      <c r="H1076" s="57" t="str">
        <f>Table1[[#This Row],[Tabela]]&amp;Table1[[#This Row],[Campo]]</f>
        <v>modesg_inp_risco_fisicocod_nace_esg</v>
      </c>
      <c r="I1076" s="3" t="s">
        <v>612</v>
      </c>
      <c r="J1076" s="53">
        <f>VLOOKUP(Table1[[#This Row],[Status]],Auxiliar!$B$16:$C$24,2,0)</f>
        <v>1</v>
      </c>
      <c r="K1076" s="20" t="s">
        <v>1182</v>
      </c>
      <c r="L1076" s="2" t="s">
        <v>1177</v>
      </c>
      <c r="M1076" s="20" t="s">
        <v>1179</v>
      </c>
      <c r="N1076" s="47">
        <v>45569</v>
      </c>
      <c r="O1076" s="20">
        <f>INDEX(Auxiliar!$D$5:$F$13,MATCH(Table1[[#This Row],[Tipologia_Testes]],Auxiliar!$B$5:$B$13,0),MATCH(Table1[[#This Row],[Complexidade]],Auxiliar!$D$4:$F$4,0))</f>
        <v>0.5</v>
      </c>
      <c r="P1076" s="2"/>
      <c r="Q1076" s="2"/>
      <c r="R1076" s="151">
        <v>45261</v>
      </c>
      <c r="S1076" s="151"/>
      <c r="T1076" s="151"/>
      <c r="U1076" s="151">
        <v>45603</v>
      </c>
      <c r="V1076" s="151"/>
      <c r="W1076" s="2">
        <f>VLOOKUP(Table1[[#This Row],[Status]],Auxiliar!$B$16:$D$24,3,0)*Table1[[#This Row],[Estimação (horas)]]</f>
        <v>0.5</v>
      </c>
      <c r="X1076" s="166">
        <f>+VLOOKUP(CONCATENATE(Table1[[#This Row],[Tabela]],Table1[[#This Row],[Campo]]),'2. Status Detalhe Campos FY24'!A:J,9,FALSE)</f>
        <v>0</v>
      </c>
    </row>
    <row r="1077" spans="2:24" ht="17.850000000000001" hidden="1" customHeight="1">
      <c r="B1077" s="12" t="s">
        <v>26</v>
      </c>
      <c r="C1077" s="12" t="s">
        <v>181</v>
      </c>
      <c r="D1077" s="12" t="s">
        <v>1229</v>
      </c>
      <c r="E1077" s="2" t="s">
        <v>38</v>
      </c>
      <c r="F1077" s="12" t="s">
        <v>216</v>
      </c>
      <c r="G1077" s="12" t="s">
        <v>282</v>
      </c>
      <c r="H1077" s="57" t="str">
        <f>Table1[[#This Row],[Tabela]]&amp;Table1[[#This Row],[Campo]]</f>
        <v>modesg_inp_risco_fisicoflg_rsc_fsc_agd</v>
      </c>
      <c r="I1077" s="3" t="s">
        <v>612</v>
      </c>
      <c r="J1077" s="53">
        <f>VLOOKUP(Table1[[#This Row],[Status]],Auxiliar!$B$16:$C$24,2,0)</f>
        <v>1</v>
      </c>
      <c r="K1077" s="20" t="s">
        <v>1174</v>
      </c>
      <c r="L1077" s="2" t="s">
        <v>1177</v>
      </c>
      <c r="M1077" s="20" t="s">
        <v>1179</v>
      </c>
      <c r="N1077" s="47">
        <v>45485</v>
      </c>
      <c r="O1077" s="20">
        <f>INDEX(Auxiliar!$D$5:$F$13,MATCH(Table1[[#This Row],[Tipologia_Testes]],Auxiliar!$B$5:$B$13,0),MATCH(Table1[[#This Row],[Complexidade]],Auxiliar!$D$4:$F$4,0))</f>
        <v>0.1</v>
      </c>
      <c r="P1077" s="2" t="s">
        <v>1246</v>
      </c>
      <c r="Q1077" s="2"/>
      <c r="R1077" s="151">
        <v>45261</v>
      </c>
      <c r="S1077" s="151"/>
      <c r="T1077" s="151"/>
      <c r="U1077" s="151">
        <v>45603</v>
      </c>
      <c r="V1077" s="151"/>
      <c r="W1077" s="2">
        <f>VLOOKUP(Table1[[#This Row],[Status]],Auxiliar!$B$16:$D$24,3,0)*Table1[[#This Row],[Estimação (horas)]]</f>
        <v>0.1</v>
      </c>
      <c r="X1077" s="166">
        <f>+VLOOKUP(CONCATENATE(Table1[[#This Row],[Tabela]],Table1[[#This Row],[Campo]]),'2. Status Detalhe Campos FY24'!A:J,9,FALSE)</f>
        <v>0</v>
      </c>
    </row>
    <row r="1078" spans="2:24" ht="17.850000000000001" hidden="1" customHeight="1">
      <c r="B1078" s="12" t="s">
        <v>26</v>
      </c>
      <c r="C1078" s="12" t="s">
        <v>181</v>
      </c>
      <c r="D1078" s="12" t="s">
        <v>1229</v>
      </c>
      <c r="E1078" s="2" t="s">
        <v>38</v>
      </c>
      <c r="F1078" s="12" t="s">
        <v>216</v>
      </c>
      <c r="G1078" s="12" t="s">
        <v>282</v>
      </c>
      <c r="H1078" s="57" t="str">
        <f>Table1[[#This Row],[Tabela]]&amp;Table1[[#This Row],[Campo]]</f>
        <v>modesg_inp_risco_fisicoflg_rsc_fsc_agd</v>
      </c>
      <c r="I1078" s="3" t="s">
        <v>612</v>
      </c>
      <c r="J1078" s="53">
        <f>VLOOKUP(Table1[[#This Row],[Status]],Auxiliar!$B$16:$C$24,2,0)</f>
        <v>1</v>
      </c>
      <c r="K1078" s="20" t="s">
        <v>1182</v>
      </c>
      <c r="L1078" s="2" t="s">
        <v>1177</v>
      </c>
      <c r="M1078" s="20" t="s">
        <v>1179</v>
      </c>
      <c r="N1078" s="47">
        <v>45485</v>
      </c>
      <c r="O1078" s="20">
        <f>INDEX(Auxiliar!$D$5:$F$13,MATCH(Table1[[#This Row],[Tipologia_Testes]],Auxiliar!$B$5:$B$13,0),MATCH(Table1[[#This Row],[Complexidade]],Auxiliar!$D$4:$F$4,0))</f>
        <v>0.5</v>
      </c>
      <c r="P1078" s="2"/>
      <c r="Q1078" s="2"/>
      <c r="R1078" s="151">
        <v>45261</v>
      </c>
      <c r="S1078" s="151"/>
      <c r="T1078" s="151"/>
      <c r="U1078" s="151">
        <v>45603</v>
      </c>
      <c r="V1078" s="151"/>
      <c r="W1078" s="2">
        <f>VLOOKUP(Table1[[#This Row],[Status]],Auxiliar!$B$16:$D$24,3,0)*Table1[[#This Row],[Estimação (horas)]]</f>
        <v>0.5</v>
      </c>
      <c r="X1078" s="166">
        <f>+VLOOKUP(CONCATENATE(Table1[[#This Row],[Tabela]],Table1[[#This Row],[Campo]]),'2. Status Detalhe Campos FY24'!A:J,9,FALSE)</f>
        <v>0</v>
      </c>
    </row>
    <row r="1079" spans="2:24" ht="17.850000000000001" hidden="1" customHeight="1">
      <c r="B1079" s="12" t="s">
        <v>26</v>
      </c>
      <c r="C1079" s="12" t="s">
        <v>181</v>
      </c>
      <c r="D1079" s="12" t="s">
        <v>1229</v>
      </c>
      <c r="E1079" s="2" t="s">
        <v>38</v>
      </c>
      <c r="F1079" s="12" t="s">
        <v>216</v>
      </c>
      <c r="G1079" s="12" t="s">
        <v>283</v>
      </c>
      <c r="H1079" s="57" t="str">
        <f>Table1[[#This Row],[Tabela]]&amp;Table1[[#This Row],[Campo]]</f>
        <v>modesg_inp_risco_fisicoflg_rsc_fsc_crnc</v>
      </c>
      <c r="I1079" s="3" t="s">
        <v>612</v>
      </c>
      <c r="J1079" s="53">
        <f>VLOOKUP(Table1[[#This Row],[Status]],Auxiliar!$B$16:$C$24,2,0)</f>
        <v>1</v>
      </c>
      <c r="K1079" s="20" t="s">
        <v>1174</v>
      </c>
      <c r="L1079" s="2" t="s">
        <v>1177</v>
      </c>
      <c r="M1079" s="20" t="s">
        <v>1179</v>
      </c>
      <c r="N1079" s="47">
        <v>45485</v>
      </c>
      <c r="O1079" s="20">
        <f>INDEX(Auxiliar!$D$5:$F$13,MATCH(Table1[[#This Row],[Tipologia_Testes]],Auxiliar!$B$5:$B$13,0),MATCH(Table1[[#This Row],[Complexidade]],Auxiliar!$D$4:$F$4,0))</f>
        <v>0.1</v>
      </c>
      <c r="P1079" s="2" t="s">
        <v>1246</v>
      </c>
      <c r="Q1079" s="2"/>
      <c r="R1079" s="151">
        <v>45261</v>
      </c>
      <c r="S1079" s="151"/>
      <c r="T1079" s="151"/>
      <c r="U1079" s="151">
        <v>45603</v>
      </c>
      <c r="V1079" s="151"/>
      <c r="W1079" s="2">
        <f>VLOOKUP(Table1[[#This Row],[Status]],Auxiliar!$B$16:$D$24,3,0)*Table1[[#This Row],[Estimação (horas)]]</f>
        <v>0.1</v>
      </c>
      <c r="X1079" s="166">
        <f>+VLOOKUP(CONCATENATE(Table1[[#This Row],[Tabela]],Table1[[#This Row],[Campo]]),'2. Status Detalhe Campos FY24'!A:J,9,FALSE)</f>
        <v>0</v>
      </c>
    </row>
    <row r="1080" spans="2:24" ht="17.850000000000001" hidden="1" customHeight="1">
      <c r="B1080" s="12" t="s">
        <v>26</v>
      </c>
      <c r="C1080" s="12" t="s">
        <v>181</v>
      </c>
      <c r="D1080" s="12" t="s">
        <v>1229</v>
      </c>
      <c r="E1080" s="2" t="s">
        <v>38</v>
      </c>
      <c r="F1080" s="12" t="s">
        <v>216</v>
      </c>
      <c r="G1080" s="12" t="s">
        <v>283</v>
      </c>
      <c r="H1080" s="57" t="str">
        <f>Table1[[#This Row],[Tabela]]&amp;Table1[[#This Row],[Campo]]</f>
        <v>modesg_inp_risco_fisicoflg_rsc_fsc_crnc</v>
      </c>
      <c r="I1080" s="3" t="s">
        <v>612</v>
      </c>
      <c r="J1080" s="53">
        <f>VLOOKUP(Table1[[#This Row],[Status]],Auxiliar!$B$16:$C$24,2,0)</f>
        <v>1</v>
      </c>
      <c r="K1080" s="20" t="s">
        <v>1182</v>
      </c>
      <c r="L1080" s="2" t="s">
        <v>1177</v>
      </c>
      <c r="M1080" s="20" t="s">
        <v>1179</v>
      </c>
      <c r="N1080" s="47">
        <v>45485</v>
      </c>
      <c r="O1080" s="20">
        <f>INDEX(Auxiliar!$D$5:$F$13,MATCH(Table1[[#This Row],[Tipologia_Testes]],Auxiliar!$B$5:$B$13,0),MATCH(Table1[[#This Row],[Complexidade]],Auxiliar!$D$4:$F$4,0))</f>
        <v>0.5</v>
      </c>
      <c r="P1080" s="2"/>
      <c r="Q1080" s="2"/>
      <c r="R1080" s="151">
        <v>45261</v>
      </c>
      <c r="S1080" s="151"/>
      <c r="T1080" s="151"/>
      <c r="U1080" s="151">
        <v>45603</v>
      </c>
      <c r="V1080" s="151"/>
      <c r="W1080" s="2">
        <f>VLOOKUP(Table1[[#This Row],[Status]],Auxiliar!$B$16:$D$24,3,0)*Table1[[#This Row],[Estimação (horas)]]</f>
        <v>0.5</v>
      </c>
      <c r="X1080" s="166">
        <f>+VLOOKUP(CONCATENATE(Table1[[#This Row],[Tabela]],Table1[[#This Row],[Campo]]),'2. Status Detalhe Campos FY24'!A:J,9,FALSE)</f>
        <v>0</v>
      </c>
    </row>
    <row r="1081" spans="2:24" ht="17.850000000000001" hidden="1" customHeight="1">
      <c r="B1081" s="12" t="s">
        <v>26</v>
      </c>
      <c r="C1081" s="12" t="s">
        <v>181</v>
      </c>
      <c r="D1081" s="12" t="s">
        <v>1229</v>
      </c>
      <c r="E1081" s="2" t="s">
        <v>38</v>
      </c>
      <c r="F1081" s="12" t="s">
        <v>2160</v>
      </c>
      <c r="G1081" s="12" t="s">
        <v>279</v>
      </c>
      <c r="H1081" s="57" t="str">
        <f>Table1[[#This Row],[Tabela]]&amp;Table1[[#This Row],[Campo]]</f>
        <v>modesg_inp_risco_fisico_zipcodecod_pais</v>
      </c>
      <c r="I1081" s="3" t="s">
        <v>1845</v>
      </c>
      <c r="J1081" s="53">
        <f>VLOOKUP(Table1[[#This Row],[Status]],Auxiliar!$B$16:$C$24,2,0)</f>
        <v>2</v>
      </c>
      <c r="K1081" s="20" t="s">
        <v>1182</v>
      </c>
      <c r="L1081" s="2" t="s">
        <v>1177</v>
      </c>
      <c r="M1081" s="20" t="s">
        <v>1179</v>
      </c>
      <c r="N1081" s="47">
        <v>45695</v>
      </c>
      <c r="O1081" s="20" t="e">
        <f>INDEX(Auxiliar!$D$5:$F$11,MATCH(Table1[[#This Row],[Tipologia_Testes]],Auxiliar!$B$5:$B$11,0),MATCH(Table1[[#This Row],[Complexidade]],Auxiliar!$D$4:$F$4,0))</f>
        <v>#N/A</v>
      </c>
      <c r="P1081" s="2"/>
      <c r="Q1081" s="2"/>
      <c r="R1081" s="151"/>
      <c r="S1081" s="151"/>
      <c r="T1081" s="151"/>
      <c r="U1081" s="151"/>
      <c r="V1081" s="151"/>
      <c r="W1081" s="2" t="e">
        <f>VLOOKUP(Table1[[#This Row],[Status]],Auxiliar!$B$16:$D$24,3,0)*Table1[[#This Row],[Estimação (horas)]]</f>
        <v>#N/A</v>
      </c>
      <c r="X1081" s="166">
        <f>+VLOOKUP(CONCATENATE(Table1[[#This Row],[Tabela]],Table1[[#This Row],[Campo]]),'2. Status Detalhe Campos FY24'!A:J,9,FALSE)</f>
        <v>0</v>
      </c>
    </row>
    <row r="1082" spans="2:24" ht="17.850000000000001" hidden="1" customHeight="1">
      <c r="B1082" s="12" t="s">
        <v>26</v>
      </c>
      <c r="C1082" s="12" t="s">
        <v>181</v>
      </c>
      <c r="D1082" s="12" t="s">
        <v>1229</v>
      </c>
      <c r="E1082" s="2" t="s">
        <v>38</v>
      </c>
      <c r="F1082" s="12" t="s">
        <v>2160</v>
      </c>
      <c r="G1082" s="12" t="s">
        <v>2161</v>
      </c>
      <c r="H1082" s="57" t="str">
        <f>Table1[[#This Row],[Tabela]]&amp;Table1[[#This Row],[Campo]]</f>
        <v>modesg_inp_risco_fisico_zipcodelocalizacao</v>
      </c>
      <c r="I1082" s="3" t="s">
        <v>1845</v>
      </c>
      <c r="J1082" s="53">
        <f>VLOOKUP(Table1[[#This Row],[Status]],Auxiliar!$B$16:$C$24,2,0)</f>
        <v>2</v>
      </c>
      <c r="K1082" s="20" t="s">
        <v>1182</v>
      </c>
      <c r="L1082" s="2" t="s">
        <v>1177</v>
      </c>
      <c r="M1082" s="20" t="s">
        <v>1179</v>
      </c>
      <c r="N1082" s="47">
        <v>45695</v>
      </c>
      <c r="O1082" s="20" t="e">
        <f>INDEX(Auxiliar!$D$5:$F$11,MATCH(Table1[[#This Row],[Tipologia_Testes]],Auxiliar!$B$5:$B$11,0),MATCH(Table1[[#This Row],[Complexidade]],Auxiliar!$D$4:$F$4,0))</f>
        <v>#N/A</v>
      </c>
      <c r="P1082" s="2"/>
      <c r="Q1082" s="2"/>
      <c r="R1082" s="151"/>
      <c r="S1082" s="151"/>
      <c r="T1082" s="151"/>
      <c r="U1082" s="151"/>
      <c r="V1082" s="151"/>
      <c r="W1082" s="2" t="e">
        <f>VLOOKUP(Table1[[#This Row],[Status]],Auxiliar!$B$16:$D$24,3,0)*Table1[[#This Row],[Estimação (horas)]]</f>
        <v>#N/A</v>
      </c>
      <c r="X1082" s="166">
        <f>+VLOOKUP(CONCATENATE(Table1[[#This Row],[Tabela]],Table1[[#This Row],[Campo]]),'2. Status Detalhe Campos FY24'!A:J,9,FALSE)</f>
        <v>0</v>
      </c>
    </row>
    <row r="1083" spans="2:24" ht="17.850000000000001" hidden="1" customHeight="1">
      <c r="B1083" s="12" t="s">
        <v>26</v>
      </c>
      <c r="C1083" s="12" t="s">
        <v>181</v>
      </c>
      <c r="D1083" s="12" t="s">
        <v>1229</v>
      </c>
      <c r="E1083" s="2" t="s">
        <v>38</v>
      </c>
      <c r="F1083" s="12" t="s">
        <v>2160</v>
      </c>
      <c r="G1083" s="12" t="s">
        <v>281</v>
      </c>
      <c r="H1083" s="57" t="str">
        <f>Table1[[#This Row],[Tabela]]&amp;Table1[[#This Row],[Campo]]</f>
        <v>modesg_inp_risco_fisico_zipcodecod_nace_esg</v>
      </c>
      <c r="I1083" s="3" t="s">
        <v>1845</v>
      </c>
      <c r="J1083" s="53">
        <f>VLOOKUP(Table1[[#This Row],[Status]],Auxiliar!$B$16:$C$24,2,0)</f>
        <v>2</v>
      </c>
      <c r="K1083" s="20" t="s">
        <v>1182</v>
      </c>
      <c r="L1083" s="2" t="s">
        <v>1177</v>
      </c>
      <c r="M1083" s="20" t="s">
        <v>1179</v>
      </c>
      <c r="N1083" s="47">
        <v>45695</v>
      </c>
      <c r="O1083" s="20" t="e">
        <f>INDEX(Auxiliar!$D$5:$F$11,MATCH(Table1[[#This Row],[Tipologia_Testes]],Auxiliar!$B$5:$B$11,0),MATCH(Table1[[#This Row],[Complexidade]],Auxiliar!$D$4:$F$4,0))</f>
        <v>#N/A</v>
      </c>
      <c r="P1083" s="2"/>
      <c r="Q1083" s="2"/>
      <c r="R1083" s="151"/>
      <c r="S1083" s="151"/>
      <c r="T1083" s="151"/>
      <c r="U1083" s="151"/>
      <c r="V1083" s="151"/>
      <c r="W1083" s="2" t="e">
        <f>VLOOKUP(Table1[[#This Row],[Status]],Auxiliar!$B$16:$D$24,3,0)*Table1[[#This Row],[Estimação (horas)]]</f>
        <v>#N/A</v>
      </c>
      <c r="X1083" s="166">
        <f>+VLOOKUP(CONCATENATE(Table1[[#This Row],[Tabela]],Table1[[#This Row],[Campo]]),'2. Status Detalhe Campos FY24'!A:J,9,FALSE)</f>
        <v>0</v>
      </c>
    </row>
    <row r="1084" spans="2:24" ht="17.850000000000001" hidden="1" customHeight="1">
      <c r="B1084" s="12" t="s">
        <v>26</v>
      </c>
      <c r="C1084" s="12" t="s">
        <v>181</v>
      </c>
      <c r="D1084" s="12" t="s">
        <v>1229</v>
      </c>
      <c r="E1084" s="2" t="s">
        <v>38</v>
      </c>
      <c r="F1084" s="12" t="s">
        <v>2160</v>
      </c>
      <c r="G1084" s="12" t="s">
        <v>282</v>
      </c>
      <c r="H1084" s="57" t="str">
        <f>Table1[[#This Row],[Tabela]]&amp;Table1[[#This Row],[Campo]]</f>
        <v>modesg_inp_risco_fisico_zipcodeflg_rsc_fsc_agd</v>
      </c>
      <c r="I1084" s="3" t="s">
        <v>1845</v>
      </c>
      <c r="J1084" s="53">
        <f>VLOOKUP(Table1[[#This Row],[Status]],Auxiliar!$B$16:$C$24,2,0)</f>
        <v>2</v>
      </c>
      <c r="K1084" s="20" t="s">
        <v>1182</v>
      </c>
      <c r="L1084" s="2" t="s">
        <v>1177</v>
      </c>
      <c r="M1084" s="20" t="s">
        <v>1179</v>
      </c>
      <c r="N1084" s="47">
        <v>45695</v>
      </c>
      <c r="O1084" s="20" t="e">
        <f>INDEX(Auxiliar!$D$5:$F$11,MATCH(Table1[[#This Row],[Tipologia_Testes]],Auxiliar!$B$5:$B$11,0),MATCH(Table1[[#This Row],[Complexidade]],Auxiliar!$D$4:$F$4,0))</f>
        <v>#N/A</v>
      </c>
      <c r="P1084" s="2"/>
      <c r="Q1084" s="2"/>
      <c r="R1084" s="151"/>
      <c r="S1084" s="151"/>
      <c r="T1084" s="151"/>
      <c r="U1084" s="151"/>
      <c r="V1084" s="151"/>
      <c r="W1084" s="2" t="e">
        <f>VLOOKUP(Table1[[#This Row],[Status]],Auxiliar!$B$16:$D$24,3,0)*Table1[[#This Row],[Estimação (horas)]]</f>
        <v>#N/A</v>
      </c>
      <c r="X1084" s="166">
        <f>+VLOOKUP(CONCATENATE(Table1[[#This Row],[Tabela]],Table1[[#This Row],[Campo]]),'2. Status Detalhe Campos FY24'!A:J,9,FALSE)</f>
        <v>0</v>
      </c>
    </row>
    <row r="1085" spans="2:24" ht="17.850000000000001" hidden="1" customHeight="1">
      <c r="B1085" s="12" t="s">
        <v>26</v>
      </c>
      <c r="C1085" s="12" t="s">
        <v>181</v>
      </c>
      <c r="D1085" s="12" t="s">
        <v>1229</v>
      </c>
      <c r="E1085" s="2" t="s">
        <v>38</v>
      </c>
      <c r="F1085" s="12" t="s">
        <v>2160</v>
      </c>
      <c r="G1085" s="12" t="s">
        <v>283</v>
      </c>
      <c r="H1085" s="57" t="str">
        <f>Table1[[#This Row],[Tabela]]&amp;Table1[[#This Row],[Campo]]</f>
        <v>modesg_inp_risco_fisico_zipcodeflg_rsc_fsc_crnc</v>
      </c>
      <c r="I1085" s="3" t="s">
        <v>1845</v>
      </c>
      <c r="J1085" s="53">
        <f>VLOOKUP(Table1[[#This Row],[Status]],Auxiliar!$B$16:$C$24,2,0)</f>
        <v>2</v>
      </c>
      <c r="K1085" s="20" t="s">
        <v>1182</v>
      </c>
      <c r="L1085" s="2" t="s">
        <v>1177</v>
      </c>
      <c r="M1085" s="20" t="s">
        <v>1179</v>
      </c>
      <c r="N1085" s="47">
        <v>45695</v>
      </c>
      <c r="O1085" s="20" t="e">
        <f>INDEX(Auxiliar!$D$5:$F$11,MATCH(Table1[[#This Row],[Tipologia_Testes]],Auxiliar!$B$5:$B$11,0),MATCH(Table1[[#This Row],[Complexidade]],Auxiliar!$D$4:$F$4,0))</f>
        <v>#N/A</v>
      </c>
      <c r="P1085" s="2"/>
      <c r="Q1085" s="2"/>
      <c r="R1085" s="151"/>
      <c r="S1085" s="151"/>
      <c r="T1085" s="151"/>
      <c r="U1085" s="151"/>
      <c r="V1085" s="151"/>
      <c r="W1085" s="2" t="e">
        <f>VLOOKUP(Table1[[#This Row],[Status]],Auxiliar!$B$16:$D$24,3,0)*Table1[[#This Row],[Estimação (horas)]]</f>
        <v>#N/A</v>
      </c>
      <c r="X1085" s="166">
        <f>+VLOOKUP(CONCATENATE(Table1[[#This Row],[Tabela]],Table1[[#This Row],[Campo]]),'2. Status Detalhe Campos FY24'!A:J,9,FALSE)</f>
        <v>0</v>
      </c>
    </row>
    <row r="1086" spans="2:24" ht="17.850000000000001" hidden="1" customHeight="1">
      <c r="B1086" s="12" t="s">
        <v>26</v>
      </c>
      <c r="C1086" s="12" t="s">
        <v>181</v>
      </c>
      <c r="D1086" s="12" t="s">
        <v>1221</v>
      </c>
      <c r="E1086" s="2" t="s">
        <v>38</v>
      </c>
      <c r="F1086" s="12" t="s">
        <v>217</v>
      </c>
      <c r="G1086" s="12" t="s">
        <v>208</v>
      </c>
      <c r="H1086" s="57" t="str">
        <f>Table1[[#This Row],[Tabela]]&amp;Table1[[#This Row],[Campo]]</f>
        <v>modesg_inp_emss_scibref_date</v>
      </c>
      <c r="I1086" s="2" t="s">
        <v>612</v>
      </c>
      <c r="J1086" s="45">
        <f>VLOOKUP(Table1[[#This Row],[Status]],Auxiliar!$B$16:$C$24,2,0)</f>
        <v>1</v>
      </c>
      <c r="K1086" s="20" t="s">
        <v>1182</v>
      </c>
      <c r="L1086" s="2" t="s">
        <v>1177</v>
      </c>
      <c r="M1086" s="20" t="s">
        <v>1179</v>
      </c>
      <c r="N1086" s="47">
        <v>45490</v>
      </c>
      <c r="O1086" s="20">
        <f>INDEX(Auxiliar!$D$5:$F$13,MATCH(Table1[[#This Row],[Tipologia_Testes]],Auxiliar!$B$5:$B$13,0),MATCH(Table1[[#This Row],[Complexidade]],Auxiliar!$D$4:$F$4,0))</f>
        <v>0.5</v>
      </c>
      <c r="P1086" s="2"/>
      <c r="Q1086" s="2" t="s">
        <v>1224</v>
      </c>
      <c r="R1086" s="151">
        <v>45261</v>
      </c>
      <c r="S1086" s="151"/>
      <c r="T1086" s="151"/>
      <c r="U1086" s="151">
        <v>45603</v>
      </c>
      <c r="V1086" s="151"/>
      <c r="W1086" s="2">
        <f>VLOOKUP(Table1[[#This Row],[Status]],Auxiliar!$B$16:$D$24,3,0)*Table1[[#This Row],[Estimação (horas)]]</f>
        <v>0.5</v>
      </c>
      <c r="X1086" s="166">
        <f>+VLOOKUP(CONCATENATE(Table1[[#This Row],[Tabela]],Table1[[#This Row],[Campo]]),'2. Status Detalhe Campos FY24'!A:J,9,FALSE)</f>
        <v>0</v>
      </c>
    </row>
    <row r="1087" spans="2:24" ht="17.850000000000001" hidden="1" customHeight="1">
      <c r="B1087" s="12" t="s">
        <v>26</v>
      </c>
      <c r="C1087" s="12" t="s">
        <v>181</v>
      </c>
      <c r="D1087" s="12" t="s">
        <v>1221</v>
      </c>
      <c r="E1087" s="2" t="s">
        <v>38</v>
      </c>
      <c r="F1087" s="12" t="s">
        <v>217</v>
      </c>
      <c r="G1087" s="12" t="s">
        <v>240</v>
      </c>
      <c r="H1087" s="57" t="str">
        <f>Table1[[#This Row],[Tabela]]&amp;Table1[[#This Row],[Campo]]</f>
        <v>modesg_inp_emss_scibccli_kgl</v>
      </c>
      <c r="I1087" s="2" t="s">
        <v>612</v>
      </c>
      <c r="J1087" s="45">
        <f>VLOOKUP(Table1[[#This Row],[Status]],Auxiliar!$B$16:$C$24,2,0)</f>
        <v>1</v>
      </c>
      <c r="K1087" s="20" t="s">
        <v>1174</v>
      </c>
      <c r="L1087" s="2" t="s">
        <v>1177</v>
      </c>
      <c r="M1087" s="20" t="s">
        <v>1179</v>
      </c>
      <c r="N1087" s="47">
        <v>45490</v>
      </c>
      <c r="O1087" s="20">
        <f>INDEX(Auxiliar!$D$5:$F$13,MATCH(Table1[[#This Row],[Tipologia_Testes]],Auxiliar!$B$5:$B$13,0),MATCH(Table1[[#This Row],[Complexidade]],Auxiliar!$D$4:$F$4,0))</f>
        <v>0.1</v>
      </c>
      <c r="P1087" s="2" t="s">
        <v>1240</v>
      </c>
      <c r="Q1087" s="2" t="s">
        <v>1224</v>
      </c>
      <c r="R1087" s="151">
        <v>45261</v>
      </c>
      <c r="S1087" s="151"/>
      <c r="T1087" s="151"/>
      <c r="U1087" s="151">
        <v>45603</v>
      </c>
      <c r="V1087" s="151"/>
      <c r="W1087" s="2">
        <f>VLOOKUP(Table1[[#This Row],[Status]],Auxiliar!$B$16:$D$24,3,0)*Table1[[#This Row],[Estimação (horas)]]</f>
        <v>0.1</v>
      </c>
      <c r="X1087" s="166">
        <f>+VLOOKUP(CONCATENATE(Table1[[#This Row],[Tabela]],Table1[[#This Row],[Campo]]),'2. Status Detalhe Campos FY24'!A:J,9,FALSE)</f>
        <v>0</v>
      </c>
    </row>
    <row r="1088" spans="2:24" ht="17.850000000000001" hidden="1" customHeight="1">
      <c r="B1088" s="12" t="s">
        <v>26</v>
      </c>
      <c r="C1088" s="12" t="s">
        <v>181</v>
      </c>
      <c r="D1088" s="12" t="s">
        <v>1221</v>
      </c>
      <c r="E1088" s="2" t="s">
        <v>38</v>
      </c>
      <c r="F1088" s="12" t="s">
        <v>217</v>
      </c>
      <c r="G1088" s="12" t="s">
        <v>240</v>
      </c>
      <c r="H1088" s="57" t="str">
        <f>Table1[[#This Row],[Tabela]]&amp;Table1[[#This Row],[Campo]]</f>
        <v>modesg_inp_emss_scibccli_kgl</v>
      </c>
      <c r="I1088" s="2" t="s">
        <v>612</v>
      </c>
      <c r="J1088" s="45">
        <f>VLOOKUP(Table1[[#This Row],[Status]],Auxiliar!$B$16:$C$24,2,0)</f>
        <v>1</v>
      </c>
      <c r="K1088" s="20" t="s">
        <v>1182</v>
      </c>
      <c r="L1088" s="2" t="s">
        <v>1177</v>
      </c>
      <c r="M1088" s="20" t="s">
        <v>1179</v>
      </c>
      <c r="N1088" s="47">
        <v>45490</v>
      </c>
      <c r="O1088" s="20">
        <f>INDEX(Auxiliar!$D$5:$F$13,MATCH(Table1[[#This Row],[Tipologia_Testes]],Auxiliar!$B$5:$B$13,0),MATCH(Table1[[#This Row],[Complexidade]],Auxiliar!$D$4:$F$4,0))</f>
        <v>0.5</v>
      </c>
      <c r="P1088" s="2"/>
      <c r="Q1088" s="2" t="s">
        <v>1224</v>
      </c>
      <c r="R1088" s="151">
        <v>45261</v>
      </c>
      <c r="S1088" s="151"/>
      <c r="T1088" s="151"/>
      <c r="U1088" s="151">
        <v>45603</v>
      </c>
      <c r="V1088" s="151"/>
      <c r="W1088" s="2">
        <f>VLOOKUP(Table1[[#This Row],[Status]],Auxiliar!$B$16:$D$24,3,0)*Table1[[#This Row],[Estimação (horas)]]</f>
        <v>0.5</v>
      </c>
      <c r="X1088" s="166">
        <f>+VLOOKUP(CONCATENATE(Table1[[#This Row],[Tabela]],Table1[[#This Row],[Campo]]),'2. Status Detalhe Campos FY24'!A:J,9,FALSE)</f>
        <v>0</v>
      </c>
    </row>
    <row r="1089" spans="2:24" ht="17.850000000000001" hidden="1" customHeight="1">
      <c r="B1089" s="12" t="s">
        <v>26</v>
      </c>
      <c r="C1089" s="12" t="s">
        <v>181</v>
      </c>
      <c r="D1089" s="12" t="s">
        <v>1221</v>
      </c>
      <c r="E1089" s="2" t="s">
        <v>38</v>
      </c>
      <c r="F1089" s="12" t="s">
        <v>217</v>
      </c>
      <c r="G1089" s="12" t="s">
        <v>284</v>
      </c>
      <c r="H1089" s="57" t="str">
        <f>Table1[[#This Row],[Tabela]]&amp;Table1[[#This Row],[Campo]]</f>
        <v>modesg_inp_emss_scibnome_grupo</v>
      </c>
      <c r="I1089" s="2" t="s">
        <v>612</v>
      </c>
      <c r="J1089" s="45">
        <f>VLOOKUP(Table1[[#This Row],[Status]],Auxiliar!$B$16:$C$24,2,0)</f>
        <v>1</v>
      </c>
      <c r="K1089" s="20" t="s">
        <v>1182</v>
      </c>
      <c r="L1089" s="2" t="s">
        <v>1177</v>
      </c>
      <c r="M1089" s="20" t="s">
        <v>1179</v>
      </c>
      <c r="N1089" s="47">
        <v>45490</v>
      </c>
      <c r="O1089" s="20">
        <f>INDEX(Auxiliar!$D$5:$F$13,MATCH(Table1[[#This Row],[Tipologia_Testes]],Auxiliar!$B$5:$B$13,0),MATCH(Table1[[#This Row],[Complexidade]],Auxiliar!$D$4:$F$4,0))</f>
        <v>0.5</v>
      </c>
      <c r="P1089" s="2"/>
      <c r="Q1089" s="2" t="s">
        <v>1224</v>
      </c>
      <c r="R1089" s="151">
        <v>45261</v>
      </c>
      <c r="S1089" s="151"/>
      <c r="T1089" s="151"/>
      <c r="U1089" s="151">
        <v>45603</v>
      </c>
      <c r="V1089" s="151"/>
      <c r="W1089" s="2">
        <f>VLOOKUP(Table1[[#This Row],[Status]],Auxiliar!$B$16:$D$24,3,0)*Table1[[#This Row],[Estimação (horas)]]</f>
        <v>0.5</v>
      </c>
      <c r="X1089" s="166">
        <f>+VLOOKUP(CONCATENATE(Table1[[#This Row],[Tabela]],Table1[[#This Row],[Campo]]),'2. Status Detalhe Campos FY24'!A:J,9,FALSE)</f>
        <v>0</v>
      </c>
    </row>
    <row r="1090" spans="2:24" ht="17.850000000000001" hidden="1" customHeight="1">
      <c r="B1090" s="12" t="s">
        <v>26</v>
      </c>
      <c r="C1090" s="12" t="s">
        <v>181</v>
      </c>
      <c r="D1090" s="12" t="s">
        <v>1221</v>
      </c>
      <c r="E1090" s="2" t="s">
        <v>38</v>
      </c>
      <c r="F1090" s="12" t="s">
        <v>217</v>
      </c>
      <c r="G1090" s="12" t="s">
        <v>238</v>
      </c>
      <c r="H1090" s="57" t="str">
        <f>Table1[[#This Row],[Tabela]]&amp;Table1[[#This Row],[Campo]]</f>
        <v>modesg_inp_emss_scibisin</v>
      </c>
      <c r="I1090" s="2" t="s">
        <v>612</v>
      </c>
      <c r="J1090" s="45">
        <f>VLOOKUP(Table1[[#This Row],[Status]],Auxiliar!$B$16:$C$24,2,0)</f>
        <v>1</v>
      </c>
      <c r="K1090" s="20" t="s">
        <v>1174</v>
      </c>
      <c r="L1090" s="2" t="s">
        <v>1177</v>
      </c>
      <c r="M1090" s="20" t="s">
        <v>1179</v>
      </c>
      <c r="N1090" s="47">
        <v>45490</v>
      </c>
      <c r="O1090" s="20">
        <f>INDEX(Auxiliar!$D$5:$F$13,MATCH(Table1[[#This Row],[Tipologia_Testes]],Auxiliar!$B$5:$B$13,0),MATCH(Table1[[#This Row],[Complexidade]],Auxiliar!$D$4:$F$4,0))</f>
        <v>0.1</v>
      </c>
      <c r="P1090" s="2" t="s">
        <v>1240</v>
      </c>
      <c r="Q1090" s="2" t="s">
        <v>1224</v>
      </c>
      <c r="R1090" s="151">
        <v>45261</v>
      </c>
      <c r="S1090" s="151"/>
      <c r="T1090" s="151"/>
      <c r="U1090" s="151">
        <v>45603</v>
      </c>
      <c r="V1090" s="151"/>
      <c r="W1090" s="2">
        <f>VLOOKUP(Table1[[#This Row],[Status]],Auxiliar!$B$16:$D$24,3,0)*Table1[[#This Row],[Estimação (horas)]]</f>
        <v>0.1</v>
      </c>
      <c r="X1090" s="166">
        <f>+VLOOKUP(CONCATENATE(Table1[[#This Row],[Tabela]],Table1[[#This Row],[Campo]]),'2. Status Detalhe Campos FY24'!A:J,9,FALSE)</f>
        <v>0</v>
      </c>
    </row>
    <row r="1091" spans="2:24" ht="17.850000000000001" hidden="1" customHeight="1">
      <c r="B1091" s="12" t="s">
        <v>26</v>
      </c>
      <c r="C1091" s="12" t="s">
        <v>181</v>
      </c>
      <c r="D1091" s="12" t="s">
        <v>1221</v>
      </c>
      <c r="E1091" s="2" t="s">
        <v>38</v>
      </c>
      <c r="F1091" s="12" t="s">
        <v>217</v>
      </c>
      <c r="G1091" s="12" t="s">
        <v>238</v>
      </c>
      <c r="H1091" s="57" t="str">
        <f>Table1[[#This Row],[Tabela]]&amp;Table1[[#This Row],[Campo]]</f>
        <v>modesg_inp_emss_scibisin</v>
      </c>
      <c r="I1091" s="2" t="s">
        <v>612</v>
      </c>
      <c r="J1091" s="45">
        <f>VLOOKUP(Table1[[#This Row],[Status]],Auxiliar!$B$16:$C$24,2,0)</f>
        <v>1</v>
      </c>
      <c r="K1091" s="20" t="s">
        <v>1182</v>
      </c>
      <c r="L1091" s="2" t="s">
        <v>1177</v>
      </c>
      <c r="M1091" s="20" t="s">
        <v>1179</v>
      </c>
      <c r="N1091" s="47">
        <v>45490</v>
      </c>
      <c r="O1091" s="20">
        <f>INDEX(Auxiliar!$D$5:$F$13,MATCH(Table1[[#This Row],[Tipologia_Testes]],Auxiliar!$B$5:$B$13,0),MATCH(Table1[[#This Row],[Complexidade]],Auxiliar!$D$4:$F$4,0))</f>
        <v>0.5</v>
      </c>
      <c r="P1091" s="2"/>
      <c r="Q1091" s="2" t="s">
        <v>1224</v>
      </c>
      <c r="R1091" s="151">
        <v>45261</v>
      </c>
      <c r="S1091" s="151"/>
      <c r="T1091" s="151"/>
      <c r="U1091" s="151">
        <v>45603</v>
      </c>
      <c r="V1091" s="151"/>
      <c r="W1091" s="2">
        <f>VLOOKUP(Table1[[#This Row],[Status]],Auxiliar!$B$16:$D$24,3,0)*Table1[[#This Row],[Estimação (horas)]]</f>
        <v>0.5</v>
      </c>
      <c r="X1091" s="166">
        <f>+VLOOKUP(CONCATENATE(Table1[[#This Row],[Tabela]],Table1[[#This Row],[Campo]]),'2. Status Detalhe Campos FY24'!A:J,9,FALSE)</f>
        <v>0</v>
      </c>
    </row>
    <row r="1092" spans="2:24" ht="17.850000000000001" hidden="1" customHeight="1">
      <c r="B1092" s="12" t="s">
        <v>26</v>
      </c>
      <c r="C1092" s="12" t="s">
        <v>181</v>
      </c>
      <c r="D1092" s="12" t="s">
        <v>1221</v>
      </c>
      <c r="E1092" s="2" t="s">
        <v>38</v>
      </c>
      <c r="F1092" s="12" t="s">
        <v>217</v>
      </c>
      <c r="G1092" s="12" t="s">
        <v>239</v>
      </c>
      <c r="H1092" s="57" t="str">
        <f>Table1[[#This Row],[Tabela]]&amp;Table1[[#This Row],[Campo]]</f>
        <v>modesg_inp_emss_scibclei</v>
      </c>
      <c r="I1092" s="2" t="s">
        <v>612</v>
      </c>
      <c r="J1092" s="45">
        <f>VLOOKUP(Table1[[#This Row],[Status]],Auxiliar!$B$16:$C$24,2,0)</f>
        <v>1</v>
      </c>
      <c r="K1092" s="20" t="s">
        <v>1174</v>
      </c>
      <c r="L1092" s="2" t="s">
        <v>1177</v>
      </c>
      <c r="M1092" s="20" t="s">
        <v>1179</v>
      </c>
      <c r="N1092" s="47">
        <v>45490</v>
      </c>
      <c r="O1092" s="20">
        <f>INDEX(Auxiliar!$D$5:$F$13,MATCH(Table1[[#This Row],[Tipologia_Testes]],Auxiliar!$B$5:$B$13,0),MATCH(Table1[[#This Row],[Complexidade]],Auxiliar!$D$4:$F$4,0))</f>
        <v>0.1</v>
      </c>
      <c r="P1092" s="2" t="s">
        <v>1240</v>
      </c>
      <c r="Q1092" s="2" t="s">
        <v>1224</v>
      </c>
      <c r="R1092" s="151">
        <v>45261</v>
      </c>
      <c r="S1092" s="151"/>
      <c r="T1092" s="151"/>
      <c r="U1092" s="151">
        <v>45603</v>
      </c>
      <c r="V1092" s="151"/>
      <c r="W1092" s="2">
        <f>VLOOKUP(Table1[[#This Row],[Status]],Auxiliar!$B$16:$D$24,3,0)*Table1[[#This Row],[Estimação (horas)]]</f>
        <v>0.1</v>
      </c>
      <c r="X1092" s="166">
        <f>+VLOOKUP(CONCATENATE(Table1[[#This Row],[Tabela]],Table1[[#This Row],[Campo]]),'2. Status Detalhe Campos FY24'!A:J,9,FALSE)</f>
        <v>0</v>
      </c>
    </row>
    <row r="1093" spans="2:24" ht="17.850000000000001" hidden="1" customHeight="1">
      <c r="B1093" s="12" t="s">
        <v>26</v>
      </c>
      <c r="C1093" s="12" t="s">
        <v>181</v>
      </c>
      <c r="D1093" s="12" t="s">
        <v>1221</v>
      </c>
      <c r="E1093" s="2" t="s">
        <v>38</v>
      </c>
      <c r="F1093" s="12" t="s">
        <v>217</v>
      </c>
      <c r="G1093" s="12" t="s">
        <v>239</v>
      </c>
      <c r="H1093" s="57" t="str">
        <f>Table1[[#This Row],[Tabela]]&amp;Table1[[#This Row],[Campo]]</f>
        <v>modesg_inp_emss_scibclei</v>
      </c>
      <c r="I1093" s="2" t="s">
        <v>612</v>
      </c>
      <c r="J1093" s="45">
        <f>VLOOKUP(Table1[[#This Row],[Status]],Auxiliar!$B$16:$C$24,2,0)</f>
        <v>1</v>
      </c>
      <c r="K1093" s="20" t="s">
        <v>1182</v>
      </c>
      <c r="L1093" s="2" t="s">
        <v>1177</v>
      </c>
      <c r="M1093" s="20" t="s">
        <v>1179</v>
      </c>
      <c r="N1093" s="47">
        <v>45490</v>
      </c>
      <c r="O1093" s="20">
        <f>INDEX(Auxiliar!$D$5:$F$13,MATCH(Table1[[#This Row],[Tipologia_Testes]],Auxiliar!$B$5:$B$13,0),MATCH(Table1[[#This Row],[Complexidade]],Auxiliar!$D$4:$F$4,0))</f>
        <v>0.5</v>
      </c>
      <c r="P1093" s="2"/>
      <c r="Q1093" s="2" t="s">
        <v>1224</v>
      </c>
      <c r="R1093" s="151">
        <v>45261</v>
      </c>
      <c r="S1093" s="151"/>
      <c r="T1093" s="151"/>
      <c r="U1093" s="151">
        <v>45603</v>
      </c>
      <c r="V1093" s="151"/>
      <c r="W1093" s="2">
        <f>VLOOKUP(Table1[[#This Row],[Status]],Auxiliar!$B$16:$D$24,3,0)*Table1[[#This Row],[Estimação (horas)]]</f>
        <v>0.5</v>
      </c>
      <c r="X1093" s="166">
        <f>+VLOOKUP(CONCATENATE(Table1[[#This Row],[Tabela]],Table1[[#This Row],[Campo]]),'2. Status Detalhe Campos FY24'!A:J,9,FALSE)</f>
        <v>0</v>
      </c>
    </row>
    <row r="1094" spans="2:24" ht="17.850000000000001" hidden="1" customHeight="1">
      <c r="B1094" s="12" t="s">
        <v>26</v>
      </c>
      <c r="C1094" s="12" t="s">
        <v>181</v>
      </c>
      <c r="D1094" s="12" t="s">
        <v>1221</v>
      </c>
      <c r="E1094" s="2" t="s">
        <v>38</v>
      </c>
      <c r="F1094" s="12" t="s">
        <v>217</v>
      </c>
      <c r="G1094" s="12" t="s">
        <v>285</v>
      </c>
      <c r="H1094" s="57" t="str">
        <f>Table1[[#This Row],[Tabela]]&amp;Table1[[#This Row],[Campo]]</f>
        <v>modesg_inp_emss_scibscp1_emss</v>
      </c>
      <c r="I1094" s="2" t="s">
        <v>612</v>
      </c>
      <c r="J1094" s="45">
        <f>VLOOKUP(Table1[[#This Row],[Status]],Auxiliar!$B$16:$C$24,2,0)</f>
        <v>1</v>
      </c>
      <c r="K1094" s="20" t="s">
        <v>1174</v>
      </c>
      <c r="L1094" s="2" t="s">
        <v>1177</v>
      </c>
      <c r="M1094" s="20" t="s">
        <v>1179</v>
      </c>
      <c r="N1094" s="47">
        <v>45499</v>
      </c>
      <c r="O1094" s="20">
        <f>INDEX(Auxiliar!$D$5:$F$13,MATCH(Table1[[#This Row],[Tipologia_Testes]],Auxiliar!$B$5:$B$13,0),MATCH(Table1[[#This Row],[Complexidade]],Auxiliar!$D$4:$F$4,0))</f>
        <v>0.1</v>
      </c>
      <c r="P1094" s="2" t="s">
        <v>1247</v>
      </c>
      <c r="Q1094" s="2" t="s">
        <v>1224</v>
      </c>
      <c r="R1094" s="151">
        <v>45136</v>
      </c>
      <c r="S1094" s="151">
        <v>45439</v>
      </c>
      <c r="T1094" s="151">
        <v>45491</v>
      </c>
      <c r="U1094" s="151">
        <v>45603</v>
      </c>
      <c r="V1094" s="151">
        <v>45499</v>
      </c>
      <c r="W1094" s="2">
        <f>VLOOKUP(Table1[[#This Row],[Status]],Auxiliar!$B$16:$D$24,3,0)*Table1[[#This Row],[Estimação (horas)]]</f>
        <v>0.1</v>
      </c>
      <c r="X1094" s="166">
        <f>+VLOOKUP(CONCATENATE(Table1[[#This Row],[Tabela]],Table1[[#This Row],[Campo]]),'2. Status Detalhe Campos FY24'!A:J,9,FALSE)</f>
        <v>0</v>
      </c>
    </row>
    <row r="1095" spans="2:24" ht="17.850000000000001" hidden="1" customHeight="1">
      <c r="B1095" s="12" t="s">
        <v>26</v>
      </c>
      <c r="C1095" s="12" t="s">
        <v>181</v>
      </c>
      <c r="D1095" s="12" t="s">
        <v>1221</v>
      </c>
      <c r="E1095" s="2" t="s">
        <v>38</v>
      </c>
      <c r="F1095" s="12" t="s">
        <v>217</v>
      </c>
      <c r="G1095" s="12" t="s">
        <v>285</v>
      </c>
      <c r="H1095" s="57" t="str">
        <f>Table1[[#This Row],[Tabela]]&amp;Table1[[#This Row],[Campo]]</f>
        <v>modesg_inp_emss_scibscp1_emss</v>
      </c>
      <c r="I1095" s="2" t="s">
        <v>612</v>
      </c>
      <c r="J1095" s="45">
        <f>VLOOKUP(Table1[[#This Row],[Status]],Auxiliar!$B$16:$C$24,2,0)</f>
        <v>1</v>
      </c>
      <c r="K1095" s="20" t="s">
        <v>1182</v>
      </c>
      <c r="L1095" s="2" t="s">
        <v>1177</v>
      </c>
      <c r="M1095" s="20" t="s">
        <v>1179</v>
      </c>
      <c r="N1095" s="47">
        <v>45490</v>
      </c>
      <c r="O1095" s="20">
        <f>INDEX(Auxiliar!$D$5:$F$13,MATCH(Table1[[#This Row],[Tipologia_Testes]],Auxiliar!$B$5:$B$13,0),MATCH(Table1[[#This Row],[Complexidade]],Auxiliar!$D$4:$F$4,0))</f>
        <v>0.5</v>
      </c>
      <c r="P1095" s="2"/>
      <c r="Q1095" s="2" t="s">
        <v>1224</v>
      </c>
      <c r="R1095" s="151">
        <v>45261</v>
      </c>
      <c r="S1095" s="151"/>
      <c r="T1095" s="151"/>
      <c r="U1095" s="151">
        <v>45603</v>
      </c>
      <c r="V1095" s="151"/>
      <c r="W1095" s="2">
        <f>VLOOKUP(Table1[[#This Row],[Status]],Auxiliar!$B$16:$D$24,3,0)*Table1[[#This Row],[Estimação (horas)]]</f>
        <v>0.5</v>
      </c>
      <c r="X1095" s="166">
        <f>+VLOOKUP(CONCATENATE(Table1[[#This Row],[Tabela]],Table1[[#This Row],[Campo]]),'2. Status Detalhe Campos FY24'!A:J,9,FALSE)</f>
        <v>0</v>
      </c>
    </row>
    <row r="1096" spans="2:24" ht="17.850000000000001" hidden="1" customHeight="1">
      <c r="B1096" s="12" t="s">
        <v>26</v>
      </c>
      <c r="C1096" s="12" t="s">
        <v>181</v>
      </c>
      <c r="D1096" s="12" t="s">
        <v>1221</v>
      </c>
      <c r="E1096" s="2" t="s">
        <v>38</v>
      </c>
      <c r="F1096" s="12" t="s">
        <v>217</v>
      </c>
      <c r="G1096" s="12" t="s">
        <v>286</v>
      </c>
      <c r="H1096" s="57" t="str">
        <f>Table1[[#This Row],[Tabela]]&amp;Table1[[#This Row],[Campo]]</f>
        <v>modesg_inp_emss_scibscp2_emss</v>
      </c>
      <c r="I1096" s="2" t="s">
        <v>612</v>
      </c>
      <c r="J1096" s="45">
        <f>VLOOKUP(Table1[[#This Row],[Status]],Auxiliar!$B$16:$C$24,2,0)</f>
        <v>1</v>
      </c>
      <c r="K1096" s="20" t="s">
        <v>1174</v>
      </c>
      <c r="L1096" s="2" t="s">
        <v>1177</v>
      </c>
      <c r="M1096" s="20" t="s">
        <v>1179</v>
      </c>
      <c r="N1096" s="47">
        <v>45499</v>
      </c>
      <c r="O1096" s="20">
        <f>INDEX(Auxiliar!$D$5:$F$13,MATCH(Table1[[#This Row],[Tipologia_Testes]],Auxiliar!$B$5:$B$13,0),MATCH(Table1[[#This Row],[Complexidade]],Auxiliar!$D$4:$F$4,0))</f>
        <v>0.1</v>
      </c>
      <c r="P1096" s="2" t="s">
        <v>1247</v>
      </c>
      <c r="Q1096" s="2" t="s">
        <v>1224</v>
      </c>
      <c r="R1096" s="151">
        <v>45136</v>
      </c>
      <c r="S1096" s="151">
        <v>45439</v>
      </c>
      <c r="T1096" s="151">
        <v>45491</v>
      </c>
      <c r="U1096" s="151">
        <v>45603</v>
      </c>
      <c r="V1096" s="151">
        <v>45499</v>
      </c>
      <c r="W1096" s="2">
        <f>VLOOKUP(Table1[[#This Row],[Status]],Auxiliar!$B$16:$D$24,3,0)*Table1[[#This Row],[Estimação (horas)]]</f>
        <v>0.1</v>
      </c>
      <c r="X1096" s="166">
        <f>+VLOOKUP(CONCATENATE(Table1[[#This Row],[Tabela]],Table1[[#This Row],[Campo]]),'2. Status Detalhe Campos FY24'!A:J,9,FALSE)</f>
        <v>0</v>
      </c>
    </row>
    <row r="1097" spans="2:24" ht="17.850000000000001" hidden="1" customHeight="1">
      <c r="B1097" s="12" t="s">
        <v>26</v>
      </c>
      <c r="C1097" s="12" t="s">
        <v>181</v>
      </c>
      <c r="D1097" s="12" t="s">
        <v>1221</v>
      </c>
      <c r="E1097" s="2" t="s">
        <v>38</v>
      </c>
      <c r="F1097" s="12" t="s">
        <v>217</v>
      </c>
      <c r="G1097" s="12" t="s">
        <v>286</v>
      </c>
      <c r="H1097" s="57" t="str">
        <f>Table1[[#This Row],[Tabela]]&amp;Table1[[#This Row],[Campo]]</f>
        <v>modesg_inp_emss_scibscp2_emss</v>
      </c>
      <c r="I1097" s="2" t="s">
        <v>612</v>
      </c>
      <c r="J1097" s="45">
        <f>VLOOKUP(Table1[[#This Row],[Status]],Auxiliar!$B$16:$C$24,2,0)</f>
        <v>1</v>
      </c>
      <c r="K1097" s="20" t="s">
        <v>1182</v>
      </c>
      <c r="L1097" s="2" t="s">
        <v>1177</v>
      </c>
      <c r="M1097" s="20" t="s">
        <v>1179</v>
      </c>
      <c r="N1097" s="47">
        <v>45490</v>
      </c>
      <c r="O1097" s="20">
        <f>INDEX(Auxiliar!$D$5:$F$13,MATCH(Table1[[#This Row],[Tipologia_Testes]],Auxiliar!$B$5:$B$13,0),MATCH(Table1[[#This Row],[Complexidade]],Auxiliar!$D$4:$F$4,0))</f>
        <v>0.5</v>
      </c>
      <c r="P1097" s="2"/>
      <c r="Q1097" s="2" t="s">
        <v>1224</v>
      </c>
      <c r="R1097" s="151">
        <v>45261</v>
      </c>
      <c r="S1097" s="151"/>
      <c r="T1097" s="151"/>
      <c r="U1097" s="151">
        <v>45603</v>
      </c>
      <c r="V1097" s="151"/>
      <c r="W1097" s="2">
        <f>VLOOKUP(Table1[[#This Row],[Status]],Auxiliar!$B$16:$D$24,3,0)*Table1[[#This Row],[Estimação (horas)]]</f>
        <v>0.5</v>
      </c>
      <c r="X1097" s="166">
        <f>+VLOOKUP(CONCATENATE(Table1[[#This Row],[Tabela]],Table1[[#This Row],[Campo]]),'2. Status Detalhe Campos FY24'!A:J,9,FALSE)</f>
        <v>0</v>
      </c>
    </row>
    <row r="1098" spans="2:24" ht="17.850000000000001" hidden="1" customHeight="1">
      <c r="B1098" s="12" t="s">
        <v>26</v>
      </c>
      <c r="C1098" s="12" t="s">
        <v>181</v>
      </c>
      <c r="D1098" s="12" t="s">
        <v>1221</v>
      </c>
      <c r="E1098" s="2" t="s">
        <v>38</v>
      </c>
      <c r="F1098" s="12" t="s">
        <v>217</v>
      </c>
      <c r="G1098" s="12" t="s">
        <v>287</v>
      </c>
      <c r="H1098" s="57" t="str">
        <f>Table1[[#This Row],[Tabela]]&amp;Table1[[#This Row],[Campo]]</f>
        <v>modesg_inp_emss_scibscp3_emss</v>
      </c>
      <c r="I1098" s="2" t="s">
        <v>612</v>
      </c>
      <c r="J1098" s="45">
        <f>VLOOKUP(Table1[[#This Row],[Status]],Auxiliar!$B$16:$C$24,2,0)</f>
        <v>1</v>
      </c>
      <c r="K1098" s="20" t="s">
        <v>1174</v>
      </c>
      <c r="L1098" s="2" t="s">
        <v>1177</v>
      </c>
      <c r="M1098" s="20" t="s">
        <v>1179</v>
      </c>
      <c r="N1098" s="47">
        <v>45490</v>
      </c>
      <c r="O1098" s="20">
        <f>INDEX(Auxiliar!$D$5:$F$13,MATCH(Table1[[#This Row],[Tipologia_Testes]],Auxiliar!$B$5:$B$13,0),MATCH(Table1[[#This Row],[Complexidade]],Auxiliar!$D$4:$F$4,0))</f>
        <v>0.1</v>
      </c>
      <c r="P1098" s="2" t="s">
        <v>1247</v>
      </c>
      <c r="Q1098" s="2" t="s">
        <v>1224</v>
      </c>
      <c r="R1098" s="151">
        <v>45261</v>
      </c>
      <c r="S1098" s="151"/>
      <c r="T1098" s="151"/>
      <c r="U1098" s="151">
        <v>45603</v>
      </c>
      <c r="V1098" s="151"/>
      <c r="W1098" s="2">
        <f>VLOOKUP(Table1[[#This Row],[Status]],Auxiliar!$B$16:$D$24,3,0)*Table1[[#This Row],[Estimação (horas)]]</f>
        <v>0.1</v>
      </c>
      <c r="X1098" s="166">
        <f>+VLOOKUP(CONCATENATE(Table1[[#This Row],[Tabela]],Table1[[#This Row],[Campo]]),'2. Status Detalhe Campos FY24'!A:J,9,FALSE)</f>
        <v>0</v>
      </c>
    </row>
    <row r="1099" spans="2:24" ht="17.850000000000001" hidden="1" customHeight="1">
      <c r="B1099" s="12" t="s">
        <v>26</v>
      </c>
      <c r="C1099" s="12" t="s">
        <v>181</v>
      </c>
      <c r="D1099" s="12" t="s">
        <v>1221</v>
      </c>
      <c r="E1099" s="2" t="s">
        <v>38</v>
      </c>
      <c r="F1099" s="12" t="s">
        <v>217</v>
      </c>
      <c r="G1099" s="12" t="s">
        <v>287</v>
      </c>
      <c r="H1099" s="57" t="str">
        <f>Table1[[#This Row],[Tabela]]&amp;Table1[[#This Row],[Campo]]</f>
        <v>modesg_inp_emss_scibscp3_emss</v>
      </c>
      <c r="I1099" s="2" t="s">
        <v>612</v>
      </c>
      <c r="J1099" s="45">
        <f>VLOOKUP(Table1[[#This Row],[Status]],Auxiliar!$B$16:$C$24,2,0)</f>
        <v>1</v>
      </c>
      <c r="K1099" s="20" t="s">
        <v>1182</v>
      </c>
      <c r="L1099" s="2" t="s">
        <v>1177</v>
      </c>
      <c r="M1099" s="20" t="s">
        <v>1179</v>
      </c>
      <c r="N1099" s="47">
        <v>45490</v>
      </c>
      <c r="O1099" s="20">
        <f>INDEX(Auxiliar!$D$5:$F$13,MATCH(Table1[[#This Row],[Tipologia_Testes]],Auxiliar!$B$5:$B$13,0),MATCH(Table1[[#This Row],[Complexidade]],Auxiliar!$D$4:$F$4,0))</f>
        <v>0.5</v>
      </c>
      <c r="P1099" s="2"/>
      <c r="Q1099" s="2" t="s">
        <v>1224</v>
      </c>
      <c r="R1099" s="151">
        <v>45261</v>
      </c>
      <c r="S1099" s="151"/>
      <c r="T1099" s="151"/>
      <c r="U1099" s="151">
        <v>45603</v>
      </c>
      <c r="V1099" s="151"/>
      <c r="W1099" s="2">
        <f>VLOOKUP(Table1[[#This Row],[Status]],Auxiliar!$B$16:$D$24,3,0)*Table1[[#This Row],[Estimação (horas)]]</f>
        <v>0.5</v>
      </c>
      <c r="X1099" s="166">
        <f>+VLOOKUP(CONCATENATE(Table1[[#This Row],[Tabela]],Table1[[#This Row],[Campo]]),'2. Status Detalhe Campos FY24'!A:J,9,FALSE)</f>
        <v>0</v>
      </c>
    </row>
    <row r="1100" spans="2:24" ht="17.850000000000001" hidden="1" customHeight="1">
      <c r="B1100" s="12" t="s">
        <v>26</v>
      </c>
      <c r="C1100" s="12" t="s">
        <v>181</v>
      </c>
      <c r="D1100" s="12" t="s">
        <v>1221</v>
      </c>
      <c r="E1100" s="2" t="s">
        <v>38</v>
      </c>
      <c r="F1100" s="12" t="s">
        <v>217</v>
      </c>
      <c r="G1100" s="12" t="s">
        <v>288</v>
      </c>
      <c r="H1100" s="57" t="str">
        <f>Table1[[#This Row],[Tabela]]&amp;Table1[[#This Row],[Campo]]</f>
        <v>modesg_inp_emss_scibscore_scp1</v>
      </c>
      <c r="I1100" s="2" t="s">
        <v>612</v>
      </c>
      <c r="J1100" s="45">
        <f>VLOOKUP(Table1[[#This Row],[Status]],Auxiliar!$B$16:$C$24,2,0)</f>
        <v>1</v>
      </c>
      <c r="K1100" s="20" t="s">
        <v>1182</v>
      </c>
      <c r="L1100" s="2" t="s">
        <v>1177</v>
      </c>
      <c r="M1100" s="20" t="s">
        <v>1179</v>
      </c>
      <c r="N1100" s="47">
        <v>45490</v>
      </c>
      <c r="O1100" s="20">
        <f>INDEX(Auxiliar!$D$5:$F$13,MATCH(Table1[[#This Row],[Tipologia_Testes]],Auxiliar!$B$5:$B$13,0),MATCH(Table1[[#This Row],[Complexidade]],Auxiliar!$D$4:$F$4,0))</f>
        <v>0.5</v>
      </c>
      <c r="P1100" s="2"/>
      <c r="Q1100" s="2" t="s">
        <v>1224</v>
      </c>
      <c r="R1100" s="151">
        <v>45261</v>
      </c>
      <c r="S1100" s="151"/>
      <c r="T1100" s="151"/>
      <c r="U1100" s="151">
        <v>45603</v>
      </c>
      <c r="V1100" s="151"/>
      <c r="W1100" s="2">
        <f>VLOOKUP(Table1[[#This Row],[Status]],Auxiliar!$B$16:$D$24,3,0)*Table1[[#This Row],[Estimação (horas)]]</f>
        <v>0.5</v>
      </c>
      <c r="X1100" s="166">
        <f>+VLOOKUP(CONCATENATE(Table1[[#This Row],[Tabela]],Table1[[#This Row],[Campo]]),'2. Status Detalhe Campos FY24'!A:J,9,FALSE)</f>
        <v>0</v>
      </c>
    </row>
    <row r="1101" spans="2:24" ht="17.850000000000001" hidden="1" customHeight="1">
      <c r="B1101" s="12" t="s">
        <v>26</v>
      </c>
      <c r="C1101" s="12" t="s">
        <v>181</v>
      </c>
      <c r="D1101" s="12" t="s">
        <v>1221</v>
      </c>
      <c r="E1101" s="2" t="s">
        <v>38</v>
      </c>
      <c r="F1101" s="12" t="s">
        <v>217</v>
      </c>
      <c r="G1101" s="12" t="s">
        <v>289</v>
      </c>
      <c r="H1101" s="57" t="str">
        <f>Table1[[#This Row],[Tabela]]&amp;Table1[[#This Row],[Campo]]</f>
        <v>modesg_inp_emss_scibscore_scp2</v>
      </c>
      <c r="I1101" s="2" t="s">
        <v>612</v>
      </c>
      <c r="J1101" s="45">
        <f>VLOOKUP(Table1[[#This Row],[Status]],Auxiliar!$B$16:$C$24,2,0)</f>
        <v>1</v>
      </c>
      <c r="K1101" s="20" t="s">
        <v>1182</v>
      </c>
      <c r="L1101" s="2" t="s">
        <v>1177</v>
      </c>
      <c r="M1101" s="20" t="s">
        <v>1179</v>
      </c>
      <c r="N1101" s="47">
        <v>45490</v>
      </c>
      <c r="O1101" s="20">
        <f>INDEX(Auxiliar!$D$5:$F$13,MATCH(Table1[[#This Row],[Tipologia_Testes]],Auxiliar!$B$5:$B$13,0),MATCH(Table1[[#This Row],[Complexidade]],Auxiliar!$D$4:$F$4,0))</f>
        <v>0.5</v>
      </c>
      <c r="P1101" s="2"/>
      <c r="Q1101" s="2" t="s">
        <v>1224</v>
      </c>
      <c r="R1101" s="151">
        <v>45261</v>
      </c>
      <c r="S1101" s="151"/>
      <c r="T1101" s="151"/>
      <c r="U1101" s="151">
        <v>45603</v>
      </c>
      <c r="V1101" s="151"/>
      <c r="W1101" s="2">
        <f>VLOOKUP(Table1[[#This Row],[Status]],Auxiliar!$B$16:$D$24,3,0)*Table1[[#This Row],[Estimação (horas)]]</f>
        <v>0.5</v>
      </c>
      <c r="X1101" s="166">
        <f>+VLOOKUP(CONCATENATE(Table1[[#This Row],[Tabela]],Table1[[#This Row],[Campo]]),'2. Status Detalhe Campos FY24'!A:J,9,FALSE)</f>
        <v>0</v>
      </c>
    </row>
    <row r="1102" spans="2:24" ht="17.850000000000001" hidden="1" customHeight="1">
      <c r="B1102" s="12" t="s">
        <v>26</v>
      </c>
      <c r="C1102" s="12" t="s">
        <v>181</v>
      </c>
      <c r="D1102" s="12" t="s">
        <v>1221</v>
      </c>
      <c r="E1102" s="2" t="s">
        <v>38</v>
      </c>
      <c r="F1102" s="12" t="s">
        <v>217</v>
      </c>
      <c r="G1102" s="12" t="s">
        <v>290</v>
      </c>
      <c r="H1102" s="57" t="str">
        <f>Table1[[#This Row],[Tabela]]&amp;Table1[[#This Row],[Campo]]</f>
        <v>modesg_inp_emss_scibscore_scp3</v>
      </c>
      <c r="I1102" s="2" t="s">
        <v>612</v>
      </c>
      <c r="J1102" s="45">
        <f>VLOOKUP(Table1[[#This Row],[Status]],Auxiliar!$B$16:$C$24,2,0)</f>
        <v>1</v>
      </c>
      <c r="K1102" s="20" t="s">
        <v>1182</v>
      </c>
      <c r="L1102" s="2" t="s">
        <v>1177</v>
      </c>
      <c r="M1102" s="20" t="s">
        <v>1179</v>
      </c>
      <c r="N1102" s="47">
        <v>45490</v>
      </c>
      <c r="O1102" s="20">
        <f>INDEX(Auxiliar!$D$5:$F$13,MATCH(Table1[[#This Row],[Tipologia_Testes]],Auxiliar!$B$5:$B$13,0),MATCH(Table1[[#This Row],[Complexidade]],Auxiliar!$D$4:$F$4,0))</f>
        <v>0.5</v>
      </c>
      <c r="P1102" s="2"/>
      <c r="Q1102" s="2" t="s">
        <v>1224</v>
      </c>
      <c r="R1102" s="151">
        <v>45261</v>
      </c>
      <c r="S1102" s="151"/>
      <c r="T1102" s="151"/>
      <c r="U1102" s="151">
        <v>45603</v>
      </c>
      <c r="V1102" s="151"/>
      <c r="W1102" s="2">
        <f>VLOOKUP(Table1[[#This Row],[Status]],Auxiliar!$B$16:$D$24,3,0)*Table1[[#This Row],[Estimação (horas)]]</f>
        <v>0.5</v>
      </c>
      <c r="X1102" s="166">
        <f>+VLOOKUP(CONCATENATE(Table1[[#This Row],[Tabela]],Table1[[#This Row],[Campo]]),'2. Status Detalhe Campos FY24'!A:J,9,FALSE)</f>
        <v>0</v>
      </c>
    </row>
    <row r="1103" spans="2:24" ht="17.850000000000001" hidden="1" customHeight="1">
      <c r="B1103" s="12" t="s">
        <v>26</v>
      </c>
      <c r="C1103" s="12" t="s">
        <v>181</v>
      </c>
      <c r="D1103" s="12" t="s">
        <v>1221</v>
      </c>
      <c r="E1103" s="2" t="s">
        <v>38</v>
      </c>
      <c r="F1103" s="12" t="s">
        <v>217</v>
      </c>
      <c r="G1103" s="12" t="s">
        <v>291</v>
      </c>
      <c r="H1103" s="57" t="str">
        <f>Table1[[#This Row],[Tabela]]&amp;Table1[[#This Row],[Campo]]</f>
        <v>modesg_inp_emss_sciborigem_scp1</v>
      </c>
      <c r="I1103" s="2" t="s">
        <v>612</v>
      </c>
      <c r="J1103" s="45">
        <f>VLOOKUP(Table1[[#This Row],[Status]],Auxiliar!$B$16:$C$24,2,0)</f>
        <v>1</v>
      </c>
      <c r="K1103" s="20" t="s">
        <v>1182</v>
      </c>
      <c r="L1103" s="2" t="s">
        <v>1177</v>
      </c>
      <c r="M1103" s="20" t="s">
        <v>1179</v>
      </c>
      <c r="N1103" s="47">
        <v>45490</v>
      </c>
      <c r="O1103" s="20">
        <f>INDEX(Auxiliar!$D$5:$F$13,MATCH(Table1[[#This Row],[Tipologia_Testes]],Auxiliar!$B$5:$B$13,0),MATCH(Table1[[#This Row],[Complexidade]],Auxiliar!$D$4:$F$4,0))</f>
        <v>0.5</v>
      </c>
      <c r="P1103" s="2"/>
      <c r="Q1103" s="2" t="s">
        <v>1224</v>
      </c>
      <c r="R1103" s="151">
        <v>45261</v>
      </c>
      <c r="S1103" s="151"/>
      <c r="T1103" s="151"/>
      <c r="U1103" s="151">
        <v>45603</v>
      </c>
      <c r="V1103" s="151"/>
      <c r="W1103" s="2">
        <f>VLOOKUP(Table1[[#This Row],[Status]],Auxiliar!$B$16:$D$24,3,0)*Table1[[#This Row],[Estimação (horas)]]</f>
        <v>0.5</v>
      </c>
      <c r="X1103" s="166">
        <f>+VLOOKUP(CONCATENATE(Table1[[#This Row],[Tabela]],Table1[[#This Row],[Campo]]),'2. Status Detalhe Campos FY24'!A:J,9,FALSE)</f>
        <v>0</v>
      </c>
    </row>
    <row r="1104" spans="2:24" ht="17.850000000000001" hidden="1" customHeight="1">
      <c r="B1104" s="12" t="s">
        <v>26</v>
      </c>
      <c r="C1104" s="12" t="s">
        <v>181</v>
      </c>
      <c r="D1104" s="12" t="s">
        <v>1221</v>
      </c>
      <c r="E1104" s="2" t="s">
        <v>38</v>
      </c>
      <c r="F1104" s="12" t="s">
        <v>217</v>
      </c>
      <c r="G1104" s="12" t="s">
        <v>292</v>
      </c>
      <c r="H1104" s="57" t="str">
        <f>Table1[[#This Row],[Tabela]]&amp;Table1[[#This Row],[Campo]]</f>
        <v>modesg_inp_emss_sciborigem_scp2</v>
      </c>
      <c r="I1104" s="2" t="s">
        <v>612</v>
      </c>
      <c r="J1104" s="45">
        <f>VLOOKUP(Table1[[#This Row],[Status]],Auxiliar!$B$16:$C$24,2,0)</f>
        <v>1</v>
      </c>
      <c r="K1104" s="20" t="s">
        <v>1182</v>
      </c>
      <c r="L1104" s="2" t="s">
        <v>1177</v>
      </c>
      <c r="M1104" s="20" t="s">
        <v>1179</v>
      </c>
      <c r="N1104" s="47">
        <v>45490</v>
      </c>
      <c r="O1104" s="20">
        <f>INDEX(Auxiliar!$D$5:$F$13,MATCH(Table1[[#This Row],[Tipologia_Testes]],Auxiliar!$B$5:$B$13,0),MATCH(Table1[[#This Row],[Complexidade]],Auxiliar!$D$4:$F$4,0))</f>
        <v>0.5</v>
      </c>
      <c r="P1104" s="2"/>
      <c r="Q1104" s="2" t="s">
        <v>1224</v>
      </c>
      <c r="R1104" s="151">
        <v>45261</v>
      </c>
      <c r="S1104" s="151"/>
      <c r="T1104" s="151"/>
      <c r="U1104" s="151">
        <v>45603</v>
      </c>
      <c r="V1104" s="151"/>
      <c r="W1104" s="2">
        <f>VLOOKUP(Table1[[#This Row],[Status]],Auxiliar!$B$16:$D$24,3,0)*Table1[[#This Row],[Estimação (horas)]]</f>
        <v>0.5</v>
      </c>
      <c r="X1104" s="166">
        <f>+VLOOKUP(CONCATENATE(Table1[[#This Row],[Tabela]],Table1[[#This Row],[Campo]]),'2. Status Detalhe Campos FY24'!A:J,9,FALSE)</f>
        <v>0</v>
      </c>
    </row>
    <row r="1105" spans="2:24" ht="17.850000000000001" hidden="1" customHeight="1">
      <c r="B1105" s="12" t="s">
        <v>26</v>
      </c>
      <c r="C1105" s="12" t="s">
        <v>181</v>
      </c>
      <c r="D1105" s="12" t="s">
        <v>1221</v>
      </c>
      <c r="E1105" s="2" t="s">
        <v>38</v>
      </c>
      <c r="F1105" s="12" t="s">
        <v>217</v>
      </c>
      <c r="G1105" s="12" t="s">
        <v>293</v>
      </c>
      <c r="H1105" s="57" t="str">
        <f>Table1[[#This Row],[Tabela]]&amp;Table1[[#This Row],[Campo]]</f>
        <v>modesg_inp_emss_sciborigem_scp3</v>
      </c>
      <c r="I1105" s="2" t="s">
        <v>612</v>
      </c>
      <c r="J1105" s="45">
        <f>VLOOKUP(Table1[[#This Row],[Status]],Auxiliar!$B$16:$C$24,2,0)</f>
        <v>1</v>
      </c>
      <c r="K1105" s="20" t="s">
        <v>1182</v>
      </c>
      <c r="L1105" s="2" t="s">
        <v>1177</v>
      </c>
      <c r="M1105" s="20" t="s">
        <v>1179</v>
      </c>
      <c r="N1105" s="47">
        <v>45490</v>
      </c>
      <c r="O1105" s="20">
        <f>INDEX(Auxiliar!$D$5:$F$13,MATCH(Table1[[#This Row],[Tipologia_Testes]],Auxiliar!$B$5:$B$13,0),MATCH(Table1[[#This Row],[Complexidade]],Auxiliar!$D$4:$F$4,0))</f>
        <v>0.5</v>
      </c>
      <c r="P1105" s="2"/>
      <c r="Q1105" s="2" t="s">
        <v>1224</v>
      </c>
      <c r="R1105" s="151">
        <v>45261</v>
      </c>
      <c r="S1105" s="151"/>
      <c r="T1105" s="151"/>
      <c r="U1105" s="151">
        <v>45603</v>
      </c>
      <c r="V1105" s="151"/>
      <c r="W1105" s="2">
        <f>VLOOKUP(Table1[[#This Row],[Status]],Auxiliar!$B$16:$D$24,3,0)*Table1[[#This Row],[Estimação (horas)]]</f>
        <v>0.5</v>
      </c>
      <c r="X1105" s="166">
        <f>+VLOOKUP(CONCATENATE(Table1[[#This Row],[Tabela]],Table1[[#This Row],[Campo]]),'2. Status Detalhe Campos FY24'!A:J,9,FALSE)</f>
        <v>0</v>
      </c>
    </row>
    <row r="1106" spans="2:24" ht="17.850000000000001" hidden="1" customHeight="1">
      <c r="B1106" s="12" t="s">
        <v>26</v>
      </c>
      <c r="C1106" s="12" t="s">
        <v>181</v>
      </c>
      <c r="D1106" s="12" t="s">
        <v>1221</v>
      </c>
      <c r="E1106" s="2" t="s">
        <v>38</v>
      </c>
      <c r="F1106" s="12" t="s">
        <v>217</v>
      </c>
      <c r="G1106" s="12" t="s">
        <v>294</v>
      </c>
      <c r="H1106" s="57" t="str">
        <f>Table1[[#This Row],[Tabela]]&amp;Table1[[#This Row],[Campo]]</f>
        <v>modesg_inp_emss_scibano_info</v>
      </c>
      <c r="I1106" s="2" t="s">
        <v>612</v>
      </c>
      <c r="J1106" s="45">
        <f>VLOOKUP(Table1[[#This Row],[Status]],Auxiliar!$B$16:$C$24,2,0)</f>
        <v>1</v>
      </c>
      <c r="K1106" s="20" t="s">
        <v>1182</v>
      </c>
      <c r="L1106" s="2" t="s">
        <v>1169</v>
      </c>
      <c r="M1106" s="20" t="s">
        <v>1179</v>
      </c>
      <c r="N1106" s="47">
        <v>45490</v>
      </c>
      <c r="O1106" s="20">
        <f>INDEX(Auxiliar!$D$5:$F$13,MATCH(Table1[[#This Row],[Tipologia_Testes]],Auxiliar!$B$5:$B$13,0),MATCH(Table1[[#This Row],[Complexidade]],Auxiliar!$D$4:$F$4,0))</f>
        <v>0.5</v>
      </c>
      <c r="P1106" s="2" t="s">
        <v>1248</v>
      </c>
      <c r="Q1106" s="2" t="s">
        <v>1224</v>
      </c>
      <c r="R1106" s="151">
        <v>45261</v>
      </c>
      <c r="S1106" s="151"/>
      <c r="T1106" s="151"/>
      <c r="U1106" s="151">
        <v>45603</v>
      </c>
      <c r="V1106" s="151"/>
      <c r="W1106" s="2">
        <f>VLOOKUP(Table1[[#This Row],[Status]],Auxiliar!$B$16:$D$24,3,0)*Table1[[#This Row],[Estimação (horas)]]</f>
        <v>0.5</v>
      </c>
      <c r="X1106" s="166">
        <f>+VLOOKUP(CONCATENATE(Table1[[#This Row],[Tabela]],Table1[[#This Row],[Campo]]),'2. Status Detalhe Campos FY24'!A:J,9,FALSE)</f>
        <v>0</v>
      </c>
    </row>
    <row r="1107" spans="2:24" ht="17.850000000000001" hidden="1" customHeight="1">
      <c r="B1107" s="12" t="s">
        <v>26</v>
      </c>
      <c r="C1107" s="12" t="s">
        <v>181</v>
      </c>
      <c r="D1107" s="12" t="s">
        <v>1221</v>
      </c>
      <c r="E1107" s="2" t="s">
        <v>38</v>
      </c>
      <c r="F1107" s="12" t="s">
        <v>217</v>
      </c>
      <c r="G1107" s="12" t="s">
        <v>295</v>
      </c>
      <c r="H1107" s="57" t="str">
        <f>Table1[[#This Row],[Tabela]]&amp;Table1[[#This Row],[Campo]]</f>
        <v>modesg_inp_emss_scibdivida_total</v>
      </c>
      <c r="I1107" s="2" t="s">
        <v>612</v>
      </c>
      <c r="J1107" s="45">
        <f>VLOOKUP(Table1[[#This Row],[Status]],Auxiliar!$B$16:$C$24,2,0)</f>
        <v>1</v>
      </c>
      <c r="K1107" s="20" t="s">
        <v>1182</v>
      </c>
      <c r="L1107" s="2" t="s">
        <v>1177</v>
      </c>
      <c r="M1107" s="20" t="s">
        <v>1179</v>
      </c>
      <c r="N1107" s="47">
        <v>45490</v>
      </c>
      <c r="O1107" s="20">
        <f>INDEX(Auxiliar!$D$5:$F$13,MATCH(Table1[[#This Row],[Tipologia_Testes]],Auxiliar!$B$5:$B$13,0),MATCH(Table1[[#This Row],[Complexidade]],Auxiliar!$D$4:$F$4,0))</f>
        <v>0.5</v>
      </c>
      <c r="P1107" s="2"/>
      <c r="Q1107" s="2" t="s">
        <v>1224</v>
      </c>
      <c r="R1107" s="151">
        <v>45261</v>
      </c>
      <c r="S1107" s="151"/>
      <c r="T1107" s="151"/>
      <c r="U1107" s="151">
        <v>45603</v>
      </c>
      <c r="V1107" s="151"/>
      <c r="W1107" s="2">
        <f>VLOOKUP(Table1[[#This Row],[Status]],Auxiliar!$B$16:$D$24,3,0)*Table1[[#This Row],[Estimação (horas)]]</f>
        <v>0.5</v>
      </c>
      <c r="X1107" s="166">
        <f>+VLOOKUP(CONCATENATE(Table1[[#This Row],[Tabela]],Table1[[#This Row],[Campo]]),'2. Status Detalhe Campos FY24'!A:J,9,FALSE)</f>
        <v>0</v>
      </c>
    </row>
    <row r="1108" spans="2:24" ht="17.850000000000001" hidden="1" customHeight="1">
      <c r="B1108" s="12" t="s">
        <v>26</v>
      </c>
      <c r="C1108" s="12" t="s">
        <v>181</v>
      </c>
      <c r="D1108" s="12" t="s">
        <v>1221</v>
      </c>
      <c r="E1108" s="2" t="s">
        <v>38</v>
      </c>
      <c r="F1108" s="12" t="s">
        <v>217</v>
      </c>
      <c r="G1108" s="12" t="s">
        <v>296</v>
      </c>
      <c r="H1108" s="57" t="str">
        <f>Table1[[#This Row],[Tabela]]&amp;Table1[[#This Row],[Campo]]</f>
        <v>modesg_inp_emss_scibcapital_proprio</v>
      </c>
      <c r="I1108" s="2" t="s">
        <v>612</v>
      </c>
      <c r="J1108" s="45">
        <f>VLOOKUP(Table1[[#This Row],[Status]],Auxiliar!$B$16:$C$24,2,0)</f>
        <v>1</v>
      </c>
      <c r="K1108" s="20" t="s">
        <v>1182</v>
      </c>
      <c r="L1108" s="2" t="s">
        <v>1177</v>
      </c>
      <c r="M1108" s="20" t="s">
        <v>1179</v>
      </c>
      <c r="N1108" s="47">
        <v>45490</v>
      </c>
      <c r="O1108" s="20">
        <f>INDEX(Auxiliar!$D$5:$F$13,MATCH(Table1[[#This Row],[Tipologia_Testes]],Auxiliar!$B$5:$B$13,0),MATCH(Table1[[#This Row],[Complexidade]],Auxiliar!$D$4:$F$4,0))</f>
        <v>0.5</v>
      </c>
      <c r="P1108" s="2"/>
      <c r="Q1108" s="2" t="s">
        <v>1224</v>
      </c>
      <c r="R1108" s="151">
        <v>45261</v>
      </c>
      <c r="S1108" s="151"/>
      <c r="T1108" s="151"/>
      <c r="U1108" s="151">
        <v>45603</v>
      </c>
      <c r="V1108" s="151"/>
      <c r="W1108" s="2">
        <f>VLOOKUP(Table1[[#This Row],[Status]],Auxiliar!$B$16:$D$24,3,0)*Table1[[#This Row],[Estimação (horas)]]</f>
        <v>0.5</v>
      </c>
      <c r="X1108" s="166">
        <f>+VLOOKUP(CONCATENATE(Table1[[#This Row],[Tabela]],Table1[[#This Row],[Campo]]),'2. Status Detalhe Campos FY24'!A:J,9,FALSE)</f>
        <v>0</v>
      </c>
    </row>
    <row r="1109" spans="2:24" ht="17.850000000000001" hidden="1" customHeight="1">
      <c r="B1109" s="12" t="s">
        <v>26</v>
      </c>
      <c r="C1109" s="12" t="s">
        <v>181</v>
      </c>
      <c r="D1109" s="12" t="s">
        <v>1221</v>
      </c>
      <c r="E1109" s="2" t="s">
        <v>38</v>
      </c>
      <c r="F1109" s="12" t="s">
        <v>218</v>
      </c>
      <c r="G1109" s="12" t="s">
        <v>208</v>
      </c>
      <c r="H1109" s="57" t="str">
        <f>Table1[[#This Row],[Tabela]]&amp;Table1[[#This Row],[Campo]]</f>
        <v>modesg_inp_emss_naceref_date</v>
      </c>
      <c r="I1109" s="2" t="s">
        <v>612</v>
      </c>
      <c r="J1109" s="45">
        <f>VLOOKUP(Table1[[#This Row],[Status]],Auxiliar!$B$16:$C$24,2,0)</f>
        <v>1</v>
      </c>
      <c r="K1109" s="20" t="s">
        <v>1182</v>
      </c>
      <c r="L1109" s="2" t="s">
        <v>1177</v>
      </c>
      <c r="M1109" s="20" t="s">
        <v>1179</v>
      </c>
      <c r="N1109" s="47">
        <v>45540</v>
      </c>
      <c r="O1109" s="20">
        <f>INDEX(Auxiliar!$D$5:$F$13,MATCH(Table1[[#This Row],[Tipologia_Testes]],Auxiliar!$B$5:$B$13,0),MATCH(Table1[[#This Row],[Complexidade]],Auxiliar!$D$4:$F$4,0))</f>
        <v>0.5</v>
      </c>
      <c r="P1109" s="2"/>
      <c r="Q1109" s="2"/>
      <c r="R1109" s="151">
        <v>45261</v>
      </c>
      <c r="S1109" s="151"/>
      <c r="T1109" s="151"/>
      <c r="U1109" s="151">
        <v>45603</v>
      </c>
      <c r="V1109" s="151"/>
      <c r="W1109" s="2">
        <f>VLOOKUP(Table1[[#This Row],[Status]],Auxiliar!$B$16:$D$24,3,0)*Table1[[#This Row],[Estimação (horas)]]</f>
        <v>0.5</v>
      </c>
      <c r="X1109" s="166">
        <f>+VLOOKUP(CONCATENATE(Table1[[#This Row],[Tabela]],Table1[[#This Row],[Campo]]),'2. Status Detalhe Campos FY24'!A:J,9,FALSE)</f>
        <v>0</v>
      </c>
    </row>
    <row r="1110" spans="2:24" ht="17.850000000000001" hidden="1" customHeight="1">
      <c r="B1110" s="12" t="s">
        <v>26</v>
      </c>
      <c r="C1110" s="12" t="s">
        <v>181</v>
      </c>
      <c r="D1110" s="12" t="s">
        <v>1221</v>
      </c>
      <c r="E1110" s="2" t="s">
        <v>38</v>
      </c>
      <c r="F1110" s="12" t="s">
        <v>218</v>
      </c>
      <c r="G1110" s="12" t="s">
        <v>297</v>
      </c>
      <c r="H1110" s="57" t="str">
        <f>Table1[[#This Row],[Tabela]]&amp;Table1[[#This Row],[Campo]]</f>
        <v>modesg_inp_emss_naceano</v>
      </c>
      <c r="I1110" s="2" t="s">
        <v>612</v>
      </c>
      <c r="J1110" s="45">
        <f>VLOOKUP(Table1[[#This Row],[Status]],Auxiliar!$B$16:$C$24,2,0)</f>
        <v>1</v>
      </c>
      <c r="K1110" s="20" t="s">
        <v>1182</v>
      </c>
      <c r="L1110" s="2" t="s">
        <v>641</v>
      </c>
      <c r="M1110" s="20" t="s">
        <v>1179</v>
      </c>
      <c r="N1110" s="47">
        <v>45540</v>
      </c>
      <c r="O1110" s="20">
        <f>INDEX(Auxiliar!$D$5:$F$13,MATCH(Table1[[#This Row],[Tipologia_Testes]],Auxiliar!$B$5:$B$13,0),MATCH(Table1[[#This Row],[Complexidade]],Auxiliar!$D$4:$F$4,0))</f>
        <v>0.5</v>
      </c>
      <c r="P1110" s="2"/>
      <c r="Q1110" s="2"/>
      <c r="R1110" s="151">
        <v>45261</v>
      </c>
      <c r="S1110" s="151"/>
      <c r="T1110" s="151"/>
      <c r="U1110" s="151">
        <v>45603</v>
      </c>
      <c r="V1110" s="151"/>
      <c r="W1110" s="2">
        <f>VLOOKUP(Table1[[#This Row],[Status]],Auxiliar!$B$16:$D$24,3,0)*Table1[[#This Row],[Estimação (horas)]]</f>
        <v>0.5</v>
      </c>
      <c r="X1110" s="166">
        <f>+VLOOKUP(CONCATENATE(Table1[[#This Row],[Tabela]],Table1[[#This Row],[Campo]]),'2. Status Detalhe Campos FY24'!A:J,9,FALSE)</f>
        <v>0</v>
      </c>
    </row>
    <row r="1111" spans="2:24" ht="87" hidden="1" customHeight="1">
      <c r="B1111" s="12" t="s">
        <v>26</v>
      </c>
      <c r="C1111" s="12" t="s">
        <v>181</v>
      </c>
      <c r="D1111" s="12" t="s">
        <v>1221</v>
      </c>
      <c r="E1111" s="2" t="s">
        <v>38</v>
      </c>
      <c r="F1111" s="12" t="s">
        <v>218</v>
      </c>
      <c r="G1111" s="12" t="s">
        <v>221</v>
      </c>
      <c r="H1111" s="57" t="str">
        <f>Table1[[#This Row],[Tabela]]&amp;Table1[[#This Row],[Campo]]</f>
        <v>modesg_inp_emss_nacenome_pais</v>
      </c>
      <c r="I1111" s="2" t="s">
        <v>612</v>
      </c>
      <c r="J1111" s="45">
        <f>VLOOKUP(Table1[[#This Row],[Status]],Auxiliar!$B$16:$C$24,2,0)</f>
        <v>1</v>
      </c>
      <c r="K1111" s="20" t="s">
        <v>1182</v>
      </c>
      <c r="L1111" s="2" t="s">
        <v>641</v>
      </c>
      <c r="M1111" s="20" t="s">
        <v>1179</v>
      </c>
      <c r="N1111" s="47">
        <v>45540</v>
      </c>
      <c r="O1111" s="20">
        <f>INDEX(Auxiliar!$D$5:$F$13,MATCH(Table1[[#This Row],[Tipologia_Testes]],Auxiliar!$B$5:$B$13,0),MATCH(Table1[[#This Row],[Complexidade]],Auxiliar!$D$4:$F$4,0))</f>
        <v>0.5</v>
      </c>
      <c r="P1111" s="2"/>
      <c r="Q1111" s="2"/>
      <c r="R1111" s="151">
        <v>45261</v>
      </c>
      <c r="S1111" s="151"/>
      <c r="T1111" s="151"/>
      <c r="U1111" s="151">
        <v>45603</v>
      </c>
      <c r="V1111" s="151"/>
      <c r="W1111" s="2">
        <f>VLOOKUP(Table1[[#This Row],[Status]],Auxiliar!$B$16:$D$24,3,0)*Table1[[#This Row],[Estimação (horas)]]</f>
        <v>0.5</v>
      </c>
      <c r="X1111" s="166">
        <f>+VLOOKUP(CONCATENATE(Table1[[#This Row],[Tabela]],Table1[[#This Row],[Campo]]),'2. Status Detalhe Campos FY24'!A:J,9,FALSE)</f>
        <v>0</v>
      </c>
    </row>
    <row r="1112" spans="2:24" ht="87" hidden="1" customHeight="1">
      <c r="B1112" s="12" t="s">
        <v>26</v>
      </c>
      <c r="C1112" s="12" t="s">
        <v>181</v>
      </c>
      <c r="D1112" s="12" t="s">
        <v>1221</v>
      </c>
      <c r="E1112" s="2" t="s">
        <v>38</v>
      </c>
      <c r="F1112" s="12" t="s">
        <v>218</v>
      </c>
      <c r="G1112" s="12" t="s">
        <v>281</v>
      </c>
      <c r="H1112" s="57" t="str">
        <f>Table1[[#This Row],[Tabela]]&amp;Table1[[#This Row],[Campo]]</f>
        <v>modesg_inp_emss_nacecod_nace_esg</v>
      </c>
      <c r="I1112" s="2" t="s">
        <v>612</v>
      </c>
      <c r="J1112" s="45">
        <f>VLOOKUP(Table1[[#This Row],[Status]],Auxiliar!$B$16:$C$24,2,0)</f>
        <v>1</v>
      </c>
      <c r="K1112" s="20" t="s">
        <v>1174</v>
      </c>
      <c r="L1112" s="2" t="s">
        <v>1177</v>
      </c>
      <c r="M1112" s="20" t="s">
        <v>1179</v>
      </c>
      <c r="N1112" s="47">
        <v>45562</v>
      </c>
      <c r="O1112" s="20">
        <f>INDEX(Auxiliar!$D$5:$F$13,MATCH(Table1[[#This Row],[Tipologia_Testes]],Auxiliar!$B$5:$B$13,0),MATCH(Table1[[#This Row],[Complexidade]],Auxiliar!$D$4:$F$4,0))</f>
        <v>0.1</v>
      </c>
      <c r="P1112" s="22" t="s">
        <v>1249</v>
      </c>
      <c r="Q1112" s="2"/>
      <c r="R1112" s="151">
        <v>45261</v>
      </c>
      <c r="S1112" s="151"/>
      <c r="T1112" s="151"/>
      <c r="U1112" s="151">
        <v>45603</v>
      </c>
      <c r="V1112" s="151"/>
      <c r="W1112" s="2">
        <f>VLOOKUP(Table1[[#This Row],[Status]],Auxiliar!$B$16:$D$24,3,0)*Table1[[#This Row],[Estimação (horas)]]</f>
        <v>0.1</v>
      </c>
      <c r="X1112" s="166">
        <f>+VLOOKUP(CONCATENATE(Table1[[#This Row],[Tabela]],Table1[[#This Row],[Campo]]),'2. Status Detalhe Campos FY24'!A:J,9,FALSE)</f>
        <v>0</v>
      </c>
    </row>
    <row r="1113" spans="2:24" ht="17.850000000000001" hidden="1" customHeight="1">
      <c r="B1113" s="12" t="s">
        <v>26</v>
      </c>
      <c r="C1113" s="12" t="s">
        <v>181</v>
      </c>
      <c r="D1113" s="12" t="s">
        <v>1221</v>
      </c>
      <c r="E1113" s="2" t="s">
        <v>38</v>
      </c>
      <c r="F1113" s="12" t="s">
        <v>218</v>
      </c>
      <c r="G1113" s="12" t="s">
        <v>281</v>
      </c>
      <c r="H1113" s="57" t="str">
        <f>Table1[[#This Row],[Tabela]]&amp;Table1[[#This Row],[Campo]]</f>
        <v>modesg_inp_emss_nacecod_nace_esg</v>
      </c>
      <c r="I1113" s="2" t="s">
        <v>612</v>
      </c>
      <c r="J1113" s="45">
        <f>VLOOKUP(Table1[[#This Row],[Status]],Auxiliar!$B$16:$C$24,2,0)</f>
        <v>1</v>
      </c>
      <c r="K1113" s="20" t="s">
        <v>1182</v>
      </c>
      <c r="L1113" s="2" t="s">
        <v>1177</v>
      </c>
      <c r="M1113" s="20" t="s">
        <v>1179</v>
      </c>
      <c r="N1113" s="47">
        <v>45562</v>
      </c>
      <c r="O1113" s="20">
        <f>INDEX(Auxiliar!$D$5:$F$13,MATCH(Table1[[#This Row],[Tipologia_Testes]],Auxiliar!$B$5:$B$13,0),MATCH(Table1[[#This Row],[Complexidade]],Auxiliar!$D$4:$F$4,0))</f>
        <v>0.5</v>
      </c>
      <c r="P1113" s="22" t="s">
        <v>1249</v>
      </c>
      <c r="Q1113" s="2"/>
      <c r="R1113" s="151">
        <v>45261</v>
      </c>
      <c r="S1113" s="151"/>
      <c r="T1113" s="151"/>
      <c r="U1113" s="151">
        <v>45603</v>
      </c>
      <c r="V1113" s="151"/>
      <c r="W1113" s="2">
        <f>VLOOKUP(Table1[[#This Row],[Status]],Auxiliar!$B$16:$D$24,3,0)*Table1[[#This Row],[Estimação (horas)]]</f>
        <v>0.5</v>
      </c>
      <c r="X1113" s="166">
        <f>+VLOOKUP(CONCATENATE(Table1[[#This Row],[Tabela]],Table1[[#This Row],[Campo]]),'2. Status Detalhe Campos FY24'!A:J,9,FALSE)</f>
        <v>0</v>
      </c>
    </row>
    <row r="1114" spans="2:24" ht="17.850000000000001" hidden="1" customHeight="1">
      <c r="B1114" s="12" t="s">
        <v>26</v>
      </c>
      <c r="C1114" s="12" t="s">
        <v>181</v>
      </c>
      <c r="D1114" s="12" t="s">
        <v>1221</v>
      </c>
      <c r="E1114" s="2" t="s">
        <v>38</v>
      </c>
      <c r="F1114" s="12" t="s">
        <v>218</v>
      </c>
      <c r="G1114" s="12" t="s">
        <v>298</v>
      </c>
      <c r="H1114" s="57" t="str">
        <f>Table1[[#This Row],[Tabela]]&amp;Table1[[#This Row],[Campo]]</f>
        <v>modesg_inp_emss_nacecod_class_indust</v>
      </c>
      <c r="I1114" s="2" t="s">
        <v>612</v>
      </c>
      <c r="J1114" s="45">
        <f>VLOOKUP(Table1[[#This Row],[Status]],Auxiliar!$B$16:$C$24,2,0)</f>
        <v>1</v>
      </c>
      <c r="K1114" s="20" t="s">
        <v>1182</v>
      </c>
      <c r="L1114" s="2" t="s">
        <v>1177</v>
      </c>
      <c r="M1114" s="20" t="s">
        <v>1179</v>
      </c>
      <c r="N1114" s="47">
        <v>45540</v>
      </c>
      <c r="O1114" s="20">
        <f>INDEX(Auxiliar!$D$5:$F$13,MATCH(Table1[[#This Row],[Tipologia_Testes]],Auxiliar!$B$5:$B$13,0),MATCH(Table1[[#This Row],[Complexidade]],Auxiliar!$D$4:$F$4,0))</f>
        <v>0.5</v>
      </c>
      <c r="P1114" s="2"/>
      <c r="Q1114" s="2"/>
      <c r="R1114" s="151">
        <v>45261</v>
      </c>
      <c r="S1114" s="151"/>
      <c r="T1114" s="151"/>
      <c r="U1114" s="151">
        <v>45603</v>
      </c>
      <c r="V1114" s="151"/>
      <c r="W1114" s="2">
        <f>VLOOKUP(Table1[[#This Row],[Status]],Auxiliar!$B$16:$D$24,3,0)*Table1[[#This Row],[Estimação (horas)]]</f>
        <v>0.5</v>
      </c>
      <c r="X1114" s="166">
        <f>+VLOOKUP(CONCATENATE(Table1[[#This Row],[Tabela]],Table1[[#This Row],[Campo]]),'2. Status Detalhe Campos FY24'!A:J,9,FALSE)</f>
        <v>0</v>
      </c>
    </row>
    <row r="1115" spans="2:24" ht="17.850000000000001" hidden="1" customHeight="1">
      <c r="B1115" s="12" t="s">
        <v>26</v>
      </c>
      <c r="C1115" s="12" t="s">
        <v>181</v>
      </c>
      <c r="D1115" s="12" t="s">
        <v>1221</v>
      </c>
      <c r="E1115" s="2" t="s">
        <v>38</v>
      </c>
      <c r="F1115" s="12" t="s">
        <v>218</v>
      </c>
      <c r="G1115" s="12" t="s">
        <v>299</v>
      </c>
      <c r="H1115" s="57" t="str">
        <f>Table1[[#This Row],[Tabela]]&amp;Table1[[#This Row],[Campo]]</f>
        <v>modesg_inp_emss_nacenivel_classificacao_1</v>
      </c>
      <c r="I1115" s="2" t="s">
        <v>612</v>
      </c>
      <c r="J1115" s="45">
        <f>VLOOKUP(Table1[[#This Row],[Status]],Auxiliar!$B$16:$C$24,2,0)</f>
        <v>1</v>
      </c>
      <c r="K1115" s="20" t="s">
        <v>1182</v>
      </c>
      <c r="L1115" s="2" t="s">
        <v>641</v>
      </c>
      <c r="M1115" s="20" t="s">
        <v>1179</v>
      </c>
      <c r="N1115" s="47">
        <v>45537</v>
      </c>
      <c r="O1115" s="20">
        <f>INDEX(Auxiliar!$D$5:$F$13,MATCH(Table1[[#This Row],[Tipologia_Testes]],Auxiliar!$B$5:$B$13,0),MATCH(Table1[[#This Row],[Complexidade]],Auxiliar!$D$4:$F$4,0))</f>
        <v>0.5</v>
      </c>
      <c r="P1115" s="2" t="s">
        <v>1250</v>
      </c>
      <c r="Q1115" s="2"/>
      <c r="R1115" s="151">
        <v>45261</v>
      </c>
      <c r="S1115" s="151"/>
      <c r="T1115" s="151"/>
      <c r="U1115" s="151">
        <v>45603</v>
      </c>
      <c r="V1115" s="151"/>
      <c r="W1115" s="2">
        <f>VLOOKUP(Table1[[#This Row],[Status]],Auxiliar!$B$16:$D$24,3,0)*Table1[[#This Row],[Estimação (horas)]]</f>
        <v>0.5</v>
      </c>
      <c r="X1115" s="166">
        <f>+VLOOKUP(CONCATENATE(Table1[[#This Row],[Tabela]],Table1[[#This Row],[Campo]]),'2. Status Detalhe Campos FY24'!A:J,9,FALSE)</f>
        <v>0</v>
      </c>
    </row>
    <row r="1116" spans="2:24" ht="17.850000000000001" hidden="1" customHeight="1">
      <c r="B1116" s="12" t="s">
        <v>26</v>
      </c>
      <c r="C1116" s="12" t="s">
        <v>181</v>
      </c>
      <c r="D1116" s="12" t="s">
        <v>1221</v>
      </c>
      <c r="E1116" s="2" t="s">
        <v>38</v>
      </c>
      <c r="F1116" s="12" t="s">
        <v>218</v>
      </c>
      <c r="G1116" s="12" t="s">
        <v>300</v>
      </c>
      <c r="H1116" s="57" t="str">
        <f>Table1[[#This Row],[Tabela]]&amp;Table1[[#This Row],[Campo]]</f>
        <v>modesg_inp_emss_naceclasse_ativo</v>
      </c>
      <c r="I1116" s="2" t="s">
        <v>612</v>
      </c>
      <c r="J1116" s="45">
        <f>VLOOKUP(Table1[[#This Row],[Status]],Auxiliar!$B$16:$C$24,2,0)</f>
        <v>1</v>
      </c>
      <c r="K1116" s="20" t="s">
        <v>1182</v>
      </c>
      <c r="L1116" s="2" t="s">
        <v>641</v>
      </c>
      <c r="M1116" s="20" t="s">
        <v>1179</v>
      </c>
      <c r="N1116" s="47">
        <v>45540</v>
      </c>
      <c r="O1116" s="20">
        <f>INDEX(Auxiliar!$D$5:$F$13,MATCH(Table1[[#This Row],[Tipologia_Testes]],Auxiliar!$B$5:$B$13,0),MATCH(Table1[[#This Row],[Complexidade]],Auxiliar!$D$4:$F$4,0))</f>
        <v>0.5</v>
      </c>
      <c r="P1116" s="2"/>
      <c r="Q1116" s="2"/>
      <c r="R1116" s="151">
        <v>45261</v>
      </c>
      <c r="S1116" s="151"/>
      <c r="T1116" s="151"/>
      <c r="U1116" s="151">
        <v>45603</v>
      </c>
      <c r="V1116" s="151"/>
      <c r="W1116" s="2">
        <f>VLOOKUP(Table1[[#This Row],[Status]],Auxiliar!$B$16:$D$24,3,0)*Table1[[#This Row],[Estimação (horas)]]</f>
        <v>0.5</v>
      </c>
      <c r="X1116" s="166">
        <f>+VLOOKUP(CONCATENATE(Table1[[#This Row],[Tabela]],Table1[[#This Row],[Campo]]),'2. Status Detalhe Campos FY24'!A:J,9,FALSE)</f>
        <v>0</v>
      </c>
    </row>
    <row r="1117" spans="2:24" ht="17.850000000000001" hidden="1" customHeight="1">
      <c r="B1117" s="12" t="s">
        <v>26</v>
      </c>
      <c r="C1117" s="12" t="s">
        <v>181</v>
      </c>
      <c r="D1117" s="12" t="s">
        <v>1221</v>
      </c>
      <c r="E1117" s="2" t="s">
        <v>38</v>
      </c>
      <c r="F1117" s="12" t="s">
        <v>218</v>
      </c>
      <c r="G1117" s="12" t="s">
        <v>301</v>
      </c>
      <c r="H1117" s="57" t="str">
        <f>Table1[[#This Row],[Tabela]]&amp;Table1[[#This Row],[Campo]]</f>
        <v>modesg_inp_emss_naceopcao_metodologia</v>
      </c>
      <c r="I1117" s="2" t="s">
        <v>612</v>
      </c>
      <c r="J1117" s="45">
        <f>VLOOKUP(Table1[[#This Row],[Status]],Auxiliar!$B$16:$C$24,2,0)</f>
        <v>1</v>
      </c>
      <c r="K1117" s="20" t="s">
        <v>1182</v>
      </c>
      <c r="L1117" s="2" t="s">
        <v>641</v>
      </c>
      <c r="M1117" s="20" t="s">
        <v>1179</v>
      </c>
      <c r="N1117" s="47">
        <v>45540</v>
      </c>
      <c r="O1117" s="20">
        <f>INDEX(Auxiliar!$D$5:$F$13,MATCH(Table1[[#This Row],[Tipologia_Testes]],Auxiliar!$B$5:$B$13,0),MATCH(Table1[[#This Row],[Complexidade]],Auxiliar!$D$4:$F$4,0))</f>
        <v>0.5</v>
      </c>
      <c r="P1117" s="2"/>
      <c r="Q1117" s="2"/>
      <c r="R1117" s="151">
        <v>45261</v>
      </c>
      <c r="S1117" s="151"/>
      <c r="T1117" s="151"/>
      <c r="U1117" s="151">
        <v>45603</v>
      </c>
      <c r="V1117" s="151"/>
      <c r="W1117" s="2">
        <f>VLOOKUP(Table1[[#This Row],[Status]],Auxiliar!$B$16:$D$24,3,0)*Table1[[#This Row],[Estimação (horas)]]</f>
        <v>0.5</v>
      </c>
      <c r="X1117" s="166">
        <f>+VLOOKUP(CONCATENATE(Table1[[#This Row],[Tabela]],Table1[[#This Row],[Campo]]),'2. Status Detalhe Campos FY24'!A:J,9,FALSE)</f>
        <v>0</v>
      </c>
    </row>
    <row r="1118" spans="2:24" ht="17.850000000000001" hidden="1" customHeight="1">
      <c r="B1118" s="12" t="s">
        <v>26</v>
      </c>
      <c r="C1118" s="12" t="s">
        <v>181</v>
      </c>
      <c r="D1118" s="12" t="s">
        <v>1221</v>
      </c>
      <c r="E1118" s="2" t="s">
        <v>38</v>
      </c>
      <c r="F1118" s="12" t="s">
        <v>218</v>
      </c>
      <c r="G1118" s="12" t="s">
        <v>229</v>
      </c>
      <c r="H1118" s="57" t="str">
        <f>Table1[[#This Row],[Tabela]]&amp;Table1[[#This Row],[Campo]]</f>
        <v>modesg_inp_emss_naceunidade_funcional</v>
      </c>
      <c r="I1118" s="2" t="s">
        <v>612</v>
      </c>
      <c r="J1118" s="45">
        <f>VLOOKUP(Table1[[#This Row],[Status]],Auxiliar!$B$16:$C$24,2,0)</f>
        <v>1</v>
      </c>
      <c r="K1118" s="20" t="s">
        <v>1174</v>
      </c>
      <c r="L1118" s="2" t="s">
        <v>1177</v>
      </c>
      <c r="M1118" s="20" t="s">
        <v>1179</v>
      </c>
      <c r="N1118" s="47">
        <v>45540</v>
      </c>
      <c r="O1118" s="20">
        <f>INDEX(Auxiliar!$D$5:$F$13,MATCH(Table1[[#This Row],[Tipologia_Testes]],Auxiliar!$B$5:$B$13,0),MATCH(Table1[[#This Row],[Complexidade]],Auxiliar!$D$4:$F$4,0))</f>
        <v>0.1</v>
      </c>
      <c r="P1118" s="2" t="s">
        <v>1251</v>
      </c>
      <c r="Q1118" s="2"/>
      <c r="R1118" s="151">
        <v>45261</v>
      </c>
      <c r="S1118" s="151"/>
      <c r="T1118" s="151"/>
      <c r="U1118" s="151">
        <v>45603</v>
      </c>
      <c r="V1118" s="151"/>
      <c r="W1118" s="2">
        <f>VLOOKUP(Table1[[#This Row],[Status]],Auxiliar!$B$16:$D$24,3,0)*Table1[[#This Row],[Estimação (horas)]]</f>
        <v>0.1</v>
      </c>
      <c r="X1118" s="166">
        <f>+VLOOKUP(CONCATENATE(Table1[[#This Row],[Tabela]],Table1[[#This Row],[Campo]]),'2. Status Detalhe Campos FY24'!A:J,9,FALSE)</f>
        <v>0</v>
      </c>
    </row>
    <row r="1119" spans="2:24" ht="17.850000000000001" hidden="1" customHeight="1">
      <c r="B1119" s="12" t="s">
        <v>26</v>
      </c>
      <c r="C1119" s="12" t="s">
        <v>181</v>
      </c>
      <c r="D1119" s="12" t="s">
        <v>1221</v>
      </c>
      <c r="E1119" s="2" t="s">
        <v>38</v>
      </c>
      <c r="F1119" s="12" t="s">
        <v>218</v>
      </c>
      <c r="G1119" s="12" t="s">
        <v>229</v>
      </c>
      <c r="H1119" s="57" t="str">
        <f>Table1[[#This Row],[Tabela]]&amp;Table1[[#This Row],[Campo]]</f>
        <v>modesg_inp_emss_naceunidade_funcional</v>
      </c>
      <c r="I1119" s="2" t="s">
        <v>612</v>
      </c>
      <c r="J1119" s="45">
        <f>VLOOKUP(Table1[[#This Row],[Status]],Auxiliar!$B$16:$C$24,2,0)</f>
        <v>1</v>
      </c>
      <c r="K1119" s="20" t="s">
        <v>1182</v>
      </c>
      <c r="L1119" s="2" t="s">
        <v>1177</v>
      </c>
      <c r="M1119" s="20" t="s">
        <v>1179</v>
      </c>
      <c r="N1119" s="47">
        <v>45540</v>
      </c>
      <c r="O1119" s="20">
        <f>INDEX(Auxiliar!$D$5:$F$13,MATCH(Table1[[#This Row],[Tipologia_Testes]],Auxiliar!$B$5:$B$13,0),MATCH(Table1[[#This Row],[Complexidade]],Auxiliar!$D$4:$F$4,0))</f>
        <v>0.5</v>
      </c>
      <c r="P1119" s="2"/>
      <c r="Q1119" s="2"/>
      <c r="R1119" s="151">
        <v>45261</v>
      </c>
      <c r="S1119" s="151"/>
      <c r="T1119" s="151"/>
      <c r="U1119" s="151">
        <v>45603</v>
      </c>
      <c r="V1119" s="151"/>
      <c r="W1119" s="2">
        <f>VLOOKUP(Table1[[#This Row],[Status]],Auxiliar!$B$16:$D$24,3,0)*Table1[[#This Row],[Estimação (horas)]]</f>
        <v>0.5</v>
      </c>
      <c r="X1119" s="166">
        <f>+VLOOKUP(CONCATENATE(Table1[[#This Row],[Tabela]],Table1[[#This Row],[Campo]]),'2. Status Detalhe Campos FY24'!A:J,9,FALSE)</f>
        <v>0</v>
      </c>
    </row>
    <row r="1120" spans="2:24" ht="17.850000000000001" hidden="1" customHeight="1">
      <c r="B1120" s="12" t="s">
        <v>26</v>
      </c>
      <c r="C1120" s="12" t="s">
        <v>181</v>
      </c>
      <c r="D1120" s="12" t="s">
        <v>1221</v>
      </c>
      <c r="E1120" s="2" t="s">
        <v>38</v>
      </c>
      <c r="F1120" s="12" t="s">
        <v>218</v>
      </c>
      <c r="G1120" s="12" t="s">
        <v>302</v>
      </c>
      <c r="H1120" s="57" t="str">
        <f>Table1[[#This Row],[Tabela]]&amp;Table1[[#This Row],[Campo]]</f>
        <v>modesg_inp_emss_naceunidades_fator_de_emissao</v>
      </c>
      <c r="I1120" s="2" t="s">
        <v>612</v>
      </c>
      <c r="J1120" s="45">
        <f>VLOOKUP(Table1[[#This Row],[Status]],Auxiliar!$B$16:$C$24,2,0)</f>
        <v>1</v>
      </c>
      <c r="K1120" s="20" t="s">
        <v>1182</v>
      </c>
      <c r="L1120" s="2" t="s">
        <v>1177</v>
      </c>
      <c r="M1120" s="20" t="s">
        <v>1179</v>
      </c>
      <c r="N1120" s="47">
        <v>45540</v>
      </c>
      <c r="O1120" s="20">
        <f>INDEX(Auxiliar!$D$5:$F$13,MATCH(Table1[[#This Row],[Tipologia_Testes]],Auxiliar!$B$5:$B$13,0),MATCH(Table1[[#This Row],[Complexidade]],Auxiliar!$D$4:$F$4,0))</f>
        <v>0.5</v>
      </c>
      <c r="P1120" s="2"/>
      <c r="Q1120" s="2"/>
      <c r="R1120" s="151">
        <v>45261</v>
      </c>
      <c r="S1120" s="151"/>
      <c r="T1120" s="151"/>
      <c r="U1120" s="151">
        <v>45603</v>
      </c>
      <c r="V1120" s="151"/>
      <c r="W1120" s="2">
        <f>VLOOKUP(Table1[[#This Row],[Status]],Auxiliar!$B$16:$D$24,3,0)*Table1[[#This Row],[Estimação (horas)]]</f>
        <v>0.5</v>
      </c>
      <c r="X1120" s="166">
        <f>+VLOOKUP(CONCATENATE(Table1[[#This Row],[Tabela]],Table1[[#This Row],[Campo]]),'2. Status Detalhe Campos FY24'!A:J,9,FALSE)</f>
        <v>0</v>
      </c>
    </row>
    <row r="1121" spans="2:24" ht="17.850000000000001" hidden="1" customHeight="1">
      <c r="B1121" s="12" t="s">
        <v>26</v>
      </c>
      <c r="C1121" s="12" t="s">
        <v>181</v>
      </c>
      <c r="D1121" s="12" t="s">
        <v>1221</v>
      </c>
      <c r="E1121" s="2" t="s">
        <v>38</v>
      </c>
      <c r="F1121" s="12" t="s">
        <v>218</v>
      </c>
      <c r="G1121" s="12" t="s">
        <v>232</v>
      </c>
      <c r="H1121" s="57" t="str">
        <f>Table1[[#This Row],[Tabela]]&amp;Table1[[#This Row],[Campo]]</f>
        <v>modesg_inp_emss_nacescore_qualidade</v>
      </c>
      <c r="I1121" s="2" t="s">
        <v>612</v>
      </c>
      <c r="J1121" s="45">
        <f>VLOOKUP(Table1[[#This Row],[Status]],Auxiliar!$B$16:$C$24,2,0)</f>
        <v>1</v>
      </c>
      <c r="K1121" s="20" t="s">
        <v>1182</v>
      </c>
      <c r="L1121" s="2" t="s">
        <v>1169</v>
      </c>
      <c r="M1121" s="20" t="s">
        <v>1179</v>
      </c>
      <c r="N1121" s="47">
        <v>45540</v>
      </c>
      <c r="O1121" s="20">
        <f>INDEX(Auxiliar!$D$5:$F$13,MATCH(Table1[[#This Row],[Tipologia_Testes]],Auxiliar!$B$5:$B$13,0),MATCH(Table1[[#This Row],[Complexidade]],Auxiliar!$D$4:$F$4,0))</f>
        <v>0.5</v>
      </c>
      <c r="P1121" s="2" t="s">
        <v>1248</v>
      </c>
      <c r="Q1121" s="2"/>
      <c r="R1121" s="151">
        <v>45261</v>
      </c>
      <c r="S1121" s="151"/>
      <c r="T1121" s="151"/>
      <c r="U1121" s="151">
        <v>45603</v>
      </c>
      <c r="V1121" s="151"/>
      <c r="W1121" s="2">
        <f>VLOOKUP(Table1[[#This Row],[Status]],Auxiliar!$B$16:$D$24,3,0)*Table1[[#This Row],[Estimação (horas)]]</f>
        <v>0.5</v>
      </c>
      <c r="X1121" s="166">
        <f>+VLOOKUP(CONCATENATE(Table1[[#This Row],[Tabela]],Table1[[#This Row],[Campo]]),'2. Status Detalhe Campos FY24'!A:J,9,FALSE)</f>
        <v>0</v>
      </c>
    </row>
    <row r="1122" spans="2:24" ht="17.850000000000001" hidden="1" customHeight="1">
      <c r="B1122" s="12" t="s">
        <v>26</v>
      </c>
      <c r="C1122" s="12" t="s">
        <v>181</v>
      </c>
      <c r="D1122" s="12" t="s">
        <v>1221</v>
      </c>
      <c r="E1122" s="2" t="s">
        <v>38</v>
      </c>
      <c r="F1122" s="12" t="s">
        <v>218</v>
      </c>
      <c r="G1122" s="12" t="s">
        <v>233</v>
      </c>
      <c r="H1122" s="57" t="str">
        <f>Table1[[#This Row],[Tabela]]&amp;Table1[[#This Row],[Campo]]</f>
        <v>modesg_inp_emss_nacescp1_ftr_emss</v>
      </c>
      <c r="I1122" s="2" t="s">
        <v>612</v>
      </c>
      <c r="J1122" s="45">
        <f>VLOOKUP(Table1[[#This Row],[Status]],Auxiliar!$B$16:$C$24,2,0)</f>
        <v>1</v>
      </c>
      <c r="K1122" s="20" t="s">
        <v>1174</v>
      </c>
      <c r="L1122" s="2" t="s">
        <v>1177</v>
      </c>
      <c r="M1122" s="20" t="s">
        <v>1179</v>
      </c>
      <c r="N1122" s="47">
        <v>45562</v>
      </c>
      <c r="O1122" s="20">
        <f>INDEX(Auxiliar!$D$5:$F$13,MATCH(Table1[[#This Row],[Tipologia_Testes]],Auxiliar!$B$5:$B$13,0),MATCH(Table1[[#This Row],[Complexidade]],Auxiliar!$D$4:$F$4,0))</f>
        <v>0.1</v>
      </c>
      <c r="P1122" s="2" t="s">
        <v>1252</v>
      </c>
      <c r="Q1122" s="2"/>
      <c r="R1122" s="151">
        <v>45261</v>
      </c>
      <c r="S1122" s="151"/>
      <c r="T1122" s="151"/>
      <c r="U1122" s="151">
        <v>45603</v>
      </c>
      <c r="V1122" s="151"/>
      <c r="W1122" s="2">
        <f>VLOOKUP(Table1[[#This Row],[Status]],Auxiliar!$B$16:$D$24,3,0)*Table1[[#This Row],[Estimação (horas)]]</f>
        <v>0.1</v>
      </c>
      <c r="X1122" s="166">
        <f>+VLOOKUP(CONCATENATE(Table1[[#This Row],[Tabela]],Table1[[#This Row],[Campo]]),'2. Status Detalhe Campos FY24'!A:J,9,FALSE)</f>
        <v>0</v>
      </c>
    </row>
    <row r="1123" spans="2:24" ht="17.850000000000001" hidden="1" customHeight="1">
      <c r="B1123" s="12" t="s">
        <v>26</v>
      </c>
      <c r="C1123" s="12" t="s">
        <v>181</v>
      </c>
      <c r="D1123" s="12" t="s">
        <v>1221</v>
      </c>
      <c r="E1123" s="2" t="s">
        <v>38</v>
      </c>
      <c r="F1123" s="12" t="s">
        <v>218</v>
      </c>
      <c r="G1123" s="12" t="s">
        <v>233</v>
      </c>
      <c r="H1123" s="57" t="str">
        <f>Table1[[#This Row],[Tabela]]&amp;Table1[[#This Row],[Campo]]</f>
        <v>modesg_inp_emss_nacescp1_ftr_emss</v>
      </c>
      <c r="I1123" s="2" t="s">
        <v>612</v>
      </c>
      <c r="J1123" s="45">
        <f>VLOOKUP(Table1[[#This Row],[Status]],Auxiliar!$B$16:$C$24,2,0)</f>
        <v>1</v>
      </c>
      <c r="K1123" s="20" t="s">
        <v>1182</v>
      </c>
      <c r="L1123" s="2" t="s">
        <v>1177</v>
      </c>
      <c r="M1123" s="20" t="s">
        <v>1179</v>
      </c>
      <c r="N1123" s="47">
        <v>45562</v>
      </c>
      <c r="O1123" s="20">
        <f>INDEX(Auxiliar!$D$5:$F$13,MATCH(Table1[[#This Row],[Tipologia_Testes]],Auxiliar!$B$5:$B$13,0),MATCH(Table1[[#This Row],[Complexidade]],Auxiliar!$D$4:$F$4,0))</f>
        <v>0.5</v>
      </c>
      <c r="P1123" s="2"/>
      <c r="Q1123" s="2"/>
      <c r="R1123" s="151">
        <v>45261</v>
      </c>
      <c r="S1123" s="151"/>
      <c r="T1123" s="151"/>
      <c r="U1123" s="151">
        <v>45603</v>
      </c>
      <c r="V1123" s="151"/>
      <c r="W1123" s="2">
        <f>VLOOKUP(Table1[[#This Row],[Status]],Auxiliar!$B$16:$D$24,3,0)*Table1[[#This Row],[Estimação (horas)]]</f>
        <v>0.5</v>
      </c>
      <c r="X1123" s="166">
        <f>+VLOOKUP(CONCATENATE(Table1[[#This Row],[Tabela]],Table1[[#This Row],[Campo]]),'2. Status Detalhe Campos FY24'!A:J,9,FALSE)</f>
        <v>0</v>
      </c>
    </row>
    <row r="1124" spans="2:24" ht="17.850000000000001" hidden="1" customHeight="1">
      <c r="B1124" s="12" t="s">
        <v>26</v>
      </c>
      <c r="C1124" s="12" t="s">
        <v>181</v>
      </c>
      <c r="D1124" s="12" t="s">
        <v>1221</v>
      </c>
      <c r="E1124" s="2" t="s">
        <v>38</v>
      </c>
      <c r="F1124" s="12" t="s">
        <v>218</v>
      </c>
      <c r="G1124" s="12" t="s">
        <v>234</v>
      </c>
      <c r="H1124" s="57" t="str">
        <f>Table1[[#This Row],[Tabela]]&amp;Table1[[#This Row],[Campo]]</f>
        <v>modesg_inp_emss_nacescp2_ftr_emss</v>
      </c>
      <c r="I1124" s="2" t="s">
        <v>612</v>
      </c>
      <c r="J1124" s="45">
        <f>VLOOKUP(Table1[[#This Row],[Status]],Auxiliar!$B$16:$C$24,2,0)</f>
        <v>1</v>
      </c>
      <c r="K1124" s="20" t="s">
        <v>1174</v>
      </c>
      <c r="L1124" s="2" t="s">
        <v>1177</v>
      </c>
      <c r="M1124" s="20" t="s">
        <v>1179</v>
      </c>
      <c r="N1124" s="47">
        <v>45562</v>
      </c>
      <c r="O1124" s="20">
        <f>INDEX(Auxiliar!$D$5:$F$13,MATCH(Table1[[#This Row],[Tipologia_Testes]],Auxiliar!$B$5:$B$13,0),MATCH(Table1[[#This Row],[Complexidade]],Auxiliar!$D$4:$F$4,0))</f>
        <v>0.1</v>
      </c>
      <c r="P1124" s="2" t="s">
        <v>1252</v>
      </c>
      <c r="Q1124" s="2"/>
      <c r="R1124" s="151">
        <v>45261</v>
      </c>
      <c r="S1124" s="151"/>
      <c r="T1124" s="151"/>
      <c r="U1124" s="151">
        <v>45603</v>
      </c>
      <c r="V1124" s="151"/>
      <c r="W1124" s="2">
        <f>VLOOKUP(Table1[[#This Row],[Status]],Auxiliar!$B$16:$D$24,3,0)*Table1[[#This Row],[Estimação (horas)]]</f>
        <v>0.1</v>
      </c>
      <c r="X1124" s="166">
        <f>+VLOOKUP(CONCATENATE(Table1[[#This Row],[Tabela]],Table1[[#This Row],[Campo]]),'2. Status Detalhe Campos FY24'!A:J,9,FALSE)</f>
        <v>0</v>
      </c>
    </row>
    <row r="1125" spans="2:24" ht="17.850000000000001" hidden="1" customHeight="1">
      <c r="B1125" s="12" t="s">
        <v>26</v>
      </c>
      <c r="C1125" s="12" t="s">
        <v>181</v>
      </c>
      <c r="D1125" s="12" t="s">
        <v>1221</v>
      </c>
      <c r="E1125" s="2" t="s">
        <v>38</v>
      </c>
      <c r="F1125" s="12" t="s">
        <v>218</v>
      </c>
      <c r="G1125" s="12" t="s">
        <v>234</v>
      </c>
      <c r="H1125" s="57" t="str">
        <f>Table1[[#This Row],[Tabela]]&amp;Table1[[#This Row],[Campo]]</f>
        <v>modesg_inp_emss_nacescp2_ftr_emss</v>
      </c>
      <c r="I1125" s="2" t="s">
        <v>612</v>
      </c>
      <c r="J1125" s="45">
        <f>VLOOKUP(Table1[[#This Row],[Status]],Auxiliar!$B$16:$C$24,2,0)</f>
        <v>1</v>
      </c>
      <c r="K1125" s="20" t="s">
        <v>1182</v>
      </c>
      <c r="L1125" s="2" t="s">
        <v>1177</v>
      </c>
      <c r="M1125" s="20" t="s">
        <v>1179</v>
      </c>
      <c r="N1125" s="47">
        <v>45562</v>
      </c>
      <c r="O1125" s="20">
        <f>INDEX(Auxiliar!$D$5:$F$13,MATCH(Table1[[#This Row],[Tipologia_Testes]],Auxiliar!$B$5:$B$13,0),MATCH(Table1[[#This Row],[Complexidade]],Auxiliar!$D$4:$F$4,0))</f>
        <v>0.5</v>
      </c>
      <c r="P1125" s="2"/>
      <c r="Q1125" s="2"/>
      <c r="R1125" s="151">
        <v>45261</v>
      </c>
      <c r="S1125" s="151"/>
      <c r="T1125" s="151"/>
      <c r="U1125" s="151">
        <v>45603</v>
      </c>
      <c r="V1125" s="151"/>
      <c r="W1125" s="2">
        <f>VLOOKUP(Table1[[#This Row],[Status]],Auxiliar!$B$16:$D$24,3,0)*Table1[[#This Row],[Estimação (horas)]]</f>
        <v>0.5</v>
      </c>
      <c r="X1125" s="166">
        <f>+VLOOKUP(CONCATENATE(Table1[[#This Row],[Tabela]],Table1[[#This Row],[Campo]]),'2. Status Detalhe Campos FY24'!A:J,9,FALSE)</f>
        <v>0</v>
      </c>
    </row>
    <row r="1126" spans="2:24" ht="17.850000000000001" hidden="1" customHeight="1">
      <c r="B1126" s="12" t="s">
        <v>26</v>
      </c>
      <c r="C1126" s="12" t="s">
        <v>181</v>
      </c>
      <c r="D1126" s="12" t="s">
        <v>1221</v>
      </c>
      <c r="E1126" s="2" t="s">
        <v>38</v>
      </c>
      <c r="F1126" s="12" t="s">
        <v>218</v>
      </c>
      <c r="G1126" s="12" t="s">
        <v>235</v>
      </c>
      <c r="H1126" s="57" t="str">
        <f>Table1[[#This Row],[Tabela]]&amp;Table1[[#This Row],[Campo]]</f>
        <v>modesg_inp_emss_nacescp3_ftr_emss</v>
      </c>
      <c r="I1126" s="2" t="s">
        <v>612</v>
      </c>
      <c r="J1126" s="45">
        <f>VLOOKUP(Table1[[#This Row],[Status]],Auxiliar!$B$16:$C$24,2,0)</f>
        <v>1</v>
      </c>
      <c r="K1126" s="20" t="s">
        <v>1174</v>
      </c>
      <c r="L1126" s="2" t="s">
        <v>1177</v>
      </c>
      <c r="M1126" s="20" t="s">
        <v>1179</v>
      </c>
      <c r="N1126" s="47">
        <v>45562</v>
      </c>
      <c r="O1126" s="20">
        <f>INDEX(Auxiliar!$D$5:$F$13,MATCH(Table1[[#This Row],[Tipologia_Testes]],Auxiliar!$B$5:$B$13,0),MATCH(Table1[[#This Row],[Complexidade]],Auxiliar!$D$4:$F$4,0))</f>
        <v>0.1</v>
      </c>
      <c r="P1126" s="2" t="s">
        <v>1252</v>
      </c>
      <c r="Q1126" s="2"/>
      <c r="R1126" s="151">
        <v>45261</v>
      </c>
      <c r="S1126" s="151"/>
      <c r="T1126" s="151"/>
      <c r="U1126" s="151">
        <v>45603</v>
      </c>
      <c r="V1126" s="151"/>
      <c r="W1126" s="2">
        <f>VLOOKUP(Table1[[#This Row],[Status]],Auxiliar!$B$16:$D$24,3,0)*Table1[[#This Row],[Estimação (horas)]]</f>
        <v>0.1</v>
      </c>
      <c r="X1126" s="166">
        <f>+VLOOKUP(CONCATENATE(Table1[[#This Row],[Tabela]],Table1[[#This Row],[Campo]]),'2. Status Detalhe Campos FY24'!A:J,9,FALSE)</f>
        <v>0</v>
      </c>
    </row>
    <row r="1127" spans="2:24" ht="17.850000000000001" hidden="1" customHeight="1">
      <c r="B1127" s="12" t="s">
        <v>26</v>
      </c>
      <c r="C1127" s="12" t="s">
        <v>181</v>
      </c>
      <c r="D1127" s="12" t="s">
        <v>1221</v>
      </c>
      <c r="E1127" s="2" t="s">
        <v>38</v>
      </c>
      <c r="F1127" s="12" t="s">
        <v>218</v>
      </c>
      <c r="G1127" s="12" t="s">
        <v>235</v>
      </c>
      <c r="H1127" s="57" t="str">
        <f>Table1[[#This Row],[Tabela]]&amp;Table1[[#This Row],[Campo]]</f>
        <v>modesg_inp_emss_nacescp3_ftr_emss</v>
      </c>
      <c r="I1127" s="2" t="s">
        <v>612</v>
      </c>
      <c r="J1127" s="45">
        <f>VLOOKUP(Table1[[#This Row],[Status]],Auxiliar!$B$16:$C$24,2,0)</f>
        <v>1</v>
      </c>
      <c r="K1127" s="20" t="s">
        <v>1182</v>
      </c>
      <c r="L1127" s="2" t="s">
        <v>1177</v>
      </c>
      <c r="M1127" s="20" t="s">
        <v>1179</v>
      </c>
      <c r="N1127" s="47">
        <v>45562</v>
      </c>
      <c r="O1127" s="20">
        <f>INDEX(Auxiliar!$D$5:$F$13,MATCH(Table1[[#This Row],[Tipologia_Testes]],Auxiliar!$B$5:$B$13,0),MATCH(Table1[[#This Row],[Complexidade]],Auxiliar!$D$4:$F$4,0))</f>
        <v>0.5</v>
      </c>
      <c r="P1127" s="2"/>
      <c r="Q1127" s="2"/>
      <c r="R1127" s="151">
        <v>45261</v>
      </c>
      <c r="S1127" s="151"/>
      <c r="T1127" s="151"/>
      <c r="U1127" s="151">
        <v>45603</v>
      </c>
      <c r="V1127" s="151"/>
      <c r="W1127" s="2">
        <f>VLOOKUP(Table1[[#This Row],[Status]],Auxiliar!$B$16:$D$24,3,0)*Table1[[#This Row],[Estimação (horas)]]</f>
        <v>0.5</v>
      </c>
      <c r="X1127" s="166">
        <f>+VLOOKUP(CONCATENATE(Table1[[#This Row],[Tabela]],Table1[[#This Row],[Campo]]),'2. Status Detalhe Campos FY24'!A:J,9,FALSE)</f>
        <v>0</v>
      </c>
    </row>
    <row r="1128" spans="2:24" ht="17.850000000000001" hidden="1" customHeight="1">
      <c r="B1128" s="12" t="s">
        <v>26</v>
      </c>
      <c r="C1128" s="12" t="s">
        <v>181</v>
      </c>
      <c r="D1128" s="12" t="s">
        <v>1221</v>
      </c>
      <c r="E1128" s="2" t="s">
        <v>38</v>
      </c>
      <c r="F1128" s="12" t="s">
        <v>219</v>
      </c>
      <c r="G1128" s="12" t="s">
        <v>208</v>
      </c>
      <c r="H1128" s="57" t="str">
        <f>Table1[[#This Row],[Tabela]]&amp;Table1[[#This Row],[Campo]]</f>
        <v>modesg_inp_emss_bens_imoveisref_date</v>
      </c>
      <c r="I1128" s="2" t="s">
        <v>612</v>
      </c>
      <c r="J1128" s="45">
        <f>VLOOKUP(Table1[[#This Row],[Status]],Auxiliar!$B$16:$C$24,2,0)</f>
        <v>1</v>
      </c>
      <c r="K1128" s="20" t="s">
        <v>1182</v>
      </c>
      <c r="L1128" s="20" t="s">
        <v>1177</v>
      </c>
      <c r="M1128" s="20" t="s">
        <v>1179</v>
      </c>
      <c r="N1128" s="47">
        <v>45546</v>
      </c>
      <c r="O1128" s="20">
        <f>INDEX(Auxiliar!$D$5:$F$13,MATCH(Table1[[#This Row],[Tipologia_Testes]],Auxiliar!$B$5:$B$13,0),MATCH(Table1[[#This Row],[Complexidade]],Auxiliar!$D$4:$F$4,0))</f>
        <v>0.5</v>
      </c>
      <c r="P1128" s="2"/>
      <c r="Q1128" s="2"/>
      <c r="R1128" s="151">
        <v>45261</v>
      </c>
      <c r="S1128" s="151"/>
      <c r="T1128" s="151"/>
      <c r="U1128" s="151">
        <v>45603</v>
      </c>
      <c r="V1128" s="151">
        <v>45534</v>
      </c>
      <c r="W1128" s="2">
        <f>VLOOKUP(Table1[[#This Row],[Status]],Auxiliar!$B$16:$D$24,3,0)*Table1[[#This Row],[Estimação (horas)]]</f>
        <v>0.5</v>
      </c>
      <c r="X1128" s="166">
        <f>+VLOOKUP(CONCATENATE(Table1[[#This Row],[Tabela]],Table1[[#This Row],[Campo]]),'2. Status Detalhe Campos FY24'!A:J,9,FALSE)</f>
        <v>0</v>
      </c>
    </row>
    <row r="1129" spans="2:24" ht="17.850000000000001" hidden="1" customHeight="1">
      <c r="B1129" s="12" t="s">
        <v>26</v>
      </c>
      <c r="C1129" s="12" t="s">
        <v>181</v>
      </c>
      <c r="D1129" s="12" t="s">
        <v>1221</v>
      </c>
      <c r="E1129" s="2" t="s">
        <v>38</v>
      </c>
      <c r="F1129" s="12" t="s">
        <v>219</v>
      </c>
      <c r="G1129" s="12" t="s">
        <v>221</v>
      </c>
      <c r="H1129" s="57" t="str">
        <f>Table1[[#This Row],[Tabela]]&amp;Table1[[#This Row],[Campo]]</f>
        <v>modesg_inp_emss_bens_imoveisnome_pais</v>
      </c>
      <c r="I1129" s="2" t="s">
        <v>612</v>
      </c>
      <c r="J1129" s="45">
        <f>VLOOKUP(Table1[[#This Row],[Status]],Auxiliar!$B$16:$C$24,2,0)</f>
        <v>1</v>
      </c>
      <c r="K1129" s="20" t="s">
        <v>1182</v>
      </c>
      <c r="L1129" s="20" t="s">
        <v>1177</v>
      </c>
      <c r="M1129" s="20" t="s">
        <v>1179</v>
      </c>
      <c r="N1129" s="47">
        <v>45546</v>
      </c>
      <c r="O1129" s="20">
        <f>INDEX(Auxiliar!$D$5:$F$13,MATCH(Table1[[#This Row],[Tipologia_Testes]],Auxiliar!$B$5:$B$13,0),MATCH(Table1[[#This Row],[Complexidade]],Auxiliar!$D$4:$F$4,0))</f>
        <v>0.5</v>
      </c>
      <c r="P1129" s="2"/>
      <c r="Q1129" s="2"/>
      <c r="R1129" s="151">
        <v>45261</v>
      </c>
      <c r="S1129" s="151"/>
      <c r="T1129" s="151"/>
      <c r="U1129" s="151">
        <v>45603</v>
      </c>
      <c r="V1129" s="151">
        <v>45534</v>
      </c>
      <c r="W1129" s="2">
        <f>VLOOKUP(Table1[[#This Row],[Status]],Auxiliar!$B$16:$D$24,3,0)*Table1[[#This Row],[Estimação (horas)]]</f>
        <v>0.5</v>
      </c>
      <c r="X1129" s="166">
        <f>+VLOOKUP(CONCATENATE(Table1[[#This Row],[Tabela]],Table1[[#This Row],[Campo]]),'2. Status Detalhe Campos FY24'!A:J,9,FALSE)</f>
        <v>0</v>
      </c>
    </row>
    <row r="1130" spans="2:24" ht="17.850000000000001" hidden="1" customHeight="1">
      <c r="B1130" s="12" t="s">
        <v>26</v>
      </c>
      <c r="C1130" s="12" t="s">
        <v>181</v>
      </c>
      <c r="D1130" s="12" t="s">
        <v>1221</v>
      </c>
      <c r="E1130" s="2" t="s">
        <v>38</v>
      </c>
      <c r="F1130" s="12" t="s">
        <v>219</v>
      </c>
      <c r="G1130" s="12" t="s">
        <v>222</v>
      </c>
      <c r="H1130" s="57" t="str">
        <f>Table1[[#This Row],[Tabela]]&amp;Table1[[#This Row],[Campo]]</f>
        <v>modesg_inp_emss_bens_imoveisnome_estado</v>
      </c>
      <c r="I1130" s="2" t="s">
        <v>612</v>
      </c>
      <c r="J1130" s="45">
        <f>VLOOKUP(Table1[[#This Row],[Status]],Auxiliar!$B$16:$C$24,2,0)</f>
        <v>1</v>
      </c>
      <c r="K1130" s="20" t="s">
        <v>1182</v>
      </c>
      <c r="L1130" s="20" t="s">
        <v>1177</v>
      </c>
      <c r="M1130" s="20" t="s">
        <v>1179</v>
      </c>
      <c r="N1130" s="47">
        <v>45546</v>
      </c>
      <c r="O1130" s="20">
        <f>INDEX(Auxiliar!$D$5:$F$13,MATCH(Table1[[#This Row],[Tipologia_Testes]],Auxiliar!$B$5:$B$13,0),MATCH(Table1[[#This Row],[Complexidade]],Auxiliar!$D$4:$F$4,0))</f>
        <v>0.5</v>
      </c>
      <c r="P1130" s="2"/>
      <c r="Q1130" s="2"/>
      <c r="R1130" s="151">
        <v>45261</v>
      </c>
      <c r="S1130" s="151"/>
      <c r="T1130" s="151"/>
      <c r="U1130" s="151">
        <v>45603</v>
      </c>
      <c r="V1130" s="151">
        <v>45534</v>
      </c>
      <c r="W1130" s="2">
        <f>VLOOKUP(Table1[[#This Row],[Status]],Auxiliar!$B$16:$D$24,3,0)*Table1[[#This Row],[Estimação (horas)]]</f>
        <v>0.5</v>
      </c>
      <c r="X1130" s="166">
        <f>+VLOOKUP(CONCATENATE(Table1[[#This Row],[Tabela]],Table1[[#This Row],[Campo]]),'2. Status Detalhe Campos FY24'!A:J,9,FALSE)</f>
        <v>0</v>
      </c>
    </row>
    <row r="1131" spans="2:24" ht="17.850000000000001" hidden="1" customHeight="1">
      <c r="B1131" s="12" t="s">
        <v>26</v>
      </c>
      <c r="C1131" s="12" t="s">
        <v>181</v>
      </c>
      <c r="D1131" s="12" t="s">
        <v>1221</v>
      </c>
      <c r="E1131" s="2" t="s">
        <v>38</v>
      </c>
      <c r="F1131" s="12" t="s">
        <v>219</v>
      </c>
      <c r="G1131" s="64" t="s">
        <v>300</v>
      </c>
      <c r="H1131" s="57" t="str">
        <f>Table1[[#This Row],[Tabela]]&amp;Table1[[#This Row],[Campo]]</f>
        <v>modesg_inp_emss_bens_imoveisclasse_ativo</v>
      </c>
      <c r="I1131" s="2" t="s">
        <v>612</v>
      </c>
      <c r="J1131" s="45">
        <f>VLOOKUP(Table1[[#This Row],[Status]],Auxiliar!$B$16:$C$24,2,0)</f>
        <v>1</v>
      </c>
      <c r="K1131" s="20" t="s">
        <v>1182</v>
      </c>
      <c r="L1131" s="2" t="s">
        <v>641</v>
      </c>
      <c r="M1131" s="20" t="s">
        <v>1179</v>
      </c>
      <c r="N1131" s="47">
        <v>45546</v>
      </c>
      <c r="O1131" s="20">
        <f>INDEX(Auxiliar!$D$5:$F$13,MATCH(Table1[[#This Row],[Tipologia_Testes]],Auxiliar!$B$5:$B$13,0),MATCH(Table1[[#This Row],[Complexidade]],Auxiliar!$D$4:$F$4,0))</f>
        <v>0.5</v>
      </c>
      <c r="P1131" s="2"/>
      <c r="Q1131" s="2"/>
      <c r="R1131" s="151">
        <v>45261</v>
      </c>
      <c r="S1131" s="151"/>
      <c r="T1131" s="151"/>
      <c r="U1131" s="151">
        <v>45603</v>
      </c>
      <c r="V1131" s="151">
        <v>45534</v>
      </c>
      <c r="W1131" s="2">
        <f>VLOOKUP(Table1[[#This Row],[Status]],Auxiliar!$B$16:$D$24,3,0)*Table1[[#This Row],[Estimação (horas)]]</f>
        <v>0.5</v>
      </c>
      <c r="X1131" s="166">
        <f>+VLOOKUP(CONCATENATE(Table1[[#This Row],[Tabela]],Table1[[#This Row],[Campo]]),'2. Status Detalhe Campos FY24'!A:J,9,FALSE)</f>
        <v>0</v>
      </c>
    </row>
    <row r="1132" spans="2:24" ht="17.850000000000001" hidden="1" customHeight="1">
      <c r="B1132" s="12" t="s">
        <v>26</v>
      </c>
      <c r="C1132" s="12" t="s">
        <v>181</v>
      </c>
      <c r="D1132" s="12" t="s">
        <v>1221</v>
      </c>
      <c r="E1132" s="2" t="s">
        <v>38</v>
      </c>
      <c r="F1132" s="12" t="s">
        <v>219</v>
      </c>
      <c r="G1132" s="12" t="s">
        <v>303</v>
      </c>
      <c r="H1132" s="57" t="str">
        <f>Table1[[#This Row],[Tabela]]&amp;Table1[[#This Row],[Campo]]</f>
        <v>modesg_inp_emss_bens_imoveistipo_fator_emissao</v>
      </c>
      <c r="I1132" s="2" t="s">
        <v>612</v>
      </c>
      <c r="J1132" s="45">
        <f>VLOOKUP(Table1[[#This Row],[Status]],Auxiliar!$B$16:$C$24,2,0)</f>
        <v>1</v>
      </c>
      <c r="K1132" s="20" t="s">
        <v>1182</v>
      </c>
      <c r="L1132" s="2" t="s">
        <v>641</v>
      </c>
      <c r="M1132" s="20" t="s">
        <v>1179</v>
      </c>
      <c r="N1132" s="47">
        <v>45546</v>
      </c>
      <c r="O1132" s="20">
        <f>INDEX(Auxiliar!$D$5:$F$13,MATCH(Table1[[#This Row],[Tipologia_Testes]],Auxiliar!$B$5:$B$13,0),MATCH(Table1[[#This Row],[Complexidade]],Auxiliar!$D$4:$F$4,0))</f>
        <v>0.5</v>
      </c>
      <c r="P1132" s="2"/>
      <c r="Q1132" s="2"/>
      <c r="R1132" s="151">
        <v>45261</v>
      </c>
      <c r="S1132" s="151"/>
      <c r="T1132" s="151"/>
      <c r="U1132" s="151">
        <v>45603</v>
      </c>
      <c r="V1132" s="151">
        <v>45534</v>
      </c>
      <c r="W1132" s="2">
        <f>VLOOKUP(Table1[[#This Row],[Status]],Auxiliar!$B$16:$D$24,3,0)*Table1[[#This Row],[Estimação (horas)]]</f>
        <v>0.5</v>
      </c>
      <c r="X1132" s="166">
        <f>+VLOOKUP(CONCATENATE(Table1[[#This Row],[Tabela]],Table1[[#This Row],[Campo]]),'2. Status Detalhe Campos FY24'!A:J,9,FALSE)</f>
        <v>0</v>
      </c>
    </row>
    <row r="1133" spans="2:24" ht="17.850000000000001" hidden="1" customHeight="1">
      <c r="B1133" s="12" t="s">
        <v>26</v>
      </c>
      <c r="C1133" s="12" t="s">
        <v>181</v>
      </c>
      <c r="D1133" s="12" t="s">
        <v>1221</v>
      </c>
      <c r="E1133" s="2" t="s">
        <v>38</v>
      </c>
      <c r="F1133" s="12" t="s">
        <v>219</v>
      </c>
      <c r="G1133" s="12" t="s">
        <v>304</v>
      </c>
      <c r="H1133" s="57" t="str">
        <f>Table1[[#This Row],[Tabela]]&amp;Table1[[#This Row],[Campo]]</f>
        <v>modesg_inp_emss_bens_imoveisregiao</v>
      </c>
      <c r="I1133" s="2" t="s">
        <v>612</v>
      </c>
      <c r="J1133" s="45">
        <f>VLOOKUP(Table1[[#This Row],[Status]],Auxiliar!$B$16:$C$24,2,0)</f>
        <v>1</v>
      </c>
      <c r="K1133" s="20" t="s">
        <v>1182</v>
      </c>
      <c r="L1133" s="2" t="s">
        <v>641</v>
      </c>
      <c r="M1133" s="20" t="s">
        <v>1179</v>
      </c>
      <c r="N1133" s="47">
        <v>45546</v>
      </c>
      <c r="O1133" s="20">
        <f>INDEX(Auxiliar!$D$5:$F$13,MATCH(Table1[[#This Row],[Tipologia_Testes]],Auxiliar!$B$5:$B$13,0),MATCH(Table1[[#This Row],[Complexidade]],Auxiliar!$D$4:$F$4,0))</f>
        <v>0.5</v>
      </c>
      <c r="P1133" s="2"/>
      <c r="Q1133" s="2"/>
      <c r="R1133" s="151">
        <v>45261</v>
      </c>
      <c r="S1133" s="151"/>
      <c r="T1133" s="151"/>
      <c r="U1133" s="151">
        <v>45603</v>
      </c>
      <c r="V1133" s="151">
        <v>45534</v>
      </c>
      <c r="W1133" s="2">
        <f>VLOOKUP(Table1[[#This Row],[Status]],Auxiliar!$B$16:$D$24,3,0)*Table1[[#This Row],[Estimação (horas)]]</f>
        <v>0.5</v>
      </c>
      <c r="X1133" s="166">
        <f>+VLOOKUP(CONCATENATE(Table1[[#This Row],[Tabela]],Table1[[#This Row],[Campo]]),'2. Status Detalhe Campos FY24'!A:J,9,FALSE)</f>
        <v>0</v>
      </c>
    </row>
    <row r="1134" spans="2:24" ht="17.850000000000001" hidden="1" customHeight="1">
      <c r="B1134" s="12" t="s">
        <v>26</v>
      </c>
      <c r="C1134" s="12" t="s">
        <v>181</v>
      </c>
      <c r="D1134" s="12" t="s">
        <v>1221</v>
      </c>
      <c r="E1134" s="2" t="s">
        <v>38</v>
      </c>
      <c r="F1134" s="12" t="s">
        <v>219</v>
      </c>
      <c r="G1134" s="12" t="s">
        <v>305</v>
      </c>
      <c r="H1134" s="57" t="str">
        <f>Table1[[#This Row],[Tabela]]&amp;Table1[[#This Row],[Campo]]</f>
        <v>modesg_inp_emss_bens_imoveistipo_bem</v>
      </c>
      <c r="I1134" s="2" t="s">
        <v>612</v>
      </c>
      <c r="J1134" s="45">
        <f>VLOOKUP(Table1[[#This Row],[Status]],Auxiliar!$B$16:$C$24,2,0)</f>
        <v>1</v>
      </c>
      <c r="K1134" s="20" t="s">
        <v>1182</v>
      </c>
      <c r="L1134" s="20" t="s">
        <v>1177</v>
      </c>
      <c r="M1134" s="20" t="s">
        <v>1179</v>
      </c>
      <c r="N1134" s="47">
        <v>45546</v>
      </c>
      <c r="O1134" s="20">
        <f>INDEX(Auxiliar!$D$5:$F$13,MATCH(Table1[[#This Row],[Tipologia_Testes]],Auxiliar!$B$5:$B$13,0),MATCH(Table1[[#This Row],[Complexidade]],Auxiliar!$D$4:$F$4,0))</f>
        <v>0.5</v>
      </c>
      <c r="P1134" s="2"/>
      <c r="Q1134" s="2"/>
      <c r="R1134" s="151">
        <v>45261</v>
      </c>
      <c r="S1134" s="151"/>
      <c r="T1134" s="151"/>
      <c r="U1134" s="151">
        <v>45603</v>
      </c>
      <c r="V1134" s="151">
        <v>45534</v>
      </c>
      <c r="W1134" s="2">
        <f>VLOOKUP(Table1[[#This Row],[Status]],Auxiliar!$B$16:$D$24,3,0)*Table1[[#This Row],[Estimação (horas)]]</f>
        <v>0.5</v>
      </c>
      <c r="X1134" s="166">
        <f>+VLOOKUP(CONCATENATE(Table1[[#This Row],[Tabela]],Table1[[#This Row],[Campo]]),'2. Status Detalhe Campos FY24'!A:J,9,FALSE)</f>
        <v>0</v>
      </c>
    </row>
    <row r="1135" spans="2:24" ht="17.850000000000001" hidden="1" customHeight="1">
      <c r="B1135" s="12" t="s">
        <v>26</v>
      </c>
      <c r="C1135" s="12" t="s">
        <v>181</v>
      </c>
      <c r="D1135" s="12" t="s">
        <v>1221</v>
      </c>
      <c r="E1135" s="2" t="s">
        <v>38</v>
      </c>
      <c r="F1135" s="12" t="s">
        <v>219</v>
      </c>
      <c r="G1135" s="12" t="s">
        <v>306</v>
      </c>
      <c r="H1135" s="57" t="str">
        <f>Table1[[#This Row],[Tabela]]&amp;Table1[[#This Row],[Campo]]</f>
        <v>modesg_inp_emss_bens_imoveistipo_finalidade_bem</v>
      </c>
      <c r="I1135" s="2" t="s">
        <v>612</v>
      </c>
      <c r="J1135" s="45">
        <f>VLOOKUP(Table1[[#This Row],[Status]],Auxiliar!$B$16:$C$24,2,0)</f>
        <v>1</v>
      </c>
      <c r="K1135" s="20" t="s">
        <v>1182</v>
      </c>
      <c r="L1135" s="20" t="s">
        <v>1177</v>
      </c>
      <c r="M1135" s="20" t="s">
        <v>1179</v>
      </c>
      <c r="N1135" s="47">
        <v>45546</v>
      </c>
      <c r="O1135" s="20">
        <f>INDEX(Auxiliar!$D$5:$F$13,MATCH(Table1[[#This Row],[Tipologia_Testes]],Auxiliar!$B$5:$B$13,0),MATCH(Table1[[#This Row],[Complexidade]],Auxiliar!$D$4:$F$4,0))</f>
        <v>0.5</v>
      </c>
      <c r="P1135" s="2"/>
      <c r="Q1135" s="2"/>
      <c r="R1135" s="151">
        <v>45261</v>
      </c>
      <c r="S1135" s="151"/>
      <c r="T1135" s="151"/>
      <c r="U1135" s="151">
        <v>45603</v>
      </c>
      <c r="V1135" s="151">
        <v>45534</v>
      </c>
      <c r="W1135" s="2">
        <f>VLOOKUP(Table1[[#This Row],[Status]],Auxiliar!$B$16:$D$24,3,0)*Table1[[#This Row],[Estimação (horas)]]</f>
        <v>0.5</v>
      </c>
      <c r="X1135" s="166">
        <f>+VLOOKUP(CONCATENATE(Table1[[#This Row],[Tabela]],Table1[[#This Row],[Campo]]),'2. Status Detalhe Campos FY24'!A:J,9,FALSE)</f>
        <v>0</v>
      </c>
    </row>
    <row r="1136" spans="2:24" ht="17.850000000000001" hidden="1" customHeight="1">
      <c r="B1136" s="12" t="s">
        <v>26</v>
      </c>
      <c r="C1136" s="12" t="s">
        <v>181</v>
      </c>
      <c r="D1136" s="12" t="s">
        <v>1221</v>
      </c>
      <c r="E1136" s="2" t="s">
        <v>38</v>
      </c>
      <c r="F1136" s="12" t="s">
        <v>219</v>
      </c>
      <c r="G1136" s="12" t="s">
        <v>198</v>
      </c>
      <c r="H1136" s="57" t="str">
        <f>Table1[[#This Row],[Tabela]]&amp;Table1[[#This Row],[Campo]]</f>
        <v>modesg_inp_emss_bens_imoveisepc</v>
      </c>
      <c r="I1136" s="2" t="s">
        <v>612</v>
      </c>
      <c r="J1136" s="45">
        <f>VLOOKUP(Table1[[#This Row],[Status]],Auxiliar!$B$16:$C$24,2,0)</f>
        <v>1</v>
      </c>
      <c r="K1136" s="20" t="s">
        <v>1182</v>
      </c>
      <c r="L1136" s="20" t="s">
        <v>1177</v>
      </c>
      <c r="M1136" s="20" t="s">
        <v>1179</v>
      </c>
      <c r="N1136" s="47">
        <v>45546</v>
      </c>
      <c r="O1136" s="20">
        <f>INDEX(Auxiliar!$D$5:$F$13,MATCH(Table1[[#This Row],[Tipologia_Testes]],Auxiliar!$B$5:$B$13,0),MATCH(Table1[[#This Row],[Complexidade]],Auxiliar!$D$4:$F$4,0))</f>
        <v>0.5</v>
      </c>
      <c r="P1136" s="2"/>
      <c r="Q1136" s="2"/>
      <c r="R1136" s="151">
        <v>45261</v>
      </c>
      <c r="S1136" s="151"/>
      <c r="T1136" s="151"/>
      <c r="U1136" s="151">
        <v>45603</v>
      </c>
      <c r="V1136" s="151">
        <v>45534</v>
      </c>
      <c r="W1136" s="2">
        <f>VLOOKUP(Table1[[#This Row],[Status]],Auxiliar!$B$16:$D$24,3,0)*Table1[[#This Row],[Estimação (horas)]]</f>
        <v>0.5</v>
      </c>
      <c r="X1136" s="166">
        <f>+VLOOKUP(CONCATENATE(Table1[[#This Row],[Tabela]],Table1[[#This Row],[Campo]]),'2. Status Detalhe Campos FY24'!A:J,9,FALSE)</f>
        <v>0</v>
      </c>
    </row>
    <row r="1137" spans="2:24" ht="17.850000000000001" hidden="1" customHeight="1">
      <c r="B1137" s="12" t="s">
        <v>26</v>
      </c>
      <c r="C1137" s="12" t="s">
        <v>181</v>
      </c>
      <c r="D1137" s="12" t="s">
        <v>1221</v>
      </c>
      <c r="E1137" s="2" t="s">
        <v>38</v>
      </c>
      <c r="F1137" s="12" t="s">
        <v>219</v>
      </c>
      <c r="G1137" s="12" t="s">
        <v>307</v>
      </c>
      <c r="H1137" s="57" t="str">
        <f>Table1[[#This Row],[Tabela]]&amp;Table1[[#This Row],[Campo]]</f>
        <v>modesg_inp_emss_bens_imoveisflg_ftr_emss_area</v>
      </c>
      <c r="I1137" s="2" t="s">
        <v>611</v>
      </c>
      <c r="J1137" s="45">
        <f>VLOOKUP(Table1[[#This Row],[Status]],Auxiliar!$B$16:$C$24,2,0)</f>
        <v>0</v>
      </c>
      <c r="K1137" s="20" t="s">
        <v>1182</v>
      </c>
      <c r="L1137" s="20" t="s">
        <v>1177</v>
      </c>
      <c r="M1137" s="20" t="s">
        <v>1179</v>
      </c>
      <c r="N1137" s="47">
        <v>45546</v>
      </c>
      <c r="O1137" s="20">
        <f>INDEX(Auxiliar!$D$5:$F$13,MATCH(Table1[[#This Row],[Tipologia_Testes]],Auxiliar!$B$5:$B$13,0),MATCH(Table1[[#This Row],[Complexidade]],Auxiliar!$D$4:$F$4,0))</f>
        <v>0.5</v>
      </c>
      <c r="P1137" s="2"/>
      <c r="Q1137" s="2"/>
      <c r="R1137" s="151">
        <v>45261</v>
      </c>
      <c r="S1137" s="151"/>
      <c r="T1137" s="151"/>
      <c r="U1137" s="151">
        <v>45534</v>
      </c>
      <c r="V1137" s="151">
        <v>45534</v>
      </c>
      <c r="W1137" s="2">
        <f>VLOOKUP(Table1[[#This Row],[Status]],Auxiliar!$B$16:$D$24,3,0)*Table1[[#This Row],[Estimação (horas)]]</f>
        <v>0</v>
      </c>
      <c r="X1137" s="166">
        <f>+VLOOKUP(CONCATENATE(Table1[[#This Row],[Tabela]],Table1[[#This Row],[Campo]]),'2. Status Detalhe Campos FY24'!A:J,9,FALSE)</f>
        <v>0</v>
      </c>
    </row>
    <row r="1138" spans="2:24" ht="17.850000000000001" hidden="1" customHeight="1">
      <c r="B1138" s="12" t="s">
        <v>26</v>
      </c>
      <c r="C1138" s="12" t="s">
        <v>181</v>
      </c>
      <c r="D1138" s="12" t="s">
        <v>1221</v>
      </c>
      <c r="E1138" s="2" t="s">
        <v>38</v>
      </c>
      <c r="F1138" s="12" t="s">
        <v>219</v>
      </c>
      <c r="G1138" s="12" t="s">
        <v>228</v>
      </c>
      <c r="H1138" s="57" t="str">
        <f>Table1[[#This Row],[Tabela]]&amp;Table1[[#This Row],[Campo]]</f>
        <v>modesg_inp_emss_bens_imoveisnome_unidade_funcional</v>
      </c>
      <c r="I1138" s="2" t="s">
        <v>612</v>
      </c>
      <c r="J1138" s="45">
        <f>VLOOKUP(Table1[[#This Row],[Status]],Auxiliar!$B$16:$C$24,2,0)</f>
        <v>1</v>
      </c>
      <c r="K1138" s="20" t="s">
        <v>1182</v>
      </c>
      <c r="L1138" s="20" t="s">
        <v>1177</v>
      </c>
      <c r="M1138" s="20" t="s">
        <v>1179</v>
      </c>
      <c r="N1138" s="47">
        <v>45546</v>
      </c>
      <c r="O1138" s="20">
        <f>INDEX(Auxiliar!$D$5:$F$13,MATCH(Table1[[#This Row],[Tipologia_Testes]],Auxiliar!$B$5:$B$13,0),MATCH(Table1[[#This Row],[Complexidade]],Auxiliar!$D$4:$F$4,0))</f>
        <v>0.5</v>
      </c>
      <c r="P1138" s="2"/>
      <c r="Q1138" s="2"/>
      <c r="R1138" s="151">
        <v>45261</v>
      </c>
      <c r="S1138" s="151"/>
      <c r="T1138" s="151"/>
      <c r="U1138" s="151">
        <v>45603</v>
      </c>
      <c r="V1138" s="151">
        <v>45534</v>
      </c>
      <c r="W1138" s="2">
        <f>VLOOKUP(Table1[[#This Row],[Status]],Auxiliar!$B$16:$D$24,3,0)*Table1[[#This Row],[Estimação (horas)]]</f>
        <v>0.5</v>
      </c>
      <c r="X1138" s="166">
        <f>+VLOOKUP(CONCATENATE(Table1[[#This Row],[Tabela]],Table1[[#This Row],[Campo]]),'2. Status Detalhe Campos FY24'!A:J,9,FALSE)</f>
        <v>0</v>
      </c>
    </row>
    <row r="1139" spans="2:24" ht="17.850000000000001" hidden="1" customHeight="1">
      <c r="B1139" s="12" t="s">
        <v>26</v>
      </c>
      <c r="C1139" s="12" t="s">
        <v>181</v>
      </c>
      <c r="D1139" s="12" t="s">
        <v>1221</v>
      </c>
      <c r="E1139" s="2" t="s">
        <v>38</v>
      </c>
      <c r="F1139" s="12" t="s">
        <v>219</v>
      </c>
      <c r="G1139" s="12" t="s">
        <v>229</v>
      </c>
      <c r="H1139" s="57" t="str">
        <f>Table1[[#This Row],[Tabela]]&amp;Table1[[#This Row],[Campo]]</f>
        <v>modesg_inp_emss_bens_imoveisunidade_funcional</v>
      </c>
      <c r="I1139" s="2" t="s">
        <v>612</v>
      </c>
      <c r="J1139" s="45">
        <f>VLOOKUP(Table1[[#This Row],[Status]],Auxiliar!$B$16:$C$24,2,0)</f>
        <v>1</v>
      </c>
      <c r="K1139" s="20" t="s">
        <v>1182</v>
      </c>
      <c r="L1139" s="20" t="s">
        <v>1177</v>
      </c>
      <c r="M1139" s="20" t="s">
        <v>1179</v>
      </c>
      <c r="N1139" s="47">
        <v>45546</v>
      </c>
      <c r="O1139" s="20">
        <f>INDEX(Auxiliar!$D$5:$F$13,MATCH(Table1[[#This Row],[Tipologia_Testes]],Auxiliar!$B$5:$B$13,0),MATCH(Table1[[#This Row],[Complexidade]],Auxiliar!$D$4:$F$4,0))</f>
        <v>0.5</v>
      </c>
      <c r="P1139" s="2" t="s">
        <v>1253</v>
      </c>
      <c r="Q1139" s="2"/>
      <c r="R1139" s="151">
        <v>45261</v>
      </c>
      <c r="S1139" s="151"/>
      <c r="T1139" s="151"/>
      <c r="U1139" s="151">
        <v>45603</v>
      </c>
      <c r="V1139" s="151">
        <v>45534</v>
      </c>
      <c r="W1139" s="2">
        <f>VLOOKUP(Table1[[#This Row],[Status]],Auxiliar!$B$16:$D$24,3,0)*Table1[[#This Row],[Estimação (horas)]]</f>
        <v>0.5</v>
      </c>
      <c r="X1139" s="166">
        <f>+VLOOKUP(CONCATENATE(Table1[[#This Row],[Tabela]],Table1[[#This Row],[Campo]]),'2. Status Detalhe Campos FY24'!A:J,9,FALSE)</f>
        <v>0</v>
      </c>
    </row>
    <row r="1140" spans="2:24" ht="17.850000000000001" hidden="1" customHeight="1">
      <c r="B1140" s="12" t="s">
        <v>26</v>
      </c>
      <c r="C1140" s="12" t="s">
        <v>181</v>
      </c>
      <c r="D1140" s="12" t="s">
        <v>1221</v>
      </c>
      <c r="E1140" s="2" t="s">
        <v>38</v>
      </c>
      <c r="F1140" s="12" t="s">
        <v>219</v>
      </c>
      <c r="G1140" s="12" t="s">
        <v>230</v>
      </c>
      <c r="H1140" s="57" t="str">
        <f>Table1[[#This Row],[Tabela]]&amp;Table1[[#This Row],[Campo]]</f>
        <v>modesg_inp_emss_bens_imoveisnome_fator_emissao</v>
      </c>
      <c r="I1140" s="2" t="s">
        <v>612</v>
      </c>
      <c r="J1140" s="45">
        <f>VLOOKUP(Table1[[#This Row],[Status]],Auxiliar!$B$16:$C$24,2,0)</f>
        <v>1</v>
      </c>
      <c r="K1140" s="20" t="s">
        <v>1182</v>
      </c>
      <c r="L1140" s="20" t="s">
        <v>1177</v>
      </c>
      <c r="M1140" s="20" t="s">
        <v>1179</v>
      </c>
      <c r="N1140" s="47">
        <v>45546</v>
      </c>
      <c r="O1140" s="20">
        <f>INDEX(Auxiliar!$D$5:$F$13,MATCH(Table1[[#This Row],[Tipologia_Testes]],Auxiliar!$B$5:$B$13,0),MATCH(Table1[[#This Row],[Complexidade]],Auxiliar!$D$4:$F$4,0))</f>
        <v>0.5</v>
      </c>
      <c r="P1140" s="2" t="s">
        <v>1253</v>
      </c>
      <c r="Q1140" s="2"/>
      <c r="R1140" s="151">
        <v>45261</v>
      </c>
      <c r="S1140" s="151"/>
      <c r="T1140" s="151"/>
      <c r="U1140" s="151">
        <v>45603</v>
      </c>
      <c r="V1140" s="151">
        <v>45534</v>
      </c>
      <c r="W1140" s="2">
        <f>VLOOKUP(Table1[[#This Row],[Status]],Auxiliar!$B$16:$D$24,3,0)*Table1[[#This Row],[Estimação (horas)]]</f>
        <v>0.5</v>
      </c>
      <c r="X1140" s="166">
        <f>+VLOOKUP(CONCATENATE(Table1[[#This Row],[Tabela]],Table1[[#This Row],[Campo]]),'2. Status Detalhe Campos FY24'!A:J,9,FALSE)</f>
        <v>0</v>
      </c>
    </row>
    <row r="1141" spans="2:24" ht="17.850000000000001" hidden="1" customHeight="1">
      <c r="B1141" s="12" t="s">
        <v>26</v>
      </c>
      <c r="C1141" s="12" t="s">
        <v>181</v>
      </c>
      <c r="D1141" s="12" t="s">
        <v>1221</v>
      </c>
      <c r="E1141" s="2" t="s">
        <v>38</v>
      </c>
      <c r="F1141" s="12" t="s">
        <v>219</v>
      </c>
      <c r="G1141" s="12" t="s">
        <v>231</v>
      </c>
      <c r="H1141" s="57" t="str">
        <f>Table1[[#This Row],[Tabela]]&amp;Table1[[#This Row],[Campo]]</f>
        <v>modesg_inp_emss_bens_imoveisunidade_fator_de_emissao</v>
      </c>
      <c r="I1141" s="2" t="s">
        <v>612</v>
      </c>
      <c r="J1141" s="45">
        <f>VLOOKUP(Table1[[#This Row],[Status]],Auxiliar!$B$16:$C$24,2,0)</f>
        <v>1</v>
      </c>
      <c r="K1141" s="20" t="s">
        <v>1182</v>
      </c>
      <c r="L1141" s="20" t="s">
        <v>1177</v>
      </c>
      <c r="M1141" s="20" t="s">
        <v>1179</v>
      </c>
      <c r="N1141" s="47">
        <v>45546</v>
      </c>
      <c r="O1141" s="20">
        <f>INDEX(Auxiliar!$D$5:$F$13,MATCH(Table1[[#This Row],[Tipologia_Testes]],Auxiliar!$B$5:$B$13,0),MATCH(Table1[[#This Row],[Complexidade]],Auxiliar!$D$4:$F$4,0))</f>
        <v>0.5</v>
      </c>
      <c r="P1141" s="2" t="s">
        <v>1253</v>
      </c>
      <c r="Q1141" s="2"/>
      <c r="R1141" s="151">
        <v>45261</v>
      </c>
      <c r="S1141" s="151"/>
      <c r="T1141" s="151"/>
      <c r="U1141" s="151">
        <v>45603</v>
      </c>
      <c r="V1141" s="151">
        <v>45534</v>
      </c>
      <c r="W1141" s="2">
        <f>VLOOKUP(Table1[[#This Row],[Status]],Auxiliar!$B$16:$D$24,3,0)*Table1[[#This Row],[Estimação (horas)]]</f>
        <v>0.5</v>
      </c>
      <c r="X1141" s="166">
        <f>+VLOOKUP(CONCATENATE(Table1[[#This Row],[Tabela]],Table1[[#This Row],[Campo]]),'2. Status Detalhe Campos FY24'!A:J,9,FALSE)</f>
        <v>0</v>
      </c>
    </row>
    <row r="1142" spans="2:24" ht="17.850000000000001" hidden="1" customHeight="1">
      <c r="B1142" s="12" t="s">
        <v>26</v>
      </c>
      <c r="C1142" s="12" t="s">
        <v>181</v>
      </c>
      <c r="D1142" s="12" t="s">
        <v>1221</v>
      </c>
      <c r="E1142" s="2" t="s">
        <v>38</v>
      </c>
      <c r="F1142" s="12" t="s">
        <v>219</v>
      </c>
      <c r="G1142" s="12" t="s">
        <v>232</v>
      </c>
      <c r="H1142" s="57" t="str">
        <f>Table1[[#This Row],[Tabela]]&amp;Table1[[#This Row],[Campo]]</f>
        <v>modesg_inp_emss_bens_imoveisscore_qualidade</v>
      </c>
      <c r="I1142" s="2" t="s">
        <v>612</v>
      </c>
      <c r="J1142" s="45">
        <f>VLOOKUP(Table1[[#This Row],[Status]],Auxiliar!$B$16:$C$24,2,0)</f>
        <v>1</v>
      </c>
      <c r="K1142" s="20" t="s">
        <v>1182</v>
      </c>
      <c r="L1142" s="2" t="s">
        <v>1169</v>
      </c>
      <c r="M1142" s="20" t="s">
        <v>1179</v>
      </c>
      <c r="N1142" s="47">
        <v>45546</v>
      </c>
      <c r="O1142" s="20">
        <f>INDEX(Auxiliar!$D$5:$F$13,MATCH(Table1[[#This Row],[Tipologia_Testes]],Auxiliar!$B$5:$B$13,0),MATCH(Table1[[#This Row],[Complexidade]],Auxiliar!$D$4:$F$4,0))</f>
        <v>0.5</v>
      </c>
      <c r="P1142" s="2"/>
      <c r="Q1142" s="2"/>
      <c r="R1142" s="151">
        <v>45261</v>
      </c>
      <c r="S1142" s="151"/>
      <c r="T1142" s="151"/>
      <c r="U1142" s="151">
        <v>45603</v>
      </c>
      <c r="V1142" s="151">
        <v>45534</v>
      </c>
      <c r="W1142" s="2">
        <f>VLOOKUP(Table1[[#This Row],[Status]],Auxiliar!$B$16:$D$24,3,0)*Table1[[#This Row],[Estimação (horas)]]</f>
        <v>0.5</v>
      </c>
      <c r="X1142" s="166">
        <f>+VLOOKUP(CONCATENATE(Table1[[#This Row],[Tabela]],Table1[[#This Row],[Campo]]),'2. Status Detalhe Campos FY24'!A:J,9,FALSE)</f>
        <v>0</v>
      </c>
    </row>
    <row r="1143" spans="2:24" ht="17.850000000000001" hidden="1" customHeight="1">
      <c r="B1143" s="12" t="s">
        <v>26</v>
      </c>
      <c r="C1143" s="12" t="s">
        <v>181</v>
      </c>
      <c r="D1143" s="12" t="s">
        <v>1221</v>
      </c>
      <c r="E1143" s="2" t="s">
        <v>38</v>
      </c>
      <c r="F1143" s="12" t="s">
        <v>219</v>
      </c>
      <c r="G1143" s="12" t="s">
        <v>308</v>
      </c>
      <c r="H1143" s="57" t="str">
        <f>Table1[[#This Row],[Tabela]]&amp;Table1[[#This Row],[Campo]]</f>
        <v>modesg_inp_emss_bens_imoveisano_fator_emissao</v>
      </c>
      <c r="I1143" s="2" t="s">
        <v>612</v>
      </c>
      <c r="J1143" s="45">
        <f>VLOOKUP(Table1[[#This Row],[Status]],Auxiliar!$B$16:$C$24,2,0)</f>
        <v>1</v>
      </c>
      <c r="K1143" s="20" t="s">
        <v>1182</v>
      </c>
      <c r="L1143" s="2" t="s">
        <v>641</v>
      </c>
      <c r="M1143" s="20" t="s">
        <v>1179</v>
      </c>
      <c r="N1143" s="47">
        <v>45546</v>
      </c>
      <c r="O1143" s="20">
        <f>INDEX(Auxiliar!$D$5:$F$13,MATCH(Table1[[#This Row],[Tipologia_Testes]],Auxiliar!$B$5:$B$13,0),MATCH(Table1[[#This Row],[Complexidade]],Auxiliar!$D$4:$F$4,0))</f>
        <v>0.5</v>
      </c>
      <c r="P1143" s="2"/>
      <c r="Q1143" s="2"/>
      <c r="R1143" s="151">
        <v>45261</v>
      </c>
      <c r="S1143" s="151"/>
      <c r="T1143" s="151"/>
      <c r="U1143" s="151">
        <v>45603</v>
      </c>
      <c r="V1143" s="151">
        <v>45534</v>
      </c>
      <c r="W1143" s="2">
        <f>VLOOKUP(Table1[[#This Row],[Status]],Auxiliar!$B$16:$D$24,3,0)*Table1[[#This Row],[Estimação (horas)]]</f>
        <v>0.5</v>
      </c>
      <c r="X1143" s="166">
        <f>+VLOOKUP(CONCATENATE(Table1[[#This Row],[Tabela]],Table1[[#This Row],[Campo]]),'2. Status Detalhe Campos FY24'!A:J,9,FALSE)</f>
        <v>0</v>
      </c>
    </row>
    <row r="1144" spans="2:24" ht="17.850000000000001" hidden="1" customHeight="1">
      <c r="B1144" s="12" t="s">
        <v>26</v>
      </c>
      <c r="C1144" s="12" t="s">
        <v>181</v>
      </c>
      <c r="D1144" s="12" t="s">
        <v>1221</v>
      </c>
      <c r="E1144" s="2" t="s">
        <v>38</v>
      </c>
      <c r="F1144" s="12" t="s">
        <v>219</v>
      </c>
      <c r="G1144" s="12" t="s">
        <v>233</v>
      </c>
      <c r="H1144" s="57" t="str">
        <f>Table1[[#This Row],[Tabela]]&amp;Table1[[#This Row],[Campo]]</f>
        <v>modesg_inp_emss_bens_imoveisscp1_ftr_emss</v>
      </c>
      <c r="I1144" s="2" t="s">
        <v>612</v>
      </c>
      <c r="J1144" s="45">
        <f>VLOOKUP(Table1[[#This Row],[Status]],Auxiliar!$B$16:$C$24,2,0)</f>
        <v>1</v>
      </c>
      <c r="K1144" s="20" t="s">
        <v>1174</v>
      </c>
      <c r="L1144" s="20" t="s">
        <v>1177</v>
      </c>
      <c r="M1144" s="20" t="s">
        <v>1179</v>
      </c>
      <c r="N1144" s="47">
        <v>45546</v>
      </c>
      <c r="O1144" s="20">
        <f>INDEX(Auxiliar!$D$5:$F$13,MATCH(Table1[[#This Row],[Tipologia_Testes]],Auxiliar!$B$5:$B$13,0),MATCH(Table1[[#This Row],[Complexidade]],Auxiliar!$D$4:$F$4,0))</f>
        <v>0.1</v>
      </c>
      <c r="P1144" s="2" t="s">
        <v>1254</v>
      </c>
      <c r="Q1144" s="2"/>
      <c r="R1144" s="151">
        <v>45261</v>
      </c>
      <c r="S1144" s="151"/>
      <c r="T1144" s="151"/>
      <c r="U1144" s="151">
        <v>45603</v>
      </c>
      <c r="V1144" s="151">
        <v>45534</v>
      </c>
      <c r="W1144" s="2">
        <f>VLOOKUP(Table1[[#This Row],[Status]],Auxiliar!$B$16:$D$24,3,0)*Table1[[#This Row],[Estimação (horas)]]</f>
        <v>0.1</v>
      </c>
      <c r="X1144" s="166">
        <f>+VLOOKUP(CONCATENATE(Table1[[#This Row],[Tabela]],Table1[[#This Row],[Campo]]),'2. Status Detalhe Campos FY24'!A:J,9,FALSE)</f>
        <v>0</v>
      </c>
    </row>
    <row r="1145" spans="2:24" ht="17.850000000000001" hidden="1" customHeight="1">
      <c r="B1145" s="12" t="s">
        <v>26</v>
      </c>
      <c r="C1145" s="12" t="s">
        <v>181</v>
      </c>
      <c r="D1145" s="12" t="s">
        <v>1221</v>
      </c>
      <c r="E1145" s="2" t="s">
        <v>38</v>
      </c>
      <c r="F1145" s="12" t="s">
        <v>219</v>
      </c>
      <c r="G1145" s="12" t="s">
        <v>233</v>
      </c>
      <c r="H1145" s="57" t="str">
        <f>Table1[[#This Row],[Tabela]]&amp;Table1[[#This Row],[Campo]]</f>
        <v>modesg_inp_emss_bens_imoveisscp1_ftr_emss</v>
      </c>
      <c r="I1145" s="2" t="s">
        <v>612</v>
      </c>
      <c r="J1145" s="45">
        <f>VLOOKUP(Table1[[#This Row],[Status]],Auxiliar!$B$16:$C$24,2,0)</f>
        <v>1</v>
      </c>
      <c r="K1145" s="20" t="s">
        <v>1182</v>
      </c>
      <c r="L1145" s="20" t="s">
        <v>1177</v>
      </c>
      <c r="M1145" s="20" t="s">
        <v>1179</v>
      </c>
      <c r="N1145" s="47">
        <v>45546</v>
      </c>
      <c r="O1145" s="20">
        <f>INDEX(Auxiliar!$D$5:$F$13,MATCH(Table1[[#This Row],[Tipologia_Testes]],Auxiliar!$B$5:$B$13,0),MATCH(Table1[[#This Row],[Complexidade]],Auxiliar!$D$4:$F$4,0))</f>
        <v>0.5</v>
      </c>
      <c r="P1145" s="2"/>
      <c r="Q1145" s="2"/>
      <c r="R1145" s="151">
        <v>45261</v>
      </c>
      <c r="S1145" s="151"/>
      <c r="T1145" s="151"/>
      <c r="U1145" s="151">
        <v>45603</v>
      </c>
      <c r="V1145" s="151">
        <v>45534</v>
      </c>
      <c r="W1145" s="2">
        <f>VLOOKUP(Table1[[#This Row],[Status]],Auxiliar!$B$16:$D$24,3,0)*Table1[[#This Row],[Estimação (horas)]]</f>
        <v>0.5</v>
      </c>
      <c r="X1145" s="166">
        <f>+VLOOKUP(CONCATENATE(Table1[[#This Row],[Tabela]],Table1[[#This Row],[Campo]]),'2. Status Detalhe Campos FY24'!A:J,9,FALSE)</f>
        <v>0</v>
      </c>
    </row>
    <row r="1146" spans="2:24" ht="17.850000000000001" hidden="1" customHeight="1">
      <c r="B1146" s="12" t="s">
        <v>26</v>
      </c>
      <c r="C1146" s="12" t="s">
        <v>181</v>
      </c>
      <c r="D1146" s="12" t="s">
        <v>1221</v>
      </c>
      <c r="E1146" s="2" t="s">
        <v>38</v>
      </c>
      <c r="F1146" s="12" t="s">
        <v>219</v>
      </c>
      <c r="G1146" s="12" t="s">
        <v>234</v>
      </c>
      <c r="H1146" s="57" t="str">
        <f>Table1[[#This Row],[Tabela]]&amp;Table1[[#This Row],[Campo]]</f>
        <v>modesg_inp_emss_bens_imoveisscp2_ftr_emss</v>
      </c>
      <c r="I1146" s="2" t="s">
        <v>612</v>
      </c>
      <c r="J1146" s="45">
        <f>VLOOKUP(Table1[[#This Row],[Status]],Auxiliar!$B$16:$C$24,2,0)</f>
        <v>1</v>
      </c>
      <c r="K1146" s="20" t="s">
        <v>1174</v>
      </c>
      <c r="L1146" s="20" t="s">
        <v>1177</v>
      </c>
      <c r="M1146" s="20" t="s">
        <v>1179</v>
      </c>
      <c r="N1146" s="47">
        <v>45546</v>
      </c>
      <c r="O1146" s="20">
        <f>INDEX(Auxiliar!$D$5:$F$13,MATCH(Table1[[#This Row],[Tipologia_Testes]],Auxiliar!$B$5:$B$13,0),MATCH(Table1[[#This Row],[Complexidade]],Auxiliar!$D$4:$F$4,0))</f>
        <v>0.1</v>
      </c>
      <c r="P1146" s="2" t="s">
        <v>1254</v>
      </c>
      <c r="Q1146" s="2"/>
      <c r="R1146" s="151">
        <v>45261</v>
      </c>
      <c r="S1146" s="151"/>
      <c r="T1146" s="151"/>
      <c r="U1146" s="151">
        <v>45603</v>
      </c>
      <c r="V1146" s="151">
        <v>45534</v>
      </c>
      <c r="W1146" s="2">
        <f>VLOOKUP(Table1[[#This Row],[Status]],Auxiliar!$B$16:$D$24,3,0)*Table1[[#This Row],[Estimação (horas)]]</f>
        <v>0.1</v>
      </c>
      <c r="X1146" s="166">
        <f>+VLOOKUP(CONCATENATE(Table1[[#This Row],[Tabela]],Table1[[#This Row],[Campo]]),'2. Status Detalhe Campos FY24'!A:J,9,FALSE)</f>
        <v>0</v>
      </c>
    </row>
    <row r="1147" spans="2:24" ht="17.850000000000001" hidden="1" customHeight="1">
      <c r="B1147" s="12" t="s">
        <v>26</v>
      </c>
      <c r="C1147" s="12" t="s">
        <v>181</v>
      </c>
      <c r="D1147" s="12" t="s">
        <v>1221</v>
      </c>
      <c r="E1147" s="2" t="s">
        <v>38</v>
      </c>
      <c r="F1147" s="12" t="s">
        <v>219</v>
      </c>
      <c r="G1147" s="12" t="s">
        <v>234</v>
      </c>
      <c r="H1147" s="57" t="str">
        <f>Table1[[#This Row],[Tabela]]&amp;Table1[[#This Row],[Campo]]</f>
        <v>modesg_inp_emss_bens_imoveisscp2_ftr_emss</v>
      </c>
      <c r="I1147" s="2" t="s">
        <v>612</v>
      </c>
      <c r="J1147" s="45">
        <f>VLOOKUP(Table1[[#This Row],[Status]],Auxiliar!$B$16:$C$24,2,0)</f>
        <v>1</v>
      </c>
      <c r="K1147" s="20" t="s">
        <v>1182</v>
      </c>
      <c r="L1147" s="20" t="s">
        <v>1177</v>
      </c>
      <c r="M1147" s="20" t="s">
        <v>1179</v>
      </c>
      <c r="N1147" s="47">
        <v>45546</v>
      </c>
      <c r="O1147" s="20">
        <f>INDEX(Auxiliar!$D$5:$F$13,MATCH(Table1[[#This Row],[Tipologia_Testes]],Auxiliar!$B$5:$B$13,0),MATCH(Table1[[#This Row],[Complexidade]],Auxiliar!$D$4:$F$4,0))</f>
        <v>0.5</v>
      </c>
      <c r="P1147" s="2"/>
      <c r="Q1147" s="2"/>
      <c r="R1147" s="151">
        <v>45261</v>
      </c>
      <c r="S1147" s="151"/>
      <c r="T1147" s="151"/>
      <c r="U1147" s="151">
        <v>45603</v>
      </c>
      <c r="V1147" s="151">
        <v>45534</v>
      </c>
      <c r="W1147" s="2">
        <f>VLOOKUP(Table1[[#This Row],[Status]],Auxiliar!$B$16:$D$24,3,0)*Table1[[#This Row],[Estimação (horas)]]</f>
        <v>0.5</v>
      </c>
      <c r="X1147" s="166">
        <f>+VLOOKUP(CONCATENATE(Table1[[#This Row],[Tabela]],Table1[[#This Row],[Campo]]),'2. Status Detalhe Campos FY24'!A:J,9,FALSE)</f>
        <v>0</v>
      </c>
    </row>
    <row r="1148" spans="2:24" ht="35.1" hidden="1" customHeight="1">
      <c r="B1148" s="19" t="s">
        <v>26</v>
      </c>
      <c r="C1148" s="19" t="s">
        <v>181</v>
      </c>
      <c r="D1148" s="12" t="s">
        <v>1221</v>
      </c>
      <c r="E1148" s="2" t="s">
        <v>38</v>
      </c>
      <c r="F1148" s="19" t="s">
        <v>219</v>
      </c>
      <c r="G1148" s="19" t="s">
        <v>303</v>
      </c>
      <c r="H1148" s="58" t="str">
        <f>Table1[[#This Row],[Tabela]]&amp;Table1[[#This Row],[Campo]]</f>
        <v>modesg_inp_emss_bens_imoveistipo_fator_emissao</v>
      </c>
      <c r="I1148" s="2" t="s">
        <v>612</v>
      </c>
      <c r="J1148" s="44">
        <f>VLOOKUP(Table1[[#This Row],[Status]],Auxiliar!$B$16:$C$24,2,0)</f>
        <v>1</v>
      </c>
      <c r="K1148" s="43" t="s">
        <v>1182</v>
      </c>
      <c r="L1148" s="20" t="s">
        <v>1177</v>
      </c>
      <c r="M1148" s="20" t="s">
        <v>1179</v>
      </c>
      <c r="N1148" s="47">
        <v>45546</v>
      </c>
      <c r="O1148" s="20">
        <f>INDEX(Auxiliar!$D$5:$F$13,MATCH(Table1[[#This Row],[Tipologia_Testes]],Auxiliar!$B$5:$B$13,0),MATCH(Table1[[#This Row],[Complexidade]],Auxiliar!$D$4:$F$4,0))</f>
        <v>0.5</v>
      </c>
      <c r="P1148" s="31"/>
      <c r="Q1148" s="31"/>
      <c r="R1148" s="151">
        <v>45261</v>
      </c>
      <c r="S1148" s="151"/>
      <c r="T1148" s="151"/>
      <c r="U1148" s="151">
        <v>45603</v>
      </c>
      <c r="V1148" s="151">
        <v>45534</v>
      </c>
      <c r="W1148" s="2">
        <f>VLOOKUP(Table1[[#This Row],[Status]],Auxiliar!$B$16:$D$24,3,0)*Table1[[#This Row],[Estimação (horas)]]</f>
        <v>0.5</v>
      </c>
      <c r="X1148" s="166">
        <f>+VLOOKUP(CONCATENATE(Table1[[#This Row],[Tabela]],Table1[[#This Row],[Campo]]),'2. Status Detalhe Campos FY24'!A:J,9,FALSE)</f>
        <v>0</v>
      </c>
    </row>
    <row r="1149" spans="2:24" ht="35.1" hidden="1" customHeight="1">
      <c r="B1149" s="38" t="s">
        <v>26</v>
      </c>
      <c r="C1149" s="38" t="s">
        <v>26</v>
      </c>
      <c r="D1149" s="35" t="s">
        <v>337</v>
      </c>
      <c r="E1149" s="110" t="s">
        <v>1255</v>
      </c>
      <c r="F1149" s="39" t="s">
        <v>335</v>
      </c>
      <c r="G1149" s="37" t="s">
        <v>336</v>
      </c>
      <c r="H1149" s="59" t="str">
        <f>Table1[[#This Row],[Tabela]]&amp;Table1[[#This Row],[Campo]]</f>
        <v>lt003_entitynace_esg</v>
      </c>
      <c r="I1149" s="2" t="s">
        <v>2325</v>
      </c>
      <c r="J1149" s="44">
        <f>VLOOKUP(Table1[[#This Row],[Status]],Auxiliar!$B$16:$C$24,2,0)</f>
        <v>7</v>
      </c>
      <c r="K1149" s="44" t="s">
        <v>1171</v>
      </c>
      <c r="L1149" s="45" t="s">
        <v>1177</v>
      </c>
      <c r="M1149" s="20" t="s">
        <v>1178</v>
      </c>
      <c r="N1149" s="47">
        <v>45674</v>
      </c>
      <c r="O1149" s="20">
        <f>INDEX(Auxiliar!$D$5:$F$13,MATCH(Table1[[#This Row],[Tipologia_Testes]],Auxiliar!$B$5:$B$13,0),MATCH(Table1[[#This Row],[Complexidade]],Auxiliar!$D$4:$F$4,0))</f>
        <v>2</v>
      </c>
      <c r="P1149" s="46"/>
      <c r="Q1149" s="113"/>
      <c r="R1149" s="151">
        <v>45583</v>
      </c>
      <c r="S1149" s="151"/>
      <c r="T1149" s="151">
        <v>45583</v>
      </c>
      <c r="U1149" s="151"/>
      <c r="V1149" s="151">
        <v>45596</v>
      </c>
      <c r="W1149" s="2">
        <f>VLOOKUP(Table1[[#This Row],[Status]],Auxiliar!$B$16:$D$24,3,0)*Table1[[#This Row],[Estimação (horas)]]</f>
        <v>0.5</v>
      </c>
      <c r="X1149" s="166">
        <f>+VLOOKUP(CONCATENATE(Table1[[#This Row],[Tabela]],Table1[[#This Row],[Campo]]),'2. Status Detalhe Campos FY24'!A:J,9,FALSE)</f>
        <v>0</v>
      </c>
    </row>
    <row r="1150" spans="2:24" ht="35.1" hidden="1" customHeight="1">
      <c r="B1150" s="38" t="s">
        <v>26</v>
      </c>
      <c r="C1150" s="38" t="s">
        <v>26</v>
      </c>
      <c r="D1150" s="35" t="s">
        <v>337</v>
      </c>
      <c r="E1150" s="110" t="s">
        <v>1255</v>
      </c>
      <c r="F1150" s="39" t="s">
        <v>335</v>
      </c>
      <c r="G1150" s="37" t="s">
        <v>336</v>
      </c>
      <c r="H1150" s="59" t="str">
        <f>Table1[[#This Row],[Tabela]]&amp;Table1[[#This Row],[Campo]]</f>
        <v>lt003_entitynace_esg</v>
      </c>
      <c r="I1150" s="2" t="s">
        <v>2325</v>
      </c>
      <c r="J1150" s="44">
        <f>VLOOKUP(Table1[[#This Row],[Status]],Auxiliar!$B$16:$C$24,2,0)</f>
        <v>7</v>
      </c>
      <c r="K1150" s="44" t="s">
        <v>1172</v>
      </c>
      <c r="L1150" s="45" t="s">
        <v>1177</v>
      </c>
      <c r="M1150" s="20" t="s">
        <v>1178</v>
      </c>
      <c r="N1150" s="47">
        <v>45674</v>
      </c>
      <c r="O1150" s="20">
        <f>INDEX(Auxiliar!$D$5:$F$13,MATCH(Table1[[#This Row],[Tipologia_Testes]],Auxiliar!$B$5:$B$13,0),MATCH(Table1[[#This Row],[Complexidade]],Auxiliar!$D$4:$F$4,0))</f>
        <v>2</v>
      </c>
      <c r="P1150" s="46"/>
      <c r="Q1150" s="113"/>
      <c r="R1150" s="151">
        <v>45583</v>
      </c>
      <c r="S1150" s="151"/>
      <c r="T1150" s="151">
        <v>45583</v>
      </c>
      <c r="U1150" s="151"/>
      <c r="V1150" s="151">
        <v>45596</v>
      </c>
      <c r="W1150" s="2">
        <f>VLOOKUP(Table1[[#This Row],[Status]],Auxiliar!$B$16:$D$24,3,0)*Table1[[#This Row],[Estimação (horas)]]</f>
        <v>0.5</v>
      </c>
      <c r="X1150" s="166">
        <f>+VLOOKUP(CONCATENATE(Table1[[#This Row],[Tabela]],Table1[[#This Row],[Campo]]),'2. Status Detalhe Campos FY24'!A:J,9,FALSE)</f>
        <v>0</v>
      </c>
    </row>
    <row r="1151" spans="2:24" ht="35.1" hidden="1" customHeight="1">
      <c r="B1151" s="38" t="s">
        <v>26</v>
      </c>
      <c r="C1151" s="38" t="s">
        <v>26</v>
      </c>
      <c r="D1151" s="35" t="s">
        <v>337</v>
      </c>
      <c r="E1151" s="110" t="s">
        <v>1255</v>
      </c>
      <c r="F1151" s="39" t="s">
        <v>335</v>
      </c>
      <c r="G1151" s="37" t="s">
        <v>336</v>
      </c>
      <c r="H1151" s="59" t="str">
        <f>Table1[[#This Row],[Tabela]]&amp;Table1[[#This Row],[Campo]]</f>
        <v>lt003_entitynace_esg</v>
      </c>
      <c r="I1151" s="2" t="s">
        <v>2325</v>
      </c>
      <c r="J1151" s="44">
        <f>VLOOKUP(Table1[[#This Row],[Status]],Auxiliar!$B$16:$C$24,2,0)</f>
        <v>7</v>
      </c>
      <c r="K1151" s="44" t="s">
        <v>1174</v>
      </c>
      <c r="L1151" s="45" t="s">
        <v>1177</v>
      </c>
      <c r="M1151" s="20" t="s">
        <v>1178</v>
      </c>
      <c r="N1151" s="47">
        <v>45674</v>
      </c>
      <c r="O1151" s="20">
        <f>INDEX(Auxiliar!$D$5:$F$13,MATCH(Table1[[#This Row],[Tipologia_Testes]],Auxiliar!$B$5:$B$13,0),MATCH(Table1[[#This Row],[Complexidade]],Auxiliar!$D$4:$F$4,0))</f>
        <v>0.1</v>
      </c>
      <c r="P1151" s="46"/>
      <c r="Q1151" s="113"/>
      <c r="R1151" s="151">
        <v>45583</v>
      </c>
      <c r="S1151" s="151"/>
      <c r="T1151" s="151">
        <v>45583</v>
      </c>
      <c r="U1151" s="151"/>
      <c r="V1151" s="151">
        <v>45596</v>
      </c>
      <c r="W1151" s="2">
        <f>VLOOKUP(Table1[[#This Row],[Status]],Auxiliar!$B$16:$D$24,3,0)*Table1[[#This Row],[Estimação (horas)]]</f>
        <v>2.5000000000000001E-2</v>
      </c>
      <c r="X1151" s="166">
        <f>+VLOOKUP(CONCATENATE(Table1[[#This Row],[Tabela]],Table1[[#This Row],[Campo]]),'2. Status Detalhe Campos FY24'!A:J,9,FALSE)</f>
        <v>0</v>
      </c>
    </row>
    <row r="1152" spans="2:24" ht="17.850000000000001" hidden="1" customHeight="1">
      <c r="B1152" s="38" t="s">
        <v>26</v>
      </c>
      <c r="C1152" s="38" t="s">
        <v>26</v>
      </c>
      <c r="D1152" s="35" t="s">
        <v>325</v>
      </c>
      <c r="E1152" s="39" t="s">
        <v>255</v>
      </c>
      <c r="F1152" s="39" t="s">
        <v>335</v>
      </c>
      <c r="G1152" s="37" t="s">
        <v>338</v>
      </c>
      <c r="H1152" s="59" t="str">
        <f>Table1[[#This Row],[Tabela]]&amp;Table1[[#This Row],[Campo]]</f>
        <v>lt003_entitytxnmy_elgbl_capex_ccm</v>
      </c>
      <c r="I1152" s="2" t="s">
        <v>612</v>
      </c>
      <c r="J1152" s="44">
        <f>VLOOKUP(Table1[[#This Row],[Status]],Auxiliar!$B$16:$C$24,2,0)</f>
        <v>1</v>
      </c>
      <c r="K1152" s="44" t="s">
        <v>1171</v>
      </c>
      <c r="L1152" s="45" t="s">
        <v>1177</v>
      </c>
      <c r="M1152" s="20" t="s">
        <v>1178</v>
      </c>
      <c r="N1152" s="47">
        <v>45625</v>
      </c>
      <c r="O1152" s="20">
        <f>INDEX(Auxiliar!$D$5:$F$13,MATCH(Table1[[#This Row],[Tipologia_Testes]],Auxiliar!$B$5:$B$13,0),MATCH(Table1[[#This Row],[Complexidade]],Auxiliar!$D$4:$F$4,0))</f>
        <v>2</v>
      </c>
      <c r="P1152" s="46"/>
      <c r="Q1152" s="113"/>
      <c r="R1152" s="151">
        <v>45583</v>
      </c>
      <c r="S1152" s="151"/>
      <c r="T1152" s="151">
        <v>45583</v>
      </c>
      <c r="U1152" s="151">
        <v>45614</v>
      </c>
      <c r="V1152" s="151">
        <v>45596</v>
      </c>
      <c r="W1152" s="2">
        <f>VLOOKUP(Table1[[#This Row],[Status]],Auxiliar!$B$16:$D$24,3,0)*Table1[[#This Row],[Estimação (horas)]]</f>
        <v>2</v>
      </c>
      <c r="X1152" s="166">
        <f>+VLOOKUP(CONCATENATE(Table1[[#This Row],[Tabela]],Table1[[#This Row],[Campo]]),'2. Status Detalhe Campos FY24'!A:J,9,FALSE)</f>
        <v>0</v>
      </c>
    </row>
    <row r="1153" spans="2:24" ht="17.850000000000001" hidden="1" customHeight="1">
      <c r="B1153" s="38" t="s">
        <v>26</v>
      </c>
      <c r="C1153" s="38" t="s">
        <v>26</v>
      </c>
      <c r="D1153" s="38" t="s">
        <v>325</v>
      </c>
      <c r="E1153" s="38" t="s">
        <v>255</v>
      </c>
      <c r="F1153" s="38" t="s">
        <v>335</v>
      </c>
      <c r="G1153" s="38" t="s">
        <v>338</v>
      </c>
      <c r="H1153" s="58" t="str">
        <f>Table1[[#This Row],[Tabela]]&amp;Table1[[#This Row],[Campo]]</f>
        <v>lt003_entitytxnmy_elgbl_capex_ccm</v>
      </c>
      <c r="I1153" s="2" t="s">
        <v>612</v>
      </c>
      <c r="J1153" s="44">
        <f>VLOOKUP(Table1[[#This Row],[Status]],Auxiliar!$B$16:$C$24,2,0)</f>
        <v>1</v>
      </c>
      <c r="K1153" s="44" t="s">
        <v>1172</v>
      </c>
      <c r="L1153" s="45" t="s">
        <v>1177</v>
      </c>
      <c r="M1153" s="20" t="s">
        <v>1178</v>
      </c>
      <c r="N1153" s="47">
        <v>45625</v>
      </c>
      <c r="O1153" s="20">
        <f>INDEX(Auxiliar!$D$5:$F$13,MATCH(Table1[[#This Row],[Tipologia_Testes]],Auxiliar!$B$5:$B$13,0),MATCH(Table1[[#This Row],[Complexidade]],Auxiliar!$D$4:$F$4,0))</f>
        <v>2</v>
      </c>
      <c r="P1153" s="46"/>
      <c r="Q1153" s="113"/>
      <c r="R1153" s="151">
        <v>45589</v>
      </c>
      <c r="S1153" s="151"/>
      <c r="T1153" s="151">
        <v>45583</v>
      </c>
      <c r="U1153" s="151">
        <v>45614</v>
      </c>
      <c r="V1153" s="151">
        <v>45596</v>
      </c>
      <c r="W1153" s="2">
        <f>VLOOKUP(Table1[[#This Row],[Status]],Auxiliar!$B$16:$D$24,3,0)*Table1[[#This Row],[Estimação (horas)]]</f>
        <v>2</v>
      </c>
      <c r="X1153" s="166">
        <f>+VLOOKUP(CONCATENATE(Table1[[#This Row],[Tabela]],Table1[[#This Row],[Campo]]),'2. Status Detalhe Campos FY24'!A:J,9,FALSE)</f>
        <v>0</v>
      </c>
    </row>
    <row r="1154" spans="2:24" ht="35.1" hidden="1" customHeight="1">
      <c r="B1154" s="38" t="s">
        <v>26</v>
      </c>
      <c r="C1154" s="38" t="s">
        <v>26</v>
      </c>
      <c r="D1154" s="38" t="s">
        <v>325</v>
      </c>
      <c r="E1154" s="38" t="s">
        <v>255</v>
      </c>
      <c r="F1154" s="38" t="s">
        <v>335</v>
      </c>
      <c r="G1154" s="38" t="s">
        <v>338</v>
      </c>
      <c r="H1154" s="58" t="str">
        <f>Table1[[#This Row],[Tabela]]&amp;Table1[[#This Row],[Campo]]</f>
        <v>lt003_entitytxnmy_elgbl_capex_ccm</v>
      </c>
      <c r="I1154" s="2" t="s">
        <v>612</v>
      </c>
      <c r="J1154" s="44">
        <f>VLOOKUP(Table1[[#This Row],[Status]],Auxiliar!$B$16:$C$24,2,0)</f>
        <v>1</v>
      </c>
      <c r="K1154" s="44" t="s">
        <v>1174</v>
      </c>
      <c r="L1154" s="45" t="s">
        <v>1177</v>
      </c>
      <c r="M1154" s="20" t="s">
        <v>1178</v>
      </c>
      <c r="N1154" s="47">
        <v>45625</v>
      </c>
      <c r="O1154" s="20">
        <f>INDEX(Auxiliar!$D$5:$F$13,MATCH(Table1[[#This Row],[Tipologia_Testes]],Auxiliar!$B$5:$B$13,0),MATCH(Table1[[#This Row],[Complexidade]],Auxiliar!$D$4:$F$4,0))</f>
        <v>0.1</v>
      </c>
      <c r="P1154" s="46"/>
      <c r="Q1154" s="113"/>
      <c r="R1154" s="151">
        <v>45589</v>
      </c>
      <c r="S1154" s="151"/>
      <c r="T1154" s="151">
        <v>45583</v>
      </c>
      <c r="U1154" s="151">
        <v>45614</v>
      </c>
      <c r="V1154" s="151">
        <v>45596</v>
      </c>
      <c r="W1154" s="2">
        <f>VLOOKUP(Table1[[#This Row],[Status]],Auxiliar!$B$16:$D$24,3,0)*Table1[[#This Row],[Estimação (horas)]]</f>
        <v>0.1</v>
      </c>
      <c r="X1154" s="166">
        <f>+VLOOKUP(CONCATENATE(Table1[[#This Row],[Tabela]],Table1[[#This Row],[Campo]]),'2. Status Detalhe Campos FY24'!A:J,9,FALSE)</f>
        <v>0</v>
      </c>
    </row>
    <row r="1155" spans="2:24" ht="17.850000000000001" hidden="1" customHeight="1">
      <c r="B1155" s="38" t="s">
        <v>26</v>
      </c>
      <c r="C1155" s="38" t="s">
        <v>26</v>
      </c>
      <c r="D1155" s="37" t="s">
        <v>325</v>
      </c>
      <c r="E1155" s="39" t="s">
        <v>251</v>
      </c>
      <c r="F1155" s="39" t="s">
        <v>335</v>
      </c>
      <c r="G1155" s="37" t="s">
        <v>339</v>
      </c>
      <c r="H1155" s="59" t="str">
        <f>Table1[[#This Row],[Tabela]]&amp;Table1[[#This Row],[Campo]]</f>
        <v>lt003_entitytxnmy_elgbl_trnvr_ccm</v>
      </c>
      <c r="I1155" s="2" t="s">
        <v>612</v>
      </c>
      <c r="J1155" s="44">
        <f>VLOOKUP(Table1[[#This Row],[Status]],Auxiliar!$B$16:$C$24,2,0)</f>
        <v>1</v>
      </c>
      <c r="K1155" s="44" t="s">
        <v>1171</v>
      </c>
      <c r="L1155" s="45" t="s">
        <v>1177</v>
      </c>
      <c r="M1155" s="20" t="s">
        <v>1178</v>
      </c>
      <c r="N1155" s="47">
        <v>45625</v>
      </c>
      <c r="O1155" s="20">
        <f>INDEX(Auxiliar!$D$5:$F$13,MATCH(Table1[[#This Row],[Tipologia_Testes]],Auxiliar!$B$5:$B$13,0),MATCH(Table1[[#This Row],[Complexidade]],Auxiliar!$D$4:$F$4,0))</f>
        <v>2</v>
      </c>
      <c r="P1155" s="46"/>
      <c r="Q1155" s="113"/>
      <c r="R1155" s="151">
        <v>45589</v>
      </c>
      <c r="S1155" s="151"/>
      <c r="T1155" s="151"/>
      <c r="U1155" s="151">
        <v>45614</v>
      </c>
      <c r="V1155" s="151">
        <v>45596</v>
      </c>
      <c r="W1155" s="2">
        <f>VLOOKUP(Table1[[#This Row],[Status]],Auxiliar!$B$16:$D$24,3,0)*Table1[[#This Row],[Estimação (horas)]]</f>
        <v>2</v>
      </c>
      <c r="X1155" s="166">
        <f>+VLOOKUP(CONCATENATE(Table1[[#This Row],[Tabela]],Table1[[#This Row],[Campo]]),'2. Status Detalhe Campos FY24'!A:J,9,FALSE)</f>
        <v>0</v>
      </c>
    </row>
    <row r="1156" spans="2:24" ht="17.850000000000001" hidden="1" customHeight="1">
      <c r="B1156" s="38" t="s">
        <v>26</v>
      </c>
      <c r="C1156" s="38" t="s">
        <v>26</v>
      </c>
      <c r="D1156" s="38" t="s">
        <v>325</v>
      </c>
      <c r="E1156" s="38" t="s">
        <v>251</v>
      </c>
      <c r="F1156" s="38" t="s">
        <v>335</v>
      </c>
      <c r="G1156" s="38" t="s">
        <v>339</v>
      </c>
      <c r="H1156" s="58" t="str">
        <f>Table1[[#This Row],[Tabela]]&amp;Table1[[#This Row],[Campo]]</f>
        <v>lt003_entitytxnmy_elgbl_trnvr_ccm</v>
      </c>
      <c r="I1156" s="2" t="s">
        <v>612</v>
      </c>
      <c r="J1156" s="44">
        <f>VLOOKUP(Table1[[#This Row],[Status]],Auxiliar!$B$16:$C$24,2,0)</f>
        <v>1</v>
      </c>
      <c r="K1156" s="44" t="s">
        <v>1172</v>
      </c>
      <c r="L1156" s="45" t="s">
        <v>1177</v>
      </c>
      <c r="M1156" s="20" t="s">
        <v>1178</v>
      </c>
      <c r="N1156" s="47">
        <v>45625</v>
      </c>
      <c r="O1156" s="20">
        <f>INDEX(Auxiliar!$D$5:$F$13,MATCH(Table1[[#This Row],[Tipologia_Testes]],Auxiliar!$B$5:$B$13,0),MATCH(Table1[[#This Row],[Complexidade]],Auxiliar!$D$4:$F$4,0))</f>
        <v>2</v>
      </c>
      <c r="P1156" s="46"/>
      <c r="Q1156" s="113"/>
      <c r="R1156" s="151">
        <v>45589</v>
      </c>
      <c r="S1156" s="151"/>
      <c r="T1156" s="151"/>
      <c r="U1156" s="151">
        <v>45614</v>
      </c>
      <c r="V1156" s="151">
        <v>45596</v>
      </c>
      <c r="W1156" s="2">
        <f>VLOOKUP(Table1[[#This Row],[Status]],Auxiliar!$B$16:$D$24,3,0)*Table1[[#This Row],[Estimação (horas)]]</f>
        <v>2</v>
      </c>
      <c r="X1156" s="166">
        <f>+VLOOKUP(CONCATENATE(Table1[[#This Row],[Tabela]],Table1[[#This Row],[Campo]]),'2. Status Detalhe Campos FY24'!A:J,9,FALSE)</f>
        <v>0</v>
      </c>
    </row>
    <row r="1157" spans="2:24" ht="35.1" hidden="1" customHeight="1">
      <c r="B1157" s="38" t="s">
        <v>26</v>
      </c>
      <c r="C1157" s="38" t="s">
        <v>26</v>
      </c>
      <c r="D1157" s="38" t="s">
        <v>325</v>
      </c>
      <c r="E1157" s="38" t="s">
        <v>251</v>
      </c>
      <c r="F1157" s="38" t="s">
        <v>335</v>
      </c>
      <c r="G1157" s="38" t="s">
        <v>339</v>
      </c>
      <c r="H1157" s="58" t="str">
        <f>Table1[[#This Row],[Tabela]]&amp;Table1[[#This Row],[Campo]]</f>
        <v>lt003_entitytxnmy_elgbl_trnvr_ccm</v>
      </c>
      <c r="I1157" s="2" t="s">
        <v>612</v>
      </c>
      <c r="J1157" s="44">
        <f>VLOOKUP(Table1[[#This Row],[Status]],Auxiliar!$B$16:$C$24,2,0)</f>
        <v>1</v>
      </c>
      <c r="K1157" s="44" t="s">
        <v>1174</v>
      </c>
      <c r="L1157" s="45" t="s">
        <v>1177</v>
      </c>
      <c r="M1157" s="20" t="s">
        <v>1178</v>
      </c>
      <c r="N1157" s="47">
        <v>45625</v>
      </c>
      <c r="O1157" s="20">
        <f>INDEX(Auxiliar!$D$5:$F$13,MATCH(Table1[[#This Row],[Tipologia_Testes]],Auxiliar!$B$5:$B$13,0),MATCH(Table1[[#This Row],[Complexidade]],Auxiliar!$D$4:$F$4,0))</f>
        <v>0.1</v>
      </c>
      <c r="P1157" s="46"/>
      <c r="Q1157" s="113"/>
      <c r="R1157" s="151">
        <v>45589</v>
      </c>
      <c r="S1157" s="151"/>
      <c r="T1157" s="151"/>
      <c r="U1157" s="151">
        <v>45614</v>
      </c>
      <c r="V1157" s="151">
        <v>45596</v>
      </c>
      <c r="W1157" s="2">
        <f>VLOOKUP(Table1[[#This Row],[Status]],Auxiliar!$B$16:$D$24,3,0)*Table1[[#This Row],[Estimação (horas)]]</f>
        <v>0.1</v>
      </c>
      <c r="X1157" s="166">
        <f>+VLOOKUP(CONCATENATE(Table1[[#This Row],[Tabela]],Table1[[#This Row],[Campo]]),'2. Status Detalhe Campos FY24'!A:J,9,FALSE)</f>
        <v>0</v>
      </c>
    </row>
    <row r="1158" spans="2:24" ht="17.850000000000001" hidden="1" customHeight="1">
      <c r="B1158" s="38" t="s">
        <v>26</v>
      </c>
      <c r="C1158" s="38" t="s">
        <v>26</v>
      </c>
      <c r="D1158" s="35" t="s">
        <v>325</v>
      </c>
      <c r="E1158" s="39" t="s">
        <v>248</v>
      </c>
      <c r="F1158" s="39" t="s">
        <v>335</v>
      </c>
      <c r="G1158" s="37" t="s">
        <v>340</v>
      </c>
      <c r="H1158" s="59" t="str">
        <f>Table1[[#This Row],[Tabela]]&amp;Table1[[#This Row],[Campo]]</f>
        <v>lt003_entitytxnmy_elgbl_capex_cca</v>
      </c>
      <c r="I1158" s="2" t="s">
        <v>612</v>
      </c>
      <c r="J1158" s="44">
        <f>VLOOKUP(Table1[[#This Row],[Status]],Auxiliar!$B$16:$C$24,2,0)</f>
        <v>1</v>
      </c>
      <c r="K1158" s="44" t="s">
        <v>1171</v>
      </c>
      <c r="L1158" s="45" t="s">
        <v>1177</v>
      </c>
      <c r="M1158" s="20" t="s">
        <v>1178</v>
      </c>
      <c r="N1158" s="47">
        <v>45625</v>
      </c>
      <c r="O1158" s="20">
        <f>INDEX(Auxiliar!$D$5:$F$13,MATCH(Table1[[#This Row],[Tipologia_Testes]],Auxiliar!$B$5:$B$13,0),MATCH(Table1[[#This Row],[Complexidade]],Auxiliar!$D$4:$F$4,0))</f>
        <v>2</v>
      </c>
      <c r="P1158" s="46"/>
      <c r="Q1158" s="113"/>
      <c r="R1158" s="151">
        <v>45589</v>
      </c>
      <c r="S1158" s="151"/>
      <c r="T1158" s="151"/>
      <c r="U1158" s="151">
        <v>45614</v>
      </c>
      <c r="V1158" s="151">
        <v>45596</v>
      </c>
      <c r="W1158" s="2">
        <f>VLOOKUP(Table1[[#This Row],[Status]],Auxiliar!$B$16:$D$24,3,0)*Table1[[#This Row],[Estimação (horas)]]</f>
        <v>2</v>
      </c>
      <c r="X1158" s="166">
        <f>+VLOOKUP(CONCATENATE(Table1[[#This Row],[Tabela]],Table1[[#This Row],[Campo]]),'2. Status Detalhe Campos FY24'!A:J,9,FALSE)</f>
        <v>0</v>
      </c>
    </row>
    <row r="1159" spans="2:24" ht="17.850000000000001" hidden="1" customHeight="1">
      <c r="B1159" s="38" t="s">
        <v>26</v>
      </c>
      <c r="C1159" s="38" t="s">
        <v>26</v>
      </c>
      <c r="D1159" s="38" t="s">
        <v>325</v>
      </c>
      <c r="E1159" s="38" t="s">
        <v>248</v>
      </c>
      <c r="F1159" s="38" t="s">
        <v>335</v>
      </c>
      <c r="G1159" s="38" t="s">
        <v>340</v>
      </c>
      <c r="H1159" s="58" t="str">
        <f>Table1[[#This Row],[Tabela]]&amp;Table1[[#This Row],[Campo]]</f>
        <v>lt003_entitytxnmy_elgbl_capex_cca</v>
      </c>
      <c r="I1159" s="2" t="s">
        <v>612</v>
      </c>
      <c r="J1159" s="44">
        <f>VLOOKUP(Table1[[#This Row],[Status]],Auxiliar!$B$16:$C$24,2,0)</f>
        <v>1</v>
      </c>
      <c r="K1159" s="44" t="s">
        <v>1172</v>
      </c>
      <c r="L1159" s="45" t="s">
        <v>1177</v>
      </c>
      <c r="M1159" s="20" t="s">
        <v>1178</v>
      </c>
      <c r="N1159" s="47">
        <v>45625</v>
      </c>
      <c r="O1159" s="20">
        <f>INDEX(Auxiliar!$D$5:$F$13,MATCH(Table1[[#This Row],[Tipologia_Testes]],Auxiliar!$B$5:$B$13,0),MATCH(Table1[[#This Row],[Complexidade]],Auxiliar!$D$4:$F$4,0))</f>
        <v>2</v>
      </c>
      <c r="P1159" s="46"/>
      <c r="Q1159" s="113"/>
      <c r="R1159" s="151">
        <v>45589</v>
      </c>
      <c r="S1159" s="151"/>
      <c r="T1159" s="151"/>
      <c r="U1159" s="151">
        <v>45614</v>
      </c>
      <c r="V1159" s="151">
        <v>45596</v>
      </c>
      <c r="W1159" s="2">
        <f>VLOOKUP(Table1[[#This Row],[Status]],Auxiliar!$B$16:$D$24,3,0)*Table1[[#This Row],[Estimação (horas)]]</f>
        <v>2</v>
      </c>
      <c r="X1159" s="166">
        <f>+VLOOKUP(CONCATENATE(Table1[[#This Row],[Tabela]],Table1[[#This Row],[Campo]]),'2. Status Detalhe Campos FY24'!A:J,9,FALSE)</f>
        <v>0</v>
      </c>
    </row>
    <row r="1160" spans="2:24" ht="35.1" hidden="1" customHeight="1">
      <c r="B1160" s="38" t="s">
        <v>26</v>
      </c>
      <c r="C1160" s="38" t="s">
        <v>26</v>
      </c>
      <c r="D1160" s="38" t="s">
        <v>325</v>
      </c>
      <c r="E1160" s="38" t="s">
        <v>248</v>
      </c>
      <c r="F1160" s="38" t="s">
        <v>335</v>
      </c>
      <c r="G1160" s="38" t="s">
        <v>340</v>
      </c>
      <c r="H1160" s="58" t="str">
        <f>Table1[[#This Row],[Tabela]]&amp;Table1[[#This Row],[Campo]]</f>
        <v>lt003_entitytxnmy_elgbl_capex_cca</v>
      </c>
      <c r="I1160" s="2" t="s">
        <v>612</v>
      </c>
      <c r="J1160" s="44">
        <f>VLOOKUP(Table1[[#This Row],[Status]],Auxiliar!$B$16:$C$24,2,0)</f>
        <v>1</v>
      </c>
      <c r="K1160" s="44" t="s">
        <v>1174</v>
      </c>
      <c r="L1160" s="45" t="s">
        <v>1177</v>
      </c>
      <c r="M1160" s="20" t="s">
        <v>1178</v>
      </c>
      <c r="N1160" s="47">
        <v>45625</v>
      </c>
      <c r="O1160" s="20">
        <f>INDEX(Auxiliar!$D$5:$F$13,MATCH(Table1[[#This Row],[Tipologia_Testes]],Auxiliar!$B$5:$B$13,0),MATCH(Table1[[#This Row],[Complexidade]],Auxiliar!$D$4:$F$4,0))</f>
        <v>0.1</v>
      </c>
      <c r="P1160" s="46"/>
      <c r="Q1160" s="113"/>
      <c r="R1160" s="151">
        <v>45589</v>
      </c>
      <c r="S1160" s="151"/>
      <c r="T1160" s="151"/>
      <c r="U1160" s="151">
        <v>45614</v>
      </c>
      <c r="V1160" s="151">
        <v>45596</v>
      </c>
      <c r="W1160" s="2">
        <f>VLOOKUP(Table1[[#This Row],[Status]],Auxiliar!$B$16:$D$24,3,0)*Table1[[#This Row],[Estimação (horas)]]</f>
        <v>0.1</v>
      </c>
      <c r="X1160" s="166">
        <f>+VLOOKUP(CONCATENATE(Table1[[#This Row],[Tabela]],Table1[[#This Row],[Campo]]),'2. Status Detalhe Campos FY24'!A:J,9,FALSE)</f>
        <v>0</v>
      </c>
    </row>
    <row r="1161" spans="2:24" ht="17.850000000000001" hidden="1" customHeight="1">
      <c r="B1161" s="38" t="s">
        <v>26</v>
      </c>
      <c r="C1161" s="38" t="s">
        <v>26</v>
      </c>
      <c r="D1161" s="37" t="s">
        <v>325</v>
      </c>
      <c r="E1161" s="39" t="s">
        <v>245</v>
      </c>
      <c r="F1161" s="39" t="s">
        <v>335</v>
      </c>
      <c r="G1161" s="37" t="s">
        <v>341</v>
      </c>
      <c r="H1161" s="59" t="str">
        <f>Table1[[#This Row],[Tabela]]&amp;Table1[[#This Row],[Campo]]</f>
        <v>lt003_entitytxnmy_elgbl_trnvr_cca</v>
      </c>
      <c r="I1161" s="2" t="s">
        <v>612</v>
      </c>
      <c r="J1161" s="44">
        <f>VLOOKUP(Table1[[#This Row],[Status]],Auxiliar!$B$16:$C$24,2,0)</f>
        <v>1</v>
      </c>
      <c r="K1161" s="44" t="s">
        <v>1171</v>
      </c>
      <c r="L1161" s="45" t="s">
        <v>1177</v>
      </c>
      <c r="M1161" s="20" t="s">
        <v>1178</v>
      </c>
      <c r="N1161" s="47">
        <v>45625</v>
      </c>
      <c r="O1161" s="20">
        <f>INDEX(Auxiliar!$D$5:$F$13,MATCH(Table1[[#This Row],[Tipologia_Testes]],Auxiliar!$B$5:$B$13,0),MATCH(Table1[[#This Row],[Complexidade]],Auxiliar!$D$4:$F$4,0))</f>
        <v>2</v>
      </c>
      <c r="P1161" s="46"/>
      <c r="Q1161" s="113"/>
      <c r="R1161" s="151">
        <v>45589</v>
      </c>
      <c r="S1161" s="151"/>
      <c r="T1161" s="151"/>
      <c r="U1161" s="151">
        <v>45614</v>
      </c>
      <c r="V1161" s="151">
        <v>45596</v>
      </c>
      <c r="W1161" s="2">
        <f>VLOOKUP(Table1[[#This Row],[Status]],Auxiliar!$B$16:$D$24,3,0)*Table1[[#This Row],[Estimação (horas)]]</f>
        <v>2</v>
      </c>
      <c r="X1161" s="166">
        <f>+VLOOKUP(CONCATENATE(Table1[[#This Row],[Tabela]],Table1[[#This Row],[Campo]]),'2. Status Detalhe Campos FY24'!A:J,9,FALSE)</f>
        <v>0</v>
      </c>
    </row>
    <row r="1162" spans="2:24" ht="17.850000000000001" hidden="1" customHeight="1">
      <c r="B1162" s="38" t="s">
        <v>26</v>
      </c>
      <c r="C1162" s="38" t="s">
        <v>26</v>
      </c>
      <c r="D1162" s="38" t="s">
        <v>325</v>
      </c>
      <c r="E1162" s="38" t="s">
        <v>245</v>
      </c>
      <c r="F1162" s="38" t="s">
        <v>335</v>
      </c>
      <c r="G1162" s="38" t="s">
        <v>341</v>
      </c>
      <c r="H1162" s="58" t="str">
        <f>Table1[[#This Row],[Tabela]]&amp;Table1[[#This Row],[Campo]]</f>
        <v>lt003_entitytxnmy_elgbl_trnvr_cca</v>
      </c>
      <c r="I1162" s="2" t="s">
        <v>612</v>
      </c>
      <c r="J1162" s="44">
        <f>VLOOKUP(Table1[[#This Row],[Status]],Auxiliar!$B$16:$C$24,2,0)</f>
        <v>1</v>
      </c>
      <c r="K1162" s="44" t="s">
        <v>1172</v>
      </c>
      <c r="L1162" s="45" t="s">
        <v>1177</v>
      </c>
      <c r="M1162" s="20" t="s">
        <v>1178</v>
      </c>
      <c r="N1162" s="47">
        <v>45625</v>
      </c>
      <c r="O1162" s="20">
        <f>INDEX(Auxiliar!$D$5:$F$13,MATCH(Table1[[#This Row],[Tipologia_Testes]],Auxiliar!$B$5:$B$13,0),MATCH(Table1[[#This Row],[Complexidade]],Auxiliar!$D$4:$F$4,0))</f>
        <v>2</v>
      </c>
      <c r="P1162" s="46"/>
      <c r="Q1162" s="113"/>
      <c r="R1162" s="151">
        <v>45589</v>
      </c>
      <c r="S1162" s="151"/>
      <c r="T1162" s="151"/>
      <c r="U1162" s="151">
        <v>45614</v>
      </c>
      <c r="V1162" s="151">
        <v>45596</v>
      </c>
      <c r="W1162" s="2">
        <f>VLOOKUP(Table1[[#This Row],[Status]],Auxiliar!$B$16:$D$24,3,0)*Table1[[#This Row],[Estimação (horas)]]</f>
        <v>2</v>
      </c>
      <c r="X1162" s="166">
        <f>+VLOOKUP(CONCATENATE(Table1[[#This Row],[Tabela]],Table1[[#This Row],[Campo]]),'2. Status Detalhe Campos FY24'!A:J,9,FALSE)</f>
        <v>0</v>
      </c>
    </row>
    <row r="1163" spans="2:24" ht="35.1" hidden="1" customHeight="1">
      <c r="B1163" s="38" t="s">
        <v>26</v>
      </c>
      <c r="C1163" s="38" t="s">
        <v>26</v>
      </c>
      <c r="D1163" s="38" t="s">
        <v>325</v>
      </c>
      <c r="E1163" s="38" t="s">
        <v>245</v>
      </c>
      <c r="F1163" s="38" t="s">
        <v>335</v>
      </c>
      <c r="G1163" s="38" t="s">
        <v>341</v>
      </c>
      <c r="H1163" s="58" t="str">
        <f>Table1[[#This Row],[Tabela]]&amp;Table1[[#This Row],[Campo]]</f>
        <v>lt003_entitytxnmy_elgbl_trnvr_cca</v>
      </c>
      <c r="I1163" s="2" t="s">
        <v>612</v>
      </c>
      <c r="J1163" s="44">
        <f>VLOOKUP(Table1[[#This Row],[Status]],Auxiliar!$B$16:$C$24,2,0)</f>
        <v>1</v>
      </c>
      <c r="K1163" s="44" t="s">
        <v>1174</v>
      </c>
      <c r="L1163" s="45" t="s">
        <v>1177</v>
      </c>
      <c r="M1163" s="20" t="s">
        <v>1178</v>
      </c>
      <c r="N1163" s="47">
        <v>45625</v>
      </c>
      <c r="O1163" s="20">
        <f>INDEX(Auxiliar!$D$5:$F$13,MATCH(Table1[[#This Row],[Tipologia_Testes]],Auxiliar!$B$5:$B$13,0),MATCH(Table1[[#This Row],[Complexidade]],Auxiliar!$D$4:$F$4,0))</f>
        <v>0.1</v>
      </c>
      <c r="P1163" s="46"/>
      <c r="Q1163" s="113"/>
      <c r="R1163" s="151">
        <v>45589</v>
      </c>
      <c r="S1163" s="151"/>
      <c r="T1163" s="151"/>
      <c r="U1163" s="151">
        <v>45614</v>
      </c>
      <c r="V1163" s="151">
        <v>45596</v>
      </c>
      <c r="W1163" s="2">
        <f>VLOOKUP(Table1[[#This Row],[Status]],Auxiliar!$B$16:$D$24,3,0)*Table1[[#This Row],[Estimação (horas)]]</f>
        <v>0.1</v>
      </c>
      <c r="X1163" s="166">
        <f>+VLOOKUP(CONCATENATE(Table1[[#This Row],[Tabela]],Table1[[#This Row],[Campo]]),'2. Status Detalhe Campos FY24'!A:J,9,FALSE)</f>
        <v>0</v>
      </c>
    </row>
    <row r="1164" spans="2:24" ht="17.850000000000001" hidden="1" customHeight="1">
      <c r="B1164" s="38" t="s">
        <v>26</v>
      </c>
      <c r="C1164" s="38" t="s">
        <v>26</v>
      </c>
      <c r="D1164" s="35" t="s">
        <v>325</v>
      </c>
      <c r="E1164" s="39" t="s">
        <v>256</v>
      </c>
      <c r="F1164" s="39" t="s">
        <v>335</v>
      </c>
      <c r="G1164" s="37" t="s">
        <v>342</v>
      </c>
      <c r="H1164" s="59" t="str">
        <f>Table1[[#This Row],[Tabela]]&amp;Table1[[#This Row],[Campo]]</f>
        <v>lt003_entityenblng_capex_ccm</v>
      </c>
      <c r="I1164" s="2" t="s">
        <v>612</v>
      </c>
      <c r="J1164" s="44">
        <f>VLOOKUP(Table1[[#This Row],[Status]],Auxiliar!$B$16:$C$24,2,0)</f>
        <v>1</v>
      </c>
      <c r="K1164" s="44" t="s">
        <v>1171</v>
      </c>
      <c r="L1164" s="45" t="s">
        <v>1177</v>
      </c>
      <c r="M1164" s="20" t="s">
        <v>1178</v>
      </c>
      <c r="N1164" s="47">
        <v>45625</v>
      </c>
      <c r="O1164" s="20">
        <f>INDEX(Auxiliar!$D$5:$F$13,MATCH(Table1[[#This Row],[Tipologia_Testes]],Auxiliar!$B$5:$B$13,0),MATCH(Table1[[#This Row],[Complexidade]],Auxiliar!$D$4:$F$4,0))</f>
        <v>2</v>
      </c>
      <c r="P1164" s="46"/>
      <c r="Q1164" s="113"/>
      <c r="R1164" s="151">
        <v>45589</v>
      </c>
      <c r="S1164" s="151"/>
      <c r="T1164" s="151"/>
      <c r="U1164" s="151">
        <v>45614</v>
      </c>
      <c r="V1164" s="151">
        <v>45596</v>
      </c>
      <c r="W1164" s="2">
        <f>VLOOKUP(Table1[[#This Row],[Status]],Auxiliar!$B$16:$D$24,3,0)*Table1[[#This Row],[Estimação (horas)]]</f>
        <v>2</v>
      </c>
      <c r="X1164" s="166">
        <f>+VLOOKUP(CONCATENATE(Table1[[#This Row],[Tabela]],Table1[[#This Row],[Campo]]),'2. Status Detalhe Campos FY24'!A:J,9,FALSE)</f>
        <v>0</v>
      </c>
    </row>
    <row r="1165" spans="2:24" ht="17.850000000000001" hidden="1" customHeight="1">
      <c r="B1165" s="38" t="s">
        <v>26</v>
      </c>
      <c r="C1165" s="38" t="s">
        <v>26</v>
      </c>
      <c r="D1165" s="38" t="s">
        <v>325</v>
      </c>
      <c r="E1165" s="38" t="s">
        <v>256</v>
      </c>
      <c r="F1165" s="38" t="s">
        <v>335</v>
      </c>
      <c r="G1165" s="38" t="s">
        <v>342</v>
      </c>
      <c r="H1165" s="58" t="str">
        <f>Table1[[#This Row],[Tabela]]&amp;Table1[[#This Row],[Campo]]</f>
        <v>lt003_entityenblng_capex_ccm</v>
      </c>
      <c r="I1165" s="2" t="s">
        <v>612</v>
      </c>
      <c r="J1165" s="44">
        <f>VLOOKUP(Table1[[#This Row],[Status]],Auxiliar!$B$16:$C$24,2,0)</f>
        <v>1</v>
      </c>
      <c r="K1165" s="44" t="s">
        <v>1172</v>
      </c>
      <c r="L1165" s="45" t="s">
        <v>1177</v>
      </c>
      <c r="M1165" s="20" t="s">
        <v>1178</v>
      </c>
      <c r="N1165" s="47">
        <v>45625</v>
      </c>
      <c r="O1165" s="20">
        <f>INDEX(Auxiliar!$D$5:$F$13,MATCH(Table1[[#This Row],[Tipologia_Testes]],Auxiliar!$B$5:$B$13,0),MATCH(Table1[[#This Row],[Complexidade]],Auxiliar!$D$4:$F$4,0))</f>
        <v>2</v>
      </c>
      <c r="P1165" s="46"/>
      <c r="Q1165" s="113"/>
      <c r="R1165" s="151">
        <v>45589</v>
      </c>
      <c r="S1165" s="151"/>
      <c r="T1165" s="151"/>
      <c r="U1165" s="151">
        <v>45614</v>
      </c>
      <c r="V1165" s="151">
        <v>45596</v>
      </c>
      <c r="W1165" s="2">
        <f>VLOOKUP(Table1[[#This Row],[Status]],Auxiliar!$B$16:$D$24,3,0)*Table1[[#This Row],[Estimação (horas)]]</f>
        <v>2</v>
      </c>
      <c r="X1165" s="166">
        <f>+VLOOKUP(CONCATENATE(Table1[[#This Row],[Tabela]],Table1[[#This Row],[Campo]]),'2. Status Detalhe Campos FY24'!A:J,9,FALSE)</f>
        <v>0</v>
      </c>
    </row>
    <row r="1166" spans="2:24" ht="35.1" hidden="1" customHeight="1">
      <c r="B1166" s="38" t="s">
        <v>26</v>
      </c>
      <c r="C1166" s="38" t="s">
        <v>26</v>
      </c>
      <c r="D1166" s="38" t="s">
        <v>325</v>
      </c>
      <c r="E1166" s="38" t="s">
        <v>256</v>
      </c>
      <c r="F1166" s="38" t="s">
        <v>335</v>
      </c>
      <c r="G1166" s="38" t="s">
        <v>342</v>
      </c>
      <c r="H1166" s="58" t="str">
        <f>Table1[[#This Row],[Tabela]]&amp;Table1[[#This Row],[Campo]]</f>
        <v>lt003_entityenblng_capex_ccm</v>
      </c>
      <c r="I1166" s="2" t="s">
        <v>612</v>
      </c>
      <c r="J1166" s="44">
        <f>VLOOKUP(Table1[[#This Row],[Status]],Auxiliar!$B$16:$C$24,2,0)</f>
        <v>1</v>
      </c>
      <c r="K1166" s="44" t="s">
        <v>1174</v>
      </c>
      <c r="L1166" s="45" t="s">
        <v>1177</v>
      </c>
      <c r="M1166" s="20" t="s">
        <v>1178</v>
      </c>
      <c r="N1166" s="47">
        <v>45625</v>
      </c>
      <c r="O1166" s="20">
        <f>INDEX(Auxiliar!$D$5:$F$13,MATCH(Table1[[#This Row],[Tipologia_Testes]],Auxiliar!$B$5:$B$13,0),MATCH(Table1[[#This Row],[Complexidade]],Auxiliar!$D$4:$F$4,0))</f>
        <v>0.1</v>
      </c>
      <c r="P1166" s="46"/>
      <c r="Q1166" s="113"/>
      <c r="R1166" s="151">
        <v>45589</v>
      </c>
      <c r="S1166" s="151"/>
      <c r="T1166" s="151"/>
      <c r="U1166" s="151">
        <v>45614</v>
      </c>
      <c r="V1166" s="151">
        <v>45596</v>
      </c>
      <c r="W1166" s="2">
        <f>VLOOKUP(Table1[[#This Row],[Status]],Auxiliar!$B$16:$D$24,3,0)*Table1[[#This Row],[Estimação (horas)]]</f>
        <v>0.1</v>
      </c>
      <c r="X1166" s="166">
        <f>+VLOOKUP(CONCATENATE(Table1[[#This Row],[Tabela]],Table1[[#This Row],[Campo]]),'2. Status Detalhe Campos FY24'!A:J,9,FALSE)</f>
        <v>0</v>
      </c>
    </row>
    <row r="1167" spans="2:24" ht="17.850000000000001" hidden="1" customHeight="1">
      <c r="B1167" s="38" t="s">
        <v>26</v>
      </c>
      <c r="C1167" s="38" t="s">
        <v>26</v>
      </c>
      <c r="D1167" s="35" t="s">
        <v>325</v>
      </c>
      <c r="E1167" s="39" t="s">
        <v>249</v>
      </c>
      <c r="F1167" s="39" t="s">
        <v>335</v>
      </c>
      <c r="G1167" s="37" t="s">
        <v>343</v>
      </c>
      <c r="H1167" s="59" t="str">
        <f>Table1[[#This Row],[Tabela]]&amp;Table1[[#This Row],[Campo]]</f>
        <v>lt003_entityenblng_capex_cca</v>
      </c>
      <c r="I1167" s="2" t="s">
        <v>612</v>
      </c>
      <c r="J1167" s="44">
        <f>VLOOKUP(Table1[[#This Row],[Status]],Auxiliar!$B$16:$C$24,2,0)</f>
        <v>1</v>
      </c>
      <c r="K1167" s="44" t="s">
        <v>1171</v>
      </c>
      <c r="L1167" s="45" t="s">
        <v>1177</v>
      </c>
      <c r="M1167" s="20" t="s">
        <v>1178</v>
      </c>
      <c r="N1167" s="47">
        <v>45625</v>
      </c>
      <c r="O1167" s="20">
        <f>INDEX(Auxiliar!$D$5:$F$13,MATCH(Table1[[#This Row],[Tipologia_Testes]],Auxiliar!$B$5:$B$13,0),MATCH(Table1[[#This Row],[Complexidade]],Auxiliar!$D$4:$F$4,0))</f>
        <v>2</v>
      </c>
      <c r="P1167" s="46"/>
      <c r="Q1167" s="113"/>
      <c r="R1167" s="151">
        <v>45589</v>
      </c>
      <c r="S1167" s="151"/>
      <c r="T1167" s="151"/>
      <c r="U1167" s="151">
        <v>45614</v>
      </c>
      <c r="V1167" s="151">
        <v>45596</v>
      </c>
      <c r="W1167" s="2">
        <f>VLOOKUP(Table1[[#This Row],[Status]],Auxiliar!$B$16:$D$24,3,0)*Table1[[#This Row],[Estimação (horas)]]</f>
        <v>2</v>
      </c>
      <c r="X1167" s="166">
        <f>+VLOOKUP(CONCATENATE(Table1[[#This Row],[Tabela]],Table1[[#This Row],[Campo]]),'2. Status Detalhe Campos FY24'!A:J,9,FALSE)</f>
        <v>0</v>
      </c>
    </row>
    <row r="1168" spans="2:24" ht="17.850000000000001" hidden="1" customHeight="1">
      <c r="B1168" s="38" t="s">
        <v>26</v>
      </c>
      <c r="C1168" s="38" t="s">
        <v>26</v>
      </c>
      <c r="D1168" s="38" t="s">
        <v>325</v>
      </c>
      <c r="E1168" s="38" t="s">
        <v>249</v>
      </c>
      <c r="F1168" s="38" t="s">
        <v>335</v>
      </c>
      <c r="G1168" s="38" t="s">
        <v>343</v>
      </c>
      <c r="H1168" s="58" t="str">
        <f>Table1[[#This Row],[Tabela]]&amp;Table1[[#This Row],[Campo]]</f>
        <v>lt003_entityenblng_capex_cca</v>
      </c>
      <c r="I1168" s="2" t="s">
        <v>612</v>
      </c>
      <c r="J1168" s="44">
        <f>VLOOKUP(Table1[[#This Row],[Status]],Auxiliar!$B$16:$C$24,2,0)</f>
        <v>1</v>
      </c>
      <c r="K1168" s="44" t="s">
        <v>1172</v>
      </c>
      <c r="L1168" s="45" t="s">
        <v>1177</v>
      </c>
      <c r="M1168" s="20" t="s">
        <v>1178</v>
      </c>
      <c r="N1168" s="47">
        <v>45625</v>
      </c>
      <c r="O1168" s="20">
        <f>INDEX(Auxiliar!$D$5:$F$13,MATCH(Table1[[#This Row],[Tipologia_Testes]],Auxiliar!$B$5:$B$13,0),MATCH(Table1[[#This Row],[Complexidade]],Auxiliar!$D$4:$F$4,0))</f>
        <v>2</v>
      </c>
      <c r="P1168" s="46"/>
      <c r="Q1168" s="113"/>
      <c r="R1168" s="151">
        <v>45589</v>
      </c>
      <c r="S1168" s="151"/>
      <c r="T1168" s="151"/>
      <c r="U1168" s="151">
        <v>45614</v>
      </c>
      <c r="V1168" s="151">
        <v>45596</v>
      </c>
      <c r="W1168" s="2">
        <f>VLOOKUP(Table1[[#This Row],[Status]],Auxiliar!$B$16:$D$24,3,0)*Table1[[#This Row],[Estimação (horas)]]</f>
        <v>2</v>
      </c>
      <c r="X1168" s="166">
        <f>+VLOOKUP(CONCATENATE(Table1[[#This Row],[Tabela]],Table1[[#This Row],[Campo]]),'2. Status Detalhe Campos FY24'!A:J,9,FALSE)</f>
        <v>0</v>
      </c>
    </row>
    <row r="1169" spans="2:24" ht="35.1" hidden="1" customHeight="1">
      <c r="B1169" s="38" t="s">
        <v>26</v>
      </c>
      <c r="C1169" s="38" t="s">
        <v>26</v>
      </c>
      <c r="D1169" s="38" t="s">
        <v>325</v>
      </c>
      <c r="E1169" s="38" t="s">
        <v>249</v>
      </c>
      <c r="F1169" s="38" t="s">
        <v>335</v>
      </c>
      <c r="G1169" s="38" t="s">
        <v>343</v>
      </c>
      <c r="H1169" s="58" t="str">
        <f>Table1[[#This Row],[Tabela]]&amp;Table1[[#This Row],[Campo]]</f>
        <v>lt003_entityenblng_capex_cca</v>
      </c>
      <c r="I1169" s="2" t="s">
        <v>612</v>
      </c>
      <c r="J1169" s="44">
        <f>VLOOKUP(Table1[[#This Row],[Status]],Auxiliar!$B$16:$C$24,2,0)</f>
        <v>1</v>
      </c>
      <c r="K1169" s="44" t="s">
        <v>1174</v>
      </c>
      <c r="L1169" s="45" t="s">
        <v>1177</v>
      </c>
      <c r="M1169" s="20" t="s">
        <v>1178</v>
      </c>
      <c r="N1169" s="47">
        <v>45625</v>
      </c>
      <c r="O1169" s="20">
        <f>INDEX(Auxiliar!$D$5:$F$13,MATCH(Table1[[#This Row],[Tipologia_Testes]],Auxiliar!$B$5:$B$13,0),MATCH(Table1[[#This Row],[Complexidade]],Auxiliar!$D$4:$F$4,0))</f>
        <v>0.1</v>
      </c>
      <c r="P1169" s="46"/>
      <c r="Q1169" s="113"/>
      <c r="R1169" s="151">
        <v>45589</v>
      </c>
      <c r="S1169" s="151"/>
      <c r="T1169" s="151"/>
      <c r="U1169" s="151">
        <v>45614</v>
      </c>
      <c r="V1169" s="151">
        <v>45596</v>
      </c>
      <c r="W1169" s="2">
        <f>VLOOKUP(Table1[[#This Row],[Status]],Auxiliar!$B$16:$D$24,3,0)*Table1[[#This Row],[Estimação (horas)]]</f>
        <v>0.1</v>
      </c>
      <c r="X1169" s="166">
        <f>+VLOOKUP(CONCATENATE(Table1[[#This Row],[Tabela]],Table1[[#This Row],[Campo]]),'2. Status Detalhe Campos FY24'!A:J,9,FALSE)</f>
        <v>0</v>
      </c>
    </row>
    <row r="1170" spans="2:24" ht="17.850000000000001" hidden="1" customHeight="1">
      <c r="B1170" s="38" t="s">
        <v>26</v>
      </c>
      <c r="C1170" s="38" t="s">
        <v>26</v>
      </c>
      <c r="D1170" s="35" t="s">
        <v>325</v>
      </c>
      <c r="E1170" s="39" t="s">
        <v>257</v>
      </c>
      <c r="F1170" s="39" t="s">
        <v>335</v>
      </c>
      <c r="G1170" s="37" t="s">
        <v>344</v>
      </c>
      <c r="H1170" s="59" t="str">
        <f>Table1[[#This Row],[Tabela]]&amp;Table1[[#This Row],[Campo]]</f>
        <v>lt003_entitytrnstnl_capex</v>
      </c>
      <c r="I1170" s="2" t="s">
        <v>612</v>
      </c>
      <c r="J1170" s="44">
        <f>VLOOKUP(Table1[[#This Row],[Status]],Auxiliar!$B$16:$C$24,2,0)</f>
        <v>1</v>
      </c>
      <c r="K1170" s="44" t="s">
        <v>1171</v>
      </c>
      <c r="L1170" s="45" t="s">
        <v>1177</v>
      </c>
      <c r="M1170" s="20" t="s">
        <v>1178</v>
      </c>
      <c r="N1170" s="47">
        <v>45625</v>
      </c>
      <c r="O1170" s="20">
        <f>INDEX(Auxiliar!$D$5:$F$13,MATCH(Table1[[#This Row],[Tipologia_Testes]],Auxiliar!$B$5:$B$13,0),MATCH(Table1[[#This Row],[Complexidade]],Auxiliar!$D$4:$F$4,0))</f>
        <v>2</v>
      </c>
      <c r="P1170" s="46"/>
      <c r="Q1170" s="113"/>
      <c r="R1170" s="151">
        <v>45589</v>
      </c>
      <c r="S1170" s="151"/>
      <c r="T1170" s="151"/>
      <c r="U1170" s="151">
        <v>45614</v>
      </c>
      <c r="V1170" s="151">
        <v>45596</v>
      </c>
      <c r="W1170" s="2">
        <f>VLOOKUP(Table1[[#This Row],[Status]],Auxiliar!$B$16:$D$24,3,0)*Table1[[#This Row],[Estimação (horas)]]</f>
        <v>2</v>
      </c>
      <c r="X1170" s="166">
        <f>+VLOOKUP(CONCATENATE(Table1[[#This Row],[Tabela]],Table1[[#This Row],[Campo]]),'2. Status Detalhe Campos FY24'!A:J,9,FALSE)</f>
        <v>0</v>
      </c>
    </row>
    <row r="1171" spans="2:24" ht="17.850000000000001" hidden="1" customHeight="1">
      <c r="B1171" s="38" t="s">
        <v>26</v>
      </c>
      <c r="C1171" s="38" t="s">
        <v>26</v>
      </c>
      <c r="D1171" s="38" t="s">
        <v>325</v>
      </c>
      <c r="E1171" s="38" t="s">
        <v>257</v>
      </c>
      <c r="F1171" s="38" t="s">
        <v>335</v>
      </c>
      <c r="G1171" s="38" t="s">
        <v>344</v>
      </c>
      <c r="H1171" s="58" t="str">
        <f>Table1[[#This Row],[Tabela]]&amp;Table1[[#This Row],[Campo]]</f>
        <v>lt003_entitytrnstnl_capex</v>
      </c>
      <c r="I1171" s="2" t="s">
        <v>612</v>
      </c>
      <c r="J1171" s="44">
        <f>VLOOKUP(Table1[[#This Row],[Status]],Auxiliar!$B$16:$C$24,2,0)</f>
        <v>1</v>
      </c>
      <c r="K1171" s="44" t="s">
        <v>1172</v>
      </c>
      <c r="L1171" s="45" t="s">
        <v>1177</v>
      </c>
      <c r="M1171" s="20" t="s">
        <v>1178</v>
      </c>
      <c r="N1171" s="47">
        <v>45625</v>
      </c>
      <c r="O1171" s="20">
        <f>INDEX(Auxiliar!$D$5:$F$13,MATCH(Table1[[#This Row],[Tipologia_Testes]],Auxiliar!$B$5:$B$13,0),MATCH(Table1[[#This Row],[Complexidade]],Auxiliar!$D$4:$F$4,0))</f>
        <v>2</v>
      </c>
      <c r="P1171" s="46"/>
      <c r="Q1171" s="113"/>
      <c r="R1171" s="151">
        <v>45589</v>
      </c>
      <c r="S1171" s="151"/>
      <c r="T1171" s="151"/>
      <c r="U1171" s="151">
        <v>45614</v>
      </c>
      <c r="V1171" s="151">
        <v>45596</v>
      </c>
      <c r="W1171" s="2">
        <f>VLOOKUP(Table1[[#This Row],[Status]],Auxiliar!$B$16:$D$24,3,0)*Table1[[#This Row],[Estimação (horas)]]</f>
        <v>2</v>
      </c>
      <c r="X1171" s="166">
        <f>+VLOOKUP(CONCATENATE(Table1[[#This Row],[Tabela]],Table1[[#This Row],[Campo]]),'2. Status Detalhe Campos FY24'!A:J,9,FALSE)</f>
        <v>0</v>
      </c>
    </row>
    <row r="1172" spans="2:24" ht="35.1" hidden="1" customHeight="1">
      <c r="B1172" s="38" t="s">
        <v>26</v>
      </c>
      <c r="C1172" s="38" t="s">
        <v>26</v>
      </c>
      <c r="D1172" s="38" t="s">
        <v>325</v>
      </c>
      <c r="E1172" s="38" t="s">
        <v>257</v>
      </c>
      <c r="F1172" s="38" t="s">
        <v>335</v>
      </c>
      <c r="G1172" s="38" t="s">
        <v>344</v>
      </c>
      <c r="H1172" s="58" t="str">
        <f>Table1[[#This Row],[Tabela]]&amp;Table1[[#This Row],[Campo]]</f>
        <v>lt003_entitytrnstnl_capex</v>
      </c>
      <c r="I1172" s="2" t="s">
        <v>612</v>
      </c>
      <c r="J1172" s="44">
        <f>VLOOKUP(Table1[[#This Row],[Status]],Auxiliar!$B$16:$C$24,2,0)</f>
        <v>1</v>
      </c>
      <c r="K1172" s="44" t="s">
        <v>1174</v>
      </c>
      <c r="L1172" s="45" t="s">
        <v>1177</v>
      </c>
      <c r="M1172" s="20" t="s">
        <v>1178</v>
      </c>
      <c r="N1172" s="47">
        <v>45625</v>
      </c>
      <c r="O1172" s="20">
        <f>INDEX(Auxiliar!$D$5:$F$13,MATCH(Table1[[#This Row],[Tipologia_Testes]],Auxiliar!$B$5:$B$13,0),MATCH(Table1[[#This Row],[Complexidade]],Auxiliar!$D$4:$F$4,0))</f>
        <v>0.1</v>
      </c>
      <c r="P1172" s="46"/>
      <c r="Q1172" s="113"/>
      <c r="R1172" s="151">
        <v>45589</v>
      </c>
      <c r="S1172" s="151"/>
      <c r="T1172" s="151"/>
      <c r="U1172" s="151">
        <v>45614</v>
      </c>
      <c r="V1172" s="151">
        <v>45596</v>
      </c>
      <c r="W1172" s="2">
        <f>VLOOKUP(Table1[[#This Row],[Status]],Auxiliar!$B$16:$D$24,3,0)*Table1[[#This Row],[Estimação (horas)]]</f>
        <v>0.1</v>
      </c>
      <c r="X1172" s="166">
        <f>+VLOOKUP(CONCATENATE(Table1[[#This Row],[Tabela]],Table1[[#This Row],[Campo]]),'2. Status Detalhe Campos FY24'!A:J,9,FALSE)</f>
        <v>0</v>
      </c>
    </row>
    <row r="1173" spans="2:24" ht="17.850000000000001" hidden="1" customHeight="1">
      <c r="B1173" s="38" t="s">
        <v>26</v>
      </c>
      <c r="C1173" s="38" t="s">
        <v>26</v>
      </c>
      <c r="D1173" s="35" t="s">
        <v>325</v>
      </c>
      <c r="E1173" s="39" t="s">
        <v>258</v>
      </c>
      <c r="F1173" s="39" t="s">
        <v>335</v>
      </c>
      <c r="G1173" s="37" t="s">
        <v>345</v>
      </c>
      <c r="H1173" s="59" t="str">
        <f>Table1[[#This Row],[Tabela]]&amp;Table1[[#This Row],[Campo]]</f>
        <v>lt003_entitypure_capex_ccm</v>
      </c>
      <c r="I1173" s="2" t="s">
        <v>612</v>
      </c>
      <c r="J1173" s="44">
        <f>VLOOKUP(Table1[[#This Row],[Status]],Auxiliar!$B$16:$C$24,2,0)</f>
        <v>1</v>
      </c>
      <c r="K1173" s="44" t="s">
        <v>1171</v>
      </c>
      <c r="L1173" s="45" t="s">
        <v>1177</v>
      </c>
      <c r="M1173" s="20" t="s">
        <v>1178</v>
      </c>
      <c r="N1173" s="47">
        <v>45625</v>
      </c>
      <c r="O1173" s="20">
        <f>INDEX(Auxiliar!$D$5:$F$13,MATCH(Table1[[#This Row],[Tipologia_Testes]],Auxiliar!$B$5:$B$13,0),MATCH(Table1[[#This Row],[Complexidade]],Auxiliar!$D$4:$F$4,0))</f>
        <v>2</v>
      </c>
      <c r="P1173" s="46"/>
      <c r="Q1173" s="113"/>
      <c r="R1173" s="151">
        <v>45589</v>
      </c>
      <c r="S1173" s="151"/>
      <c r="T1173" s="151"/>
      <c r="U1173" s="151">
        <v>45614</v>
      </c>
      <c r="V1173" s="151">
        <v>45596</v>
      </c>
      <c r="W1173" s="2">
        <f>VLOOKUP(Table1[[#This Row],[Status]],Auxiliar!$B$16:$D$24,3,0)*Table1[[#This Row],[Estimação (horas)]]</f>
        <v>2</v>
      </c>
      <c r="X1173" s="166">
        <f>+VLOOKUP(CONCATENATE(Table1[[#This Row],[Tabela]],Table1[[#This Row],[Campo]]),'2. Status Detalhe Campos FY24'!A:J,9,FALSE)</f>
        <v>0</v>
      </c>
    </row>
    <row r="1174" spans="2:24" ht="17.850000000000001" hidden="1" customHeight="1">
      <c r="B1174" s="38" t="s">
        <v>26</v>
      </c>
      <c r="C1174" s="38" t="s">
        <v>26</v>
      </c>
      <c r="D1174" s="38" t="s">
        <v>325</v>
      </c>
      <c r="E1174" s="38" t="s">
        <v>258</v>
      </c>
      <c r="F1174" s="38" t="s">
        <v>335</v>
      </c>
      <c r="G1174" s="38" t="s">
        <v>345</v>
      </c>
      <c r="H1174" s="58" t="str">
        <f>Table1[[#This Row],[Tabela]]&amp;Table1[[#This Row],[Campo]]</f>
        <v>lt003_entitypure_capex_ccm</v>
      </c>
      <c r="I1174" s="2" t="s">
        <v>612</v>
      </c>
      <c r="J1174" s="44">
        <f>VLOOKUP(Table1[[#This Row],[Status]],Auxiliar!$B$16:$C$24,2,0)</f>
        <v>1</v>
      </c>
      <c r="K1174" s="44" t="s">
        <v>1172</v>
      </c>
      <c r="L1174" s="45" t="s">
        <v>1177</v>
      </c>
      <c r="M1174" s="20" t="s">
        <v>1178</v>
      </c>
      <c r="N1174" s="47">
        <v>45625</v>
      </c>
      <c r="O1174" s="20">
        <f>INDEX(Auxiliar!$D$5:$F$13,MATCH(Table1[[#This Row],[Tipologia_Testes]],Auxiliar!$B$5:$B$13,0),MATCH(Table1[[#This Row],[Complexidade]],Auxiliar!$D$4:$F$4,0))</f>
        <v>2</v>
      </c>
      <c r="P1174" s="46"/>
      <c r="Q1174" s="113"/>
      <c r="R1174" s="151">
        <v>45589</v>
      </c>
      <c r="S1174" s="151"/>
      <c r="T1174" s="151"/>
      <c r="U1174" s="151">
        <v>45614</v>
      </c>
      <c r="V1174" s="151">
        <v>45596</v>
      </c>
      <c r="W1174" s="2">
        <f>VLOOKUP(Table1[[#This Row],[Status]],Auxiliar!$B$16:$D$24,3,0)*Table1[[#This Row],[Estimação (horas)]]</f>
        <v>2</v>
      </c>
      <c r="X1174" s="166">
        <f>+VLOOKUP(CONCATENATE(Table1[[#This Row],[Tabela]],Table1[[#This Row],[Campo]]),'2. Status Detalhe Campos FY24'!A:J,9,FALSE)</f>
        <v>0</v>
      </c>
    </row>
    <row r="1175" spans="2:24" ht="35.1" hidden="1" customHeight="1">
      <c r="B1175" s="38" t="s">
        <v>26</v>
      </c>
      <c r="C1175" s="38" t="s">
        <v>26</v>
      </c>
      <c r="D1175" s="38" t="s">
        <v>325</v>
      </c>
      <c r="E1175" s="38" t="s">
        <v>258</v>
      </c>
      <c r="F1175" s="38" t="s">
        <v>335</v>
      </c>
      <c r="G1175" s="38" t="s">
        <v>345</v>
      </c>
      <c r="H1175" s="58" t="str">
        <f>Table1[[#This Row],[Tabela]]&amp;Table1[[#This Row],[Campo]]</f>
        <v>lt003_entitypure_capex_ccm</v>
      </c>
      <c r="I1175" s="2" t="s">
        <v>612</v>
      </c>
      <c r="J1175" s="44">
        <f>VLOOKUP(Table1[[#This Row],[Status]],Auxiliar!$B$16:$C$24,2,0)</f>
        <v>1</v>
      </c>
      <c r="K1175" s="44" t="s">
        <v>1174</v>
      </c>
      <c r="L1175" s="45" t="s">
        <v>1177</v>
      </c>
      <c r="M1175" s="20" t="s">
        <v>1178</v>
      </c>
      <c r="N1175" s="47">
        <v>45625</v>
      </c>
      <c r="O1175" s="20">
        <f>INDEX(Auxiliar!$D$5:$F$13,MATCH(Table1[[#This Row],[Tipologia_Testes]],Auxiliar!$B$5:$B$13,0),MATCH(Table1[[#This Row],[Complexidade]],Auxiliar!$D$4:$F$4,0))</f>
        <v>0.1</v>
      </c>
      <c r="P1175" s="46"/>
      <c r="Q1175" s="113"/>
      <c r="R1175" s="151">
        <v>45589</v>
      </c>
      <c r="S1175" s="151"/>
      <c r="T1175" s="151"/>
      <c r="U1175" s="151">
        <v>45614</v>
      </c>
      <c r="V1175" s="151">
        <v>45596</v>
      </c>
      <c r="W1175" s="2">
        <f>VLOOKUP(Table1[[#This Row],[Status]],Auxiliar!$B$16:$D$24,3,0)*Table1[[#This Row],[Estimação (horas)]]</f>
        <v>0.1</v>
      </c>
      <c r="X1175" s="166">
        <f>+VLOOKUP(CONCATENATE(Table1[[#This Row],[Tabela]],Table1[[#This Row],[Campo]]),'2. Status Detalhe Campos FY24'!A:J,9,FALSE)</f>
        <v>0</v>
      </c>
    </row>
    <row r="1176" spans="2:24" ht="17.850000000000001" hidden="1" customHeight="1">
      <c r="B1176" s="38" t="s">
        <v>26</v>
      </c>
      <c r="C1176" s="38" t="s">
        <v>26</v>
      </c>
      <c r="D1176" s="35" t="s">
        <v>325</v>
      </c>
      <c r="E1176" s="39" t="s">
        <v>250</v>
      </c>
      <c r="F1176" s="39" t="s">
        <v>335</v>
      </c>
      <c r="G1176" s="37" t="s">
        <v>346</v>
      </c>
      <c r="H1176" s="59" t="str">
        <f>Table1[[#This Row],[Tabela]]&amp;Table1[[#This Row],[Campo]]</f>
        <v>lt003_entitypure_capex_cca</v>
      </c>
      <c r="I1176" s="2" t="s">
        <v>612</v>
      </c>
      <c r="J1176" s="44">
        <f>VLOOKUP(Table1[[#This Row],[Status]],Auxiliar!$B$16:$C$24,2,0)</f>
        <v>1</v>
      </c>
      <c r="K1176" s="44" t="s">
        <v>1171</v>
      </c>
      <c r="L1176" s="45" t="s">
        <v>1177</v>
      </c>
      <c r="M1176" s="20" t="s">
        <v>1178</v>
      </c>
      <c r="N1176" s="47">
        <v>45632</v>
      </c>
      <c r="O1176" s="20">
        <f>INDEX(Auxiliar!$D$5:$F$13,MATCH(Table1[[#This Row],[Tipologia_Testes]],Auxiliar!$B$5:$B$13,0),MATCH(Table1[[#This Row],[Complexidade]],Auxiliar!$D$4:$F$4,0))</f>
        <v>2</v>
      </c>
      <c r="P1176" s="46"/>
      <c r="Q1176" s="113"/>
      <c r="R1176" s="151">
        <v>45589</v>
      </c>
      <c r="S1176" s="151"/>
      <c r="T1176" s="151"/>
      <c r="U1176" s="151">
        <v>45611</v>
      </c>
      <c r="V1176" s="151">
        <v>45611</v>
      </c>
      <c r="W1176" s="2">
        <f>VLOOKUP(Table1[[#This Row],[Status]],Auxiliar!$B$16:$D$24,3,0)*Table1[[#This Row],[Estimação (horas)]]</f>
        <v>2</v>
      </c>
      <c r="X1176" s="166">
        <f>+VLOOKUP(CONCATENATE(Table1[[#This Row],[Tabela]],Table1[[#This Row],[Campo]]),'2. Status Detalhe Campos FY24'!A:J,9,FALSE)</f>
        <v>0</v>
      </c>
    </row>
    <row r="1177" spans="2:24" ht="17.850000000000001" hidden="1" customHeight="1">
      <c r="B1177" s="38" t="s">
        <v>26</v>
      </c>
      <c r="C1177" s="38" t="s">
        <v>26</v>
      </c>
      <c r="D1177" s="38" t="s">
        <v>325</v>
      </c>
      <c r="E1177" s="38" t="s">
        <v>250</v>
      </c>
      <c r="F1177" s="38" t="s">
        <v>335</v>
      </c>
      <c r="G1177" s="38" t="s">
        <v>346</v>
      </c>
      <c r="H1177" s="58" t="str">
        <f>Table1[[#This Row],[Tabela]]&amp;Table1[[#This Row],[Campo]]</f>
        <v>lt003_entitypure_capex_cca</v>
      </c>
      <c r="I1177" s="2" t="s">
        <v>612</v>
      </c>
      <c r="J1177" s="44">
        <f>VLOOKUP(Table1[[#This Row],[Status]],Auxiliar!$B$16:$C$24,2,0)</f>
        <v>1</v>
      </c>
      <c r="K1177" s="44" t="s">
        <v>1172</v>
      </c>
      <c r="L1177" s="45" t="s">
        <v>1177</v>
      </c>
      <c r="M1177" s="20" t="s">
        <v>1178</v>
      </c>
      <c r="N1177" s="47">
        <v>45632</v>
      </c>
      <c r="O1177" s="20">
        <f>INDEX(Auxiliar!$D$5:$F$13,MATCH(Table1[[#This Row],[Tipologia_Testes]],Auxiliar!$B$5:$B$13,0),MATCH(Table1[[#This Row],[Complexidade]],Auxiliar!$D$4:$F$4,0))</f>
        <v>2</v>
      </c>
      <c r="P1177" s="46"/>
      <c r="Q1177" s="113"/>
      <c r="R1177" s="151">
        <v>45589</v>
      </c>
      <c r="S1177" s="151"/>
      <c r="T1177" s="151"/>
      <c r="U1177" s="151">
        <v>45611</v>
      </c>
      <c r="V1177" s="151">
        <v>45611</v>
      </c>
      <c r="W1177" s="2">
        <f>VLOOKUP(Table1[[#This Row],[Status]],Auxiliar!$B$16:$D$24,3,0)*Table1[[#This Row],[Estimação (horas)]]</f>
        <v>2</v>
      </c>
      <c r="X1177" s="166">
        <f>+VLOOKUP(CONCATENATE(Table1[[#This Row],[Tabela]],Table1[[#This Row],[Campo]]),'2. Status Detalhe Campos FY24'!A:J,9,FALSE)</f>
        <v>0</v>
      </c>
    </row>
    <row r="1178" spans="2:24" ht="35.1" hidden="1" customHeight="1">
      <c r="B1178" s="38" t="s">
        <v>26</v>
      </c>
      <c r="C1178" s="38" t="s">
        <v>26</v>
      </c>
      <c r="D1178" s="38" t="s">
        <v>325</v>
      </c>
      <c r="E1178" s="38" t="s">
        <v>250</v>
      </c>
      <c r="F1178" s="38" t="s">
        <v>335</v>
      </c>
      <c r="G1178" s="38" t="s">
        <v>346</v>
      </c>
      <c r="H1178" s="58" t="str">
        <f>Table1[[#This Row],[Tabela]]&amp;Table1[[#This Row],[Campo]]</f>
        <v>lt003_entitypure_capex_cca</v>
      </c>
      <c r="I1178" s="2" t="s">
        <v>612</v>
      </c>
      <c r="J1178" s="44">
        <f>VLOOKUP(Table1[[#This Row],[Status]],Auxiliar!$B$16:$C$24,2,0)</f>
        <v>1</v>
      </c>
      <c r="K1178" s="44" t="s">
        <v>1174</v>
      </c>
      <c r="L1178" s="45" t="s">
        <v>1177</v>
      </c>
      <c r="M1178" s="20" t="s">
        <v>1178</v>
      </c>
      <c r="N1178" s="47">
        <v>45632</v>
      </c>
      <c r="O1178" s="20">
        <f>INDEX(Auxiliar!$D$5:$F$13,MATCH(Table1[[#This Row],[Tipologia_Testes]],Auxiliar!$B$5:$B$13,0),MATCH(Table1[[#This Row],[Complexidade]],Auxiliar!$D$4:$F$4,0))</f>
        <v>0.1</v>
      </c>
      <c r="P1178" s="46"/>
      <c r="Q1178" s="113"/>
      <c r="R1178" s="151">
        <v>45589</v>
      </c>
      <c r="S1178" s="151"/>
      <c r="T1178" s="151"/>
      <c r="U1178" s="151">
        <v>45611</v>
      </c>
      <c r="V1178" s="151">
        <v>45611</v>
      </c>
      <c r="W1178" s="2">
        <f>VLOOKUP(Table1[[#This Row],[Status]],Auxiliar!$B$16:$D$24,3,0)*Table1[[#This Row],[Estimação (horas)]]</f>
        <v>0.1</v>
      </c>
      <c r="X1178" s="166">
        <f>+VLOOKUP(CONCATENATE(Table1[[#This Row],[Tabela]],Table1[[#This Row],[Campo]]),'2. Status Detalhe Campos FY24'!A:J,9,FALSE)</f>
        <v>0</v>
      </c>
    </row>
    <row r="1179" spans="2:24" ht="17.850000000000001" hidden="1" customHeight="1">
      <c r="B1179" s="38" t="s">
        <v>26</v>
      </c>
      <c r="C1179" s="38" t="s">
        <v>26</v>
      </c>
      <c r="D1179" s="37" t="s">
        <v>325</v>
      </c>
      <c r="E1179" s="39" t="s">
        <v>252</v>
      </c>
      <c r="F1179" s="39" t="s">
        <v>335</v>
      </c>
      <c r="G1179" s="37" t="s">
        <v>347</v>
      </c>
      <c r="H1179" s="59" t="str">
        <f>Table1[[#This Row],[Tabela]]&amp;Table1[[#This Row],[Campo]]</f>
        <v>lt003_entityenblng_trnvr_ccm</v>
      </c>
      <c r="I1179" s="2" t="s">
        <v>612</v>
      </c>
      <c r="J1179" s="44">
        <f>VLOOKUP(Table1[[#This Row],[Status]],Auxiliar!$B$16:$C$24,2,0)</f>
        <v>1</v>
      </c>
      <c r="K1179" s="44" t="s">
        <v>1171</v>
      </c>
      <c r="L1179" s="45" t="s">
        <v>1177</v>
      </c>
      <c r="M1179" s="20" t="s">
        <v>1178</v>
      </c>
      <c r="N1179" s="47">
        <v>45625</v>
      </c>
      <c r="O1179" s="20">
        <f>INDEX(Auxiliar!$D$5:$F$13,MATCH(Table1[[#This Row],[Tipologia_Testes]],Auxiliar!$B$5:$B$13,0),MATCH(Table1[[#This Row],[Complexidade]],Auxiliar!$D$4:$F$4,0))</f>
        <v>2</v>
      </c>
      <c r="P1179" s="46"/>
      <c r="Q1179" s="113"/>
      <c r="R1179" s="151">
        <v>45589</v>
      </c>
      <c r="S1179" s="151"/>
      <c r="T1179" s="151"/>
      <c r="U1179" s="151">
        <v>45614</v>
      </c>
      <c r="V1179" s="151">
        <v>45596</v>
      </c>
      <c r="W1179" s="2">
        <f>VLOOKUP(Table1[[#This Row],[Status]],Auxiliar!$B$16:$D$24,3,0)*Table1[[#This Row],[Estimação (horas)]]</f>
        <v>2</v>
      </c>
      <c r="X1179" s="166">
        <f>+VLOOKUP(CONCATENATE(Table1[[#This Row],[Tabela]],Table1[[#This Row],[Campo]]),'2. Status Detalhe Campos FY24'!A:J,9,FALSE)</f>
        <v>0</v>
      </c>
    </row>
    <row r="1180" spans="2:24" ht="17.850000000000001" hidden="1" customHeight="1">
      <c r="B1180" s="38" t="s">
        <v>26</v>
      </c>
      <c r="C1180" s="38" t="s">
        <v>26</v>
      </c>
      <c r="D1180" s="38" t="s">
        <v>325</v>
      </c>
      <c r="E1180" s="38" t="s">
        <v>252</v>
      </c>
      <c r="F1180" s="38" t="s">
        <v>335</v>
      </c>
      <c r="G1180" s="38" t="s">
        <v>347</v>
      </c>
      <c r="H1180" s="58" t="str">
        <f>Table1[[#This Row],[Tabela]]&amp;Table1[[#This Row],[Campo]]</f>
        <v>lt003_entityenblng_trnvr_ccm</v>
      </c>
      <c r="I1180" s="2" t="s">
        <v>612</v>
      </c>
      <c r="J1180" s="44">
        <f>VLOOKUP(Table1[[#This Row],[Status]],Auxiliar!$B$16:$C$24,2,0)</f>
        <v>1</v>
      </c>
      <c r="K1180" s="44" t="s">
        <v>1172</v>
      </c>
      <c r="L1180" s="45" t="s">
        <v>1177</v>
      </c>
      <c r="M1180" s="20" t="s">
        <v>1178</v>
      </c>
      <c r="N1180" s="47">
        <v>45625</v>
      </c>
      <c r="O1180" s="20">
        <f>INDEX(Auxiliar!$D$5:$F$13,MATCH(Table1[[#This Row],[Tipologia_Testes]],Auxiliar!$B$5:$B$13,0),MATCH(Table1[[#This Row],[Complexidade]],Auxiliar!$D$4:$F$4,0))</f>
        <v>2</v>
      </c>
      <c r="P1180" s="46"/>
      <c r="Q1180" s="113"/>
      <c r="R1180" s="151">
        <v>45589</v>
      </c>
      <c r="S1180" s="151"/>
      <c r="T1180" s="151"/>
      <c r="U1180" s="151">
        <v>45614</v>
      </c>
      <c r="V1180" s="151">
        <v>45596</v>
      </c>
      <c r="W1180" s="2">
        <f>VLOOKUP(Table1[[#This Row],[Status]],Auxiliar!$B$16:$D$24,3,0)*Table1[[#This Row],[Estimação (horas)]]</f>
        <v>2</v>
      </c>
      <c r="X1180" s="166">
        <f>+VLOOKUP(CONCATENATE(Table1[[#This Row],[Tabela]],Table1[[#This Row],[Campo]]),'2. Status Detalhe Campos FY24'!A:J,9,FALSE)</f>
        <v>0</v>
      </c>
    </row>
    <row r="1181" spans="2:24" ht="35.1" hidden="1" customHeight="1">
      <c r="B1181" s="38" t="s">
        <v>26</v>
      </c>
      <c r="C1181" s="38" t="s">
        <v>26</v>
      </c>
      <c r="D1181" s="38" t="s">
        <v>325</v>
      </c>
      <c r="E1181" s="38" t="s">
        <v>252</v>
      </c>
      <c r="F1181" s="38" t="s">
        <v>335</v>
      </c>
      <c r="G1181" s="38" t="s">
        <v>347</v>
      </c>
      <c r="H1181" s="58" t="str">
        <f>Table1[[#This Row],[Tabela]]&amp;Table1[[#This Row],[Campo]]</f>
        <v>lt003_entityenblng_trnvr_ccm</v>
      </c>
      <c r="I1181" s="2" t="s">
        <v>612</v>
      </c>
      <c r="J1181" s="44">
        <f>VLOOKUP(Table1[[#This Row],[Status]],Auxiliar!$B$16:$C$24,2,0)</f>
        <v>1</v>
      </c>
      <c r="K1181" s="44" t="s">
        <v>1174</v>
      </c>
      <c r="L1181" s="45" t="s">
        <v>1177</v>
      </c>
      <c r="M1181" s="20" t="s">
        <v>1178</v>
      </c>
      <c r="N1181" s="47">
        <v>45625</v>
      </c>
      <c r="O1181" s="20">
        <f>INDEX(Auxiliar!$D$5:$F$13,MATCH(Table1[[#This Row],[Tipologia_Testes]],Auxiliar!$B$5:$B$13,0),MATCH(Table1[[#This Row],[Complexidade]],Auxiliar!$D$4:$F$4,0))</f>
        <v>0.1</v>
      </c>
      <c r="P1181" s="46"/>
      <c r="Q1181" s="113"/>
      <c r="R1181" s="151">
        <v>45589</v>
      </c>
      <c r="S1181" s="151"/>
      <c r="T1181" s="151"/>
      <c r="U1181" s="151">
        <v>45614</v>
      </c>
      <c r="V1181" s="151">
        <v>45596</v>
      </c>
      <c r="W1181" s="2">
        <f>VLOOKUP(Table1[[#This Row],[Status]],Auxiliar!$B$16:$D$24,3,0)*Table1[[#This Row],[Estimação (horas)]]</f>
        <v>0.1</v>
      </c>
      <c r="X1181" s="166">
        <f>+VLOOKUP(CONCATENATE(Table1[[#This Row],[Tabela]],Table1[[#This Row],[Campo]]),'2. Status Detalhe Campos FY24'!A:J,9,FALSE)</f>
        <v>0</v>
      </c>
    </row>
    <row r="1182" spans="2:24" ht="17.850000000000001" hidden="1" customHeight="1">
      <c r="B1182" s="38" t="s">
        <v>26</v>
      </c>
      <c r="C1182" s="38" t="s">
        <v>26</v>
      </c>
      <c r="D1182" s="37" t="s">
        <v>325</v>
      </c>
      <c r="E1182" s="39" t="s">
        <v>246</v>
      </c>
      <c r="F1182" s="39" t="s">
        <v>335</v>
      </c>
      <c r="G1182" s="37" t="s">
        <v>348</v>
      </c>
      <c r="H1182" s="59" t="str">
        <f>Table1[[#This Row],[Tabela]]&amp;Table1[[#This Row],[Campo]]</f>
        <v>lt003_entityenblng_trnvr_cca</v>
      </c>
      <c r="I1182" s="2" t="s">
        <v>612</v>
      </c>
      <c r="J1182" s="44">
        <f>VLOOKUP(Table1[[#This Row],[Status]],Auxiliar!$B$16:$C$24,2,0)</f>
        <v>1</v>
      </c>
      <c r="K1182" s="44" t="s">
        <v>1171</v>
      </c>
      <c r="L1182" s="45" t="s">
        <v>1177</v>
      </c>
      <c r="M1182" s="20" t="s">
        <v>1178</v>
      </c>
      <c r="N1182" s="47">
        <v>45625</v>
      </c>
      <c r="O1182" s="20">
        <f>INDEX(Auxiliar!$D$5:$F$13,MATCH(Table1[[#This Row],[Tipologia_Testes]],Auxiliar!$B$5:$B$13,0),MATCH(Table1[[#This Row],[Complexidade]],Auxiliar!$D$4:$F$4,0))</f>
        <v>2</v>
      </c>
      <c r="P1182" s="46"/>
      <c r="Q1182" s="113"/>
      <c r="R1182" s="151">
        <v>45589</v>
      </c>
      <c r="S1182" s="151"/>
      <c r="T1182" s="151"/>
      <c r="U1182" s="151">
        <v>45614</v>
      </c>
      <c r="V1182" s="151">
        <v>45596</v>
      </c>
      <c r="W1182" s="2">
        <f>VLOOKUP(Table1[[#This Row],[Status]],Auxiliar!$B$16:$D$24,3,0)*Table1[[#This Row],[Estimação (horas)]]</f>
        <v>2</v>
      </c>
      <c r="X1182" s="166">
        <f>+VLOOKUP(CONCATENATE(Table1[[#This Row],[Tabela]],Table1[[#This Row],[Campo]]),'2. Status Detalhe Campos FY24'!A:J,9,FALSE)</f>
        <v>0</v>
      </c>
    </row>
    <row r="1183" spans="2:24" ht="17.850000000000001" hidden="1" customHeight="1">
      <c r="B1183" s="38" t="s">
        <v>26</v>
      </c>
      <c r="C1183" s="38" t="s">
        <v>26</v>
      </c>
      <c r="D1183" s="38" t="s">
        <v>325</v>
      </c>
      <c r="E1183" s="38" t="s">
        <v>246</v>
      </c>
      <c r="F1183" s="38" t="s">
        <v>335</v>
      </c>
      <c r="G1183" s="38" t="s">
        <v>348</v>
      </c>
      <c r="H1183" s="58" t="str">
        <f>Table1[[#This Row],[Tabela]]&amp;Table1[[#This Row],[Campo]]</f>
        <v>lt003_entityenblng_trnvr_cca</v>
      </c>
      <c r="I1183" s="2" t="s">
        <v>612</v>
      </c>
      <c r="J1183" s="44">
        <f>VLOOKUP(Table1[[#This Row],[Status]],Auxiliar!$B$16:$C$24,2,0)</f>
        <v>1</v>
      </c>
      <c r="K1183" s="44" t="s">
        <v>1172</v>
      </c>
      <c r="L1183" s="45" t="s">
        <v>1177</v>
      </c>
      <c r="M1183" s="20" t="s">
        <v>1178</v>
      </c>
      <c r="N1183" s="47">
        <v>45625</v>
      </c>
      <c r="O1183" s="20">
        <f>INDEX(Auxiliar!$D$5:$F$13,MATCH(Table1[[#This Row],[Tipologia_Testes]],Auxiliar!$B$5:$B$13,0),MATCH(Table1[[#This Row],[Complexidade]],Auxiliar!$D$4:$F$4,0))</f>
        <v>2</v>
      </c>
      <c r="P1183" s="46"/>
      <c r="Q1183" s="113"/>
      <c r="R1183" s="151">
        <v>45589</v>
      </c>
      <c r="S1183" s="151"/>
      <c r="T1183" s="151"/>
      <c r="U1183" s="151">
        <v>45614</v>
      </c>
      <c r="V1183" s="151">
        <v>45596</v>
      </c>
      <c r="W1183" s="2">
        <f>VLOOKUP(Table1[[#This Row],[Status]],Auxiliar!$B$16:$D$24,3,0)*Table1[[#This Row],[Estimação (horas)]]</f>
        <v>2</v>
      </c>
      <c r="X1183" s="166">
        <f>+VLOOKUP(CONCATENATE(Table1[[#This Row],[Tabela]],Table1[[#This Row],[Campo]]),'2. Status Detalhe Campos FY24'!A:J,9,FALSE)</f>
        <v>0</v>
      </c>
    </row>
    <row r="1184" spans="2:24" ht="35.1" hidden="1" customHeight="1">
      <c r="B1184" s="38" t="s">
        <v>26</v>
      </c>
      <c r="C1184" s="38" t="s">
        <v>26</v>
      </c>
      <c r="D1184" s="38" t="s">
        <v>325</v>
      </c>
      <c r="E1184" s="38" t="s">
        <v>246</v>
      </c>
      <c r="F1184" s="38" t="s">
        <v>335</v>
      </c>
      <c r="G1184" s="38" t="s">
        <v>348</v>
      </c>
      <c r="H1184" s="58" t="str">
        <f>Table1[[#This Row],[Tabela]]&amp;Table1[[#This Row],[Campo]]</f>
        <v>lt003_entityenblng_trnvr_cca</v>
      </c>
      <c r="I1184" s="2" t="s">
        <v>612</v>
      </c>
      <c r="J1184" s="44">
        <f>VLOOKUP(Table1[[#This Row],[Status]],Auxiliar!$B$16:$C$24,2,0)</f>
        <v>1</v>
      </c>
      <c r="K1184" s="44" t="s">
        <v>1174</v>
      </c>
      <c r="L1184" s="45" t="s">
        <v>1177</v>
      </c>
      <c r="M1184" s="20" t="s">
        <v>1178</v>
      </c>
      <c r="N1184" s="47">
        <v>45625</v>
      </c>
      <c r="O1184" s="20">
        <f>INDEX(Auxiliar!$D$5:$F$13,MATCH(Table1[[#This Row],[Tipologia_Testes]],Auxiliar!$B$5:$B$13,0),MATCH(Table1[[#This Row],[Complexidade]],Auxiliar!$D$4:$F$4,0))</f>
        <v>0.1</v>
      </c>
      <c r="P1184" s="46"/>
      <c r="Q1184" s="113"/>
      <c r="R1184" s="151">
        <v>45589</v>
      </c>
      <c r="S1184" s="151"/>
      <c r="T1184" s="151"/>
      <c r="U1184" s="151">
        <v>45614</v>
      </c>
      <c r="V1184" s="151">
        <v>45596</v>
      </c>
      <c r="W1184" s="2">
        <f>VLOOKUP(Table1[[#This Row],[Status]],Auxiliar!$B$16:$D$24,3,0)*Table1[[#This Row],[Estimação (horas)]]</f>
        <v>0.1</v>
      </c>
      <c r="X1184" s="166">
        <f>+VLOOKUP(CONCATENATE(Table1[[#This Row],[Tabela]],Table1[[#This Row],[Campo]]),'2. Status Detalhe Campos FY24'!A:J,9,FALSE)</f>
        <v>0</v>
      </c>
    </row>
    <row r="1185" spans="2:24" ht="17.850000000000001" hidden="1" customHeight="1">
      <c r="B1185" s="40" t="s">
        <v>26</v>
      </c>
      <c r="C1185" s="40" t="s">
        <v>26</v>
      </c>
      <c r="D1185" s="37" t="s">
        <v>325</v>
      </c>
      <c r="E1185" s="39" t="s">
        <v>253</v>
      </c>
      <c r="F1185" s="39" t="s">
        <v>335</v>
      </c>
      <c r="G1185" s="37" t="s">
        <v>349</v>
      </c>
      <c r="H1185" s="59" t="str">
        <f>Table1[[#This Row],[Tabela]]&amp;Table1[[#This Row],[Campo]]</f>
        <v>lt003_entitytrnstnl_trnvr</v>
      </c>
      <c r="I1185" s="2" t="s">
        <v>612</v>
      </c>
      <c r="J1185" s="44">
        <f>VLOOKUP(Table1[[#This Row],[Status]],Auxiliar!$B$16:$C$24,2,0)</f>
        <v>1</v>
      </c>
      <c r="K1185" s="44" t="s">
        <v>1171</v>
      </c>
      <c r="L1185" s="45" t="s">
        <v>1177</v>
      </c>
      <c r="M1185" s="20" t="s">
        <v>1178</v>
      </c>
      <c r="N1185" s="47">
        <v>45625</v>
      </c>
      <c r="O1185" s="20">
        <f>INDEX(Auxiliar!$D$5:$F$13,MATCH(Table1[[#This Row],[Tipologia_Testes]],Auxiliar!$B$5:$B$13,0),MATCH(Table1[[#This Row],[Complexidade]],Auxiliar!$D$4:$F$4,0))</f>
        <v>2</v>
      </c>
      <c r="P1185" s="42"/>
      <c r="Q1185" s="113"/>
      <c r="R1185" s="151">
        <v>45589</v>
      </c>
      <c r="S1185" s="151"/>
      <c r="T1185" s="151"/>
      <c r="U1185" s="151">
        <v>45614</v>
      </c>
      <c r="V1185" s="151">
        <v>45596</v>
      </c>
      <c r="W1185" s="2">
        <f>VLOOKUP(Table1[[#This Row],[Status]],Auxiliar!$B$16:$D$24,3,0)*Table1[[#This Row],[Estimação (horas)]]</f>
        <v>2</v>
      </c>
      <c r="X1185" s="166">
        <f>+VLOOKUP(CONCATENATE(Table1[[#This Row],[Tabela]],Table1[[#This Row],[Campo]]),'2. Status Detalhe Campos FY24'!A:J,9,FALSE)</f>
        <v>0</v>
      </c>
    </row>
    <row r="1186" spans="2:24" ht="17.850000000000001" hidden="1" customHeight="1">
      <c r="B1186" s="38" t="s">
        <v>26</v>
      </c>
      <c r="C1186" s="38" t="s">
        <v>26</v>
      </c>
      <c r="D1186" s="38" t="s">
        <v>325</v>
      </c>
      <c r="E1186" s="38" t="s">
        <v>253</v>
      </c>
      <c r="F1186" s="38" t="s">
        <v>335</v>
      </c>
      <c r="G1186" s="38" t="s">
        <v>349</v>
      </c>
      <c r="H1186" s="58" t="str">
        <f>Table1[[#This Row],[Tabela]]&amp;Table1[[#This Row],[Campo]]</f>
        <v>lt003_entitytrnstnl_trnvr</v>
      </c>
      <c r="I1186" s="2" t="s">
        <v>612</v>
      </c>
      <c r="J1186" s="44">
        <f>VLOOKUP(Table1[[#This Row],[Status]],Auxiliar!$B$16:$C$24,2,0)</f>
        <v>1</v>
      </c>
      <c r="K1186" s="44" t="s">
        <v>1172</v>
      </c>
      <c r="L1186" s="45" t="s">
        <v>1177</v>
      </c>
      <c r="M1186" s="20" t="s">
        <v>1178</v>
      </c>
      <c r="N1186" s="47">
        <v>45625</v>
      </c>
      <c r="O1186" s="20">
        <f>INDEX(Auxiliar!$D$5:$F$13,MATCH(Table1[[#This Row],[Tipologia_Testes]],Auxiliar!$B$5:$B$13,0),MATCH(Table1[[#This Row],[Complexidade]],Auxiliar!$D$4:$F$4,0))</f>
        <v>2</v>
      </c>
      <c r="P1186" s="42"/>
      <c r="Q1186" s="113"/>
      <c r="R1186" s="151">
        <v>45589</v>
      </c>
      <c r="S1186" s="151"/>
      <c r="T1186" s="151"/>
      <c r="U1186" s="151">
        <v>45614</v>
      </c>
      <c r="V1186" s="151">
        <v>45596</v>
      </c>
      <c r="W1186" s="2">
        <f>VLOOKUP(Table1[[#This Row],[Status]],Auxiliar!$B$16:$D$24,3,0)*Table1[[#This Row],[Estimação (horas)]]</f>
        <v>2</v>
      </c>
      <c r="X1186" s="166">
        <f>+VLOOKUP(CONCATENATE(Table1[[#This Row],[Tabela]],Table1[[#This Row],[Campo]]),'2. Status Detalhe Campos FY24'!A:J,9,FALSE)</f>
        <v>0</v>
      </c>
    </row>
    <row r="1187" spans="2:24" ht="35.1" hidden="1" customHeight="1">
      <c r="B1187" s="38" t="s">
        <v>26</v>
      </c>
      <c r="C1187" s="38" t="s">
        <v>26</v>
      </c>
      <c r="D1187" s="38" t="s">
        <v>325</v>
      </c>
      <c r="E1187" s="38" t="s">
        <v>253</v>
      </c>
      <c r="F1187" s="38" t="s">
        <v>335</v>
      </c>
      <c r="G1187" s="38" t="s">
        <v>349</v>
      </c>
      <c r="H1187" s="58" t="str">
        <f>Table1[[#This Row],[Tabela]]&amp;Table1[[#This Row],[Campo]]</f>
        <v>lt003_entitytrnstnl_trnvr</v>
      </c>
      <c r="I1187" s="2" t="s">
        <v>612</v>
      </c>
      <c r="J1187" s="44">
        <f>VLOOKUP(Table1[[#This Row],[Status]],Auxiliar!$B$16:$C$24,2,0)</f>
        <v>1</v>
      </c>
      <c r="K1187" s="44" t="s">
        <v>1174</v>
      </c>
      <c r="L1187" s="45" t="s">
        <v>1177</v>
      </c>
      <c r="M1187" s="20" t="s">
        <v>1178</v>
      </c>
      <c r="N1187" s="47">
        <v>45625</v>
      </c>
      <c r="O1187" s="20">
        <f>INDEX(Auxiliar!$D$5:$F$13,MATCH(Table1[[#This Row],[Tipologia_Testes]],Auxiliar!$B$5:$B$13,0),MATCH(Table1[[#This Row],[Complexidade]],Auxiliar!$D$4:$F$4,0))</f>
        <v>0.1</v>
      </c>
      <c r="P1187" s="42"/>
      <c r="Q1187" s="113"/>
      <c r="R1187" s="151">
        <v>45589</v>
      </c>
      <c r="S1187" s="151"/>
      <c r="T1187" s="151"/>
      <c r="U1187" s="151">
        <v>45614</v>
      </c>
      <c r="V1187" s="151">
        <v>45596</v>
      </c>
      <c r="W1187" s="2">
        <f>VLOOKUP(Table1[[#This Row],[Status]],Auxiliar!$B$16:$D$24,3,0)*Table1[[#This Row],[Estimação (horas)]]</f>
        <v>0.1</v>
      </c>
      <c r="X1187" s="166">
        <f>+VLOOKUP(CONCATENATE(Table1[[#This Row],[Tabela]],Table1[[#This Row],[Campo]]),'2. Status Detalhe Campos FY24'!A:J,9,FALSE)</f>
        <v>0</v>
      </c>
    </row>
    <row r="1188" spans="2:24" ht="17.850000000000001" hidden="1" customHeight="1">
      <c r="B1188" s="40" t="s">
        <v>26</v>
      </c>
      <c r="C1188" s="40" t="s">
        <v>26</v>
      </c>
      <c r="D1188" s="37" t="s">
        <v>325</v>
      </c>
      <c r="E1188" s="39" t="s">
        <v>254</v>
      </c>
      <c r="F1188" s="39" t="s">
        <v>335</v>
      </c>
      <c r="G1188" s="37" t="s">
        <v>350</v>
      </c>
      <c r="H1188" s="59" t="str">
        <f>Table1[[#This Row],[Tabela]]&amp;Table1[[#This Row],[Campo]]</f>
        <v>lt003_entitypure_trnvr_ccm</v>
      </c>
      <c r="I1188" s="2" t="s">
        <v>612</v>
      </c>
      <c r="J1188" s="44">
        <f>VLOOKUP(Table1[[#This Row],[Status]],Auxiliar!$B$16:$C$24,2,0)</f>
        <v>1</v>
      </c>
      <c r="K1188" s="44" t="s">
        <v>1171</v>
      </c>
      <c r="L1188" s="45" t="s">
        <v>1177</v>
      </c>
      <c r="M1188" s="20" t="s">
        <v>1178</v>
      </c>
      <c r="N1188" s="47">
        <v>45625</v>
      </c>
      <c r="O1188" s="20">
        <f>INDEX(Auxiliar!$D$5:$F$13,MATCH(Table1[[#This Row],[Tipologia_Testes]],Auxiliar!$B$5:$B$13,0),MATCH(Table1[[#This Row],[Complexidade]],Auxiliar!$D$4:$F$4,0))</f>
        <v>2</v>
      </c>
      <c r="P1188" s="42"/>
      <c r="Q1188" s="113"/>
      <c r="R1188" s="151">
        <v>45589</v>
      </c>
      <c r="S1188" s="151"/>
      <c r="T1188" s="151"/>
      <c r="U1188" s="151">
        <v>45614</v>
      </c>
      <c r="V1188" s="151">
        <v>45596</v>
      </c>
      <c r="W1188" s="2">
        <f>VLOOKUP(Table1[[#This Row],[Status]],Auxiliar!$B$16:$D$24,3,0)*Table1[[#This Row],[Estimação (horas)]]</f>
        <v>2</v>
      </c>
      <c r="X1188" s="166">
        <f>+VLOOKUP(CONCATENATE(Table1[[#This Row],[Tabela]],Table1[[#This Row],[Campo]]),'2. Status Detalhe Campos FY24'!A:J,9,FALSE)</f>
        <v>0</v>
      </c>
    </row>
    <row r="1189" spans="2:24" ht="17.850000000000001" hidden="1" customHeight="1">
      <c r="B1189" s="38" t="s">
        <v>26</v>
      </c>
      <c r="C1189" s="38" t="s">
        <v>26</v>
      </c>
      <c r="D1189" s="38" t="s">
        <v>325</v>
      </c>
      <c r="E1189" s="38" t="s">
        <v>254</v>
      </c>
      <c r="F1189" s="38" t="s">
        <v>335</v>
      </c>
      <c r="G1189" s="38" t="s">
        <v>350</v>
      </c>
      <c r="H1189" s="58" t="str">
        <f>Table1[[#This Row],[Tabela]]&amp;Table1[[#This Row],[Campo]]</f>
        <v>lt003_entitypure_trnvr_ccm</v>
      </c>
      <c r="I1189" s="2" t="s">
        <v>612</v>
      </c>
      <c r="J1189" s="44">
        <f>VLOOKUP(Table1[[#This Row],[Status]],Auxiliar!$B$16:$C$24,2,0)</f>
        <v>1</v>
      </c>
      <c r="K1189" s="44" t="s">
        <v>1172</v>
      </c>
      <c r="L1189" s="45" t="s">
        <v>1177</v>
      </c>
      <c r="M1189" s="20" t="s">
        <v>1178</v>
      </c>
      <c r="N1189" s="47">
        <v>45625</v>
      </c>
      <c r="O1189" s="20">
        <f>INDEX(Auxiliar!$D$5:$F$13,MATCH(Table1[[#This Row],[Tipologia_Testes]],Auxiliar!$B$5:$B$13,0),MATCH(Table1[[#This Row],[Complexidade]],Auxiliar!$D$4:$F$4,0))</f>
        <v>2</v>
      </c>
      <c r="P1189" s="42"/>
      <c r="Q1189" s="113"/>
      <c r="R1189" s="151">
        <v>45589</v>
      </c>
      <c r="S1189" s="151"/>
      <c r="T1189" s="151"/>
      <c r="U1189" s="151">
        <v>45614</v>
      </c>
      <c r="V1189" s="151">
        <v>45596</v>
      </c>
      <c r="W1189" s="2">
        <f>VLOOKUP(Table1[[#This Row],[Status]],Auxiliar!$B$16:$D$24,3,0)*Table1[[#This Row],[Estimação (horas)]]</f>
        <v>2</v>
      </c>
      <c r="X1189" s="166">
        <f>+VLOOKUP(CONCATENATE(Table1[[#This Row],[Tabela]],Table1[[#This Row],[Campo]]),'2. Status Detalhe Campos FY24'!A:J,9,FALSE)</f>
        <v>0</v>
      </c>
    </row>
    <row r="1190" spans="2:24" ht="35.1" hidden="1" customHeight="1">
      <c r="B1190" s="38" t="s">
        <v>26</v>
      </c>
      <c r="C1190" s="38" t="s">
        <v>26</v>
      </c>
      <c r="D1190" s="38" t="s">
        <v>325</v>
      </c>
      <c r="E1190" s="38" t="s">
        <v>254</v>
      </c>
      <c r="F1190" s="38" t="s">
        <v>335</v>
      </c>
      <c r="G1190" s="38" t="s">
        <v>350</v>
      </c>
      <c r="H1190" s="58" t="str">
        <f>Table1[[#This Row],[Tabela]]&amp;Table1[[#This Row],[Campo]]</f>
        <v>lt003_entitypure_trnvr_ccm</v>
      </c>
      <c r="I1190" s="2" t="s">
        <v>612</v>
      </c>
      <c r="J1190" s="44">
        <f>VLOOKUP(Table1[[#This Row],[Status]],Auxiliar!$B$16:$C$24,2,0)</f>
        <v>1</v>
      </c>
      <c r="K1190" s="44" t="s">
        <v>1174</v>
      </c>
      <c r="L1190" s="45" t="s">
        <v>1177</v>
      </c>
      <c r="M1190" s="20" t="s">
        <v>1178</v>
      </c>
      <c r="N1190" s="47">
        <v>45625</v>
      </c>
      <c r="O1190" s="20">
        <f>INDEX(Auxiliar!$D$5:$F$13,MATCH(Table1[[#This Row],[Tipologia_Testes]],Auxiliar!$B$5:$B$13,0),MATCH(Table1[[#This Row],[Complexidade]],Auxiliar!$D$4:$F$4,0))</f>
        <v>0.1</v>
      </c>
      <c r="P1190" s="42"/>
      <c r="Q1190" s="113"/>
      <c r="R1190" s="151">
        <v>45589</v>
      </c>
      <c r="S1190" s="151"/>
      <c r="T1190" s="151"/>
      <c r="U1190" s="151">
        <v>45614</v>
      </c>
      <c r="V1190" s="151">
        <v>45596</v>
      </c>
      <c r="W1190" s="2">
        <f>VLOOKUP(Table1[[#This Row],[Status]],Auxiliar!$B$16:$D$24,3,0)*Table1[[#This Row],[Estimação (horas)]]</f>
        <v>0.1</v>
      </c>
      <c r="X1190" s="166">
        <f>+VLOOKUP(CONCATENATE(Table1[[#This Row],[Tabela]],Table1[[#This Row],[Campo]]),'2. Status Detalhe Campos FY24'!A:J,9,FALSE)</f>
        <v>0</v>
      </c>
    </row>
    <row r="1191" spans="2:24" ht="17.850000000000001" hidden="1" customHeight="1">
      <c r="B1191" s="40" t="s">
        <v>26</v>
      </c>
      <c r="C1191" s="40" t="s">
        <v>26</v>
      </c>
      <c r="D1191" s="37" t="s">
        <v>325</v>
      </c>
      <c r="E1191" s="39" t="s">
        <v>247</v>
      </c>
      <c r="F1191" s="39" t="s">
        <v>335</v>
      </c>
      <c r="G1191" s="37" t="s">
        <v>351</v>
      </c>
      <c r="H1191" s="59" t="str">
        <f>Table1[[#This Row],[Tabela]]&amp;Table1[[#This Row],[Campo]]</f>
        <v>lt003_entitypure_trnvr_cca</v>
      </c>
      <c r="I1191" s="2" t="s">
        <v>612</v>
      </c>
      <c r="J1191" s="44">
        <f>VLOOKUP(Table1[[#This Row],[Status]],Auxiliar!$B$16:$C$24,2,0)</f>
        <v>1</v>
      </c>
      <c r="K1191" s="44" t="s">
        <v>1171</v>
      </c>
      <c r="L1191" s="45" t="s">
        <v>1177</v>
      </c>
      <c r="M1191" s="20" t="s">
        <v>1178</v>
      </c>
      <c r="N1191" s="47">
        <v>45625</v>
      </c>
      <c r="O1191" s="20">
        <f>INDEX(Auxiliar!$D$5:$F$13,MATCH(Table1[[#This Row],[Tipologia_Testes]],Auxiliar!$B$5:$B$13,0),MATCH(Table1[[#This Row],[Complexidade]],Auxiliar!$D$4:$F$4,0))</f>
        <v>2</v>
      </c>
      <c r="P1191" s="42"/>
      <c r="Q1191" s="113"/>
      <c r="R1191" s="151">
        <v>45589</v>
      </c>
      <c r="S1191" s="151"/>
      <c r="T1191" s="151"/>
      <c r="U1191" s="151">
        <v>45614</v>
      </c>
      <c r="V1191" s="151">
        <v>45596</v>
      </c>
      <c r="W1191" s="2">
        <f>VLOOKUP(Table1[[#This Row],[Status]],Auxiliar!$B$16:$D$24,3,0)*Table1[[#This Row],[Estimação (horas)]]</f>
        <v>2</v>
      </c>
      <c r="X1191" s="166">
        <f>+VLOOKUP(CONCATENATE(Table1[[#This Row],[Tabela]],Table1[[#This Row],[Campo]]),'2. Status Detalhe Campos FY24'!A:J,9,FALSE)</f>
        <v>0</v>
      </c>
    </row>
    <row r="1192" spans="2:24" ht="17.850000000000001" hidden="1" customHeight="1">
      <c r="B1192" s="38" t="s">
        <v>26</v>
      </c>
      <c r="C1192" s="38" t="s">
        <v>26</v>
      </c>
      <c r="D1192" s="38" t="s">
        <v>325</v>
      </c>
      <c r="E1192" s="38" t="s">
        <v>247</v>
      </c>
      <c r="F1192" s="38" t="s">
        <v>335</v>
      </c>
      <c r="G1192" s="38" t="s">
        <v>351</v>
      </c>
      <c r="H1192" s="58" t="str">
        <f>Table1[[#This Row],[Tabela]]&amp;Table1[[#This Row],[Campo]]</f>
        <v>lt003_entitypure_trnvr_cca</v>
      </c>
      <c r="I1192" s="2" t="s">
        <v>612</v>
      </c>
      <c r="J1192" s="44">
        <f>VLOOKUP(Table1[[#This Row],[Status]],Auxiliar!$B$16:$C$24,2,0)</f>
        <v>1</v>
      </c>
      <c r="K1192" s="44" t="s">
        <v>1172</v>
      </c>
      <c r="L1192" s="45" t="s">
        <v>1177</v>
      </c>
      <c r="M1192" s="20" t="s">
        <v>1178</v>
      </c>
      <c r="N1192" s="47">
        <v>45625</v>
      </c>
      <c r="O1192" s="20">
        <f>INDEX(Auxiliar!$D$5:$F$13,MATCH(Table1[[#This Row],[Tipologia_Testes]],Auxiliar!$B$5:$B$13,0),MATCH(Table1[[#This Row],[Complexidade]],Auxiliar!$D$4:$F$4,0))</f>
        <v>2</v>
      </c>
      <c r="P1192" s="42"/>
      <c r="Q1192" s="113"/>
      <c r="R1192" s="151">
        <v>45589</v>
      </c>
      <c r="S1192" s="151"/>
      <c r="T1192" s="151"/>
      <c r="U1192" s="151">
        <v>45614</v>
      </c>
      <c r="V1192" s="151">
        <v>45596</v>
      </c>
      <c r="W1192" s="2">
        <f>VLOOKUP(Table1[[#This Row],[Status]],Auxiliar!$B$16:$D$24,3,0)*Table1[[#This Row],[Estimação (horas)]]</f>
        <v>2</v>
      </c>
      <c r="X1192" s="166">
        <f>+VLOOKUP(CONCATENATE(Table1[[#This Row],[Tabela]],Table1[[#This Row],[Campo]]),'2. Status Detalhe Campos FY24'!A:J,9,FALSE)</f>
        <v>0</v>
      </c>
    </row>
    <row r="1193" spans="2:24" ht="35.1" hidden="1" customHeight="1">
      <c r="B1193" s="38" t="s">
        <v>26</v>
      </c>
      <c r="C1193" s="38" t="s">
        <v>26</v>
      </c>
      <c r="D1193" s="38" t="s">
        <v>325</v>
      </c>
      <c r="E1193" s="38" t="s">
        <v>247</v>
      </c>
      <c r="F1193" s="38" t="s">
        <v>335</v>
      </c>
      <c r="G1193" s="38" t="s">
        <v>351</v>
      </c>
      <c r="H1193" s="58" t="str">
        <f>Table1[[#This Row],[Tabela]]&amp;Table1[[#This Row],[Campo]]</f>
        <v>lt003_entitypure_trnvr_cca</v>
      </c>
      <c r="I1193" s="2" t="s">
        <v>612</v>
      </c>
      <c r="J1193" s="44">
        <f>VLOOKUP(Table1[[#This Row],[Status]],Auxiliar!$B$16:$C$24,2,0)</f>
        <v>1</v>
      </c>
      <c r="K1193" s="44" t="s">
        <v>1174</v>
      </c>
      <c r="L1193" s="45" t="s">
        <v>1177</v>
      </c>
      <c r="M1193" s="20" t="s">
        <v>1178</v>
      </c>
      <c r="N1193" s="47">
        <v>45625</v>
      </c>
      <c r="O1193" s="20">
        <f>INDEX(Auxiliar!$D$5:$F$13,MATCH(Table1[[#This Row],[Tipologia_Testes]],Auxiliar!$B$5:$B$13,0),MATCH(Table1[[#This Row],[Complexidade]],Auxiliar!$D$4:$F$4,0))</f>
        <v>0.1</v>
      </c>
      <c r="P1193" s="42"/>
      <c r="Q1193" s="113"/>
      <c r="R1193" s="151">
        <v>45589</v>
      </c>
      <c r="S1193" s="151"/>
      <c r="T1193" s="151"/>
      <c r="U1193" s="151">
        <v>45614</v>
      </c>
      <c r="V1193" s="151">
        <v>45596</v>
      </c>
      <c r="W1193" s="2">
        <f>VLOOKUP(Table1[[#This Row],[Status]],Auxiliar!$B$16:$D$24,3,0)*Table1[[#This Row],[Estimação (horas)]]</f>
        <v>0.1</v>
      </c>
      <c r="X1193" s="166">
        <f>+VLOOKUP(CONCATENATE(Table1[[#This Row],[Tabela]],Table1[[#This Row],[Campo]]),'2. Status Detalhe Campos FY24'!A:J,9,FALSE)</f>
        <v>0</v>
      </c>
    </row>
    <row r="1194" spans="2:24" ht="17.850000000000001" hidden="1" customHeight="1">
      <c r="B1194" s="40" t="s">
        <v>26</v>
      </c>
      <c r="C1194" s="40" t="s">
        <v>26</v>
      </c>
      <c r="D1194" s="35" t="s">
        <v>325</v>
      </c>
      <c r="E1194" s="110" t="s">
        <v>1255</v>
      </c>
      <c r="F1194" s="39" t="s">
        <v>335</v>
      </c>
      <c r="G1194" s="37" t="s">
        <v>352</v>
      </c>
      <c r="H1194" s="59" t="str">
        <f>Table1[[#This Row],[Tabela]]&amp;Table1[[#This Row],[Campo]]</f>
        <v>lt003_entityflg_nfrd_applcblty</v>
      </c>
      <c r="I1194" s="2" t="s">
        <v>612</v>
      </c>
      <c r="J1194" s="44">
        <f>VLOOKUP(Table1[[#This Row],[Status]],Auxiliar!$B$16:$C$24,2,0)</f>
        <v>1</v>
      </c>
      <c r="K1194" s="44" t="s">
        <v>1171</v>
      </c>
      <c r="L1194" s="45" t="s">
        <v>1177</v>
      </c>
      <c r="M1194" s="20" t="s">
        <v>1178</v>
      </c>
      <c r="N1194" s="47">
        <v>45632</v>
      </c>
      <c r="O1194" s="20">
        <f>INDEX(Auxiliar!$D$5:$F$13,MATCH(Table1[[#This Row],[Tipologia_Testes]],Auxiliar!$B$5:$B$13,0),MATCH(Table1[[#This Row],[Complexidade]],Auxiliar!$D$4:$F$4,0))</f>
        <v>2</v>
      </c>
      <c r="P1194" s="42"/>
      <c r="Q1194" s="113"/>
      <c r="R1194" s="151">
        <v>45589</v>
      </c>
      <c r="S1194" s="151"/>
      <c r="T1194" s="151">
        <v>45589</v>
      </c>
      <c r="U1194" s="151">
        <v>45611</v>
      </c>
      <c r="V1194" s="151">
        <v>45611</v>
      </c>
      <c r="W1194" s="2">
        <f>VLOOKUP(Table1[[#This Row],[Status]],Auxiliar!$B$16:$D$24,3,0)*Table1[[#This Row],[Estimação (horas)]]</f>
        <v>2</v>
      </c>
      <c r="X1194" s="166">
        <f>+VLOOKUP(CONCATENATE(Table1[[#This Row],[Tabela]],Table1[[#This Row],[Campo]]),'2. Status Detalhe Campos FY24'!A:J,9,FALSE)</f>
        <v>0</v>
      </c>
    </row>
    <row r="1195" spans="2:24" ht="17.850000000000001" hidden="1" customHeight="1">
      <c r="B1195" s="38" t="s">
        <v>26</v>
      </c>
      <c r="C1195" s="38" t="s">
        <v>26</v>
      </c>
      <c r="D1195" s="38" t="s">
        <v>325</v>
      </c>
      <c r="E1195" s="38" t="s">
        <v>1255</v>
      </c>
      <c r="F1195" s="38" t="s">
        <v>335</v>
      </c>
      <c r="G1195" s="38" t="s">
        <v>352</v>
      </c>
      <c r="H1195" s="58" t="str">
        <f>Table1[[#This Row],[Tabela]]&amp;Table1[[#This Row],[Campo]]</f>
        <v>lt003_entityflg_nfrd_applcblty</v>
      </c>
      <c r="I1195" s="2" t="s">
        <v>612</v>
      </c>
      <c r="J1195" s="44">
        <f>VLOOKUP(Table1[[#This Row],[Status]],Auxiliar!$B$16:$C$24,2,0)</f>
        <v>1</v>
      </c>
      <c r="K1195" s="44" t="s">
        <v>1172</v>
      </c>
      <c r="L1195" s="45" t="s">
        <v>1177</v>
      </c>
      <c r="M1195" s="20" t="s">
        <v>1178</v>
      </c>
      <c r="N1195" s="47">
        <v>45632</v>
      </c>
      <c r="O1195" s="20">
        <f>INDEX(Auxiliar!$D$5:$F$13,MATCH(Table1[[#This Row],[Tipologia_Testes]],Auxiliar!$B$5:$B$13,0),MATCH(Table1[[#This Row],[Complexidade]],Auxiliar!$D$4:$F$4,0))</f>
        <v>2</v>
      </c>
      <c r="P1195" s="42"/>
      <c r="Q1195" s="113"/>
      <c r="R1195" s="151">
        <v>45589</v>
      </c>
      <c r="S1195" s="151"/>
      <c r="T1195" s="151">
        <v>45589</v>
      </c>
      <c r="U1195" s="151">
        <v>45611</v>
      </c>
      <c r="V1195" s="151">
        <v>45611</v>
      </c>
      <c r="W1195" s="2">
        <f>VLOOKUP(Table1[[#This Row],[Status]],Auxiliar!$B$16:$D$24,3,0)*Table1[[#This Row],[Estimação (horas)]]</f>
        <v>2</v>
      </c>
      <c r="X1195" s="166">
        <f>+VLOOKUP(CONCATENATE(Table1[[#This Row],[Tabela]],Table1[[#This Row],[Campo]]),'2. Status Detalhe Campos FY24'!A:J,9,FALSE)</f>
        <v>0</v>
      </c>
    </row>
    <row r="1196" spans="2:24" ht="35.1" hidden="1" customHeight="1">
      <c r="B1196" s="38" t="s">
        <v>26</v>
      </c>
      <c r="C1196" s="38" t="s">
        <v>26</v>
      </c>
      <c r="D1196" s="38" t="s">
        <v>325</v>
      </c>
      <c r="E1196" s="38" t="s">
        <v>1255</v>
      </c>
      <c r="F1196" s="38" t="s">
        <v>335</v>
      </c>
      <c r="G1196" s="38" t="s">
        <v>352</v>
      </c>
      <c r="H1196" s="58" t="str">
        <f>Table1[[#This Row],[Tabela]]&amp;Table1[[#This Row],[Campo]]</f>
        <v>lt003_entityflg_nfrd_applcblty</v>
      </c>
      <c r="I1196" s="2" t="s">
        <v>612</v>
      </c>
      <c r="J1196" s="44">
        <f>VLOOKUP(Table1[[#This Row],[Status]],Auxiliar!$B$16:$C$24,2,0)</f>
        <v>1</v>
      </c>
      <c r="K1196" s="44" t="s">
        <v>1174</v>
      </c>
      <c r="L1196" s="45" t="s">
        <v>1177</v>
      </c>
      <c r="M1196" s="20" t="s">
        <v>1178</v>
      </c>
      <c r="N1196" s="47">
        <v>45632</v>
      </c>
      <c r="O1196" s="20">
        <f>INDEX(Auxiliar!$D$5:$F$13,MATCH(Table1[[#This Row],[Tipologia_Testes]],Auxiliar!$B$5:$B$13,0),MATCH(Table1[[#This Row],[Complexidade]],Auxiliar!$D$4:$F$4,0))</f>
        <v>0.1</v>
      </c>
      <c r="P1196" s="42"/>
      <c r="Q1196" s="113"/>
      <c r="R1196" s="151">
        <v>45589</v>
      </c>
      <c r="S1196" s="151"/>
      <c r="T1196" s="151">
        <v>45589</v>
      </c>
      <c r="U1196" s="151">
        <v>45611</v>
      </c>
      <c r="V1196" s="151">
        <v>45611</v>
      </c>
      <c r="W1196" s="2">
        <f>VLOOKUP(Table1[[#This Row],[Status]],Auxiliar!$B$16:$D$24,3,0)*Table1[[#This Row],[Estimação (horas)]]</f>
        <v>0.1</v>
      </c>
      <c r="X1196" s="166">
        <f>+VLOOKUP(CONCATENATE(Table1[[#This Row],[Tabela]],Table1[[#This Row],[Campo]]),'2. Status Detalhe Campos FY24'!A:J,9,FALSE)</f>
        <v>0</v>
      </c>
    </row>
    <row r="1197" spans="2:24" ht="17.850000000000001" hidden="1" customHeight="1">
      <c r="B1197" s="40" t="s">
        <v>26</v>
      </c>
      <c r="C1197" s="40" t="s">
        <v>26</v>
      </c>
      <c r="D1197" s="35" t="s">
        <v>325</v>
      </c>
      <c r="E1197" s="110" t="s">
        <v>285</v>
      </c>
      <c r="F1197" s="39" t="s">
        <v>335</v>
      </c>
      <c r="G1197" s="37" t="s">
        <v>353</v>
      </c>
      <c r="H1197" s="59" t="str">
        <f>Table1[[#This Row],[Tabela]]&amp;Table1[[#This Row],[Campo]]</f>
        <v>lt003_entitycntrprty_emssns_scp1</v>
      </c>
      <c r="I1197" s="2" t="s">
        <v>612</v>
      </c>
      <c r="J1197" s="44">
        <f>VLOOKUP(Table1[[#This Row],[Status]],Auxiliar!$B$16:$C$24,2,0)</f>
        <v>1</v>
      </c>
      <c r="K1197" s="44" t="s">
        <v>1171</v>
      </c>
      <c r="L1197" s="45" t="s">
        <v>1177</v>
      </c>
      <c r="M1197" s="20" t="s">
        <v>1178</v>
      </c>
      <c r="N1197" s="47">
        <v>45674</v>
      </c>
      <c r="O1197" s="20">
        <f>INDEX(Auxiliar!$D$5:$F$13,MATCH(Table1[[#This Row],[Tipologia_Testes]],Auxiliar!$B$5:$B$13,0),MATCH(Table1[[#This Row],[Complexidade]],Auxiliar!$D$4:$F$4,0))</f>
        <v>2</v>
      </c>
      <c r="P1197" s="42"/>
      <c r="Q1197" s="113"/>
      <c r="R1197" s="151">
        <v>45589</v>
      </c>
      <c r="S1197" s="151"/>
      <c r="T1197" s="151"/>
      <c r="U1197" s="151">
        <v>45621</v>
      </c>
      <c r="V1197" s="151">
        <v>45596</v>
      </c>
      <c r="W1197" s="2">
        <f>VLOOKUP(Table1[[#This Row],[Status]],Auxiliar!$B$16:$D$24,3,0)*Table1[[#This Row],[Estimação (horas)]]</f>
        <v>2</v>
      </c>
      <c r="X1197" s="166">
        <f>+VLOOKUP(CONCATENATE(Table1[[#This Row],[Tabela]],Table1[[#This Row],[Campo]]),'2. Status Detalhe Campos FY24'!A:J,9,FALSE)</f>
        <v>0</v>
      </c>
    </row>
    <row r="1198" spans="2:24" ht="17.850000000000001" hidden="1" customHeight="1">
      <c r="B1198" s="38" t="s">
        <v>26</v>
      </c>
      <c r="C1198" s="38" t="s">
        <v>26</v>
      </c>
      <c r="D1198" s="38" t="s">
        <v>325</v>
      </c>
      <c r="E1198" s="38" t="s">
        <v>285</v>
      </c>
      <c r="F1198" s="38" t="s">
        <v>335</v>
      </c>
      <c r="G1198" s="38" t="s">
        <v>353</v>
      </c>
      <c r="H1198" s="58" t="str">
        <f>Table1[[#This Row],[Tabela]]&amp;Table1[[#This Row],[Campo]]</f>
        <v>lt003_entitycntrprty_emssns_scp1</v>
      </c>
      <c r="I1198" s="2" t="s">
        <v>612</v>
      </c>
      <c r="J1198" s="44">
        <f>VLOOKUP(Table1[[#This Row],[Status]],Auxiliar!$B$16:$C$24,2,0)</f>
        <v>1</v>
      </c>
      <c r="K1198" s="44" t="s">
        <v>1172</v>
      </c>
      <c r="L1198" s="45" t="s">
        <v>1177</v>
      </c>
      <c r="M1198" s="20" t="s">
        <v>1178</v>
      </c>
      <c r="N1198" s="47">
        <v>45674</v>
      </c>
      <c r="O1198" s="20">
        <f>INDEX(Auxiliar!$D$5:$F$13,MATCH(Table1[[#This Row],[Tipologia_Testes]],Auxiliar!$B$5:$B$13,0),MATCH(Table1[[#This Row],[Complexidade]],Auxiliar!$D$4:$F$4,0))</f>
        <v>2</v>
      </c>
      <c r="P1198" s="42"/>
      <c r="Q1198" s="113"/>
      <c r="R1198" s="151">
        <v>45589</v>
      </c>
      <c r="S1198" s="151"/>
      <c r="T1198" s="151"/>
      <c r="U1198" s="151">
        <v>45621</v>
      </c>
      <c r="V1198" s="151">
        <v>45596</v>
      </c>
      <c r="W1198" s="2">
        <f>VLOOKUP(Table1[[#This Row],[Status]],Auxiliar!$B$16:$D$24,3,0)*Table1[[#This Row],[Estimação (horas)]]</f>
        <v>2</v>
      </c>
      <c r="X1198" s="166">
        <f>+VLOOKUP(CONCATENATE(Table1[[#This Row],[Tabela]],Table1[[#This Row],[Campo]]),'2. Status Detalhe Campos FY24'!A:J,9,FALSE)</f>
        <v>0</v>
      </c>
    </row>
    <row r="1199" spans="2:24" ht="35.1" hidden="1" customHeight="1">
      <c r="B1199" s="38" t="s">
        <v>26</v>
      </c>
      <c r="C1199" s="38" t="s">
        <v>26</v>
      </c>
      <c r="D1199" s="38" t="s">
        <v>325</v>
      </c>
      <c r="E1199" s="38" t="s">
        <v>285</v>
      </c>
      <c r="F1199" s="38" t="s">
        <v>335</v>
      </c>
      <c r="G1199" s="38" t="s">
        <v>353</v>
      </c>
      <c r="H1199" s="58" t="str">
        <f>Table1[[#This Row],[Tabela]]&amp;Table1[[#This Row],[Campo]]</f>
        <v>lt003_entitycntrprty_emssns_scp1</v>
      </c>
      <c r="I1199" s="2" t="s">
        <v>612</v>
      </c>
      <c r="J1199" s="44">
        <f>VLOOKUP(Table1[[#This Row],[Status]],Auxiliar!$B$16:$C$24,2,0)</f>
        <v>1</v>
      </c>
      <c r="K1199" s="44" t="s">
        <v>1174</v>
      </c>
      <c r="L1199" s="45" t="s">
        <v>1177</v>
      </c>
      <c r="M1199" s="20" t="s">
        <v>1178</v>
      </c>
      <c r="N1199" s="47">
        <v>45674</v>
      </c>
      <c r="O1199" s="20">
        <f>INDEX(Auxiliar!$D$5:$F$13,MATCH(Table1[[#This Row],[Tipologia_Testes]],Auxiliar!$B$5:$B$13,0),MATCH(Table1[[#This Row],[Complexidade]],Auxiliar!$D$4:$F$4,0))</f>
        <v>0.1</v>
      </c>
      <c r="P1199" s="42"/>
      <c r="Q1199" s="113"/>
      <c r="R1199" s="151">
        <v>45589</v>
      </c>
      <c r="S1199" s="151"/>
      <c r="T1199" s="151"/>
      <c r="U1199" s="151">
        <v>45621</v>
      </c>
      <c r="V1199" s="151">
        <v>45596</v>
      </c>
      <c r="W1199" s="2">
        <f>VLOOKUP(Table1[[#This Row],[Status]],Auxiliar!$B$16:$D$24,3,0)*Table1[[#This Row],[Estimação (horas)]]</f>
        <v>0.1</v>
      </c>
      <c r="X1199" s="166">
        <f>+VLOOKUP(CONCATENATE(Table1[[#This Row],[Tabela]],Table1[[#This Row],[Campo]]),'2. Status Detalhe Campos FY24'!A:J,9,FALSE)</f>
        <v>0</v>
      </c>
    </row>
    <row r="1200" spans="2:24" ht="17.850000000000001" hidden="1" customHeight="1">
      <c r="B1200" s="40" t="s">
        <v>26</v>
      </c>
      <c r="C1200" s="40" t="s">
        <v>26</v>
      </c>
      <c r="D1200" s="35" t="s">
        <v>325</v>
      </c>
      <c r="E1200" s="110" t="s">
        <v>286</v>
      </c>
      <c r="F1200" s="39" t="s">
        <v>335</v>
      </c>
      <c r="G1200" s="37" t="s">
        <v>354</v>
      </c>
      <c r="H1200" s="59" t="str">
        <f>Table1[[#This Row],[Tabela]]&amp;Table1[[#This Row],[Campo]]</f>
        <v>lt003_entitycntrprty_emssns_scp2</v>
      </c>
      <c r="I1200" s="2" t="s">
        <v>612</v>
      </c>
      <c r="J1200" s="44">
        <f>VLOOKUP(Table1[[#This Row],[Status]],Auxiliar!$B$16:$C$24,2,0)</f>
        <v>1</v>
      </c>
      <c r="K1200" s="44" t="s">
        <v>1171</v>
      </c>
      <c r="L1200" s="45" t="s">
        <v>1177</v>
      </c>
      <c r="M1200" s="20" t="s">
        <v>1178</v>
      </c>
      <c r="N1200" s="47">
        <v>45674</v>
      </c>
      <c r="O1200" s="20">
        <f>INDEX(Auxiliar!$D$5:$F$13,MATCH(Table1[[#This Row],[Tipologia_Testes]],Auxiliar!$B$5:$B$13,0),MATCH(Table1[[#This Row],[Complexidade]],Auxiliar!$D$4:$F$4,0))</f>
        <v>2</v>
      </c>
      <c r="P1200" s="42"/>
      <c r="Q1200" s="113"/>
      <c r="R1200" s="151">
        <v>45589</v>
      </c>
      <c r="S1200" s="151"/>
      <c r="T1200" s="151"/>
      <c r="U1200" s="151">
        <v>45621</v>
      </c>
      <c r="V1200" s="151">
        <v>45596</v>
      </c>
      <c r="W1200" s="2">
        <f>VLOOKUP(Table1[[#This Row],[Status]],Auxiliar!$B$16:$D$24,3,0)*Table1[[#This Row],[Estimação (horas)]]</f>
        <v>2</v>
      </c>
      <c r="X1200" s="166">
        <f>+VLOOKUP(CONCATENATE(Table1[[#This Row],[Tabela]],Table1[[#This Row],[Campo]]),'2. Status Detalhe Campos FY24'!A:J,9,FALSE)</f>
        <v>0</v>
      </c>
    </row>
    <row r="1201" spans="2:24" ht="17.850000000000001" hidden="1" customHeight="1">
      <c r="B1201" s="38" t="s">
        <v>26</v>
      </c>
      <c r="C1201" s="38" t="s">
        <v>26</v>
      </c>
      <c r="D1201" s="38" t="s">
        <v>325</v>
      </c>
      <c r="E1201" s="38" t="s">
        <v>286</v>
      </c>
      <c r="F1201" s="38" t="s">
        <v>335</v>
      </c>
      <c r="G1201" s="38" t="s">
        <v>354</v>
      </c>
      <c r="H1201" s="58" t="str">
        <f>Table1[[#This Row],[Tabela]]&amp;Table1[[#This Row],[Campo]]</f>
        <v>lt003_entitycntrprty_emssns_scp2</v>
      </c>
      <c r="I1201" s="2" t="s">
        <v>612</v>
      </c>
      <c r="J1201" s="44">
        <f>VLOOKUP(Table1[[#This Row],[Status]],Auxiliar!$B$16:$C$24,2,0)</f>
        <v>1</v>
      </c>
      <c r="K1201" s="44" t="s">
        <v>1172</v>
      </c>
      <c r="L1201" s="45" t="s">
        <v>1177</v>
      </c>
      <c r="M1201" s="20" t="s">
        <v>1178</v>
      </c>
      <c r="N1201" s="47">
        <v>45674</v>
      </c>
      <c r="O1201" s="20">
        <f>INDEX(Auxiliar!$D$5:$F$13,MATCH(Table1[[#This Row],[Tipologia_Testes]],Auxiliar!$B$5:$B$13,0),MATCH(Table1[[#This Row],[Complexidade]],Auxiliar!$D$4:$F$4,0))</f>
        <v>2</v>
      </c>
      <c r="P1201" s="42"/>
      <c r="Q1201" s="113"/>
      <c r="R1201" s="151">
        <v>45589</v>
      </c>
      <c r="S1201" s="151"/>
      <c r="T1201" s="151"/>
      <c r="U1201" s="151">
        <v>45621</v>
      </c>
      <c r="V1201" s="151">
        <v>45596</v>
      </c>
      <c r="W1201" s="2">
        <f>VLOOKUP(Table1[[#This Row],[Status]],Auxiliar!$B$16:$D$24,3,0)*Table1[[#This Row],[Estimação (horas)]]</f>
        <v>2</v>
      </c>
      <c r="X1201" s="166">
        <f>+VLOOKUP(CONCATENATE(Table1[[#This Row],[Tabela]],Table1[[#This Row],[Campo]]),'2. Status Detalhe Campos FY24'!A:J,9,FALSE)</f>
        <v>0</v>
      </c>
    </row>
    <row r="1202" spans="2:24" ht="35.1" hidden="1" customHeight="1">
      <c r="B1202" s="38" t="s">
        <v>26</v>
      </c>
      <c r="C1202" s="38" t="s">
        <v>26</v>
      </c>
      <c r="D1202" s="38" t="s">
        <v>325</v>
      </c>
      <c r="E1202" s="38" t="s">
        <v>286</v>
      </c>
      <c r="F1202" s="38" t="s">
        <v>335</v>
      </c>
      <c r="G1202" s="38" t="s">
        <v>354</v>
      </c>
      <c r="H1202" s="58" t="str">
        <f>Table1[[#This Row],[Tabela]]&amp;Table1[[#This Row],[Campo]]</f>
        <v>lt003_entitycntrprty_emssns_scp2</v>
      </c>
      <c r="I1202" s="2" t="s">
        <v>612</v>
      </c>
      <c r="J1202" s="44">
        <f>VLOOKUP(Table1[[#This Row],[Status]],Auxiliar!$B$16:$C$24,2,0)</f>
        <v>1</v>
      </c>
      <c r="K1202" s="44" t="s">
        <v>1174</v>
      </c>
      <c r="L1202" s="45" t="s">
        <v>1177</v>
      </c>
      <c r="M1202" s="20" t="s">
        <v>1178</v>
      </c>
      <c r="N1202" s="47">
        <v>45674</v>
      </c>
      <c r="O1202" s="20">
        <f>INDEX(Auxiliar!$D$5:$F$13,MATCH(Table1[[#This Row],[Tipologia_Testes]],Auxiliar!$B$5:$B$13,0),MATCH(Table1[[#This Row],[Complexidade]],Auxiliar!$D$4:$F$4,0))</f>
        <v>0.1</v>
      </c>
      <c r="P1202" s="42"/>
      <c r="Q1202" s="113"/>
      <c r="R1202" s="151">
        <v>45589</v>
      </c>
      <c r="S1202" s="151"/>
      <c r="T1202" s="151"/>
      <c r="U1202" s="151">
        <v>45621</v>
      </c>
      <c r="V1202" s="151">
        <v>45596</v>
      </c>
      <c r="W1202" s="2">
        <f>VLOOKUP(Table1[[#This Row],[Status]],Auxiliar!$B$16:$D$24,3,0)*Table1[[#This Row],[Estimação (horas)]]</f>
        <v>0.1</v>
      </c>
      <c r="X1202" s="166">
        <f>+VLOOKUP(CONCATENATE(Table1[[#This Row],[Tabela]],Table1[[#This Row],[Campo]]),'2. Status Detalhe Campos FY24'!A:J,9,FALSE)</f>
        <v>0</v>
      </c>
    </row>
    <row r="1203" spans="2:24" ht="17.850000000000001" hidden="1" customHeight="1">
      <c r="B1203" s="40" t="s">
        <v>26</v>
      </c>
      <c r="C1203" s="40" t="s">
        <v>26</v>
      </c>
      <c r="D1203" s="35" t="s">
        <v>325</v>
      </c>
      <c r="E1203" s="110" t="s">
        <v>287</v>
      </c>
      <c r="F1203" s="39" t="s">
        <v>335</v>
      </c>
      <c r="G1203" s="37" t="s">
        <v>355</v>
      </c>
      <c r="H1203" s="59" t="str">
        <f>Table1[[#This Row],[Tabela]]&amp;Table1[[#This Row],[Campo]]</f>
        <v>lt003_entitycntrprty_emssns_scp3</v>
      </c>
      <c r="I1203" s="2" t="s">
        <v>612</v>
      </c>
      <c r="J1203" s="44">
        <f>VLOOKUP(Table1[[#This Row],[Status]],Auxiliar!$B$16:$C$24,2,0)</f>
        <v>1</v>
      </c>
      <c r="K1203" s="44" t="s">
        <v>1171</v>
      </c>
      <c r="L1203" s="45" t="s">
        <v>1177</v>
      </c>
      <c r="M1203" s="20" t="s">
        <v>1178</v>
      </c>
      <c r="N1203" s="47">
        <v>45674</v>
      </c>
      <c r="O1203" s="20">
        <f>INDEX(Auxiliar!$D$5:$F$13,MATCH(Table1[[#This Row],[Tipologia_Testes]],Auxiliar!$B$5:$B$13,0),MATCH(Table1[[#This Row],[Complexidade]],Auxiliar!$D$4:$F$4,0))</f>
        <v>2</v>
      </c>
      <c r="P1203" s="42"/>
      <c r="Q1203" s="113"/>
      <c r="R1203" s="151">
        <v>45589</v>
      </c>
      <c r="S1203" s="151"/>
      <c r="T1203" s="151"/>
      <c r="U1203" s="151">
        <v>45621</v>
      </c>
      <c r="V1203" s="151">
        <v>45596</v>
      </c>
      <c r="W1203" s="2">
        <f>VLOOKUP(Table1[[#This Row],[Status]],Auxiliar!$B$16:$D$24,3,0)*Table1[[#This Row],[Estimação (horas)]]</f>
        <v>2</v>
      </c>
      <c r="X1203" s="166">
        <f>+VLOOKUP(CONCATENATE(Table1[[#This Row],[Tabela]],Table1[[#This Row],[Campo]]),'2. Status Detalhe Campos FY24'!A:J,9,FALSE)</f>
        <v>0</v>
      </c>
    </row>
    <row r="1204" spans="2:24" ht="17.850000000000001" hidden="1" customHeight="1">
      <c r="B1204" s="38" t="s">
        <v>26</v>
      </c>
      <c r="C1204" s="38" t="s">
        <v>26</v>
      </c>
      <c r="D1204" s="38" t="s">
        <v>325</v>
      </c>
      <c r="E1204" s="38" t="s">
        <v>287</v>
      </c>
      <c r="F1204" s="38" t="s">
        <v>335</v>
      </c>
      <c r="G1204" s="38" t="s">
        <v>355</v>
      </c>
      <c r="H1204" s="58" t="str">
        <f>Table1[[#This Row],[Tabela]]&amp;Table1[[#This Row],[Campo]]</f>
        <v>lt003_entitycntrprty_emssns_scp3</v>
      </c>
      <c r="I1204" s="2" t="s">
        <v>612</v>
      </c>
      <c r="J1204" s="44">
        <f>VLOOKUP(Table1[[#This Row],[Status]],Auxiliar!$B$16:$C$24,2,0)</f>
        <v>1</v>
      </c>
      <c r="K1204" s="44" t="s">
        <v>1172</v>
      </c>
      <c r="L1204" s="45" t="s">
        <v>1177</v>
      </c>
      <c r="M1204" s="20" t="s">
        <v>1178</v>
      </c>
      <c r="N1204" s="47">
        <v>45674</v>
      </c>
      <c r="O1204" s="20">
        <f>INDEX(Auxiliar!$D$5:$F$13,MATCH(Table1[[#This Row],[Tipologia_Testes]],Auxiliar!$B$5:$B$13,0),MATCH(Table1[[#This Row],[Complexidade]],Auxiliar!$D$4:$F$4,0))</f>
        <v>2</v>
      </c>
      <c r="P1204" s="42"/>
      <c r="Q1204" s="113"/>
      <c r="R1204" s="151">
        <v>45589</v>
      </c>
      <c r="S1204" s="151"/>
      <c r="T1204" s="151"/>
      <c r="U1204" s="151">
        <v>45621</v>
      </c>
      <c r="V1204" s="151">
        <v>45596</v>
      </c>
      <c r="W1204" s="2">
        <f>VLOOKUP(Table1[[#This Row],[Status]],Auxiliar!$B$16:$D$24,3,0)*Table1[[#This Row],[Estimação (horas)]]</f>
        <v>2</v>
      </c>
      <c r="X1204" s="166">
        <f>+VLOOKUP(CONCATENATE(Table1[[#This Row],[Tabela]],Table1[[#This Row],[Campo]]),'2. Status Detalhe Campos FY24'!A:J,9,FALSE)</f>
        <v>0</v>
      </c>
    </row>
    <row r="1205" spans="2:24" ht="35.1" hidden="1" customHeight="1">
      <c r="B1205" s="38" t="s">
        <v>26</v>
      </c>
      <c r="C1205" s="38" t="s">
        <v>26</v>
      </c>
      <c r="D1205" s="38" t="s">
        <v>325</v>
      </c>
      <c r="E1205" s="38" t="s">
        <v>287</v>
      </c>
      <c r="F1205" s="38" t="s">
        <v>335</v>
      </c>
      <c r="G1205" s="38" t="s">
        <v>355</v>
      </c>
      <c r="H1205" s="58" t="str">
        <f>Table1[[#This Row],[Tabela]]&amp;Table1[[#This Row],[Campo]]</f>
        <v>lt003_entitycntrprty_emssns_scp3</v>
      </c>
      <c r="I1205" s="2" t="s">
        <v>612</v>
      </c>
      <c r="J1205" s="44">
        <f>VLOOKUP(Table1[[#This Row],[Status]],Auxiliar!$B$16:$C$24,2,0)</f>
        <v>1</v>
      </c>
      <c r="K1205" s="44" t="s">
        <v>1174</v>
      </c>
      <c r="L1205" s="45" t="s">
        <v>1177</v>
      </c>
      <c r="M1205" s="20" t="s">
        <v>1178</v>
      </c>
      <c r="N1205" s="47">
        <v>45674</v>
      </c>
      <c r="O1205" s="20">
        <f>INDEX(Auxiliar!$D$5:$F$13,MATCH(Table1[[#This Row],[Tipologia_Testes]],Auxiliar!$B$5:$B$13,0),MATCH(Table1[[#This Row],[Complexidade]],Auxiliar!$D$4:$F$4,0))</f>
        <v>0.1</v>
      </c>
      <c r="P1205" s="42"/>
      <c r="Q1205" s="113"/>
      <c r="R1205" s="151">
        <v>45589</v>
      </c>
      <c r="S1205" s="151"/>
      <c r="T1205" s="151"/>
      <c r="U1205" s="151">
        <v>45621</v>
      </c>
      <c r="V1205" s="151">
        <v>45596</v>
      </c>
      <c r="W1205" s="2">
        <f>VLOOKUP(Table1[[#This Row],[Status]],Auxiliar!$B$16:$D$24,3,0)*Table1[[#This Row],[Estimação (horas)]]</f>
        <v>0.1</v>
      </c>
      <c r="X1205" s="166">
        <f>+VLOOKUP(CONCATENATE(Table1[[#This Row],[Tabela]],Table1[[#This Row],[Campo]]),'2. Status Detalhe Campos FY24'!A:J,9,FALSE)</f>
        <v>0</v>
      </c>
    </row>
    <row r="1206" spans="2:24" ht="17.850000000000001" hidden="1" customHeight="1">
      <c r="B1206" s="40" t="s">
        <v>26</v>
      </c>
      <c r="C1206" s="40" t="s">
        <v>26</v>
      </c>
      <c r="D1206" s="35" t="s">
        <v>325</v>
      </c>
      <c r="E1206" s="110" t="s">
        <v>1255</v>
      </c>
      <c r="F1206" s="39" t="s">
        <v>335</v>
      </c>
      <c r="G1206" s="37" t="s">
        <v>356</v>
      </c>
      <c r="H1206" s="59" t="str">
        <f>Table1[[#This Row],[Tabela]]&amp;Table1[[#This Row],[Campo]]</f>
        <v>lt003_entityflg_excldd_eu_prs_algnd_bnchmrk</v>
      </c>
      <c r="I1206" s="2" t="s">
        <v>612</v>
      </c>
      <c r="J1206" s="44">
        <f>VLOOKUP(Table1[[#This Row],[Status]],Auxiliar!$B$16:$C$24,2,0)</f>
        <v>1</v>
      </c>
      <c r="K1206" s="44" t="s">
        <v>1171</v>
      </c>
      <c r="L1206" s="45" t="s">
        <v>1177</v>
      </c>
      <c r="M1206" s="20" t="s">
        <v>1178</v>
      </c>
      <c r="N1206" s="47">
        <v>45625</v>
      </c>
      <c r="O1206" s="20">
        <f>INDEX(Auxiliar!$D$5:$F$13,MATCH(Table1[[#This Row],[Tipologia_Testes]],Auxiliar!$B$5:$B$13,0),MATCH(Table1[[#This Row],[Complexidade]],Auxiliar!$D$4:$F$4,0))</f>
        <v>2</v>
      </c>
      <c r="P1206" s="42"/>
      <c r="Q1206" s="113"/>
      <c r="R1206" s="151">
        <v>45589</v>
      </c>
      <c r="S1206" s="151"/>
      <c r="T1206" s="151"/>
      <c r="U1206" s="151">
        <v>45614</v>
      </c>
      <c r="V1206" s="151">
        <v>45596</v>
      </c>
      <c r="W1206" s="2">
        <f>VLOOKUP(Table1[[#This Row],[Status]],Auxiliar!$B$16:$D$24,3,0)*Table1[[#This Row],[Estimação (horas)]]</f>
        <v>2</v>
      </c>
      <c r="X1206" s="166">
        <f>+VLOOKUP(CONCATENATE(Table1[[#This Row],[Tabela]],Table1[[#This Row],[Campo]]),'2. Status Detalhe Campos FY24'!A:J,9,FALSE)</f>
        <v>0</v>
      </c>
    </row>
    <row r="1207" spans="2:24" ht="17.850000000000001" hidden="1" customHeight="1">
      <c r="B1207" s="38" t="s">
        <v>26</v>
      </c>
      <c r="C1207" s="38" t="s">
        <v>26</v>
      </c>
      <c r="D1207" s="38" t="s">
        <v>325</v>
      </c>
      <c r="E1207" s="38" t="s">
        <v>1255</v>
      </c>
      <c r="F1207" s="38" t="s">
        <v>335</v>
      </c>
      <c r="G1207" s="38" t="s">
        <v>356</v>
      </c>
      <c r="H1207" s="58" t="str">
        <f>Table1[[#This Row],[Tabela]]&amp;Table1[[#This Row],[Campo]]</f>
        <v>lt003_entityflg_excldd_eu_prs_algnd_bnchmrk</v>
      </c>
      <c r="I1207" s="2" t="s">
        <v>612</v>
      </c>
      <c r="J1207" s="44">
        <f>VLOOKUP(Table1[[#This Row],[Status]],Auxiliar!$B$16:$C$24,2,0)</f>
        <v>1</v>
      </c>
      <c r="K1207" s="44" t="s">
        <v>1172</v>
      </c>
      <c r="L1207" s="45" t="s">
        <v>1177</v>
      </c>
      <c r="M1207" s="20" t="s">
        <v>1178</v>
      </c>
      <c r="N1207" s="47">
        <v>45625</v>
      </c>
      <c r="O1207" s="20">
        <f>INDEX(Auxiliar!$D$5:$F$13,MATCH(Table1[[#This Row],[Tipologia_Testes]],Auxiliar!$B$5:$B$13,0),MATCH(Table1[[#This Row],[Complexidade]],Auxiliar!$D$4:$F$4,0))</f>
        <v>2</v>
      </c>
      <c r="P1207" s="42"/>
      <c r="Q1207" s="113"/>
      <c r="R1207" s="151">
        <v>45589</v>
      </c>
      <c r="S1207" s="151"/>
      <c r="T1207" s="151"/>
      <c r="U1207" s="151">
        <v>45614</v>
      </c>
      <c r="V1207" s="151">
        <v>45596</v>
      </c>
      <c r="W1207" s="2">
        <f>VLOOKUP(Table1[[#This Row],[Status]],Auxiliar!$B$16:$D$24,3,0)*Table1[[#This Row],[Estimação (horas)]]</f>
        <v>2</v>
      </c>
      <c r="X1207" s="166">
        <f>+VLOOKUP(CONCATENATE(Table1[[#This Row],[Tabela]],Table1[[#This Row],[Campo]]),'2. Status Detalhe Campos FY24'!A:J,9,FALSE)</f>
        <v>0</v>
      </c>
    </row>
    <row r="1208" spans="2:24" ht="35.1" hidden="1" customHeight="1">
      <c r="B1208" s="38" t="s">
        <v>26</v>
      </c>
      <c r="C1208" s="38" t="s">
        <v>26</v>
      </c>
      <c r="D1208" s="38" t="s">
        <v>325</v>
      </c>
      <c r="E1208" s="38" t="s">
        <v>1255</v>
      </c>
      <c r="F1208" s="38" t="s">
        <v>335</v>
      </c>
      <c r="G1208" s="38" t="s">
        <v>356</v>
      </c>
      <c r="H1208" s="58" t="str">
        <f>Table1[[#This Row],[Tabela]]&amp;Table1[[#This Row],[Campo]]</f>
        <v>lt003_entityflg_excldd_eu_prs_algnd_bnchmrk</v>
      </c>
      <c r="I1208" s="2" t="s">
        <v>612</v>
      </c>
      <c r="J1208" s="44">
        <f>VLOOKUP(Table1[[#This Row],[Status]],Auxiliar!$B$16:$C$24,2,0)</f>
        <v>1</v>
      </c>
      <c r="K1208" s="44" t="s">
        <v>1174</v>
      </c>
      <c r="L1208" s="45" t="s">
        <v>1177</v>
      </c>
      <c r="M1208" s="20" t="s">
        <v>1178</v>
      </c>
      <c r="N1208" s="47">
        <v>45625</v>
      </c>
      <c r="O1208" s="20">
        <f>INDEX(Auxiliar!$D$5:$F$13,MATCH(Table1[[#This Row],[Tipologia_Testes]],Auxiliar!$B$5:$B$13,0),MATCH(Table1[[#This Row],[Complexidade]],Auxiliar!$D$4:$F$4,0))</f>
        <v>0.1</v>
      </c>
      <c r="P1208" s="42"/>
      <c r="Q1208" s="113"/>
      <c r="R1208" s="151">
        <v>45589</v>
      </c>
      <c r="S1208" s="151"/>
      <c r="T1208" s="151"/>
      <c r="U1208" s="151">
        <v>45614</v>
      </c>
      <c r="V1208" s="151">
        <v>45596</v>
      </c>
      <c r="W1208" s="2">
        <f>VLOOKUP(Table1[[#This Row],[Status]],Auxiliar!$B$16:$D$24,3,0)*Table1[[#This Row],[Estimação (horas)]]</f>
        <v>0.1</v>
      </c>
      <c r="X1208" s="166">
        <f>+VLOOKUP(CONCATENATE(Table1[[#This Row],[Tabela]],Table1[[#This Row],[Campo]]),'2. Status Detalhe Campos FY24'!A:J,9,FALSE)</f>
        <v>0</v>
      </c>
    </row>
    <row r="1209" spans="2:24" ht="17.850000000000001" hidden="1" customHeight="1">
      <c r="B1209" s="40" t="s">
        <v>26</v>
      </c>
      <c r="C1209" s="40" t="s">
        <v>26</v>
      </c>
      <c r="D1209" s="35" t="s">
        <v>325</v>
      </c>
      <c r="E1209" s="39" t="s">
        <v>1255</v>
      </c>
      <c r="F1209" s="39" t="s">
        <v>335</v>
      </c>
      <c r="G1209" s="37" t="s">
        <v>357</v>
      </c>
      <c r="H1209" s="59" t="str">
        <f>Table1[[#This Row],[Tabela]]&amp;Table1[[#This Row],[Campo]]</f>
        <v>lt003_entityflg_act_physcl_rsk</v>
      </c>
      <c r="I1209" s="2" t="s">
        <v>2325</v>
      </c>
      <c r="J1209" s="44">
        <f>VLOOKUP(Table1[[#This Row],[Status]],Auxiliar!$B$16:$C$24,2,0)</f>
        <v>7</v>
      </c>
      <c r="K1209" s="44" t="s">
        <v>1171</v>
      </c>
      <c r="L1209" s="45" t="s">
        <v>1177</v>
      </c>
      <c r="M1209" s="20" t="s">
        <v>1178</v>
      </c>
      <c r="N1209" s="47">
        <v>45642</v>
      </c>
      <c r="O1209" s="20">
        <f>INDEX(Auxiliar!$D$5:$F$13,MATCH(Table1[[#This Row],[Tipologia_Testes]],Auxiliar!$B$5:$B$13,0),MATCH(Table1[[#This Row],[Complexidade]],Auxiliar!$D$4:$F$4,0))</f>
        <v>2</v>
      </c>
      <c r="P1209" s="42"/>
      <c r="Q1209" s="113"/>
      <c r="R1209" s="151">
        <v>45589</v>
      </c>
      <c r="S1209" s="151"/>
      <c r="T1209" s="151">
        <v>45589</v>
      </c>
      <c r="U1209" s="151"/>
      <c r="V1209" s="151">
        <v>45596</v>
      </c>
      <c r="W1209" s="2">
        <f>VLOOKUP(Table1[[#This Row],[Status]],Auxiliar!$B$16:$D$24,3,0)*Table1[[#This Row],[Estimação (horas)]]</f>
        <v>0.5</v>
      </c>
      <c r="X1209" s="166">
        <f>+VLOOKUP(CONCATENATE(Table1[[#This Row],[Tabela]],Table1[[#This Row],[Campo]]),'2. Status Detalhe Campos FY24'!A:J,9,FALSE)</f>
        <v>0</v>
      </c>
    </row>
    <row r="1210" spans="2:24" ht="17.850000000000001" hidden="1" customHeight="1">
      <c r="B1210" s="38" t="s">
        <v>26</v>
      </c>
      <c r="C1210" s="38" t="s">
        <v>26</v>
      </c>
      <c r="D1210" s="38" t="s">
        <v>325</v>
      </c>
      <c r="E1210" s="38" t="s">
        <v>1255</v>
      </c>
      <c r="F1210" s="38" t="s">
        <v>335</v>
      </c>
      <c r="G1210" s="38" t="s">
        <v>357</v>
      </c>
      <c r="H1210" s="58" t="str">
        <f>Table1[[#This Row],[Tabela]]&amp;Table1[[#This Row],[Campo]]</f>
        <v>lt003_entityflg_act_physcl_rsk</v>
      </c>
      <c r="I1210" s="2" t="s">
        <v>2325</v>
      </c>
      <c r="J1210" s="44">
        <f>VLOOKUP(Table1[[#This Row],[Status]],Auxiliar!$B$16:$C$24,2,0)</f>
        <v>7</v>
      </c>
      <c r="K1210" s="44" t="s">
        <v>1172</v>
      </c>
      <c r="L1210" s="45" t="s">
        <v>1177</v>
      </c>
      <c r="M1210" s="20" t="s">
        <v>1178</v>
      </c>
      <c r="N1210" s="47">
        <v>45642</v>
      </c>
      <c r="O1210" s="20">
        <f>INDEX(Auxiliar!$D$5:$F$13,MATCH(Table1[[#This Row],[Tipologia_Testes]],Auxiliar!$B$5:$B$13,0),MATCH(Table1[[#This Row],[Complexidade]],Auxiliar!$D$4:$F$4,0))</f>
        <v>2</v>
      </c>
      <c r="P1210" s="42"/>
      <c r="Q1210" s="113"/>
      <c r="R1210" s="151">
        <v>45589</v>
      </c>
      <c r="S1210" s="151"/>
      <c r="T1210" s="151">
        <v>45589</v>
      </c>
      <c r="U1210" s="151"/>
      <c r="V1210" s="151">
        <v>45596</v>
      </c>
      <c r="W1210" s="2">
        <f>VLOOKUP(Table1[[#This Row],[Status]],Auxiliar!$B$16:$D$24,3,0)*Table1[[#This Row],[Estimação (horas)]]</f>
        <v>0.5</v>
      </c>
      <c r="X1210" s="166">
        <f>+VLOOKUP(CONCATENATE(Table1[[#This Row],[Tabela]],Table1[[#This Row],[Campo]]),'2. Status Detalhe Campos FY24'!A:J,9,FALSE)</f>
        <v>0</v>
      </c>
    </row>
    <row r="1211" spans="2:24" ht="35.1" hidden="1" customHeight="1">
      <c r="B1211" s="38" t="s">
        <v>26</v>
      </c>
      <c r="C1211" s="38" t="s">
        <v>26</v>
      </c>
      <c r="D1211" s="38" t="s">
        <v>325</v>
      </c>
      <c r="E1211" s="38" t="s">
        <v>1255</v>
      </c>
      <c r="F1211" s="38" t="s">
        <v>335</v>
      </c>
      <c r="G1211" s="38" t="s">
        <v>357</v>
      </c>
      <c r="H1211" s="58" t="str">
        <f>Table1[[#This Row],[Tabela]]&amp;Table1[[#This Row],[Campo]]</f>
        <v>lt003_entityflg_act_physcl_rsk</v>
      </c>
      <c r="I1211" s="2" t="s">
        <v>2325</v>
      </c>
      <c r="J1211" s="44">
        <f>VLOOKUP(Table1[[#This Row],[Status]],Auxiliar!$B$16:$C$24,2,0)</f>
        <v>7</v>
      </c>
      <c r="K1211" s="44" t="s">
        <v>1174</v>
      </c>
      <c r="L1211" s="45" t="s">
        <v>1177</v>
      </c>
      <c r="M1211" s="20" t="s">
        <v>1178</v>
      </c>
      <c r="N1211" s="47">
        <v>45642</v>
      </c>
      <c r="O1211" s="20">
        <f>INDEX(Auxiliar!$D$5:$F$13,MATCH(Table1[[#This Row],[Tipologia_Testes]],Auxiliar!$B$5:$B$13,0),MATCH(Table1[[#This Row],[Complexidade]],Auxiliar!$D$4:$F$4,0))</f>
        <v>0.1</v>
      </c>
      <c r="P1211" s="42"/>
      <c r="Q1211" s="113"/>
      <c r="R1211" s="151">
        <v>45589</v>
      </c>
      <c r="S1211" s="151"/>
      <c r="T1211" s="151">
        <v>45589</v>
      </c>
      <c r="U1211" s="151"/>
      <c r="V1211" s="151">
        <v>45596</v>
      </c>
      <c r="W1211" s="2">
        <f>VLOOKUP(Table1[[#This Row],[Status]],Auxiliar!$B$16:$D$24,3,0)*Table1[[#This Row],[Estimação (horas)]]</f>
        <v>2.5000000000000001E-2</v>
      </c>
      <c r="X1211" s="166">
        <f>+VLOOKUP(CONCATENATE(Table1[[#This Row],[Tabela]],Table1[[#This Row],[Campo]]),'2. Status Detalhe Campos FY24'!A:J,9,FALSE)</f>
        <v>0</v>
      </c>
    </row>
    <row r="1212" spans="2:24" ht="17.850000000000001" hidden="1" customHeight="1">
      <c r="B1212" s="40" t="s">
        <v>26</v>
      </c>
      <c r="C1212" s="40" t="s">
        <v>26</v>
      </c>
      <c r="D1212" s="35" t="s">
        <v>325</v>
      </c>
      <c r="E1212" s="39" t="s">
        <v>1255</v>
      </c>
      <c r="F1212" s="39" t="s">
        <v>335</v>
      </c>
      <c r="G1212" s="37" t="s">
        <v>358</v>
      </c>
      <c r="H1212" s="59" t="str">
        <f>Table1[[#This Row],[Tabela]]&amp;Table1[[#This Row],[Campo]]</f>
        <v>lt003_entityflg_chrnc_physcl_rsk</v>
      </c>
      <c r="I1212" s="2" t="s">
        <v>2325</v>
      </c>
      <c r="J1212" s="44">
        <f>VLOOKUP(Table1[[#This Row],[Status]],Auxiliar!$B$16:$C$24,2,0)</f>
        <v>7</v>
      </c>
      <c r="K1212" s="44" t="s">
        <v>1171</v>
      </c>
      <c r="L1212" s="45" t="s">
        <v>1177</v>
      </c>
      <c r="M1212" s="20" t="s">
        <v>1178</v>
      </c>
      <c r="N1212" s="47">
        <v>45642</v>
      </c>
      <c r="O1212" s="20">
        <f>INDEX(Auxiliar!$D$5:$F$13,MATCH(Table1[[#This Row],[Tipologia_Testes]],Auxiliar!$B$5:$B$13,0),MATCH(Table1[[#This Row],[Complexidade]],Auxiliar!$D$4:$F$4,0))</f>
        <v>2</v>
      </c>
      <c r="P1212" s="42"/>
      <c r="Q1212" s="113"/>
      <c r="R1212" s="151">
        <v>45589</v>
      </c>
      <c r="S1212" s="151"/>
      <c r="T1212" s="151">
        <v>45589</v>
      </c>
      <c r="U1212" s="151"/>
      <c r="V1212" s="151">
        <v>45596</v>
      </c>
      <c r="W1212" s="2">
        <f>VLOOKUP(Table1[[#This Row],[Status]],Auxiliar!$B$16:$D$24,3,0)*Table1[[#This Row],[Estimação (horas)]]</f>
        <v>0.5</v>
      </c>
      <c r="X1212" s="166">
        <f>+VLOOKUP(CONCATENATE(Table1[[#This Row],[Tabela]],Table1[[#This Row],[Campo]]),'2. Status Detalhe Campos FY24'!A:J,9,FALSE)</f>
        <v>0</v>
      </c>
    </row>
    <row r="1213" spans="2:24" ht="17.850000000000001" hidden="1" customHeight="1">
      <c r="B1213" s="38" t="s">
        <v>26</v>
      </c>
      <c r="C1213" s="38" t="s">
        <v>26</v>
      </c>
      <c r="D1213" s="38" t="s">
        <v>325</v>
      </c>
      <c r="E1213" s="38" t="s">
        <v>1255</v>
      </c>
      <c r="F1213" s="38" t="s">
        <v>335</v>
      </c>
      <c r="G1213" s="38" t="s">
        <v>358</v>
      </c>
      <c r="H1213" s="58" t="str">
        <f>Table1[[#This Row],[Tabela]]&amp;Table1[[#This Row],[Campo]]</f>
        <v>lt003_entityflg_chrnc_physcl_rsk</v>
      </c>
      <c r="I1213" s="2" t="s">
        <v>2325</v>
      </c>
      <c r="J1213" s="44">
        <f>VLOOKUP(Table1[[#This Row],[Status]],Auxiliar!$B$16:$C$24,2,0)</f>
        <v>7</v>
      </c>
      <c r="K1213" s="44" t="s">
        <v>1172</v>
      </c>
      <c r="L1213" s="45" t="s">
        <v>1177</v>
      </c>
      <c r="M1213" s="20" t="s">
        <v>1178</v>
      </c>
      <c r="N1213" s="47">
        <v>45642</v>
      </c>
      <c r="O1213" s="20">
        <f>INDEX(Auxiliar!$D$5:$F$13,MATCH(Table1[[#This Row],[Tipologia_Testes]],Auxiliar!$B$5:$B$13,0),MATCH(Table1[[#This Row],[Complexidade]],Auxiliar!$D$4:$F$4,0))</f>
        <v>2</v>
      </c>
      <c r="P1213" s="42"/>
      <c r="Q1213" s="113"/>
      <c r="R1213" s="151">
        <v>45589</v>
      </c>
      <c r="S1213" s="151"/>
      <c r="T1213" s="151">
        <v>45589</v>
      </c>
      <c r="U1213" s="151"/>
      <c r="V1213" s="151">
        <v>45596</v>
      </c>
      <c r="W1213" s="2">
        <f>VLOOKUP(Table1[[#This Row],[Status]],Auxiliar!$B$16:$D$24,3,0)*Table1[[#This Row],[Estimação (horas)]]</f>
        <v>0.5</v>
      </c>
      <c r="X1213" s="166">
        <f>+VLOOKUP(CONCATENATE(Table1[[#This Row],[Tabela]],Table1[[#This Row],[Campo]]),'2. Status Detalhe Campos FY24'!A:J,9,FALSE)</f>
        <v>0</v>
      </c>
    </row>
    <row r="1214" spans="2:24" ht="17.850000000000001" hidden="1" customHeight="1">
      <c r="B1214" s="38" t="s">
        <v>26</v>
      </c>
      <c r="C1214" s="38" t="s">
        <v>26</v>
      </c>
      <c r="D1214" s="38" t="s">
        <v>325</v>
      </c>
      <c r="E1214" s="38" t="s">
        <v>1255</v>
      </c>
      <c r="F1214" s="38" t="s">
        <v>335</v>
      </c>
      <c r="G1214" s="38" t="s">
        <v>358</v>
      </c>
      <c r="H1214" s="58" t="str">
        <f>Table1[[#This Row],[Tabela]]&amp;Table1[[#This Row],[Campo]]</f>
        <v>lt003_entityflg_chrnc_physcl_rsk</v>
      </c>
      <c r="I1214" s="2" t="s">
        <v>2325</v>
      </c>
      <c r="J1214" s="44">
        <f>VLOOKUP(Table1[[#This Row],[Status]],Auxiliar!$B$16:$C$24,2,0)</f>
        <v>7</v>
      </c>
      <c r="K1214" s="44" t="s">
        <v>1174</v>
      </c>
      <c r="L1214" s="45" t="s">
        <v>1177</v>
      </c>
      <c r="M1214" s="20" t="s">
        <v>1178</v>
      </c>
      <c r="N1214" s="47">
        <v>45642</v>
      </c>
      <c r="O1214" s="20">
        <f>INDEX(Auxiliar!$D$5:$F$13,MATCH(Table1[[#This Row],[Tipologia_Testes]],Auxiliar!$B$5:$B$13,0),MATCH(Table1[[#This Row],[Complexidade]],Auxiliar!$D$4:$F$4,0))</f>
        <v>0.1</v>
      </c>
      <c r="P1214" s="42"/>
      <c r="Q1214" s="113"/>
      <c r="R1214" s="151">
        <v>45589</v>
      </c>
      <c r="S1214" s="151"/>
      <c r="T1214" s="151">
        <v>45589</v>
      </c>
      <c r="U1214" s="151"/>
      <c r="V1214" s="151">
        <v>45596</v>
      </c>
      <c r="W1214" s="2">
        <f>VLOOKUP(Table1[[#This Row],[Status]],Auxiliar!$B$16:$D$24,3,0)*Table1[[#This Row],[Estimação (horas)]]</f>
        <v>2.5000000000000001E-2</v>
      </c>
      <c r="X1214" s="166">
        <f>+VLOOKUP(CONCATENATE(Table1[[#This Row],[Tabela]],Table1[[#This Row],[Campo]]),'2. Status Detalhe Campos FY24'!A:J,9,FALSE)</f>
        <v>0</v>
      </c>
    </row>
    <row r="1215" spans="2:24" ht="17.850000000000001" hidden="1" customHeight="1">
      <c r="B1215" s="40" t="s">
        <v>26</v>
      </c>
      <c r="C1215" s="40" t="s">
        <v>26</v>
      </c>
      <c r="D1215" s="41" t="s">
        <v>1257</v>
      </c>
      <c r="E1215" s="110" t="s">
        <v>1258</v>
      </c>
      <c r="F1215" s="39" t="s">
        <v>335</v>
      </c>
      <c r="G1215" s="37" t="s">
        <v>359</v>
      </c>
      <c r="H1215" s="59" t="str">
        <f>Table1[[#This Row],[Tabela]]&amp;Table1[[#This Row],[Campo]]</f>
        <v>lt003_entitypst_cd</v>
      </c>
      <c r="I1215" s="2" t="s">
        <v>612</v>
      </c>
      <c r="J1215" s="44">
        <f>VLOOKUP(Table1[[#This Row],[Status]],Auxiliar!$B$16:$C$24,2,0)</f>
        <v>1</v>
      </c>
      <c r="K1215" s="44" t="s">
        <v>1171</v>
      </c>
      <c r="L1215" s="45" t="s">
        <v>1177</v>
      </c>
      <c r="M1215" s="20" t="s">
        <v>1178</v>
      </c>
      <c r="N1215" s="47">
        <v>45604</v>
      </c>
      <c r="O1215" s="20">
        <f>INDEX(Auxiliar!$D$5:$F$13,MATCH(Table1[[#This Row],[Tipologia_Testes]],Auxiliar!$B$5:$B$13,0),MATCH(Table1[[#This Row],[Complexidade]],Auxiliar!$D$4:$F$4,0))</f>
        <v>2</v>
      </c>
      <c r="P1215" s="42" t="s">
        <v>1259</v>
      </c>
      <c r="Q1215" s="113"/>
      <c r="R1215" s="151">
        <v>45589</v>
      </c>
      <c r="S1215" s="151"/>
      <c r="T1215" s="151">
        <v>45589</v>
      </c>
      <c r="U1215" s="151">
        <v>45596</v>
      </c>
      <c r="V1215" s="151">
        <v>45596</v>
      </c>
      <c r="W1215" s="2">
        <f>VLOOKUP(Table1[[#This Row],[Status]],Auxiliar!$B$16:$D$24,3,0)*Table1[[#This Row],[Estimação (horas)]]</f>
        <v>2</v>
      </c>
      <c r="X1215" s="166">
        <f>+VLOOKUP(CONCATENATE(Table1[[#This Row],[Tabela]],Table1[[#This Row],[Campo]]),'2. Status Detalhe Campos FY24'!A:J,9,FALSE)</f>
        <v>0</v>
      </c>
    </row>
    <row r="1216" spans="2:24" ht="17.850000000000001" hidden="1" customHeight="1">
      <c r="B1216" s="38" t="s">
        <v>26</v>
      </c>
      <c r="C1216" s="38" t="s">
        <v>26</v>
      </c>
      <c r="D1216" s="38" t="s">
        <v>1257</v>
      </c>
      <c r="E1216" s="38" t="s">
        <v>1258</v>
      </c>
      <c r="F1216" s="38" t="s">
        <v>335</v>
      </c>
      <c r="G1216" s="38" t="s">
        <v>359</v>
      </c>
      <c r="H1216" s="58" t="str">
        <f>Table1[[#This Row],[Tabela]]&amp;Table1[[#This Row],[Campo]]</f>
        <v>lt003_entitypst_cd</v>
      </c>
      <c r="I1216" s="2" t="s">
        <v>612</v>
      </c>
      <c r="J1216" s="44">
        <f>VLOOKUP(Table1[[#This Row],[Status]],Auxiliar!$B$16:$C$24,2,0)</f>
        <v>1</v>
      </c>
      <c r="K1216" s="44" t="s">
        <v>1172</v>
      </c>
      <c r="L1216" s="45" t="s">
        <v>1177</v>
      </c>
      <c r="M1216" s="20" t="s">
        <v>1178</v>
      </c>
      <c r="N1216" s="47">
        <v>45604</v>
      </c>
      <c r="O1216" s="20">
        <f>INDEX(Auxiliar!$D$5:$F$13,MATCH(Table1[[#This Row],[Tipologia_Testes]],Auxiliar!$B$5:$B$13,0),MATCH(Table1[[#This Row],[Complexidade]],Auxiliar!$D$4:$F$4,0))</f>
        <v>2</v>
      </c>
      <c r="P1216" s="42" t="s">
        <v>1259</v>
      </c>
      <c r="Q1216" s="113"/>
      <c r="R1216" s="151">
        <v>45589</v>
      </c>
      <c r="S1216" s="151"/>
      <c r="T1216" s="151">
        <v>45589</v>
      </c>
      <c r="U1216" s="151">
        <v>45596</v>
      </c>
      <c r="V1216" s="151">
        <v>45596</v>
      </c>
      <c r="W1216" s="2">
        <f>VLOOKUP(Table1[[#This Row],[Status]],Auxiliar!$B$16:$D$24,3,0)*Table1[[#This Row],[Estimação (horas)]]</f>
        <v>2</v>
      </c>
      <c r="X1216" s="166">
        <f>+VLOOKUP(CONCATENATE(Table1[[#This Row],[Tabela]],Table1[[#This Row],[Campo]]),'2. Status Detalhe Campos FY24'!A:J,9,FALSE)</f>
        <v>0</v>
      </c>
    </row>
    <row r="1217" spans="2:24" ht="17.850000000000001" hidden="1" customHeight="1">
      <c r="B1217" s="38" t="s">
        <v>26</v>
      </c>
      <c r="C1217" s="38" t="s">
        <v>26</v>
      </c>
      <c r="D1217" s="38" t="s">
        <v>1257</v>
      </c>
      <c r="E1217" s="38" t="s">
        <v>1258</v>
      </c>
      <c r="F1217" s="38" t="s">
        <v>335</v>
      </c>
      <c r="G1217" s="38" t="s">
        <v>359</v>
      </c>
      <c r="H1217" s="58" t="str">
        <f>Table1[[#This Row],[Tabela]]&amp;Table1[[#This Row],[Campo]]</f>
        <v>lt003_entitypst_cd</v>
      </c>
      <c r="I1217" s="2" t="s">
        <v>612</v>
      </c>
      <c r="J1217" s="44">
        <f>VLOOKUP(Table1[[#This Row],[Status]],Auxiliar!$B$16:$C$24,2,0)</f>
        <v>1</v>
      </c>
      <c r="K1217" s="44" t="s">
        <v>1174</v>
      </c>
      <c r="L1217" s="45" t="s">
        <v>1177</v>
      </c>
      <c r="M1217" s="20" t="s">
        <v>1178</v>
      </c>
      <c r="N1217" s="47">
        <v>45604</v>
      </c>
      <c r="O1217" s="20">
        <f>INDEX(Auxiliar!$D$5:$F$13,MATCH(Table1[[#This Row],[Tipologia_Testes]],Auxiliar!$B$5:$B$13,0),MATCH(Table1[[#This Row],[Complexidade]],Auxiliar!$D$4:$F$4,0))</f>
        <v>0.1</v>
      </c>
      <c r="P1217" s="42" t="s">
        <v>1259</v>
      </c>
      <c r="Q1217" s="113"/>
      <c r="R1217" s="151">
        <v>45589</v>
      </c>
      <c r="S1217" s="151"/>
      <c r="T1217" s="151">
        <v>45589</v>
      </c>
      <c r="U1217" s="151">
        <v>45596</v>
      </c>
      <c r="V1217" s="151">
        <v>45596</v>
      </c>
      <c r="W1217" s="2">
        <f>VLOOKUP(Table1[[#This Row],[Status]],Auxiliar!$B$16:$D$24,3,0)*Table1[[#This Row],[Estimação (horas)]]</f>
        <v>0.1</v>
      </c>
      <c r="X1217" s="166">
        <f>+VLOOKUP(CONCATENATE(Table1[[#This Row],[Tabela]],Table1[[#This Row],[Campo]]),'2. Status Detalhe Campos FY24'!A:J,9,FALSE)</f>
        <v>0</v>
      </c>
    </row>
    <row r="1218" spans="2:24" ht="17.850000000000001" hidden="1" customHeight="1">
      <c r="B1218" s="40" t="s">
        <v>26</v>
      </c>
      <c r="C1218" s="40" t="s">
        <v>26</v>
      </c>
      <c r="D1218" s="41" t="s">
        <v>392</v>
      </c>
      <c r="E1218" s="110" t="s">
        <v>38</v>
      </c>
      <c r="F1218" s="39" t="s">
        <v>335</v>
      </c>
      <c r="G1218" s="37" t="s">
        <v>360</v>
      </c>
      <c r="H1218" s="59" t="str">
        <f>Table1[[#This Row],[Tabela]]&amp;Table1[[#This Row],[Campo]]</f>
        <v>lt003_entityesg_sbsctr</v>
      </c>
      <c r="I1218" s="2" t="s">
        <v>2325</v>
      </c>
      <c r="J1218" s="44">
        <f>VLOOKUP(Table1[[#This Row],[Status]],Auxiliar!$B$16:$C$24,2,0)</f>
        <v>7</v>
      </c>
      <c r="K1218" s="44" t="s">
        <v>1171</v>
      </c>
      <c r="L1218" s="45" t="s">
        <v>1177</v>
      </c>
      <c r="M1218" s="20" t="s">
        <v>1178</v>
      </c>
      <c r="N1218" s="47">
        <v>45649</v>
      </c>
      <c r="O1218" s="20">
        <f>INDEX(Auxiliar!$D$5:$F$13,MATCH(Table1[[#This Row],[Tipologia_Testes]],Auxiliar!$B$5:$B$13,0),MATCH(Table1[[#This Row],[Complexidade]],Auxiliar!$D$4:$F$4,0))</f>
        <v>2</v>
      </c>
      <c r="P1218" s="42" t="s">
        <v>1256</v>
      </c>
      <c r="Q1218" s="113"/>
      <c r="R1218" s="151">
        <v>45583</v>
      </c>
      <c r="S1218" s="151"/>
      <c r="T1218" s="151">
        <v>45583</v>
      </c>
      <c r="U1218" s="151">
        <v>45611</v>
      </c>
      <c r="V1218" s="151">
        <v>45644</v>
      </c>
      <c r="W1218" s="2">
        <f>VLOOKUP(Table1[[#This Row],[Status]],Auxiliar!$B$16:$D$24,3,0)*Table1[[#This Row],[Estimação (horas)]]</f>
        <v>0.5</v>
      </c>
      <c r="X1218" s="166">
        <f>+VLOOKUP(CONCATENATE(Table1[[#This Row],[Tabela]],Table1[[#This Row],[Campo]]),'2. Status Detalhe Campos FY24'!A:J,9,FALSE)</f>
        <v>0</v>
      </c>
    </row>
    <row r="1219" spans="2:24" ht="17.850000000000001" hidden="1" customHeight="1">
      <c r="B1219" s="38" t="s">
        <v>26</v>
      </c>
      <c r="C1219" s="38" t="s">
        <v>26</v>
      </c>
      <c r="D1219" s="38" t="s">
        <v>392</v>
      </c>
      <c r="E1219" s="38" t="s">
        <v>38</v>
      </c>
      <c r="F1219" s="38" t="s">
        <v>335</v>
      </c>
      <c r="G1219" s="38" t="s">
        <v>360</v>
      </c>
      <c r="H1219" s="58" t="str">
        <f>Table1[[#This Row],[Tabela]]&amp;Table1[[#This Row],[Campo]]</f>
        <v>lt003_entityesg_sbsctr</v>
      </c>
      <c r="I1219" s="2" t="s">
        <v>2325</v>
      </c>
      <c r="J1219" s="44">
        <f>VLOOKUP(Table1[[#This Row],[Status]],Auxiliar!$B$16:$C$24,2,0)</f>
        <v>7</v>
      </c>
      <c r="K1219" s="44" t="s">
        <v>1172</v>
      </c>
      <c r="L1219" s="45" t="s">
        <v>1177</v>
      </c>
      <c r="M1219" s="20" t="s">
        <v>1178</v>
      </c>
      <c r="N1219" s="47">
        <v>45649</v>
      </c>
      <c r="O1219" s="20">
        <f>INDEX(Auxiliar!$D$5:$F$13,MATCH(Table1[[#This Row],[Tipologia_Testes]],Auxiliar!$B$5:$B$13,0),MATCH(Table1[[#This Row],[Complexidade]],Auxiliar!$D$4:$F$4,0))</f>
        <v>2</v>
      </c>
      <c r="P1219" s="42" t="s">
        <v>1256</v>
      </c>
      <c r="Q1219" s="113"/>
      <c r="R1219" s="151">
        <v>45583</v>
      </c>
      <c r="S1219" s="151"/>
      <c r="T1219" s="151">
        <v>45583</v>
      </c>
      <c r="U1219" s="151">
        <v>45611</v>
      </c>
      <c r="V1219" s="151">
        <v>45644</v>
      </c>
      <c r="W1219" s="2">
        <f>VLOOKUP(Table1[[#This Row],[Status]],Auxiliar!$B$16:$D$24,3,0)*Table1[[#This Row],[Estimação (horas)]]</f>
        <v>0.5</v>
      </c>
      <c r="X1219" s="166">
        <f>+VLOOKUP(CONCATENATE(Table1[[#This Row],[Tabela]],Table1[[#This Row],[Campo]]),'2. Status Detalhe Campos FY24'!A:J,9,FALSE)</f>
        <v>0</v>
      </c>
    </row>
    <row r="1220" spans="2:24" ht="35.1" hidden="1" customHeight="1">
      <c r="B1220" s="38" t="s">
        <v>26</v>
      </c>
      <c r="C1220" s="38" t="s">
        <v>26</v>
      </c>
      <c r="D1220" s="38" t="s">
        <v>392</v>
      </c>
      <c r="E1220" s="38" t="s">
        <v>38</v>
      </c>
      <c r="F1220" s="38" t="s">
        <v>335</v>
      </c>
      <c r="G1220" s="38" t="s">
        <v>360</v>
      </c>
      <c r="H1220" s="58" t="str">
        <f>Table1[[#This Row],[Tabela]]&amp;Table1[[#This Row],[Campo]]</f>
        <v>lt003_entityesg_sbsctr</v>
      </c>
      <c r="I1220" s="2" t="s">
        <v>2325</v>
      </c>
      <c r="J1220" s="44">
        <f>VLOOKUP(Table1[[#This Row],[Status]],Auxiliar!$B$16:$C$24,2,0)</f>
        <v>7</v>
      </c>
      <c r="K1220" s="44" t="s">
        <v>1174</v>
      </c>
      <c r="L1220" s="45" t="s">
        <v>1177</v>
      </c>
      <c r="M1220" s="20" t="s">
        <v>1178</v>
      </c>
      <c r="N1220" s="47">
        <v>45649</v>
      </c>
      <c r="O1220" s="20">
        <f>INDEX(Auxiliar!$D$5:$F$13,MATCH(Table1[[#This Row],[Tipologia_Testes]],Auxiliar!$B$5:$B$13,0),MATCH(Table1[[#This Row],[Complexidade]],Auxiliar!$D$4:$F$4,0))</f>
        <v>0.1</v>
      </c>
      <c r="P1220" s="42" t="s">
        <v>1256</v>
      </c>
      <c r="Q1220" s="113"/>
      <c r="R1220" s="151">
        <v>45583</v>
      </c>
      <c r="S1220" s="151"/>
      <c r="T1220" s="151">
        <v>45583</v>
      </c>
      <c r="U1220" s="151">
        <v>45611</v>
      </c>
      <c r="V1220" s="151">
        <v>45644</v>
      </c>
      <c r="W1220" s="2">
        <f>VLOOKUP(Table1[[#This Row],[Status]],Auxiliar!$B$16:$D$24,3,0)*Table1[[#This Row],[Estimação (horas)]]</f>
        <v>2.5000000000000001E-2</v>
      </c>
      <c r="X1220" s="166">
        <f>+VLOOKUP(CONCATENATE(Table1[[#This Row],[Tabela]],Table1[[#This Row],[Campo]]),'2. Status Detalhe Campos FY24'!A:J,9,FALSE)</f>
        <v>0</v>
      </c>
    </row>
    <row r="1221" spans="2:24" ht="17.850000000000001" hidden="1" customHeight="1">
      <c r="B1221" s="40" t="s">
        <v>26</v>
      </c>
      <c r="C1221" s="40" t="s">
        <v>26</v>
      </c>
      <c r="D1221" s="36" t="s">
        <v>1260</v>
      </c>
      <c r="E1221" s="110" t="s">
        <v>1261</v>
      </c>
      <c r="F1221" s="39" t="s">
        <v>335</v>
      </c>
      <c r="G1221" s="37" t="s">
        <v>361</v>
      </c>
      <c r="H1221" s="59" t="str">
        <f>Table1[[#This Row],[Tabela]]&amp;Table1[[#This Row],[Campo]]</f>
        <v>lt003_entityttl_lblty</v>
      </c>
      <c r="I1221" s="2" t="s">
        <v>612</v>
      </c>
      <c r="J1221" s="44">
        <f>VLOOKUP(Table1[[#This Row],[Status]],Auxiliar!$B$16:$C$24,2,0)</f>
        <v>1</v>
      </c>
      <c r="K1221" s="44" t="s">
        <v>1171</v>
      </c>
      <c r="L1221" s="45" t="s">
        <v>1177</v>
      </c>
      <c r="M1221" s="20" t="s">
        <v>1178</v>
      </c>
      <c r="N1221" s="47">
        <v>45649</v>
      </c>
      <c r="O1221" s="20">
        <f>INDEX(Auxiliar!$D$5:$F$13,MATCH(Table1[[#This Row],[Tipologia_Testes]],Auxiliar!$B$5:$B$13,0),MATCH(Table1[[#This Row],[Complexidade]],Auxiliar!$D$4:$F$4,0))</f>
        <v>2</v>
      </c>
      <c r="P1221" s="42" t="s">
        <v>1262</v>
      </c>
      <c r="Q1221" s="113"/>
      <c r="R1221" s="151">
        <v>45593</v>
      </c>
      <c r="S1221" s="151"/>
      <c r="T1221" s="151">
        <v>45593</v>
      </c>
      <c r="U1221" s="151">
        <v>45624</v>
      </c>
      <c r="V1221" s="151">
        <v>45644</v>
      </c>
      <c r="W1221" s="2">
        <f>VLOOKUP(Table1[[#This Row],[Status]],Auxiliar!$B$16:$D$24,3,0)*Table1[[#This Row],[Estimação (horas)]]</f>
        <v>2</v>
      </c>
      <c r="X1221" s="166">
        <f>+VLOOKUP(CONCATENATE(Table1[[#This Row],[Tabela]],Table1[[#This Row],[Campo]]),'2. Status Detalhe Campos FY24'!A:J,9,FALSE)</f>
        <v>0</v>
      </c>
    </row>
    <row r="1222" spans="2:24" ht="17.850000000000001" hidden="1" customHeight="1">
      <c r="B1222" s="38" t="s">
        <v>26</v>
      </c>
      <c r="C1222" s="38" t="s">
        <v>26</v>
      </c>
      <c r="D1222" s="38" t="s">
        <v>1260</v>
      </c>
      <c r="E1222" s="38" t="s">
        <v>1261</v>
      </c>
      <c r="F1222" s="38" t="s">
        <v>335</v>
      </c>
      <c r="G1222" s="38" t="s">
        <v>361</v>
      </c>
      <c r="H1222" s="58" t="str">
        <f>Table1[[#This Row],[Tabela]]&amp;Table1[[#This Row],[Campo]]</f>
        <v>lt003_entityttl_lblty</v>
      </c>
      <c r="I1222" s="2" t="s">
        <v>612</v>
      </c>
      <c r="J1222" s="44">
        <f>VLOOKUP(Table1[[#This Row],[Status]],Auxiliar!$B$16:$C$24,2,0)</f>
        <v>1</v>
      </c>
      <c r="K1222" s="44" t="s">
        <v>1172</v>
      </c>
      <c r="L1222" s="45" t="s">
        <v>1177</v>
      </c>
      <c r="M1222" s="20" t="s">
        <v>1178</v>
      </c>
      <c r="N1222" s="47">
        <v>45649</v>
      </c>
      <c r="O1222" s="20">
        <f>INDEX(Auxiliar!$D$5:$F$13,MATCH(Table1[[#This Row],[Tipologia_Testes]],Auxiliar!$B$5:$B$13,0),MATCH(Table1[[#This Row],[Complexidade]],Auxiliar!$D$4:$F$4,0))</f>
        <v>2</v>
      </c>
      <c r="P1222" s="42" t="s">
        <v>1262</v>
      </c>
      <c r="Q1222" s="113"/>
      <c r="R1222" s="151">
        <v>45593</v>
      </c>
      <c r="S1222" s="151"/>
      <c r="T1222" s="151">
        <v>45593</v>
      </c>
      <c r="U1222" s="151">
        <v>45624</v>
      </c>
      <c r="V1222" s="151">
        <v>45644</v>
      </c>
      <c r="W1222" s="2">
        <f>VLOOKUP(Table1[[#This Row],[Status]],Auxiliar!$B$16:$D$24,3,0)*Table1[[#This Row],[Estimação (horas)]]</f>
        <v>2</v>
      </c>
      <c r="X1222" s="166">
        <f>+VLOOKUP(CONCATENATE(Table1[[#This Row],[Tabela]],Table1[[#This Row],[Campo]]),'2. Status Detalhe Campos FY24'!A:J,9,FALSE)</f>
        <v>0</v>
      </c>
    </row>
    <row r="1223" spans="2:24" ht="35.1" hidden="1" customHeight="1">
      <c r="B1223" s="38" t="s">
        <v>26</v>
      </c>
      <c r="C1223" s="38" t="s">
        <v>26</v>
      </c>
      <c r="D1223" s="38" t="s">
        <v>1260</v>
      </c>
      <c r="E1223" s="38" t="s">
        <v>1261</v>
      </c>
      <c r="F1223" s="38" t="s">
        <v>335</v>
      </c>
      <c r="G1223" s="38" t="s">
        <v>361</v>
      </c>
      <c r="H1223" s="58" t="str">
        <f>Table1[[#This Row],[Tabela]]&amp;Table1[[#This Row],[Campo]]</f>
        <v>lt003_entityttl_lblty</v>
      </c>
      <c r="I1223" s="2" t="s">
        <v>612</v>
      </c>
      <c r="J1223" s="44">
        <f>VLOOKUP(Table1[[#This Row],[Status]],Auxiliar!$B$16:$C$24,2,0)</f>
        <v>1</v>
      </c>
      <c r="K1223" s="44" t="s">
        <v>1174</v>
      </c>
      <c r="L1223" s="45" t="s">
        <v>1177</v>
      </c>
      <c r="M1223" s="20" t="s">
        <v>1178</v>
      </c>
      <c r="N1223" s="47">
        <v>45649</v>
      </c>
      <c r="O1223" s="20">
        <f>INDEX(Auxiliar!$D$5:$F$13,MATCH(Table1[[#This Row],[Tipologia_Testes]],Auxiliar!$B$5:$B$13,0),MATCH(Table1[[#This Row],[Complexidade]],Auxiliar!$D$4:$F$4,0))</f>
        <v>0.1</v>
      </c>
      <c r="P1223" s="42" t="s">
        <v>1262</v>
      </c>
      <c r="Q1223" s="113"/>
      <c r="R1223" s="151">
        <v>45593</v>
      </c>
      <c r="S1223" s="151"/>
      <c r="T1223" s="151">
        <v>45593</v>
      </c>
      <c r="U1223" s="151">
        <v>45624</v>
      </c>
      <c r="V1223" s="151">
        <v>45644</v>
      </c>
      <c r="W1223" s="2">
        <f>VLOOKUP(Table1[[#This Row],[Status]],Auxiliar!$B$16:$D$24,3,0)*Table1[[#This Row],[Estimação (horas)]]</f>
        <v>0.1</v>
      </c>
      <c r="X1223" s="166">
        <f>+VLOOKUP(CONCATENATE(Table1[[#This Row],[Tabela]],Table1[[#This Row],[Campo]]),'2. Status Detalhe Campos FY24'!A:J,9,FALSE)</f>
        <v>0</v>
      </c>
    </row>
    <row r="1224" spans="2:24" ht="17.850000000000001" hidden="1" customHeight="1">
      <c r="B1224" s="40" t="s">
        <v>26</v>
      </c>
      <c r="C1224" s="40" t="s">
        <v>26</v>
      </c>
      <c r="D1224" s="35" t="s">
        <v>1263</v>
      </c>
      <c r="E1224" s="110" t="s">
        <v>1264</v>
      </c>
      <c r="F1224" s="39" t="s">
        <v>335</v>
      </c>
      <c r="G1224" s="37" t="s">
        <v>238</v>
      </c>
      <c r="H1224" s="59" t="str">
        <f>Table1[[#This Row],[Tabela]]&amp;Table1[[#This Row],[Campo]]</f>
        <v>lt003_entityisin</v>
      </c>
      <c r="I1224" s="2" t="s">
        <v>612</v>
      </c>
      <c r="J1224" s="44">
        <f>VLOOKUP(Table1[[#This Row],[Status]],Auxiliar!$B$16:$C$24,2,0)</f>
        <v>1</v>
      </c>
      <c r="K1224" s="44" t="s">
        <v>1171</v>
      </c>
      <c r="L1224" s="45" t="s">
        <v>1177</v>
      </c>
      <c r="M1224" s="20" t="s">
        <v>1178</v>
      </c>
      <c r="N1224" s="47">
        <v>45632</v>
      </c>
      <c r="O1224" s="20">
        <f>INDEX(Auxiliar!$D$5:$F$13,MATCH(Table1[[#This Row],[Tipologia_Testes]],Auxiliar!$B$5:$B$13,0),MATCH(Table1[[#This Row],[Complexidade]],Auxiliar!$D$4:$F$4,0))</f>
        <v>2</v>
      </c>
      <c r="P1224" s="42" t="s">
        <v>642</v>
      </c>
      <c r="Q1224" s="113"/>
      <c r="R1224" s="151">
        <v>45589</v>
      </c>
      <c r="S1224" s="151"/>
      <c r="T1224" s="151">
        <v>45589</v>
      </c>
      <c r="U1224" s="151"/>
      <c r="V1224" s="151">
        <v>45611</v>
      </c>
      <c r="W1224" s="2">
        <f>VLOOKUP(Table1[[#This Row],[Status]],Auxiliar!$B$16:$D$24,3,0)*Table1[[#This Row],[Estimação (horas)]]</f>
        <v>2</v>
      </c>
      <c r="X1224" s="166">
        <f>+VLOOKUP(CONCATENATE(Table1[[#This Row],[Tabela]],Table1[[#This Row],[Campo]]),'2. Status Detalhe Campos FY24'!A:J,9,FALSE)</f>
        <v>0</v>
      </c>
    </row>
    <row r="1225" spans="2:24" ht="17.850000000000001" hidden="1" customHeight="1">
      <c r="B1225" s="38" t="s">
        <v>26</v>
      </c>
      <c r="C1225" s="38" t="s">
        <v>26</v>
      </c>
      <c r="D1225" s="38" t="s">
        <v>1263</v>
      </c>
      <c r="E1225" s="38" t="s">
        <v>1264</v>
      </c>
      <c r="F1225" s="38" t="s">
        <v>335</v>
      </c>
      <c r="G1225" s="38" t="s">
        <v>238</v>
      </c>
      <c r="H1225" s="58" t="str">
        <f>Table1[[#This Row],[Tabela]]&amp;Table1[[#This Row],[Campo]]</f>
        <v>lt003_entityisin</v>
      </c>
      <c r="I1225" s="2" t="s">
        <v>612</v>
      </c>
      <c r="J1225" s="44">
        <f>VLOOKUP(Table1[[#This Row],[Status]],Auxiliar!$B$16:$C$24,2,0)</f>
        <v>1</v>
      </c>
      <c r="K1225" s="44" t="s">
        <v>1172</v>
      </c>
      <c r="L1225" s="45" t="s">
        <v>1177</v>
      </c>
      <c r="M1225" s="20" t="s">
        <v>1178</v>
      </c>
      <c r="N1225" s="47">
        <v>45632</v>
      </c>
      <c r="O1225" s="20">
        <f>INDEX(Auxiliar!$D$5:$F$13,MATCH(Table1[[#This Row],[Tipologia_Testes]],Auxiliar!$B$5:$B$13,0),MATCH(Table1[[#This Row],[Complexidade]],Auxiliar!$D$4:$F$4,0))</f>
        <v>2</v>
      </c>
      <c r="P1225" s="42" t="s">
        <v>642</v>
      </c>
      <c r="Q1225" s="113"/>
      <c r="R1225" s="151">
        <v>45589</v>
      </c>
      <c r="S1225" s="151"/>
      <c r="T1225" s="151">
        <v>45589</v>
      </c>
      <c r="U1225" s="151"/>
      <c r="V1225" s="151">
        <v>45611</v>
      </c>
      <c r="W1225" s="2">
        <f>VLOOKUP(Table1[[#This Row],[Status]],Auxiliar!$B$16:$D$24,3,0)*Table1[[#This Row],[Estimação (horas)]]</f>
        <v>2</v>
      </c>
      <c r="X1225" s="166">
        <f>+VLOOKUP(CONCATENATE(Table1[[#This Row],[Tabela]],Table1[[#This Row],[Campo]]),'2. Status Detalhe Campos FY24'!A:J,9,FALSE)</f>
        <v>0</v>
      </c>
    </row>
    <row r="1226" spans="2:24" ht="35.1" hidden="1" customHeight="1">
      <c r="B1226" s="38" t="s">
        <v>26</v>
      </c>
      <c r="C1226" s="38" t="s">
        <v>26</v>
      </c>
      <c r="D1226" s="38" t="s">
        <v>1263</v>
      </c>
      <c r="E1226" s="38" t="s">
        <v>1264</v>
      </c>
      <c r="F1226" s="38" t="s">
        <v>335</v>
      </c>
      <c r="G1226" s="38" t="s">
        <v>238</v>
      </c>
      <c r="H1226" s="58" t="str">
        <f>Table1[[#This Row],[Tabela]]&amp;Table1[[#This Row],[Campo]]</f>
        <v>lt003_entityisin</v>
      </c>
      <c r="I1226" s="2" t="s">
        <v>612</v>
      </c>
      <c r="J1226" s="44">
        <f>VLOOKUP(Table1[[#This Row],[Status]],Auxiliar!$B$16:$C$24,2,0)</f>
        <v>1</v>
      </c>
      <c r="K1226" s="44" t="s">
        <v>1174</v>
      </c>
      <c r="L1226" s="45" t="s">
        <v>1177</v>
      </c>
      <c r="M1226" s="20" t="s">
        <v>1178</v>
      </c>
      <c r="N1226" s="47">
        <v>45632</v>
      </c>
      <c r="O1226" s="20">
        <f>INDEX(Auxiliar!$D$5:$F$13,MATCH(Table1[[#This Row],[Tipologia_Testes]],Auxiliar!$B$5:$B$13,0),MATCH(Table1[[#This Row],[Complexidade]],Auxiliar!$D$4:$F$4,0))</f>
        <v>0.1</v>
      </c>
      <c r="P1226" s="42" t="s">
        <v>642</v>
      </c>
      <c r="Q1226" s="113"/>
      <c r="R1226" s="151">
        <v>45589</v>
      </c>
      <c r="S1226" s="151"/>
      <c r="T1226" s="151">
        <v>45589</v>
      </c>
      <c r="U1226" s="151"/>
      <c r="V1226" s="151">
        <v>45611</v>
      </c>
      <c r="W1226" s="2">
        <f>VLOOKUP(Table1[[#This Row],[Status]],Auxiliar!$B$16:$D$24,3,0)*Table1[[#This Row],[Estimação (horas)]]</f>
        <v>0.1</v>
      </c>
      <c r="X1226" s="166">
        <f>+VLOOKUP(CONCATENATE(Table1[[#This Row],[Tabela]],Table1[[#This Row],[Campo]]),'2. Status Detalhe Campos FY24'!A:J,9,FALSE)</f>
        <v>0</v>
      </c>
    </row>
    <row r="1227" spans="2:24" ht="17.850000000000001" hidden="1" customHeight="1">
      <c r="B1227" s="40" t="s">
        <v>26</v>
      </c>
      <c r="C1227" s="40" t="s">
        <v>26</v>
      </c>
      <c r="D1227" s="35" t="s">
        <v>1265</v>
      </c>
      <c r="E1227" s="110" t="s">
        <v>1266</v>
      </c>
      <c r="F1227" s="39" t="s">
        <v>335</v>
      </c>
      <c r="G1227" s="37" t="s">
        <v>362</v>
      </c>
      <c r="H1227" s="59" t="str">
        <f>Table1[[#This Row],[Tabela]]&amp;Table1[[#This Row],[Campo]]</f>
        <v>lt003_entitygrp_annl_trnvr_le</v>
      </c>
      <c r="I1227" s="2" t="s">
        <v>612</v>
      </c>
      <c r="J1227" s="44">
        <f>VLOOKUP(Table1[[#This Row],[Status]],Auxiliar!$B$16:$C$24,2,0)</f>
        <v>1</v>
      </c>
      <c r="K1227" s="44" t="s">
        <v>1171</v>
      </c>
      <c r="L1227" s="45" t="s">
        <v>1177</v>
      </c>
      <c r="M1227" s="20" t="s">
        <v>1178</v>
      </c>
      <c r="N1227" s="47">
        <v>45632</v>
      </c>
      <c r="O1227" s="20">
        <f>INDEX(Auxiliar!$D$5:$F$13,MATCH(Table1[[#This Row],[Tipologia_Testes]],Auxiliar!$B$5:$B$13,0),MATCH(Table1[[#This Row],[Complexidade]],Auxiliar!$D$4:$F$4,0))</f>
        <v>2</v>
      </c>
      <c r="P1227" s="42" t="s">
        <v>1262</v>
      </c>
      <c r="Q1227" s="113"/>
      <c r="R1227" s="151">
        <v>45593</v>
      </c>
      <c r="S1227" s="151"/>
      <c r="T1227" s="151">
        <v>45593</v>
      </c>
      <c r="U1227" s="151">
        <v>45611</v>
      </c>
      <c r="V1227" s="151">
        <v>45611</v>
      </c>
      <c r="W1227" s="2">
        <f>VLOOKUP(Table1[[#This Row],[Status]],Auxiliar!$B$16:$D$24,3,0)*Table1[[#This Row],[Estimação (horas)]]</f>
        <v>2</v>
      </c>
      <c r="X1227" s="166">
        <f>+VLOOKUP(CONCATENATE(Table1[[#This Row],[Tabela]],Table1[[#This Row],[Campo]]),'2. Status Detalhe Campos FY24'!A:J,9,FALSE)</f>
        <v>0</v>
      </c>
    </row>
    <row r="1228" spans="2:24" ht="17.850000000000001" hidden="1" customHeight="1">
      <c r="B1228" s="38" t="s">
        <v>26</v>
      </c>
      <c r="C1228" s="38" t="s">
        <v>26</v>
      </c>
      <c r="D1228" s="38" t="s">
        <v>1265</v>
      </c>
      <c r="E1228" s="38" t="s">
        <v>1266</v>
      </c>
      <c r="F1228" s="38" t="s">
        <v>335</v>
      </c>
      <c r="G1228" s="38" t="s">
        <v>362</v>
      </c>
      <c r="H1228" s="58" t="str">
        <f>Table1[[#This Row],[Tabela]]&amp;Table1[[#This Row],[Campo]]</f>
        <v>lt003_entitygrp_annl_trnvr_le</v>
      </c>
      <c r="I1228" s="2" t="s">
        <v>612</v>
      </c>
      <c r="J1228" s="44">
        <f>VLOOKUP(Table1[[#This Row],[Status]],Auxiliar!$B$16:$C$24,2,0)</f>
        <v>1</v>
      </c>
      <c r="K1228" s="44" t="s">
        <v>1172</v>
      </c>
      <c r="L1228" s="45" t="s">
        <v>1177</v>
      </c>
      <c r="M1228" s="20" t="s">
        <v>1178</v>
      </c>
      <c r="N1228" s="47">
        <v>45632</v>
      </c>
      <c r="O1228" s="20">
        <f>INDEX(Auxiliar!$D$5:$F$13,MATCH(Table1[[#This Row],[Tipologia_Testes]],Auxiliar!$B$5:$B$13,0),MATCH(Table1[[#This Row],[Complexidade]],Auxiliar!$D$4:$F$4,0))</f>
        <v>2</v>
      </c>
      <c r="P1228" s="42" t="s">
        <v>1262</v>
      </c>
      <c r="Q1228" s="113"/>
      <c r="R1228" s="151">
        <v>45593</v>
      </c>
      <c r="S1228" s="151"/>
      <c r="T1228" s="151">
        <v>45593</v>
      </c>
      <c r="U1228" s="151">
        <v>45611</v>
      </c>
      <c r="V1228" s="151">
        <v>45611</v>
      </c>
      <c r="W1228" s="2">
        <f>VLOOKUP(Table1[[#This Row],[Status]],Auxiliar!$B$16:$D$24,3,0)*Table1[[#This Row],[Estimação (horas)]]</f>
        <v>2</v>
      </c>
      <c r="X1228" s="166">
        <f>+VLOOKUP(CONCATENATE(Table1[[#This Row],[Tabela]],Table1[[#This Row],[Campo]]),'2. Status Detalhe Campos FY24'!A:J,9,FALSE)</f>
        <v>0</v>
      </c>
    </row>
    <row r="1229" spans="2:24" ht="35.1" hidden="1" customHeight="1">
      <c r="B1229" s="38" t="s">
        <v>26</v>
      </c>
      <c r="C1229" s="38" t="s">
        <v>26</v>
      </c>
      <c r="D1229" s="38" t="s">
        <v>1265</v>
      </c>
      <c r="E1229" s="38" t="s">
        <v>1266</v>
      </c>
      <c r="F1229" s="38" t="s">
        <v>335</v>
      </c>
      <c r="G1229" s="38" t="s">
        <v>362</v>
      </c>
      <c r="H1229" s="58" t="str">
        <f>Table1[[#This Row],[Tabela]]&amp;Table1[[#This Row],[Campo]]</f>
        <v>lt003_entitygrp_annl_trnvr_le</v>
      </c>
      <c r="I1229" s="2" t="s">
        <v>612</v>
      </c>
      <c r="J1229" s="44">
        <f>VLOOKUP(Table1[[#This Row],[Status]],Auxiliar!$B$16:$C$24,2,0)</f>
        <v>1</v>
      </c>
      <c r="K1229" s="44" t="s">
        <v>1174</v>
      </c>
      <c r="L1229" s="45" t="s">
        <v>1177</v>
      </c>
      <c r="M1229" s="20" t="s">
        <v>1178</v>
      </c>
      <c r="N1229" s="47">
        <v>45632</v>
      </c>
      <c r="O1229" s="20">
        <f>INDEX(Auxiliar!$D$5:$F$13,MATCH(Table1[[#This Row],[Tipologia_Testes]],Auxiliar!$B$5:$B$13,0),MATCH(Table1[[#This Row],[Complexidade]],Auxiliar!$D$4:$F$4,0))</f>
        <v>0.1</v>
      </c>
      <c r="P1229" s="42" t="s">
        <v>1262</v>
      </c>
      <c r="Q1229" s="113"/>
      <c r="R1229" s="151">
        <v>45593</v>
      </c>
      <c r="S1229" s="151"/>
      <c r="T1229" s="151">
        <v>45593</v>
      </c>
      <c r="U1229" s="151">
        <v>45611</v>
      </c>
      <c r="V1229" s="151">
        <v>45611</v>
      </c>
      <c r="W1229" s="2">
        <f>VLOOKUP(Table1[[#This Row],[Status]],Auxiliar!$B$16:$D$24,3,0)*Table1[[#This Row],[Estimação (horas)]]</f>
        <v>0.1</v>
      </c>
      <c r="X1229" s="166">
        <f>+VLOOKUP(CONCATENATE(Table1[[#This Row],[Tabela]],Table1[[#This Row],[Campo]]),'2. Status Detalhe Campos FY24'!A:J,9,FALSE)</f>
        <v>0</v>
      </c>
    </row>
    <row r="1230" spans="2:24" ht="17.850000000000001" hidden="1" customHeight="1">
      <c r="B1230" s="40" t="s">
        <v>26</v>
      </c>
      <c r="C1230" s="40" t="s">
        <v>26</v>
      </c>
      <c r="D1230" s="35" t="s">
        <v>1267</v>
      </c>
      <c r="E1230" s="110" t="s">
        <v>1261</v>
      </c>
      <c r="F1230" s="39" t="s">
        <v>335</v>
      </c>
      <c r="G1230" s="37" t="s">
        <v>363</v>
      </c>
      <c r="H1230" s="59" t="str">
        <f>Table1[[#This Row],[Tabela]]&amp;Table1[[#This Row],[Campo]]</f>
        <v>lt003_entitygrp_ttl_lblty</v>
      </c>
      <c r="I1230" s="2" t="s">
        <v>612</v>
      </c>
      <c r="J1230" s="44">
        <f>VLOOKUP(Table1[[#This Row],[Status]],Auxiliar!$B$16:$C$24,2,0)</f>
        <v>1</v>
      </c>
      <c r="K1230" s="44" t="s">
        <v>1171</v>
      </c>
      <c r="L1230" s="45" t="s">
        <v>1177</v>
      </c>
      <c r="M1230" s="20" t="s">
        <v>1178</v>
      </c>
      <c r="N1230" s="47">
        <v>45649</v>
      </c>
      <c r="O1230" s="20">
        <f>INDEX(Auxiliar!$D$5:$F$13,MATCH(Table1[[#This Row],[Tipologia_Testes]],Auxiliar!$B$5:$B$13,0),MATCH(Table1[[#This Row],[Complexidade]],Auxiliar!$D$4:$F$4,0))</f>
        <v>2</v>
      </c>
      <c r="P1230" s="42" t="s">
        <v>1262</v>
      </c>
      <c r="Q1230" s="113"/>
      <c r="R1230" s="151">
        <v>45593</v>
      </c>
      <c r="S1230" s="151"/>
      <c r="T1230" s="151">
        <v>45593</v>
      </c>
      <c r="U1230" s="151">
        <v>45611</v>
      </c>
      <c r="V1230" s="151">
        <v>45644</v>
      </c>
      <c r="W1230" s="2">
        <f>VLOOKUP(Table1[[#This Row],[Status]],Auxiliar!$B$16:$D$24,3,0)*Table1[[#This Row],[Estimação (horas)]]</f>
        <v>2</v>
      </c>
      <c r="X1230" s="166">
        <f>+VLOOKUP(CONCATENATE(Table1[[#This Row],[Tabela]],Table1[[#This Row],[Campo]]),'2. Status Detalhe Campos FY24'!A:J,9,FALSE)</f>
        <v>0</v>
      </c>
    </row>
    <row r="1231" spans="2:24" ht="17.850000000000001" hidden="1" customHeight="1">
      <c r="B1231" s="38" t="s">
        <v>26</v>
      </c>
      <c r="C1231" s="38" t="s">
        <v>26</v>
      </c>
      <c r="D1231" s="38" t="s">
        <v>1267</v>
      </c>
      <c r="E1231" s="38" t="s">
        <v>1261</v>
      </c>
      <c r="F1231" s="38" t="s">
        <v>335</v>
      </c>
      <c r="G1231" s="38" t="s">
        <v>363</v>
      </c>
      <c r="H1231" s="58" t="str">
        <f>Table1[[#This Row],[Tabela]]&amp;Table1[[#This Row],[Campo]]</f>
        <v>lt003_entitygrp_ttl_lblty</v>
      </c>
      <c r="I1231" s="2" t="s">
        <v>612</v>
      </c>
      <c r="J1231" s="44">
        <f>VLOOKUP(Table1[[#This Row],[Status]],Auxiliar!$B$16:$C$24,2,0)</f>
        <v>1</v>
      </c>
      <c r="K1231" s="44" t="s">
        <v>1172</v>
      </c>
      <c r="L1231" s="45" t="s">
        <v>1177</v>
      </c>
      <c r="M1231" s="20" t="s">
        <v>1178</v>
      </c>
      <c r="N1231" s="47">
        <v>45649</v>
      </c>
      <c r="O1231" s="20">
        <f>INDEX(Auxiliar!$D$5:$F$13,MATCH(Table1[[#This Row],[Tipologia_Testes]],Auxiliar!$B$5:$B$13,0),MATCH(Table1[[#This Row],[Complexidade]],Auxiliar!$D$4:$F$4,0))</f>
        <v>2</v>
      </c>
      <c r="P1231" s="42" t="s">
        <v>1262</v>
      </c>
      <c r="Q1231" s="113"/>
      <c r="R1231" s="151">
        <v>45593</v>
      </c>
      <c r="S1231" s="151"/>
      <c r="T1231" s="151">
        <v>45593</v>
      </c>
      <c r="U1231" s="151">
        <v>45611</v>
      </c>
      <c r="V1231" s="151">
        <v>45644</v>
      </c>
      <c r="W1231" s="2">
        <f>VLOOKUP(Table1[[#This Row],[Status]],Auxiliar!$B$16:$D$24,3,0)*Table1[[#This Row],[Estimação (horas)]]</f>
        <v>2</v>
      </c>
      <c r="X1231" s="166">
        <f>+VLOOKUP(CONCATENATE(Table1[[#This Row],[Tabela]],Table1[[#This Row],[Campo]]),'2. Status Detalhe Campos FY24'!A:J,9,FALSE)</f>
        <v>0</v>
      </c>
    </row>
    <row r="1232" spans="2:24" ht="35.1" hidden="1" customHeight="1">
      <c r="B1232" s="38" t="s">
        <v>26</v>
      </c>
      <c r="C1232" s="38" t="s">
        <v>26</v>
      </c>
      <c r="D1232" s="38" t="s">
        <v>1267</v>
      </c>
      <c r="E1232" s="38" t="s">
        <v>1261</v>
      </c>
      <c r="F1232" s="38" t="s">
        <v>335</v>
      </c>
      <c r="G1232" s="38" t="s">
        <v>363</v>
      </c>
      <c r="H1232" s="58" t="str">
        <f>Table1[[#This Row],[Tabela]]&amp;Table1[[#This Row],[Campo]]</f>
        <v>lt003_entitygrp_ttl_lblty</v>
      </c>
      <c r="I1232" s="2" t="s">
        <v>612</v>
      </c>
      <c r="J1232" s="44">
        <f>VLOOKUP(Table1[[#This Row],[Status]],Auxiliar!$B$16:$C$24,2,0)</f>
        <v>1</v>
      </c>
      <c r="K1232" s="44" t="s">
        <v>1174</v>
      </c>
      <c r="L1232" s="45" t="s">
        <v>1177</v>
      </c>
      <c r="M1232" s="20" t="s">
        <v>1178</v>
      </c>
      <c r="N1232" s="47">
        <v>45649</v>
      </c>
      <c r="O1232" s="20">
        <f>INDEX(Auxiliar!$D$5:$F$13,MATCH(Table1[[#This Row],[Tipologia_Testes]],Auxiliar!$B$5:$B$13,0),MATCH(Table1[[#This Row],[Complexidade]],Auxiliar!$D$4:$F$4,0))</f>
        <v>0.1</v>
      </c>
      <c r="P1232" s="42" t="s">
        <v>1262</v>
      </c>
      <c r="Q1232" s="113"/>
      <c r="R1232" s="151">
        <v>45593</v>
      </c>
      <c r="S1232" s="151"/>
      <c r="T1232" s="151">
        <v>45593</v>
      </c>
      <c r="U1232" s="151">
        <v>45611</v>
      </c>
      <c r="V1232" s="151">
        <v>45644</v>
      </c>
      <c r="W1232" s="2">
        <f>VLOOKUP(Table1[[#This Row],[Status]],Auxiliar!$B$16:$D$24,3,0)*Table1[[#This Row],[Estimação (horas)]]</f>
        <v>0.1</v>
      </c>
      <c r="X1232" s="166">
        <f>+VLOOKUP(CONCATENATE(Table1[[#This Row],[Tabela]],Table1[[#This Row],[Campo]]),'2. Status Detalhe Campos FY24'!A:J,9,FALSE)</f>
        <v>0</v>
      </c>
    </row>
    <row r="1233" spans="2:24" ht="17.850000000000001" hidden="1" customHeight="1">
      <c r="B1233" s="40" t="s">
        <v>26</v>
      </c>
      <c r="C1233" s="40" t="s">
        <v>26</v>
      </c>
      <c r="D1233" s="35" t="s">
        <v>325</v>
      </c>
      <c r="E1233" s="110" t="s">
        <v>1268</v>
      </c>
      <c r="F1233" s="39" t="s">
        <v>335</v>
      </c>
      <c r="G1233" s="37" t="s">
        <v>364</v>
      </c>
      <c r="H1233" s="59" t="str">
        <f>Table1[[#This Row],[Tabela]]&amp;Table1[[#This Row],[Campo]]</f>
        <v>lt003_entityflg_grp_nfrd_applcblty</v>
      </c>
      <c r="I1233" s="2" t="s">
        <v>612</v>
      </c>
      <c r="J1233" s="44">
        <f>VLOOKUP(Table1[[#This Row],[Status]],Auxiliar!$B$16:$C$24,2,0)</f>
        <v>1</v>
      </c>
      <c r="K1233" s="44" t="s">
        <v>1171</v>
      </c>
      <c r="L1233" s="45" t="s">
        <v>1177</v>
      </c>
      <c r="M1233" s="20" t="s">
        <v>1178</v>
      </c>
      <c r="N1233" s="47">
        <v>45642</v>
      </c>
      <c r="O1233" s="20">
        <f>INDEX(Auxiliar!$D$5:$F$13,MATCH(Table1[[#This Row],[Tipologia_Testes]],Auxiliar!$B$5:$B$13,0),MATCH(Table1[[#This Row],[Complexidade]],Auxiliar!$D$4:$F$4,0))</f>
        <v>2</v>
      </c>
      <c r="P1233" s="42" t="s">
        <v>572</v>
      </c>
      <c r="Q1233" s="113"/>
      <c r="R1233" s="151">
        <v>45589</v>
      </c>
      <c r="S1233" s="151"/>
      <c r="T1233" s="151">
        <v>45589</v>
      </c>
      <c r="U1233" s="151"/>
      <c r="V1233" s="151">
        <v>45596</v>
      </c>
      <c r="W1233" s="2">
        <f>VLOOKUP(Table1[[#This Row],[Status]],Auxiliar!$B$16:$D$24,3,0)*Table1[[#This Row],[Estimação (horas)]]</f>
        <v>2</v>
      </c>
      <c r="X1233" s="166">
        <f>+VLOOKUP(CONCATENATE(Table1[[#This Row],[Tabela]],Table1[[#This Row],[Campo]]),'2. Status Detalhe Campos FY24'!A:J,9,FALSE)</f>
        <v>0</v>
      </c>
    </row>
    <row r="1234" spans="2:24" ht="17.850000000000001" hidden="1" customHeight="1">
      <c r="B1234" s="38" t="s">
        <v>26</v>
      </c>
      <c r="C1234" s="38" t="s">
        <v>26</v>
      </c>
      <c r="D1234" s="38" t="s">
        <v>325</v>
      </c>
      <c r="E1234" s="38" t="s">
        <v>1268</v>
      </c>
      <c r="F1234" s="38" t="s">
        <v>335</v>
      </c>
      <c r="G1234" s="38" t="s">
        <v>364</v>
      </c>
      <c r="H1234" s="58" t="str">
        <f>Table1[[#This Row],[Tabela]]&amp;Table1[[#This Row],[Campo]]</f>
        <v>lt003_entityflg_grp_nfrd_applcblty</v>
      </c>
      <c r="I1234" s="2" t="s">
        <v>612</v>
      </c>
      <c r="J1234" s="44">
        <f>VLOOKUP(Table1[[#This Row],[Status]],Auxiliar!$B$16:$C$24,2,0)</f>
        <v>1</v>
      </c>
      <c r="K1234" s="44" t="s">
        <v>1172</v>
      </c>
      <c r="L1234" s="45" t="s">
        <v>1177</v>
      </c>
      <c r="M1234" s="20" t="s">
        <v>1178</v>
      </c>
      <c r="N1234" s="47">
        <v>45642</v>
      </c>
      <c r="O1234" s="20">
        <f>INDEX(Auxiliar!$D$5:$F$13,MATCH(Table1[[#This Row],[Tipologia_Testes]],Auxiliar!$B$5:$B$13,0),MATCH(Table1[[#This Row],[Complexidade]],Auxiliar!$D$4:$F$4,0))</f>
        <v>2</v>
      </c>
      <c r="P1234" s="42" t="s">
        <v>572</v>
      </c>
      <c r="Q1234" s="113"/>
      <c r="R1234" s="151">
        <v>45589</v>
      </c>
      <c r="S1234" s="151"/>
      <c r="T1234" s="151">
        <v>45589</v>
      </c>
      <c r="U1234" s="151"/>
      <c r="V1234" s="151">
        <v>45596</v>
      </c>
      <c r="W1234" s="2">
        <f>VLOOKUP(Table1[[#This Row],[Status]],Auxiliar!$B$16:$D$24,3,0)*Table1[[#This Row],[Estimação (horas)]]</f>
        <v>2</v>
      </c>
      <c r="X1234" s="166">
        <f>+VLOOKUP(CONCATENATE(Table1[[#This Row],[Tabela]],Table1[[#This Row],[Campo]]),'2. Status Detalhe Campos FY24'!A:J,9,FALSE)</f>
        <v>0</v>
      </c>
    </row>
    <row r="1235" spans="2:24" ht="35.1" hidden="1" customHeight="1">
      <c r="B1235" s="38" t="s">
        <v>26</v>
      </c>
      <c r="C1235" s="38" t="s">
        <v>26</v>
      </c>
      <c r="D1235" s="38" t="s">
        <v>325</v>
      </c>
      <c r="E1235" s="38" t="s">
        <v>1268</v>
      </c>
      <c r="F1235" s="38" t="s">
        <v>335</v>
      </c>
      <c r="G1235" s="38" t="s">
        <v>364</v>
      </c>
      <c r="H1235" s="58" t="str">
        <f>Table1[[#This Row],[Tabela]]&amp;Table1[[#This Row],[Campo]]</f>
        <v>lt003_entityflg_grp_nfrd_applcblty</v>
      </c>
      <c r="I1235" s="2" t="s">
        <v>612</v>
      </c>
      <c r="J1235" s="44">
        <f>VLOOKUP(Table1[[#This Row],[Status]],Auxiliar!$B$16:$C$24,2,0)</f>
        <v>1</v>
      </c>
      <c r="K1235" s="44" t="s">
        <v>1174</v>
      </c>
      <c r="L1235" s="45" t="s">
        <v>1177</v>
      </c>
      <c r="M1235" s="20" t="s">
        <v>1178</v>
      </c>
      <c r="N1235" s="47">
        <v>45642</v>
      </c>
      <c r="O1235" s="20">
        <f>INDEX(Auxiliar!$D$5:$F$13,MATCH(Table1[[#This Row],[Tipologia_Testes]],Auxiliar!$B$5:$B$13,0),MATCH(Table1[[#This Row],[Complexidade]],Auxiliar!$D$4:$F$4,0))</f>
        <v>0.1</v>
      </c>
      <c r="P1235" s="42" t="s">
        <v>572</v>
      </c>
      <c r="Q1235" s="113"/>
      <c r="R1235" s="151">
        <v>45589</v>
      </c>
      <c r="S1235" s="151"/>
      <c r="T1235" s="151">
        <v>45589</v>
      </c>
      <c r="U1235" s="151"/>
      <c r="V1235" s="151">
        <v>45596</v>
      </c>
      <c r="W1235" s="2">
        <f>VLOOKUP(Table1[[#This Row],[Status]],Auxiliar!$B$16:$D$24,3,0)*Table1[[#This Row],[Estimação (horas)]]</f>
        <v>0.1</v>
      </c>
      <c r="X1235" s="166">
        <f>+VLOOKUP(CONCATENATE(Table1[[#This Row],[Tabela]],Table1[[#This Row],[Campo]]),'2. Status Detalhe Campos FY24'!A:J,9,FALSE)</f>
        <v>0</v>
      </c>
    </row>
    <row r="1236" spans="2:24" ht="17.850000000000001" hidden="1" customHeight="1">
      <c r="B1236" s="40" t="s">
        <v>26</v>
      </c>
      <c r="C1236" s="40" t="s">
        <v>26</v>
      </c>
      <c r="D1236" s="35" t="s">
        <v>325</v>
      </c>
      <c r="E1236" s="110" t="s">
        <v>1269</v>
      </c>
      <c r="F1236" s="39" t="s">
        <v>335</v>
      </c>
      <c r="G1236" s="37" t="s">
        <v>365</v>
      </c>
      <c r="H1236" s="59" t="str">
        <f>Table1[[#This Row],[Tabela]]&amp;Table1[[#This Row],[Campo]]</f>
        <v>lt003_entitygrp_emssns_scp1</v>
      </c>
      <c r="I1236" s="2" t="s">
        <v>612</v>
      </c>
      <c r="J1236" s="44">
        <f>VLOOKUP(Table1[[#This Row],[Status]],Auxiliar!$B$16:$C$24,2,0)</f>
        <v>1</v>
      </c>
      <c r="K1236" s="44" t="s">
        <v>1171</v>
      </c>
      <c r="L1236" s="45" t="s">
        <v>1177</v>
      </c>
      <c r="M1236" s="20" t="s">
        <v>1178</v>
      </c>
      <c r="N1236" s="47">
        <v>45674</v>
      </c>
      <c r="O1236" s="20">
        <f>INDEX(Auxiliar!$D$5:$F$13,MATCH(Table1[[#This Row],[Tipologia_Testes]],Auxiliar!$B$5:$B$13,0),MATCH(Table1[[#This Row],[Complexidade]],Auxiliar!$D$4:$F$4,0))</f>
        <v>2</v>
      </c>
      <c r="P1236" s="42" t="s">
        <v>1270</v>
      </c>
      <c r="Q1236" s="113"/>
      <c r="R1236" s="151">
        <v>45589</v>
      </c>
      <c r="S1236" s="151"/>
      <c r="T1236" s="151">
        <v>45589</v>
      </c>
      <c r="U1236" s="151"/>
      <c r="V1236" s="151">
        <v>45644</v>
      </c>
      <c r="W1236" s="2">
        <f>VLOOKUP(Table1[[#This Row],[Status]],Auxiliar!$B$16:$D$24,3,0)*Table1[[#This Row],[Estimação (horas)]]</f>
        <v>2</v>
      </c>
      <c r="X1236" s="166">
        <f>+VLOOKUP(CONCATENATE(Table1[[#This Row],[Tabela]],Table1[[#This Row],[Campo]]),'2. Status Detalhe Campos FY24'!A:J,9,FALSE)</f>
        <v>0</v>
      </c>
    </row>
    <row r="1237" spans="2:24" ht="17.850000000000001" hidden="1" customHeight="1">
      <c r="B1237" s="38" t="s">
        <v>26</v>
      </c>
      <c r="C1237" s="38" t="s">
        <v>26</v>
      </c>
      <c r="D1237" s="38" t="s">
        <v>325</v>
      </c>
      <c r="E1237" s="38" t="s">
        <v>1269</v>
      </c>
      <c r="F1237" s="38" t="s">
        <v>335</v>
      </c>
      <c r="G1237" s="38" t="s">
        <v>365</v>
      </c>
      <c r="H1237" s="58" t="str">
        <f>Table1[[#This Row],[Tabela]]&amp;Table1[[#This Row],[Campo]]</f>
        <v>lt003_entitygrp_emssns_scp1</v>
      </c>
      <c r="I1237" s="2" t="s">
        <v>612</v>
      </c>
      <c r="J1237" s="44">
        <f>VLOOKUP(Table1[[#This Row],[Status]],Auxiliar!$B$16:$C$24,2,0)</f>
        <v>1</v>
      </c>
      <c r="K1237" s="44" t="s">
        <v>1172</v>
      </c>
      <c r="L1237" s="45" t="s">
        <v>1177</v>
      </c>
      <c r="M1237" s="20" t="s">
        <v>1178</v>
      </c>
      <c r="N1237" s="47">
        <v>45674</v>
      </c>
      <c r="O1237" s="20">
        <f>INDEX(Auxiliar!$D$5:$F$13,MATCH(Table1[[#This Row],[Tipologia_Testes]],Auxiliar!$B$5:$B$13,0),MATCH(Table1[[#This Row],[Complexidade]],Auxiliar!$D$4:$F$4,0))</f>
        <v>2</v>
      </c>
      <c r="P1237" s="42" t="s">
        <v>1270</v>
      </c>
      <c r="Q1237" s="113"/>
      <c r="R1237" s="151">
        <v>45589</v>
      </c>
      <c r="S1237" s="151"/>
      <c r="T1237" s="151">
        <v>45589</v>
      </c>
      <c r="U1237" s="151"/>
      <c r="V1237" s="151">
        <v>45644</v>
      </c>
      <c r="W1237" s="2">
        <f>VLOOKUP(Table1[[#This Row],[Status]],Auxiliar!$B$16:$D$24,3,0)*Table1[[#This Row],[Estimação (horas)]]</f>
        <v>2</v>
      </c>
      <c r="X1237" s="166">
        <f>+VLOOKUP(CONCATENATE(Table1[[#This Row],[Tabela]],Table1[[#This Row],[Campo]]),'2. Status Detalhe Campos FY24'!A:J,9,FALSE)</f>
        <v>0</v>
      </c>
    </row>
    <row r="1238" spans="2:24" ht="35.1" hidden="1" customHeight="1">
      <c r="B1238" s="38" t="s">
        <v>26</v>
      </c>
      <c r="C1238" s="38" t="s">
        <v>26</v>
      </c>
      <c r="D1238" s="38" t="s">
        <v>325</v>
      </c>
      <c r="E1238" s="38" t="s">
        <v>1269</v>
      </c>
      <c r="F1238" s="38" t="s">
        <v>335</v>
      </c>
      <c r="G1238" s="38" t="s">
        <v>365</v>
      </c>
      <c r="H1238" s="58" t="str">
        <f>Table1[[#This Row],[Tabela]]&amp;Table1[[#This Row],[Campo]]</f>
        <v>lt003_entitygrp_emssns_scp1</v>
      </c>
      <c r="I1238" s="2" t="s">
        <v>612</v>
      </c>
      <c r="J1238" s="44">
        <f>VLOOKUP(Table1[[#This Row],[Status]],Auxiliar!$B$16:$C$24,2,0)</f>
        <v>1</v>
      </c>
      <c r="K1238" s="44" t="s">
        <v>1174</v>
      </c>
      <c r="L1238" s="45" t="s">
        <v>1177</v>
      </c>
      <c r="M1238" s="20" t="s">
        <v>1178</v>
      </c>
      <c r="N1238" s="47">
        <v>45674</v>
      </c>
      <c r="O1238" s="20">
        <f>INDEX(Auxiliar!$D$5:$F$13,MATCH(Table1[[#This Row],[Tipologia_Testes]],Auxiliar!$B$5:$B$13,0),MATCH(Table1[[#This Row],[Complexidade]],Auxiliar!$D$4:$F$4,0))</f>
        <v>0.1</v>
      </c>
      <c r="P1238" s="42" t="s">
        <v>1270</v>
      </c>
      <c r="Q1238" s="113"/>
      <c r="R1238" s="151">
        <v>45589</v>
      </c>
      <c r="S1238" s="151"/>
      <c r="T1238" s="151">
        <v>45589</v>
      </c>
      <c r="U1238" s="151"/>
      <c r="V1238" s="151">
        <v>45644</v>
      </c>
      <c r="W1238" s="2">
        <f>VLOOKUP(Table1[[#This Row],[Status]],Auxiliar!$B$16:$D$24,3,0)*Table1[[#This Row],[Estimação (horas)]]</f>
        <v>0.1</v>
      </c>
      <c r="X1238" s="166">
        <f>+VLOOKUP(CONCATENATE(Table1[[#This Row],[Tabela]],Table1[[#This Row],[Campo]]),'2. Status Detalhe Campos FY24'!A:J,9,FALSE)</f>
        <v>0</v>
      </c>
    </row>
    <row r="1239" spans="2:24" ht="17.850000000000001" hidden="1" customHeight="1">
      <c r="B1239" s="40" t="s">
        <v>26</v>
      </c>
      <c r="C1239" s="40" t="s">
        <v>26</v>
      </c>
      <c r="D1239" s="35" t="s">
        <v>325</v>
      </c>
      <c r="E1239" s="110" t="s">
        <v>1271</v>
      </c>
      <c r="F1239" s="39" t="s">
        <v>335</v>
      </c>
      <c r="G1239" s="37" t="s">
        <v>366</v>
      </c>
      <c r="H1239" s="59" t="str">
        <f>Table1[[#This Row],[Tabela]]&amp;Table1[[#This Row],[Campo]]</f>
        <v>lt003_entitygrp_emssns_scp2</v>
      </c>
      <c r="I1239" s="2" t="s">
        <v>612</v>
      </c>
      <c r="J1239" s="44">
        <f>VLOOKUP(Table1[[#This Row],[Status]],Auxiliar!$B$16:$C$24,2,0)</f>
        <v>1</v>
      </c>
      <c r="K1239" s="44" t="s">
        <v>1171</v>
      </c>
      <c r="L1239" s="45" t="s">
        <v>1177</v>
      </c>
      <c r="M1239" s="20" t="s">
        <v>1178</v>
      </c>
      <c r="N1239" s="47">
        <v>45674</v>
      </c>
      <c r="O1239" s="20">
        <f>INDEX(Auxiliar!$D$5:$F$13,MATCH(Table1[[#This Row],[Tipologia_Testes]],Auxiliar!$B$5:$B$13,0),MATCH(Table1[[#This Row],[Complexidade]],Auxiliar!$D$4:$F$4,0))</f>
        <v>2</v>
      </c>
      <c r="P1239" s="42" t="s">
        <v>1270</v>
      </c>
      <c r="Q1239" s="113"/>
      <c r="R1239" s="151">
        <v>45589</v>
      </c>
      <c r="S1239" s="151"/>
      <c r="T1239" s="151">
        <v>45589</v>
      </c>
      <c r="U1239" s="151"/>
      <c r="V1239" s="151">
        <v>45644</v>
      </c>
      <c r="W1239" s="2">
        <f>VLOOKUP(Table1[[#This Row],[Status]],Auxiliar!$B$16:$D$24,3,0)*Table1[[#This Row],[Estimação (horas)]]</f>
        <v>2</v>
      </c>
      <c r="X1239" s="166">
        <f>+VLOOKUP(CONCATENATE(Table1[[#This Row],[Tabela]],Table1[[#This Row],[Campo]]),'2. Status Detalhe Campos FY24'!A:J,9,FALSE)</f>
        <v>0</v>
      </c>
    </row>
    <row r="1240" spans="2:24" ht="17.850000000000001" hidden="1" customHeight="1">
      <c r="B1240" s="38" t="s">
        <v>26</v>
      </c>
      <c r="C1240" s="38" t="s">
        <v>26</v>
      </c>
      <c r="D1240" s="38" t="s">
        <v>325</v>
      </c>
      <c r="E1240" s="38" t="s">
        <v>1271</v>
      </c>
      <c r="F1240" s="38" t="s">
        <v>335</v>
      </c>
      <c r="G1240" s="38" t="s">
        <v>366</v>
      </c>
      <c r="H1240" s="58" t="str">
        <f>Table1[[#This Row],[Tabela]]&amp;Table1[[#This Row],[Campo]]</f>
        <v>lt003_entitygrp_emssns_scp2</v>
      </c>
      <c r="I1240" s="2" t="s">
        <v>612</v>
      </c>
      <c r="J1240" s="44">
        <f>VLOOKUP(Table1[[#This Row],[Status]],Auxiliar!$B$16:$C$24,2,0)</f>
        <v>1</v>
      </c>
      <c r="K1240" s="44" t="s">
        <v>1172</v>
      </c>
      <c r="L1240" s="45" t="s">
        <v>1177</v>
      </c>
      <c r="M1240" s="20" t="s">
        <v>1178</v>
      </c>
      <c r="N1240" s="47">
        <v>45674</v>
      </c>
      <c r="O1240" s="20">
        <f>INDEX(Auxiliar!$D$5:$F$13,MATCH(Table1[[#This Row],[Tipologia_Testes]],Auxiliar!$B$5:$B$13,0),MATCH(Table1[[#This Row],[Complexidade]],Auxiliar!$D$4:$F$4,0))</f>
        <v>2</v>
      </c>
      <c r="P1240" s="42" t="s">
        <v>1270</v>
      </c>
      <c r="Q1240" s="113"/>
      <c r="R1240" s="151">
        <v>45589</v>
      </c>
      <c r="S1240" s="151"/>
      <c r="T1240" s="151">
        <v>45589</v>
      </c>
      <c r="U1240" s="151"/>
      <c r="V1240" s="151">
        <v>45644</v>
      </c>
      <c r="W1240" s="2">
        <f>VLOOKUP(Table1[[#This Row],[Status]],Auxiliar!$B$16:$D$24,3,0)*Table1[[#This Row],[Estimação (horas)]]</f>
        <v>2</v>
      </c>
      <c r="X1240" s="166">
        <f>+VLOOKUP(CONCATENATE(Table1[[#This Row],[Tabela]],Table1[[#This Row],[Campo]]),'2. Status Detalhe Campos FY24'!A:J,9,FALSE)</f>
        <v>0</v>
      </c>
    </row>
    <row r="1241" spans="2:24" ht="35.1" hidden="1" customHeight="1">
      <c r="B1241" s="38" t="s">
        <v>26</v>
      </c>
      <c r="C1241" s="38" t="s">
        <v>26</v>
      </c>
      <c r="D1241" s="38" t="s">
        <v>325</v>
      </c>
      <c r="E1241" s="38" t="s">
        <v>1271</v>
      </c>
      <c r="F1241" s="38" t="s">
        <v>335</v>
      </c>
      <c r="G1241" s="38" t="s">
        <v>366</v>
      </c>
      <c r="H1241" s="58" t="str">
        <f>Table1[[#This Row],[Tabela]]&amp;Table1[[#This Row],[Campo]]</f>
        <v>lt003_entitygrp_emssns_scp2</v>
      </c>
      <c r="I1241" s="2" t="s">
        <v>612</v>
      </c>
      <c r="J1241" s="44">
        <f>VLOOKUP(Table1[[#This Row],[Status]],Auxiliar!$B$16:$C$24,2,0)</f>
        <v>1</v>
      </c>
      <c r="K1241" s="44" t="s">
        <v>1174</v>
      </c>
      <c r="L1241" s="45" t="s">
        <v>1177</v>
      </c>
      <c r="M1241" s="20" t="s">
        <v>1178</v>
      </c>
      <c r="N1241" s="47">
        <v>45674</v>
      </c>
      <c r="O1241" s="20">
        <f>INDEX(Auxiliar!$D$5:$F$13,MATCH(Table1[[#This Row],[Tipologia_Testes]],Auxiliar!$B$5:$B$13,0),MATCH(Table1[[#This Row],[Complexidade]],Auxiliar!$D$4:$F$4,0))</f>
        <v>0.1</v>
      </c>
      <c r="P1241" s="42" t="s">
        <v>1270</v>
      </c>
      <c r="Q1241" s="113"/>
      <c r="R1241" s="151">
        <v>45589</v>
      </c>
      <c r="S1241" s="151"/>
      <c r="T1241" s="151">
        <v>45589</v>
      </c>
      <c r="U1241" s="151"/>
      <c r="V1241" s="151">
        <v>45644</v>
      </c>
      <c r="W1241" s="2">
        <f>VLOOKUP(Table1[[#This Row],[Status]],Auxiliar!$B$16:$D$24,3,0)*Table1[[#This Row],[Estimação (horas)]]</f>
        <v>0.1</v>
      </c>
      <c r="X1241" s="166">
        <f>+VLOOKUP(CONCATENATE(Table1[[#This Row],[Tabela]],Table1[[#This Row],[Campo]]),'2. Status Detalhe Campos FY24'!A:J,9,FALSE)</f>
        <v>0</v>
      </c>
    </row>
    <row r="1242" spans="2:24" ht="17.850000000000001" hidden="1" customHeight="1">
      <c r="B1242" s="40" t="s">
        <v>26</v>
      </c>
      <c r="C1242" s="40" t="s">
        <v>26</v>
      </c>
      <c r="D1242" s="35" t="s">
        <v>325</v>
      </c>
      <c r="E1242" s="110" t="s">
        <v>1272</v>
      </c>
      <c r="F1242" s="39" t="s">
        <v>335</v>
      </c>
      <c r="G1242" s="37" t="s">
        <v>367</v>
      </c>
      <c r="H1242" s="59" t="str">
        <f>Table1[[#This Row],[Tabela]]&amp;Table1[[#This Row],[Campo]]</f>
        <v>lt003_entitygrp_emssns_scp3</v>
      </c>
      <c r="I1242" s="2" t="s">
        <v>612</v>
      </c>
      <c r="J1242" s="44">
        <f>VLOOKUP(Table1[[#This Row],[Status]],Auxiliar!$B$16:$C$24,2,0)</f>
        <v>1</v>
      </c>
      <c r="K1242" s="44" t="s">
        <v>1171</v>
      </c>
      <c r="L1242" s="45" t="s">
        <v>1177</v>
      </c>
      <c r="M1242" s="20" t="s">
        <v>1178</v>
      </c>
      <c r="N1242" s="47">
        <v>45674</v>
      </c>
      <c r="O1242" s="20">
        <f>INDEX(Auxiliar!$D$5:$F$13,MATCH(Table1[[#This Row],[Tipologia_Testes]],Auxiliar!$B$5:$B$13,0),MATCH(Table1[[#This Row],[Complexidade]],Auxiliar!$D$4:$F$4,0))</f>
        <v>2</v>
      </c>
      <c r="P1242" s="42" t="s">
        <v>1270</v>
      </c>
      <c r="Q1242" s="113"/>
      <c r="R1242" s="151">
        <v>45589</v>
      </c>
      <c r="S1242" s="151"/>
      <c r="T1242" s="151">
        <v>45589</v>
      </c>
      <c r="U1242" s="151"/>
      <c r="V1242" s="151">
        <v>45644</v>
      </c>
      <c r="W1242" s="2">
        <f>VLOOKUP(Table1[[#This Row],[Status]],Auxiliar!$B$16:$D$24,3,0)*Table1[[#This Row],[Estimação (horas)]]</f>
        <v>2</v>
      </c>
      <c r="X1242" s="166">
        <f>+VLOOKUP(CONCATENATE(Table1[[#This Row],[Tabela]],Table1[[#This Row],[Campo]]),'2. Status Detalhe Campos FY24'!A:J,9,FALSE)</f>
        <v>0</v>
      </c>
    </row>
    <row r="1243" spans="2:24" ht="17.850000000000001" hidden="1" customHeight="1">
      <c r="B1243" s="38" t="s">
        <v>26</v>
      </c>
      <c r="C1243" s="38" t="s">
        <v>26</v>
      </c>
      <c r="D1243" s="38" t="s">
        <v>325</v>
      </c>
      <c r="E1243" s="38" t="s">
        <v>1272</v>
      </c>
      <c r="F1243" s="38" t="s">
        <v>335</v>
      </c>
      <c r="G1243" s="38" t="s">
        <v>367</v>
      </c>
      <c r="H1243" s="58" t="str">
        <f>Table1[[#This Row],[Tabela]]&amp;Table1[[#This Row],[Campo]]</f>
        <v>lt003_entitygrp_emssns_scp3</v>
      </c>
      <c r="I1243" s="2" t="s">
        <v>612</v>
      </c>
      <c r="J1243" s="44">
        <f>VLOOKUP(Table1[[#This Row],[Status]],Auxiliar!$B$16:$C$24,2,0)</f>
        <v>1</v>
      </c>
      <c r="K1243" s="44" t="s">
        <v>1172</v>
      </c>
      <c r="L1243" s="45" t="s">
        <v>1177</v>
      </c>
      <c r="M1243" s="20" t="s">
        <v>1178</v>
      </c>
      <c r="N1243" s="47">
        <v>45674</v>
      </c>
      <c r="O1243" s="20">
        <f>INDEX(Auxiliar!$D$5:$F$13,MATCH(Table1[[#This Row],[Tipologia_Testes]],Auxiliar!$B$5:$B$13,0),MATCH(Table1[[#This Row],[Complexidade]],Auxiliar!$D$4:$F$4,0))</f>
        <v>2</v>
      </c>
      <c r="P1243" s="42" t="s">
        <v>1270</v>
      </c>
      <c r="Q1243" s="113"/>
      <c r="R1243" s="151">
        <v>45589</v>
      </c>
      <c r="S1243" s="151"/>
      <c r="T1243" s="151">
        <v>45589</v>
      </c>
      <c r="U1243" s="151"/>
      <c r="V1243" s="151">
        <v>45644</v>
      </c>
      <c r="W1243" s="2">
        <f>VLOOKUP(Table1[[#This Row],[Status]],Auxiliar!$B$16:$D$24,3,0)*Table1[[#This Row],[Estimação (horas)]]</f>
        <v>2</v>
      </c>
      <c r="X1243" s="166">
        <f>+VLOOKUP(CONCATENATE(Table1[[#This Row],[Tabela]],Table1[[#This Row],[Campo]]),'2. Status Detalhe Campos FY24'!A:J,9,FALSE)</f>
        <v>0</v>
      </c>
    </row>
    <row r="1244" spans="2:24" ht="17.850000000000001" hidden="1" customHeight="1">
      <c r="B1244" s="38" t="s">
        <v>26</v>
      </c>
      <c r="C1244" s="38" t="s">
        <v>26</v>
      </c>
      <c r="D1244" s="38" t="s">
        <v>325</v>
      </c>
      <c r="E1244" s="38" t="s">
        <v>1272</v>
      </c>
      <c r="F1244" s="38" t="s">
        <v>335</v>
      </c>
      <c r="G1244" s="38" t="s">
        <v>367</v>
      </c>
      <c r="H1244" s="58" t="str">
        <f>Table1[[#This Row],[Tabela]]&amp;Table1[[#This Row],[Campo]]</f>
        <v>lt003_entitygrp_emssns_scp3</v>
      </c>
      <c r="I1244" s="2" t="s">
        <v>612</v>
      </c>
      <c r="J1244" s="44">
        <f>VLOOKUP(Table1[[#This Row],[Status]],Auxiliar!$B$16:$C$24,2,0)</f>
        <v>1</v>
      </c>
      <c r="K1244" s="44" t="s">
        <v>1174</v>
      </c>
      <c r="L1244" s="45" t="s">
        <v>1177</v>
      </c>
      <c r="M1244" s="20" t="s">
        <v>1178</v>
      </c>
      <c r="N1244" s="47">
        <v>45674</v>
      </c>
      <c r="O1244" s="20">
        <f>INDEX(Auxiliar!$D$5:$F$13,MATCH(Table1[[#This Row],[Tipologia_Testes]],Auxiliar!$B$5:$B$13,0),MATCH(Table1[[#This Row],[Complexidade]],Auxiliar!$D$4:$F$4,0))</f>
        <v>0.1</v>
      </c>
      <c r="P1244" s="42" t="s">
        <v>1270</v>
      </c>
      <c r="Q1244" s="113"/>
      <c r="R1244" s="151">
        <v>45589</v>
      </c>
      <c r="S1244" s="151"/>
      <c r="T1244" s="151">
        <v>45589</v>
      </c>
      <c r="U1244" s="151"/>
      <c r="V1244" s="151">
        <v>45644</v>
      </c>
      <c r="W1244" s="2">
        <f>VLOOKUP(Table1[[#This Row],[Status]],Auxiliar!$B$16:$D$24,3,0)*Table1[[#This Row],[Estimação (horas)]]</f>
        <v>0.1</v>
      </c>
      <c r="X1244" s="166">
        <f>+VLOOKUP(CONCATENATE(Table1[[#This Row],[Tabela]],Table1[[#This Row],[Campo]]),'2. Status Detalhe Campos FY24'!A:J,9,FALSE)</f>
        <v>0</v>
      </c>
    </row>
    <row r="1245" spans="2:24" ht="17.850000000000001" hidden="1" customHeight="1">
      <c r="B1245" s="40" t="s">
        <v>26</v>
      </c>
      <c r="C1245" s="40" t="s">
        <v>26</v>
      </c>
      <c r="D1245" s="2" t="s">
        <v>399</v>
      </c>
      <c r="E1245" s="39" t="s">
        <v>38</v>
      </c>
      <c r="F1245" s="2" t="s">
        <v>368</v>
      </c>
      <c r="G1245" s="2" t="s">
        <v>436</v>
      </c>
      <c r="H1245" s="56" t="str">
        <f>Table1[[#This Row],[Tabela]]&amp;Table1[[#This Row],[Campo]]</f>
        <v>lt004_protectiontyp_prtctn</v>
      </c>
      <c r="I1245" s="2" t="s">
        <v>612</v>
      </c>
      <c r="J1245" s="44">
        <f>VLOOKUP(Table1[[#This Row],[Status]],Auxiliar!$B$16:$C$24,2,0)</f>
        <v>1</v>
      </c>
      <c r="K1245" s="43" t="s">
        <v>1176</v>
      </c>
      <c r="L1245" s="45" t="s">
        <v>1177</v>
      </c>
      <c r="M1245" s="20" t="s">
        <v>1178</v>
      </c>
      <c r="N1245" s="47">
        <v>45667</v>
      </c>
      <c r="O1245" s="112">
        <v>0.1</v>
      </c>
      <c r="P1245" s="2" t="s">
        <v>1928</v>
      </c>
      <c r="Q1245" s="151"/>
      <c r="R1245" s="151">
        <v>45603</v>
      </c>
      <c r="S1245" s="151"/>
      <c r="T1245" s="151">
        <v>45588</v>
      </c>
      <c r="U1245" s="151">
        <v>45624</v>
      </c>
      <c r="V1245" s="151">
        <v>45624</v>
      </c>
      <c r="W1245" s="2">
        <f>VLOOKUP(Table1[[#This Row],[Status]],Auxiliar!$B$16:$D$24,3,0)*Table1[[#This Row],[Estimação (horas)]]</f>
        <v>0.1</v>
      </c>
      <c r="X1245" s="166">
        <f>+VLOOKUP(CONCATENATE(Table1[[#This Row],[Tabela]],Table1[[#This Row],[Campo]]),'2. Status Detalhe Campos FY24'!A:J,9,FALSE)</f>
        <v>0</v>
      </c>
    </row>
    <row r="1246" spans="2:24" ht="17.850000000000001" hidden="1" customHeight="1">
      <c r="B1246" s="38" t="s">
        <v>26</v>
      </c>
      <c r="C1246" s="38" t="s">
        <v>26</v>
      </c>
      <c r="D1246" s="336" t="s">
        <v>1273</v>
      </c>
      <c r="E1246" s="339" t="s">
        <v>1255</v>
      </c>
      <c r="F1246" s="338" t="s">
        <v>368</v>
      </c>
      <c r="G1246" s="340" t="s">
        <v>371</v>
      </c>
      <c r="H1246" s="342" t="str">
        <f>Table1[[#This Row],[Tabela]]&amp;Table1[[#This Row],[Campo]]</f>
        <v>lt004_protectiontyp_epc_lbl</v>
      </c>
      <c r="I1246" s="2" t="s">
        <v>612</v>
      </c>
      <c r="J1246" s="44">
        <f>VLOOKUP(Table1[[#This Row],[Status]],Auxiliar!$B$16:$C$24,2,0)</f>
        <v>1</v>
      </c>
      <c r="K1246" s="44" t="s">
        <v>1171</v>
      </c>
      <c r="L1246" s="45" t="s">
        <v>1177</v>
      </c>
      <c r="M1246" s="20" t="s">
        <v>1178</v>
      </c>
      <c r="N1246" s="47">
        <v>45642</v>
      </c>
      <c r="O1246" s="20">
        <f>INDEX(Auxiliar!$D$5:$F$13,MATCH(Table1[[#This Row],[Tipologia_Testes]],Auxiliar!$B$5:$B$13,0),MATCH(Table1[[#This Row],[Complexidade]],Auxiliar!$D$4:$F$4,0))</f>
        <v>2</v>
      </c>
      <c r="P1246" s="42" t="s">
        <v>1274</v>
      </c>
      <c r="Q1246" s="42"/>
      <c r="R1246" s="151">
        <v>45583</v>
      </c>
      <c r="S1246" s="151"/>
      <c r="T1246" s="151">
        <v>45583</v>
      </c>
      <c r="U1246" s="151">
        <v>45596</v>
      </c>
      <c r="V1246" s="151">
        <v>45596</v>
      </c>
      <c r="W1246" s="2">
        <f>VLOOKUP(Table1[[#This Row],[Status]],Auxiliar!$B$16:$D$24,3,0)*Table1[[#This Row],[Estimação (horas)]]</f>
        <v>2</v>
      </c>
      <c r="X1246" s="166">
        <f>+VLOOKUP(CONCATENATE(Table1[[#This Row],[Tabela]],Table1[[#This Row],[Campo]]),'2. Status Detalhe Campos FY24'!A:J,9,FALSE)</f>
        <v>0</v>
      </c>
    </row>
    <row r="1247" spans="2:24" ht="17.850000000000001" hidden="1" customHeight="1">
      <c r="B1247" s="38" t="s">
        <v>26</v>
      </c>
      <c r="C1247" s="38" t="s">
        <v>26</v>
      </c>
      <c r="D1247" s="38" t="s">
        <v>1273</v>
      </c>
      <c r="E1247" s="38" t="s">
        <v>1255</v>
      </c>
      <c r="F1247" s="38" t="s">
        <v>368</v>
      </c>
      <c r="G1247" s="38" t="s">
        <v>371</v>
      </c>
      <c r="H1247" s="58" t="str">
        <f>Table1[[#This Row],[Tabela]]&amp;Table1[[#This Row],[Campo]]</f>
        <v>lt004_protectiontyp_epc_lbl</v>
      </c>
      <c r="I1247" s="2" t="s">
        <v>612</v>
      </c>
      <c r="J1247" s="44">
        <f>VLOOKUP(Table1[[#This Row],[Status]],Auxiliar!$B$16:$C$24,2,0)</f>
        <v>1</v>
      </c>
      <c r="K1247" s="44" t="s">
        <v>1172</v>
      </c>
      <c r="L1247" s="45" t="s">
        <v>1177</v>
      </c>
      <c r="M1247" s="20" t="s">
        <v>1178</v>
      </c>
      <c r="N1247" s="47">
        <v>45642</v>
      </c>
      <c r="O1247" s="20">
        <f>INDEX(Auxiliar!$D$5:$F$13,MATCH(Table1[[#This Row],[Tipologia_Testes]],Auxiliar!$B$5:$B$13,0),MATCH(Table1[[#This Row],[Complexidade]],Auxiliar!$D$4:$F$4,0))</f>
        <v>2</v>
      </c>
      <c r="P1247" s="42" t="s">
        <v>1274</v>
      </c>
      <c r="Q1247" s="42"/>
      <c r="R1247" s="151">
        <v>45583</v>
      </c>
      <c r="S1247" s="151"/>
      <c r="T1247" s="151">
        <v>45583</v>
      </c>
      <c r="U1247" s="151">
        <v>45596</v>
      </c>
      <c r="V1247" s="151">
        <v>45596</v>
      </c>
      <c r="W1247" s="2">
        <f>VLOOKUP(Table1[[#This Row],[Status]],Auxiliar!$B$16:$D$24,3,0)*Table1[[#This Row],[Estimação (horas)]]</f>
        <v>2</v>
      </c>
      <c r="X1247" s="166">
        <f>+VLOOKUP(CONCATENATE(Table1[[#This Row],[Tabela]],Table1[[#This Row],[Campo]]),'2. Status Detalhe Campos FY24'!A:J,9,FALSE)</f>
        <v>0</v>
      </c>
    </row>
    <row r="1248" spans="2:24" ht="17.850000000000001" hidden="1" customHeight="1">
      <c r="B1248" s="40" t="s">
        <v>26</v>
      </c>
      <c r="C1248" s="40" t="s">
        <v>26</v>
      </c>
      <c r="D1248" s="42" t="s">
        <v>1273</v>
      </c>
      <c r="E1248" s="42" t="s">
        <v>1255</v>
      </c>
      <c r="F1248" s="42" t="s">
        <v>368</v>
      </c>
      <c r="G1248" s="42" t="s">
        <v>371</v>
      </c>
      <c r="H1248" s="56" t="str">
        <f>Table1[[#This Row],[Tabela]]&amp;Table1[[#This Row],[Campo]]</f>
        <v>lt004_protectiontyp_epc_lbl</v>
      </c>
      <c r="I1248" s="2" t="s">
        <v>612</v>
      </c>
      <c r="J1248" s="44">
        <f>VLOOKUP(Table1[[#This Row],[Status]],Auxiliar!$B$16:$C$24,2,0)</f>
        <v>1</v>
      </c>
      <c r="K1248" s="44" t="s">
        <v>1174</v>
      </c>
      <c r="L1248" s="45" t="s">
        <v>1177</v>
      </c>
      <c r="M1248" s="20" t="s">
        <v>1178</v>
      </c>
      <c r="N1248" s="47">
        <v>45642</v>
      </c>
      <c r="O1248" s="20">
        <f>INDEX(Auxiliar!$D$5:$F$13,MATCH(Table1[[#This Row],[Tipologia_Testes]],Auxiliar!$B$5:$B$13,0),MATCH(Table1[[#This Row],[Complexidade]],Auxiliar!$D$4:$F$4,0))</f>
        <v>0.1</v>
      </c>
      <c r="P1248" s="42" t="s">
        <v>1274</v>
      </c>
      <c r="Q1248" s="42"/>
      <c r="R1248" s="151">
        <v>45583</v>
      </c>
      <c r="S1248" s="151"/>
      <c r="T1248" s="151">
        <v>45583</v>
      </c>
      <c r="U1248" s="151">
        <v>45596</v>
      </c>
      <c r="V1248" s="151">
        <v>45596</v>
      </c>
      <c r="W1248" s="2">
        <f>VLOOKUP(Table1[[#This Row],[Status]],Auxiliar!$B$16:$D$24,3,0)*Table1[[#This Row],[Estimação (horas)]]</f>
        <v>0.1</v>
      </c>
      <c r="X1248" s="166">
        <f>+VLOOKUP(CONCATENATE(Table1[[#This Row],[Tabela]],Table1[[#This Row],[Campo]]),'2. Status Detalhe Campos FY24'!A:J,9,FALSE)</f>
        <v>0</v>
      </c>
    </row>
    <row r="1249" spans="2:24" ht="17.850000000000001" hidden="1" customHeight="1">
      <c r="B1249" s="38" t="s">
        <v>26</v>
      </c>
      <c r="C1249" s="38" t="s">
        <v>26</v>
      </c>
      <c r="D1249" s="336" t="s">
        <v>1273</v>
      </c>
      <c r="E1249" s="339" t="s">
        <v>1255</v>
      </c>
      <c r="F1249" s="338" t="s">
        <v>368</v>
      </c>
      <c r="G1249" s="340" t="s">
        <v>369</v>
      </c>
      <c r="H1249" s="342" t="str">
        <f>Table1[[#This Row],[Tabela]]&amp;Table1[[#This Row],[Campo]]</f>
        <v>lt004_protectiontyp_ep_scr</v>
      </c>
      <c r="I1249" s="2" t="s">
        <v>614</v>
      </c>
      <c r="J1249" s="44">
        <f>VLOOKUP(Table1[[#This Row],[Status]],Auxiliar!$B$16:$C$24,2,0)</f>
        <v>5</v>
      </c>
      <c r="K1249" s="44" t="s">
        <v>1171</v>
      </c>
      <c r="L1249" s="45" t="s">
        <v>1177</v>
      </c>
      <c r="M1249" s="20" t="s">
        <v>1178</v>
      </c>
      <c r="N1249" s="47">
        <v>45632</v>
      </c>
      <c r="O1249" s="20">
        <f>INDEX(Auxiliar!$D$5:$F$13,MATCH(Table1[[#This Row],[Tipologia_Testes]],Auxiliar!$B$5:$B$13,0),MATCH(Table1[[#This Row],[Complexidade]],Auxiliar!$D$4:$F$4,0))</f>
        <v>2</v>
      </c>
      <c r="P1249" s="42"/>
      <c r="Q1249" s="151"/>
      <c r="R1249" s="151">
        <v>45583</v>
      </c>
      <c r="S1249" s="151"/>
      <c r="T1249" s="151">
        <v>45583</v>
      </c>
      <c r="U1249" s="151">
        <v>45611</v>
      </c>
      <c r="V1249" s="151">
        <v>45611</v>
      </c>
      <c r="W1249" s="2">
        <f>VLOOKUP(Table1[[#This Row],[Status]],Auxiliar!$B$16:$D$24,3,0)*Table1[[#This Row],[Estimação (horas)]]</f>
        <v>0.5</v>
      </c>
      <c r="X1249" s="166">
        <f>+VLOOKUP(CONCATENATE(Table1[[#This Row],[Tabela]],Table1[[#This Row],[Campo]]),'2. Status Detalhe Campos FY24'!A:J,9,FALSE)</f>
        <v>0</v>
      </c>
    </row>
    <row r="1250" spans="2:24" ht="17.850000000000001" hidden="1" customHeight="1">
      <c r="B1250" s="38" t="s">
        <v>26</v>
      </c>
      <c r="C1250" s="38" t="s">
        <v>26</v>
      </c>
      <c r="D1250" s="38" t="s">
        <v>1273</v>
      </c>
      <c r="E1250" s="38" t="s">
        <v>1255</v>
      </c>
      <c r="F1250" s="38" t="s">
        <v>368</v>
      </c>
      <c r="G1250" s="38" t="s">
        <v>369</v>
      </c>
      <c r="H1250" s="58" t="str">
        <f>Table1[[#This Row],[Tabela]]&amp;Table1[[#This Row],[Campo]]</f>
        <v>lt004_protectiontyp_ep_scr</v>
      </c>
      <c r="I1250" s="2" t="s">
        <v>614</v>
      </c>
      <c r="J1250" s="44">
        <f>VLOOKUP(Table1[[#This Row],[Status]],Auxiliar!$B$16:$C$24,2,0)</f>
        <v>5</v>
      </c>
      <c r="K1250" s="44" t="s">
        <v>1172</v>
      </c>
      <c r="L1250" s="45" t="s">
        <v>1177</v>
      </c>
      <c r="M1250" s="20" t="s">
        <v>1178</v>
      </c>
      <c r="N1250" s="47">
        <v>45632</v>
      </c>
      <c r="O1250" s="20">
        <f>INDEX(Auxiliar!$D$5:$F$13,MATCH(Table1[[#This Row],[Tipologia_Testes]],Auxiliar!$B$5:$B$13,0),MATCH(Table1[[#This Row],[Complexidade]],Auxiliar!$D$4:$F$4,0))</f>
        <v>2</v>
      </c>
      <c r="P1250" s="42"/>
      <c r="Q1250" s="151"/>
      <c r="R1250" s="151">
        <v>45583</v>
      </c>
      <c r="S1250" s="151"/>
      <c r="T1250" s="151">
        <v>45583</v>
      </c>
      <c r="U1250" s="151">
        <v>45611</v>
      </c>
      <c r="V1250" s="151">
        <v>45611</v>
      </c>
      <c r="W1250" s="2">
        <f>VLOOKUP(Table1[[#This Row],[Status]],Auxiliar!$B$16:$D$24,3,0)*Table1[[#This Row],[Estimação (horas)]]</f>
        <v>0.5</v>
      </c>
      <c r="X1250" s="166">
        <f>+VLOOKUP(CONCATENATE(Table1[[#This Row],[Tabela]],Table1[[#This Row],[Campo]]),'2. Status Detalhe Campos FY24'!A:J,9,FALSE)</f>
        <v>0</v>
      </c>
    </row>
    <row r="1251" spans="2:24" ht="17.850000000000001" hidden="1" customHeight="1">
      <c r="B1251" s="40" t="s">
        <v>26</v>
      </c>
      <c r="C1251" s="40" t="s">
        <v>26</v>
      </c>
      <c r="D1251" s="42" t="s">
        <v>1273</v>
      </c>
      <c r="E1251" s="42" t="s">
        <v>1255</v>
      </c>
      <c r="F1251" s="42" t="s">
        <v>368</v>
      </c>
      <c r="G1251" s="42" t="s">
        <v>369</v>
      </c>
      <c r="H1251" s="56" t="str">
        <f>Table1[[#This Row],[Tabela]]&amp;Table1[[#This Row],[Campo]]</f>
        <v>lt004_protectiontyp_ep_scr</v>
      </c>
      <c r="I1251" s="2" t="s">
        <v>614</v>
      </c>
      <c r="J1251" s="44">
        <f>VLOOKUP(Table1[[#This Row],[Status]],Auxiliar!$B$16:$C$24,2,0)</f>
        <v>5</v>
      </c>
      <c r="K1251" s="44" t="s">
        <v>1174</v>
      </c>
      <c r="L1251" s="45" t="s">
        <v>1177</v>
      </c>
      <c r="M1251" s="20" t="s">
        <v>1178</v>
      </c>
      <c r="N1251" s="47">
        <v>45632</v>
      </c>
      <c r="O1251" s="20">
        <f>INDEX(Auxiliar!$D$5:$F$13,MATCH(Table1[[#This Row],[Tipologia_Testes]],Auxiliar!$B$5:$B$13,0),MATCH(Table1[[#This Row],[Complexidade]],Auxiliar!$D$4:$F$4,0))</f>
        <v>0.1</v>
      </c>
      <c r="P1251" s="42"/>
      <c r="Q1251" s="343"/>
      <c r="R1251" s="151">
        <v>45583</v>
      </c>
      <c r="S1251" s="151"/>
      <c r="T1251" s="151">
        <v>45583</v>
      </c>
      <c r="U1251" s="151">
        <v>45611</v>
      </c>
      <c r="V1251" s="151">
        <v>45611</v>
      </c>
      <c r="W1251" s="2">
        <f>VLOOKUP(Table1[[#This Row],[Status]],Auxiliar!$B$16:$D$24,3,0)*Table1[[#This Row],[Estimação (horas)]]</f>
        <v>2.5000000000000001E-2</v>
      </c>
      <c r="X1251" s="166">
        <f>+VLOOKUP(CONCATENATE(Table1[[#This Row],[Tabela]],Table1[[#This Row],[Campo]]),'2. Status Detalhe Campos FY24'!A:J,9,FALSE)</f>
        <v>0</v>
      </c>
    </row>
    <row r="1252" spans="2:24" ht="17.850000000000001" hidden="1" customHeight="1">
      <c r="B1252" s="38" t="s">
        <v>26</v>
      </c>
      <c r="C1252" s="38" t="s">
        <v>26</v>
      </c>
      <c r="D1252" s="19" t="s">
        <v>399</v>
      </c>
      <c r="E1252" s="338" t="s">
        <v>38</v>
      </c>
      <c r="F1252" s="19" t="s">
        <v>368</v>
      </c>
      <c r="G1252" s="19" t="s">
        <v>435</v>
      </c>
      <c r="H1252" s="58" t="str">
        <f>Table1[[#This Row],[Tabela]]&amp;Table1[[#This Row],[Campo]]</f>
        <v>lt004_protectionrl_estt_pst_cd</v>
      </c>
      <c r="I1252" s="2" t="s">
        <v>612</v>
      </c>
      <c r="J1252" s="44">
        <f>VLOOKUP(Table1[[#This Row],[Status]],Auxiliar!$B$16:$C$24,2,0)</f>
        <v>1</v>
      </c>
      <c r="K1252" s="43" t="s">
        <v>1176</v>
      </c>
      <c r="L1252" s="45" t="s">
        <v>1177</v>
      </c>
      <c r="M1252" s="20" t="s">
        <v>1178</v>
      </c>
      <c r="N1252" s="47">
        <v>45632</v>
      </c>
      <c r="O1252" s="112">
        <v>0.1</v>
      </c>
      <c r="P1252" s="2"/>
      <c r="Q1252" s="343"/>
      <c r="R1252" s="151">
        <v>45589</v>
      </c>
      <c r="S1252" s="151"/>
      <c r="T1252" s="151">
        <v>45589</v>
      </c>
      <c r="U1252" s="151">
        <v>45611</v>
      </c>
      <c r="V1252" s="151">
        <v>45611</v>
      </c>
      <c r="W1252" s="2">
        <f>VLOOKUP(Table1[[#This Row],[Status]],Auxiliar!$B$16:$D$24,3,0)*Table1[[#This Row],[Estimação (horas)]]</f>
        <v>0.1</v>
      </c>
      <c r="X1252" s="166">
        <f>+VLOOKUP(CONCATENATE(Table1[[#This Row],[Tabela]],Table1[[#This Row],[Campo]]),'2. Status Detalhe Campos FY24'!A:J,9,FALSE)</f>
        <v>0</v>
      </c>
    </row>
    <row r="1253" spans="2:24" ht="17.850000000000001" hidden="1" customHeight="1">
      <c r="B1253" s="38" t="s">
        <v>26</v>
      </c>
      <c r="C1253" s="38" t="s">
        <v>26</v>
      </c>
      <c r="D1253" s="19" t="s">
        <v>399</v>
      </c>
      <c r="E1253" s="338" t="s">
        <v>38</v>
      </c>
      <c r="F1253" s="19" t="s">
        <v>368</v>
      </c>
      <c r="G1253" s="19" t="s">
        <v>434</v>
      </c>
      <c r="H1253" s="58" t="str">
        <f>Table1[[#This Row],[Tabela]]&amp;Table1[[#This Row],[Campo]]</f>
        <v>lt004_protectionrl_estt_clltrl_lctn</v>
      </c>
      <c r="I1253" s="2" t="s">
        <v>612</v>
      </c>
      <c r="J1253" s="44">
        <f>VLOOKUP(Table1[[#This Row],[Status]],Auxiliar!$B$16:$C$24,2,0)</f>
        <v>1</v>
      </c>
      <c r="K1253" s="43" t="s">
        <v>1176</v>
      </c>
      <c r="L1253" s="45" t="s">
        <v>1177</v>
      </c>
      <c r="M1253" s="20" t="s">
        <v>1178</v>
      </c>
      <c r="N1253" s="47">
        <v>45632</v>
      </c>
      <c r="O1253" s="112">
        <v>0.1</v>
      </c>
      <c r="P1253" s="2"/>
      <c r="Q1253" s="343"/>
      <c r="R1253" s="151">
        <v>45589</v>
      </c>
      <c r="S1253" s="151"/>
      <c r="T1253" s="151">
        <v>45589</v>
      </c>
      <c r="U1253" s="151">
        <v>45611</v>
      </c>
      <c r="V1253" s="151">
        <v>45611</v>
      </c>
      <c r="W1253" s="2">
        <f>VLOOKUP(Table1[[#This Row],[Status]],Auxiliar!$B$16:$D$24,3,0)*Table1[[#This Row],[Estimação (horas)]]</f>
        <v>0.1</v>
      </c>
      <c r="X1253" s="166">
        <f>+VLOOKUP(CONCATENATE(Table1[[#This Row],[Tabela]],Table1[[#This Row],[Campo]]),'2. Status Detalhe Campos FY24'!A:J,9,FALSE)</f>
        <v>0</v>
      </c>
    </row>
    <row r="1254" spans="2:24" ht="17.850000000000001" hidden="1" customHeight="1">
      <c r="B1254" s="40" t="s">
        <v>26</v>
      </c>
      <c r="C1254" s="40" t="s">
        <v>26</v>
      </c>
      <c r="D1254" s="2" t="s">
        <v>399</v>
      </c>
      <c r="E1254" s="39" t="s">
        <v>38</v>
      </c>
      <c r="F1254" s="2" t="s">
        <v>368</v>
      </c>
      <c r="G1254" s="2" t="s">
        <v>438</v>
      </c>
      <c r="H1254" s="56" t="str">
        <f>Table1[[#This Row],[Tabela]]&amp;Table1[[#This Row],[Campo]]</f>
        <v>lt004_protectionprtctn_vl</v>
      </c>
      <c r="I1254" s="2" t="s">
        <v>612</v>
      </c>
      <c r="J1254" s="44">
        <f>VLOOKUP(Table1[[#This Row],[Status]],Auxiliar!$B$16:$C$24,2,0)</f>
        <v>1</v>
      </c>
      <c r="K1254" s="43" t="s">
        <v>1176</v>
      </c>
      <c r="L1254" s="45" t="s">
        <v>1177</v>
      </c>
      <c r="M1254" s="20" t="s">
        <v>1178</v>
      </c>
      <c r="N1254" s="47">
        <v>45667</v>
      </c>
      <c r="O1254" s="112">
        <v>0.1</v>
      </c>
      <c r="P1254" s="2"/>
      <c r="Q1254" s="343"/>
      <c r="R1254" s="151">
        <v>45589</v>
      </c>
      <c r="S1254" s="151"/>
      <c r="T1254" s="151">
        <v>45589</v>
      </c>
      <c r="U1254" s="151">
        <v>45624</v>
      </c>
      <c r="V1254" s="151">
        <v>45624</v>
      </c>
      <c r="W1254" s="2">
        <f>VLOOKUP(Table1[[#This Row],[Status]],Auxiliar!$B$16:$D$24,3,0)*Table1[[#This Row],[Estimação (horas)]]</f>
        <v>0.1</v>
      </c>
      <c r="X1254" s="166">
        <f>+VLOOKUP(CONCATENATE(Table1[[#This Row],[Tabela]],Table1[[#This Row],[Campo]]),'2. Status Detalhe Campos FY24'!A:J,9,FALSE)</f>
        <v>0</v>
      </c>
    </row>
    <row r="1255" spans="2:24" ht="17.850000000000001" hidden="1" customHeight="1">
      <c r="B1255" s="38" t="s">
        <v>26</v>
      </c>
      <c r="C1255" s="38" t="s">
        <v>26</v>
      </c>
      <c r="D1255" s="19" t="s">
        <v>399</v>
      </c>
      <c r="E1255" s="338" t="s">
        <v>38</v>
      </c>
      <c r="F1255" s="19" t="s">
        <v>368</v>
      </c>
      <c r="G1255" s="19" t="s">
        <v>433</v>
      </c>
      <c r="H1255" s="58" t="str">
        <f>Table1[[#This Row],[Tabela]]&amp;Table1[[#This Row],[Campo]]</f>
        <v>lt004_protectionprtctn_id</v>
      </c>
      <c r="I1255" s="2" t="s">
        <v>612</v>
      </c>
      <c r="J1255" s="44">
        <f>VLOOKUP(Table1[[#This Row],[Status]],Auxiliar!$B$16:$C$24,2,0)</f>
        <v>1</v>
      </c>
      <c r="K1255" s="43" t="s">
        <v>1176</v>
      </c>
      <c r="L1255" s="45" t="s">
        <v>1177</v>
      </c>
      <c r="M1255" s="20" t="s">
        <v>1178</v>
      </c>
      <c r="N1255" s="47">
        <v>45642</v>
      </c>
      <c r="O1255" s="112">
        <v>0.1</v>
      </c>
      <c r="P1255" s="2"/>
      <c r="Q1255" s="343"/>
      <c r="R1255" s="151">
        <v>45589</v>
      </c>
      <c r="S1255" s="151"/>
      <c r="T1255" s="151">
        <v>45589</v>
      </c>
      <c r="U1255" s="151">
        <v>45611</v>
      </c>
      <c r="V1255" s="151">
        <v>45611</v>
      </c>
      <c r="W1255" s="2">
        <f>VLOOKUP(Table1[[#This Row],[Status]],Auxiliar!$B$16:$D$24,3,0)*Table1[[#This Row],[Estimação (horas)]]</f>
        <v>0.1</v>
      </c>
      <c r="X1255" s="166">
        <f>+VLOOKUP(CONCATENATE(Table1[[#This Row],[Tabela]],Table1[[#This Row],[Campo]]),'2. Status Detalhe Campos FY24'!A:J,9,FALSE)</f>
        <v>0</v>
      </c>
    </row>
    <row r="1256" spans="2:24" ht="52.35" hidden="1" customHeight="1">
      <c r="B1256" s="38" t="s">
        <v>26</v>
      </c>
      <c r="C1256" s="38" t="s">
        <v>26</v>
      </c>
      <c r="D1256" s="19" t="s">
        <v>399</v>
      </c>
      <c r="E1256" s="338" t="s">
        <v>38</v>
      </c>
      <c r="F1256" s="19" t="s">
        <v>368</v>
      </c>
      <c r="G1256" s="19" t="s">
        <v>437</v>
      </c>
      <c r="H1256" s="58" t="str">
        <f>Table1[[#This Row],[Tabela]]&amp;Table1[[#This Row],[Campo]]</f>
        <v>lt004_protectionorgnl_prtctn_vl</v>
      </c>
      <c r="I1256" s="2" t="s">
        <v>612</v>
      </c>
      <c r="J1256" s="44">
        <f>VLOOKUP(Table1[[#This Row],[Status]],Auxiliar!$B$16:$C$24,2,0)</f>
        <v>1</v>
      </c>
      <c r="K1256" s="43" t="s">
        <v>1176</v>
      </c>
      <c r="L1256" s="45" t="s">
        <v>1177</v>
      </c>
      <c r="M1256" s="20" t="s">
        <v>1178</v>
      </c>
      <c r="N1256" s="47">
        <v>45674</v>
      </c>
      <c r="O1256" s="244">
        <v>0.1</v>
      </c>
      <c r="P1256" s="2"/>
      <c r="Q1256" s="343"/>
      <c r="R1256" s="151">
        <v>45595</v>
      </c>
      <c r="S1256" s="151"/>
      <c r="T1256" s="151">
        <v>45595</v>
      </c>
      <c r="U1256" s="151">
        <v>45611</v>
      </c>
      <c r="V1256" s="151">
        <v>45611</v>
      </c>
      <c r="W1256" s="2">
        <f>VLOOKUP(Table1[[#This Row],[Status]],Auxiliar!$B$16:$D$24,3,0)*Table1[[#This Row],[Estimação (horas)]]</f>
        <v>0.1</v>
      </c>
      <c r="X1256" s="166">
        <f>+VLOOKUP(CONCATENATE(Table1[[#This Row],[Tabela]],Table1[[#This Row],[Campo]]),'2. Status Detalhe Campos FY24'!A:J,9,FALSE)</f>
        <v>0</v>
      </c>
    </row>
    <row r="1257" spans="2:24" ht="17.850000000000001" hidden="1" customHeight="1">
      <c r="B1257" s="40" t="s">
        <v>26</v>
      </c>
      <c r="C1257" s="40" t="s">
        <v>26</v>
      </c>
      <c r="D1257" s="36" t="s">
        <v>1273</v>
      </c>
      <c r="E1257" s="41" t="s">
        <v>1255</v>
      </c>
      <c r="F1257" s="39" t="s">
        <v>368</v>
      </c>
      <c r="G1257" s="37" t="s">
        <v>378</v>
      </c>
      <c r="H1257" s="59" t="str">
        <f>Table1[[#This Row],[Tabela]]&amp;Table1[[#This Row],[Campo]]</f>
        <v>lt004_protectionmthd_usd_prtctn_scp_3</v>
      </c>
      <c r="I1257" s="2" t="s">
        <v>612</v>
      </c>
      <c r="J1257" s="44">
        <f>VLOOKUP(Table1[[#This Row],[Status]],Auxiliar!$B$16:$C$24,2,0)</f>
        <v>1</v>
      </c>
      <c r="K1257" s="44" t="s">
        <v>1171</v>
      </c>
      <c r="L1257" s="45" t="s">
        <v>1177</v>
      </c>
      <c r="M1257" s="20" t="s">
        <v>1178</v>
      </c>
      <c r="N1257" s="47">
        <v>45667</v>
      </c>
      <c r="O1257" s="20">
        <f>INDEX(Auxiliar!$D$5:$F$13,MATCH(Table1[[#This Row],[Tipologia_Testes]],Auxiliar!$B$5:$B$13,0),MATCH(Table1[[#This Row],[Complexidade]],Auxiliar!$D$4:$F$4,0))</f>
        <v>2</v>
      </c>
      <c r="P1257" s="42" t="s">
        <v>1274</v>
      </c>
      <c r="Q1257" s="343"/>
      <c r="R1257" s="151">
        <v>45622</v>
      </c>
      <c r="S1257" s="151"/>
      <c r="T1257" s="151"/>
      <c r="U1257" s="151">
        <v>45631</v>
      </c>
      <c r="V1257" s="151">
        <v>45631</v>
      </c>
      <c r="W1257" s="2">
        <f>VLOOKUP(Table1[[#This Row],[Status]],Auxiliar!$B$16:$D$24,3,0)*Table1[[#This Row],[Estimação (horas)]]</f>
        <v>2</v>
      </c>
      <c r="X1257" s="166">
        <f>+VLOOKUP(CONCATENATE(Table1[[#This Row],[Tabela]],Table1[[#This Row],[Campo]]),'2. Status Detalhe Campos FY24'!A:J,9,FALSE)</f>
        <v>0</v>
      </c>
    </row>
    <row r="1258" spans="2:24" ht="17.850000000000001" hidden="1" customHeight="1">
      <c r="B1258" s="38" t="s">
        <v>26</v>
      </c>
      <c r="C1258" s="38" t="s">
        <v>26</v>
      </c>
      <c r="D1258" s="38" t="s">
        <v>1273</v>
      </c>
      <c r="E1258" s="38" t="s">
        <v>1255</v>
      </c>
      <c r="F1258" s="38" t="s">
        <v>368</v>
      </c>
      <c r="G1258" s="38" t="s">
        <v>378</v>
      </c>
      <c r="H1258" s="58" t="str">
        <f>Table1[[#This Row],[Tabela]]&amp;Table1[[#This Row],[Campo]]</f>
        <v>lt004_protectionmthd_usd_prtctn_scp_3</v>
      </c>
      <c r="I1258" s="2" t="s">
        <v>612</v>
      </c>
      <c r="J1258" s="44">
        <f>VLOOKUP(Table1[[#This Row],[Status]],Auxiliar!$B$16:$C$24,2,0)</f>
        <v>1</v>
      </c>
      <c r="K1258" s="44" t="s">
        <v>1172</v>
      </c>
      <c r="L1258" s="45" t="s">
        <v>1177</v>
      </c>
      <c r="M1258" s="20" t="s">
        <v>1178</v>
      </c>
      <c r="N1258" s="47">
        <v>45667</v>
      </c>
      <c r="O1258" s="20">
        <f>INDEX(Auxiliar!$D$5:$F$13,MATCH(Table1[[#This Row],[Tipologia_Testes]],Auxiliar!$B$5:$B$13,0),MATCH(Table1[[#This Row],[Complexidade]],Auxiliar!$D$4:$F$4,0))</f>
        <v>2</v>
      </c>
      <c r="P1258" s="42" t="s">
        <v>1274</v>
      </c>
      <c r="Q1258" s="343"/>
      <c r="R1258" s="151">
        <v>45622</v>
      </c>
      <c r="S1258" s="151"/>
      <c r="T1258" s="151"/>
      <c r="U1258" s="151">
        <v>45631</v>
      </c>
      <c r="V1258" s="151">
        <v>45631</v>
      </c>
      <c r="W1258" s="2">
        <f>VLOOKUP(Table1[[#This Row],[Status]],Auxiliar!$B$16:$D$24,3,0)*Table1[[#This Row],[Estimação (horas)]]</f>
        <v>2</v>
      </c>
      <c r="X1258" s="166">
        <f>+VLOOKUP(CONCATENATE(Table1[[#This Row],[Tabela]],Table1[[#This Row],[Campo]]),'2. Status Detalhe Campos FY24'!A:J,9,FALSE)</f>
        <v>0</v>
      </c>
    </row>
    <row r="1259" spans="2:24" ht="52.35" hidden="1" customHeight="1">
      <c r="B1259" s="38" t="s">
        <v>26</v>
      </c>
      <c r="C1259" s="38" t="s">
        <v>26</v>
      </c>
      <c r="D1259" s="38" t="s">
        <v>1273</v>
      </c>
      <c r="E1259" s="38" t="s">
        <v>1255</v>
      </c>
      <c r="F1259" s="38" t="s">
        <v>368</v>
      </c>
      <c r="G1259" s="38" t="s">
        <v>378</v>
      </c>
      <c r="H1259" s="58" t="str">
        <f>Table1[[#This Row],[Tabela]]&amp;Table1[[#This Row],[Campo]]</f>
        <v>lt004_protectionmthd_usd_prtctn_scp_3</v>
      </c>
      <c r="I1259" s="2" t="s">
        <v>612</v>
      </c>
      <c r="J1259" s="44">
        <f>VLOOKUP(Table1[[#This Row],[Status]],Auxiliar!$B$16:$C$24,2,0)</f>
        <v>1</v>
      </c>
      <c r="K1259" s="44" t="s">
        <v>1174</v>
      </c>
      <c r="L1259" s="45" t="s">
        <v>1177</v>
      </c>
      <c r="M1259" s="20" t="s">
        <v>1178</v>
      </c>
      <c r="N1259" s="47">
        <v>45667</v>
      </c>
      <c r="O1259" s="20">
        <f>INDEX(Auxiliar!$D$5:$F$13,MATCH(Table1[[#This Row],[Tipologia_Testes]],Auxiliar!$B$5:$B$13,0),MATCH(Table1[[#This Row],[Complexidade]],Auxiliar!$D$4:$F$4,0))</f>
        <v>0.1</v>
      </c>
      <c r="P1259" s="42" t="s">
        <v>1274</v>
      </c>
      <c r="Q1259" s="343"/>
      <c r="R1259" s="151">
        <v>45622</v>
      </c>
      <c r="S1259" s="151"/>
      <c r="T1259" s="151"/>
      <c r="U1259" s="151">
        <v>45631</v>
      </c>
      <c r="V1259" s="151">
        <v>45631</v>
      </c>
      <c r="W1259" s="2">
        <f>VLOOKUP(Table1[[#This Row],[Status]],Auxiliar!$B$16:$D$24,3,0)*Table1[[#This Row],[Estimação (horas)]]</f>
        <v>0.1</v>
      </c>
      <c r="X1259" s="166">
        <f>+VLOOKUP(CONCATENATE(Table1[[#This Row],[Tabela]],Table1[[#This Row],[Campo]]),'2. Status Detalhe Campos FY24'!A:J,9,FALSE)</f>
        <v>0</v>
      </c>
    </row>
    <row r="1260" spans="2:24" ht="17.850000000000001" hidden="1" customHeight="1">
      <c r="B1260" s="40" t="s">
        <v>26</v>
      </c>
      <c r="C1260" s="40" t="s">
        <v>26</v>
      </c>
      <c r="D1260" s="36" t="s">
        <v>1273</v>
      </c>
      <c r="E1260" s="41" t="s">
        <v>1255</v>
      </c>
      <c r="F1260" s="39" t="s">
        <v>368</v>
      </c>
      <c r="G1260" s="37" t="s">
        <v>377</v>
      </c>
      <c r="H1260" s="59" t="str">
        <f>Table1[[#This Row],[Tabela]]&amp;Table1[[#This Row],[Campo]]</f>
        <v>lt004_protectionmthd_usd_prtctn_scp_2</v>
      </c>
      <c r="I1260" s="2" t="s">
        <v>612</v>
      </c>
      <c r="J1260" s="44">
        <f>VLOOKUP(Table1[[#This Row],[Status]],Auxiliar!$B$16:$C$24,2,0)</f>
        <v>1</v>
      </c>
      <c r="K1260" s="44" t="s">
        <v>1171</v>
      </c>
      <c r="L1260" s="45" t="s">
        <v>1177</v>
      </c>
      <c r="M1260" s="20" t="s">
        <v>1178</v>
      </c>
      <c r="N1260" s="47">
        <v>45667</v>
      </c>
      <c r="O1260" s="20">
        <f>INDEX(Auxiliar!$D$5:$F$13,MATCH(Table1[[#This Row],[Tipologia_Testes]],Auxiliar!$B$5:$B$13,0),MATCH(Table1[[#This Row],[Complexidade]],Auxiliar!$D$4:$F$4,0))</f>
        <v>2</v>
      </c>
      <c r="P1260" s="42" t="s">
        <v>1274</v>
      </c>
      <c r="Q1260" s="151"/>
      <c r="R1260" s="151">
        <v>45622</v>
      </c>
      <c r="S1260" s="151"/>
      <c r="T1260" s="151"/>
      <c r="U1260" s="151">
        <v>45631</v>
      </c>
      <c r="V1260" s="151">
        <v>45631</v>
      </c>
      <c r="W1260" s="2">
        <f>VLOOKUP(Table1[[#This Row],[Status]],Auxiliar!$B$16:$D$24,3,0)*Table1[[#This Row],[Estimação (horas)]]</f>
        <v>2</v>
      </c>
      <c r="X1260" s="166">
        <f>+VLOOKUP(CONCATENATE(Table1[[#This Row],[Tabela]],Table1[[#This Row],[Campo]]),'2. Status Detalhe Campos FY24'!A:J,9,FALSE)</f>
        <v>0</v>
      </c>
    </row>
    <row r="1261" spans="2:24" ht="17.850000000000001" hidden="1" customHeight="1">
      <c r="B1261" s="38" t="s">
        <v>26</v>
      </c>
      <c r="C1261" s="38" t="s">
        <v>26</v>
      </c>
      <c r="D1261" s="38" t="s">
        <v>1273</v>
      </c>
      <c r="E1261" s="38" t="s">
        <v>1255</v>
      </c>
      <c r="F1261" s="38" t="s">
        <v>368</v>
      </c>
      <c r="G1261" s="38" t="s">
        <v>377</v>
      </c>
      <c r="H1261" s="58" t="str">
        <f>Table1[[#This Row],[Tabela]]&amp;Table1[[#This Row],[Campo]]</f>
        <v>lt004_protectionmthd_usd_prtctn_scp_2</v>
      </c>
      <c r="I1261" s="2" t="s">
        <v>612</v>
      </c>
      <c r="J1261" s="44">
        <f>VLOOKUP(Table1[[#This Row],[Status]],Auxiliar!$B$16:$C$24,2,0)</f>
        <v>1</v>
      </c>
      <c r="K1261" s="44" t="s">
        <v>1172</v>
      </c>
      <c r="L1261" s="45" t="s">
        <v>1177</v>
      </c>
      <c r="M1261" s="20" t="s">
        <v>1178</v>
      </c>
      <c r="N1261" s="47">
        <v>45667</v>
      </c>
      <c r="O1261" s="20">
        <f>INDEX(Auxiliar!$D$5:$F$13,MATCH(Table1[[#This Row],[Tipologia_Testes]],Auxiliar!$B$5:$B$13,0),MATCH(Table1[[#This Row],[Complexidade]],Auxiliar!$D$4:$F$4,0))</f>
        <v>2</v>
      </c>
      <c r="P1261" s="42" t="s">
        <v>1274</v>
      </c>
      <c r="Q1261" s="151"/>
      <c r="R1261" s="151">
        <v>45622</v>
      </c>
      <c r="S1261" s="151"/>
      <c r="T1261" s="151"/>
      <c r="U1261" s="151">
        <v>45631</v>
      </c>
      <c r="V1261" s="151">
        <v>45631</v>
      </c>
      <c r="W1261" s="2">
        <f>VLOOKUP(Table1[[#This Row],[Status]],Auxiliar!$B$16:$D$24,3,0)*Table1[[#This Row],[Estimação (horas)]]</f>
        <v>2</v>
      </c>
      <c r="X1261" s="166">
        <f>+VLOOKUP(CONCATENATE(Table1[[#This Row],[Tabela]],Table1[[#This Row],[Campo]]),'2. Status Detalhe Campos FY24'!A:J,9,FALSE)</f>
        <v>0</v>
      </c>
    </row>
    <row r="1262" spans="2:24" ht="52.35" hidden="1" customHeight="1">
      <c r="B1262" s="38" t="s">
        <v>26</v>
      </c>
      <c r="C1262" s="38" t="s">
        <v>26</v>
      </c>
      <c r="D1262" s="38" t="s">
        <v>1273</v>
      </c>
      <c r="E1262" s="38" t="s">
        <v>1255</v>
      </c>
      <c r="F1262" s="38" t="s">
        <v>368</v>
      </c>
      <c r="G1262" s="38" t="s">
        <v>377</v>
      </c>
      <c r="H1262" s="58" t="str">
        <f>Table1[[#This Row],[Tabela]]&amp;Table1[[#This Row],[Campo]]</f>
        <v>lt004_protectionmthd_usd_prtctn_scp_2</v>
      </c>
      <c r="I1262" s="2" t="s">
        <v>612</v>
      </c>
      <c r="J1262" s="44">
        <f>VLOOKUP(Table1[[#This Row],[Status]],Auxiliar!$B$16:$C$24,2,0)</f>
        <v>1</v>
      </c>
      <c r="K1262" s="44" t="s">
        <v>1174</v>
      </c>
      <c r="L1262" s="45" t="s">
        <v>1177</v>
      </c>
      <c r="M1262" s="20" t="s">
        <v>1178</v>
      </c>
      <c r="N1262" s="47">
        <v>45667</v>
      </c>
      <c r="O1262" s="20">
        <f>INDEX(Auxiliar!$D$5:$F$13,MATCH(Table1[[#This Row],[Tipologia_Testes]],Auxiliar!$B$5:$B$13,0),MATCH(Table1[[#This Row],[Complexidade]],Auxiliar!$D$4:$F$4,0))</f>
        <v>0.1</v>
      </c>
      <c r="P1262" s="42" t="s">
        <v>1274</v>
      </c>
      <c r="Q1262" s="151"/>
      <c r="R1262" s="151">
        <v>45622</v>
      </c>
      <c r="S1262" s="151"/>
      <c r="T1262" s="151"/>
      <c r="U1262" s="151">
        <v>45631</v>
      </c>
      <c r="V1262" s="151">
        <v>45631</v>
      </c>
      <c r="W1262" s="2">
        <f>VLOOKUP(Table1[[#This Row],[Status]],Auxiliar!$B$16:$D$24,3,0)*Table1[[#This Row],[Estimação (horas)]]</f>
        <v>0.1</v>
      </c>
      <c r="X1262" s="166">
        <f>+VLOOKUP(CONCATENATE(Table1[[#This Row],[Tabela]],Table1[[#This Row],[Campo]]),'2. Status Detalhe Campos FY24'!A:J,9,FALSE)</f>
        <v>0</v>
      </c>
    </row>
    <row r="1263" spans="2:24" ht="17.850000000000001" hidden="1" customHeight="1">
      <c r="B1263" s="40" t="s">
        <v>26</v>
      </c>
      <c r="C1263" s="40" t="s">
        <v>26</v>
      </c>
      <c r="D1263" s="36" t="s">
        <v>1273</v>
      </c>
      <c r="E1263" s="41" t="s">
        <v>1255</v>
      </c>
      <c r="F1263" s="39" t="s">
        <v>368</v>
      </c>
      <c r="G1263" s="37" t="s">
        <v>376</v>
      </c>
      <c r="H1263" s="59" t="str">
        <f>Table1[[#This Row],[Tabela]]&amp;Table1[[#This Row],[Campo]]</f>
        <v>lt004_protectionmthd_usd_prtctn_scp_1</v>
      </c>
      <c r="I1263" s="2" t="s">
        <v>612</v>
      </c>
      <c r="J1263" s="44">
        <f>VLOOKUP(Table1[[#This Row],[Status]],Auxiliar!$B$16:$C$24,2,0)</f>
        <v>1</v>
      </c>
      <c r="K1263" s="44" t="s">
        <v>1171</v>
      </c>
      <c r="L1263" s="45" t="s">
        <v>1177</v>
      </c>
      <c r="M1263" s="20" t="s">
        <v>1178</v>
      </c>
      <c r="N1263" s="47">
        <v>45667</v>
      </c>
      <c r="O1263" s="20">
        <f>INDEX(Auxiliar!$D$5:$F$13,MATCH(Table1[[#This Row],[Tipologia_Testes]],Auxiliar!$B$5:$B$13,0),MATCH(Table1[[#This Row],[Complexidade]],Auxiliar!$D$4:$F$4,0))</f>
        <v>2</v>
      </c>
      <c r="P1263" s="42" t="s">
        <v>1274</v>
      </c>
      <c r="Q1263" s="151"/>
      <c r="R1263" s="151">
        <v>45622</v>
      </c>
      <c r="S1263" s="151"/>
      <c r="T1263" s="151"/>
      <c r="U1263" s="151">
        <v>45631</v>
      </c>
      <c r="V1263" s="151">
        <v>45631</v>
      </c>
      <c r="W1263" s="2">
        <f>VLOOKUP(Table1[[#This Row],[Status]],Auxiliar!$B$16:$D$24,3,0)*Table1[[#This Row],[Estimação (horas)]]</f>
        <v>2</v>
      </c>
      <c r="X1263" s="166">
        <f>+VLOOKUP(CONCATENATE(Table1[[#This Row],[Tabela]],Table1[[#This Row],[Campo]]),'2. Status Detalhe Campos FY24'!A:J,9,FALSE)</f>
        <v>0</v>
      </c>
    </row>
    <row r="1264" spans="2:24" ht="17.850000000000001" hidden="1" customHeight="1">
      <c r="B1264" s="38" t="s">
        <v>26</v>
      </c>
      <c r="C1264" s="38" t="s">
        <v>26</v>
      </c>
      <c r="D1264" s="38" t="s">
        <v>1273</v>
      </c>
      <c r="E1264" s="38" t="s">
        <v>1255</v>
      </c>
      <c r="F1264" s="38" t="s">
        <v>368</v>
      </c>
      <c r="G1264" s="38" t="s">
        <v>376</v>
      </c>
      <c r="H1264" s="58" t="str">
        <f>Table1[[#This Row],[Tabela]]&amp;Table1[[#This Row],[Campo]]</f>
        <v>lt004_protectionmthd_usd_prtctn_scp_1</v>
      </c>
      <c r="I1264" s="2" t="s">
        <v>612</v>
      </c>
      <c r="J1264" s="44">
        <f>VLOOKUP(Table1[[#This Row],[Status]],Auxiliar!$B$16:$C$24,2,0)</f>
        <v>1</v>
      </c>
      <c r="K1264" s="44" t="s">
        <v>1172</v>
      </c>
      <c r="L1264" s="45" t="s">
        <v>1177</v>
      </c>
      <c r="M1264" s="20" t="s">
        <v>1178</v>
      </c>
      <c r="N1264" s="47">
        <v>45667</v>
      </c>
      <c r="O1264" s="20">
        <f>INDEX(Auxiliar!$D$5:$F$13,MATCH(Table1[[#This Row],[Tipologia_Testes]],Auxiliar!$B$5:$B$13,0),MATCH(Table1[[#This Row],[Complexidade]],Auxiliar!$D$4:$F$4,0))</f>
        <v>2</v>
      </c>
      <c r="P1264" s="42" t="s">
        <v>1274</v>
      </c>
      <c r="Q1264" s="151"/>
      <c r="R1264" s="151">
        <v>45622</v>
      </c>
      <c r="S1264" s="151"/>
      <c r="T1264" s="151"/>
      <c r="U1264" s="151">
        <v>45631</v>
      </c>
      <c r="V1264" s="151">
        <v>45631</v>
      </c>
      <c r="W1264" s="2">
        <f>VLOOKUP(Table1[[#This Row],[Status]],Auxiliar!$B$16:$D$24,3,0)*Table1[[#This Row],[Estimação (horas)]]</f>
        <v>2</v>
      </c>
      <c r="X1264" s="166">
        <f>+VLOOKUP(CONCATENATE(Table1[[#This Row],[Tabela]],Table1[[#This Row],[Campo]]),'2. Status Detalhe Campos FY24'!A:J,9,FALSE)</f>
        <v>0</v>
      </c>
    </row>
    <row r="1265" spans="2:24" ht="17.850000000000001" hidden="1" customHeight="1">
      <c r="B1265" s="38" t="s">
        <v>26</v>
      </c>
      <c r="C1265" s="38" t="s">
        <v>26</v>
      </c>
      <c r="D1265" s="38" t="s">
        <v>1273</v>
      </c>
      <c r="E1265" s="38" t="s">
        <v>1255</v>
      </c>
      <c r="F1265" s="38" t="s">
        <v>368</v>
      </c>
      <c r="G1265" s="38" t="s">
        <v>376</v>
      </c>
      <c r="H1265" s="58" t="str">
        <f>Table1[[#This Row],[Tabela]]&amp;Table1[[#This Row],[Campo]]</f>
        <v>lt004_protectionmthd_usd_prtctn_scp_1</v>
      </c>
      <c r="I1265" s="2" t="s">
        <v>612</v>
      </c>
      <c r="J1265" s="44">
        <f>VLOOKUP(Table1[[#This Row],[Status]],Auxiliar!$B$16:$C$24,2,0)</f>
        <v>1</v>
      </c>
      <c r="K1265" s="44" t="s">
        <v>1174</v>
      </c>
      <c r="L1265" s="45" t="s">
        <v>1177</v>
      </c>
      <c r="M1265" s="20" t="s">
        <v>1178</v>
      </c>
      <c r="N1265" s="47">
        <v>45667</v>
      </c>
      <c r="O1265" s="20">
        <f>INDEX(Auxiliar!$D$5:$F$13,MATCH(Table1[[#This Row],[Tipologia_Testes]],Auxiliar!$B$5:$B$13,0),MATCH(Table1[[#This Row],[Complexidade]],Auxiliar!$D$4:$F$4,0))</f>
        <v>0.1</v>
      </c>
      <c r="P1265" s="42" t="s">
        <v>1274</v>
      </c>
      <c r="Q1265" s="151"/>
      <c r="R1265" s="151">
        <v>45622</v>
      </c>
      <c r="S1265" s="151"/>
      <c r="T1265" s="151"/>
      <c r="U1265" s="151">
        <v>45631</v>
      </c>
      <c r="V1265" s="151">
        <v>45631</v>
      </c>
      <c r="W1265" s="2">
        <f>VLOOKUP(Table1[[#This Row],[Status]],Auxiliar!$B$16:$D$24,3,0)*Table1[[#This Row],[Estimação (horas)]]</f>
        <v>0.1</v>
      </c>
      <c r="X1265" s="166">
        <f>+VLOOKUP(CONCATENATE(Table1[[#This Row],[Tabela]],Table1[[#This Row],[Campo]]),'2. Status Detalhe Campos FY24'!A:J,9,FALSE)</f>
        <v>0</v>
      </c>
    </row>
    <row r="1266" spans="2:24" ht="17.850000000000001" hidden="1" customHeight="1">
      <c r="B1266" s="40" t="s">
        <v>26</v>
      </c>
      <c r="C1266" s="40" t="s">
        <v>26</v>
      </c>
      <c r="D1266" s="36" t="s">
        <v>477</v>
      </c>
      <c r="E1266" s="39" t="s">
        <v>481</v>
      </c>
      <c r="F1266" s="39" t="s">
        <v>368</v>
      </c>
      <c r="G1266" s="37" t="s">
        <v>481</v>
      </c>
      <c r="H1266" s="59" t="str">
        <f>Table1[[#This Row],[Tabela]]&amp;Table1[[#This Row],[Campo]]</f>
        <v>lt004_protectionflg_pro</v>
      </c>
      <c r="I1266" s="2" t="s">
        <v>611</v>
      </c>
      <c r="J1266" s="44">
        <f>VLOOKUP(Table1[[#This Row],[Status]],Auxiliar!$B$16:$C$24,2,0)</f>
        <v>0</v>
      </c>
      <c r="K1266" s="44" t="s">
        <v>1171</v>
      </c>
      <c r="L1266" s="45" t="s">
        <v>1177</v>
      </c>
      <c r="M1266" s="20" t="s">
        <v>1178</v>
      </c>
      <c r="N1266" s="47">
        <v>45674</v>
      </c>
      <c r="O1266" s="20">
        <f>INDEX(Auxiliar!$D$5:$F$13,MATCH(Table1[[#This Row],[Tipologia_Testes]],Auxiliar!$B$5:$B$13,0),MATCH(Table1[[#This Row],[Complexidade]],Auxiliar!$D$4:$F$4,0))</f>
        <v>2</v>
      </c>
      <c r="P1266" s="42"/>
      <c r="Q1266" s="151"/>
      <c r="R1266" s="151">
        <v>45593</v>
      </c>
      <c r="S1266" s="151"/>
      <c r="T1266" s="151">
        <v>45593</v>
      </c>
      <c r="U1266" s="151">
        <v>45624</v>
      </c>
      <c r="V1266" s="151">
        <v>45624</v>
      </c>
      <c r="W1266" s="2">
        <f>VLOOKUP(Table1[[#This Row],[Status]],Auxiliar!$B$16:$D$24,3,0)*Table1[[#This Row],[Estimação (horas)]]</f>
        <v>0</v>
      </c>
      <c r="X1266" s="166">
        <f>+VLOOKUP(CONCATENATE(Table1[[#This Row],[Tabela]],Table1[[#This Row],[Campo]]),'2. Status Detalhe Campos FY24'!A:J,9,FALSE)</f>
        <v>0</v>
      </c>
    </row>
    <row r="1267" spans="2:24" ht="17.850000000000001" hidden="1" customHeight="1">
      <c r="B1267" s="38" t="s">
        <v>26</v>
      </c>
      <c r="C1267" s="38" t="s">
        <v>26</v>
      </c>
      <c r="D1267" s="38" t="s">
        <v>477</v>
      </c>
      <c r="E1267" s="38" t="s">
        <v>481</v>
      </c>
      <c r="F1267" s="38" t="s">
        <v>368</v>
      </c>
      <c r="G1267" s="38" t="s">
        <v>481</v>
      </c>
      <c r="H1267" s="58" t="str">
        <f>Table1[[#This Row],[Tabela]]&amp;Table1[[#This Row],[Campo]]</f>
        <v>lt004_protectionflg_pro</v>
      </c>
      <c r="I1267" s="2" t="s">
        <v>611</v>
      </c>
      <c r="J1267" s="44">
        <f>VLOOKUP(Table1[[#This Row],[Status]],Auxiliar!$B$16:$C$24,2,0)</f>
        <v>0</v>
      </c>
      <c r="K1267" s="44" t="s">
        <v>1172</v>
      </c>
      <c r="L1267" s="45" t="s">
        <v>1177</v>
      </c>
      <c r="M1267" s="20" t="s">
        <v>1178</v>
      </c>
      <c r="N1267" s="47">
        <v>45674</v>
      </c>
      <c r="O1267" s="20">
        <f>INDEX(Auxiliar!$D$5:$F$13,MATCH(Table1[[#This Row],[Tipologia_Testes]],Auxiliar!$B$5:$B$13,0),MATCH(Table1[[#This Row],[Complexidade]],Auxiliar!$D$4:$F$4,0))</f>
        <v>2</v>
      </c>
      <c r="P1267" s="42"/>
      <c r="Q1267" s="151"/>
      <c r="R1267" s="151">
        <v>45593</v>
      </c>
      <c r="S1267" s="151"/>
      <c r="T1267" s="151">
        <v>45593</v>
      </c>
      <c r="U1267" s="151">
        <v>45624</v>
      </c>
      <c r="V1267" s="151">
        <v>45624</v>
      </c>
      <c r="W1267" s="2">
        <f>VLOOKUP(Table1[[#This Row],[Status]],Auxiliar!$B$16:$D$24,3,0)*Table1[[#This Row],[Estimação (horas)]]</f>
        <v>0</v>
      </c>
      <c r="X1267" s="166">
        <f>+VLOOKUP(CONCATENATE(Table1[[#This Row],[Tabela]],Table1[[#This Row],[Campo]]),'2. Status Detalhe Campos FY24'!A:J,9,FALSE)</f>
        <v>0</v>
      </c>
    </row>
    <row r="1268" spans="2:24" ht="17.850000000000001" hidden="1" customHeight="1">
      <c r="B1268" s="38" t="s">
        <v>26</v>
      </c>
      <c r="C1268" s="38" t="s">
        <v>26</v>
      </c>
      <c r="D1268" s="38" t="s">
        <v>477</v>
      </c>
      <c r="E1268" s="38" t="s">
        <v>481</v>
      </c>
      <c r="F1268" s="38" t="s">
        <v>368</v>
      </c>
      <c r="G1268" s="38" t="s">
        <v>481</v>
      </c>
      <c r="H1268" s="58" t="str">
        <f>Table1[[#This Row],[Tabela]]&amp;Table1[[#This Row],[Campo]]</f>
        <v>lt004_protectionflg_pro</v>
      </c>
      <c r="I1268" s="2" t="s">
        <v>611</v>
      </c>
      <c r="J1268" s="44">
        <f>VLOOKUP(Table1[[#This Row],[Status]],Auxiliar!$B$16:$C$24,2,0)</f>
        <v>0</v>
      </c>
      <c r="K1268" s="44" t="s">
        <v>1174</v>
      </c>
      <c r="L1268" s="45" t="s">
        <v>1177</v>
      </c>
      <c r="M1268" s="20" t="s">
        <v>1178</v>
      </c>
      <c r="N1268" s="47">
        <v>45674</v>
      </c>
      <c r="O1268" s="20">
        <f>INDEX(Auxiliar!$D$5:$F$13,MATCH(Table1[[#This Row],[Tipologia_Testes]],Auxiliar!$B$5:$B$13,0),MATCH(Table1[[#This Row],[Complexidade]],Auxiliar!$D$4:$F$4,0))</f>
        <v>0.1</v>
      </c>
      <c r="P1268" s="42"/>
      <c r="Q1268" s="151"/>
      <c r="R1268" s="151">
        <v>45593</v>
      </c>
      <c r="S1268" s="151"/>
      <c r="T1268" s="151">
        <v>45593</v>
      </c>
      <c r="U1268" s="151">
        <v>45624</v>
      </c>
      <c r="V1268" s="151">
        <v>45624</v>
      </c>
      <c r="W1268" s="2">
        <f>VLOOKUP(Table1[[#This Row],[Status]],Auxiliar!$B$16:$D$24,3,0)*Table1[[#This Row],[Estimação (horas)]]</f>
        <v>0</v>
      </c>
      <c r="X1268" s="166">
        <f>+VLOOKUP(CONCATENATE(Table1[[#This Row],[Tabela]],Table1[[#This Row],[Campo]]),'2. Status Detalhe Campos FY24'!A:J,9,FALSE)</f>
        <v>0</v>
      </c>
    </row>
    <row r="1269" spans="2:24" ht="17.850000000000001" hidden="1" customHeight="1">
      <c r="B1269" s="40" t="s">
        <v>26</v>
      </c>
      <c r="C1269" s="40" t="s">
        <v>26</v>
      </c>
      <c r="D1269" s="36" t="s">
        <v>477</v>
      </c>
      <c r="E1269" s="41" t="s">
        <v>480</v>
      </c>
      <c r="F1269" s="39" t="s">
        <v>368</v>
      </c>
      <c r="G1269" s="37" t="s">
        <v>480</v>
      </c>
      <c r="H1269" s="59" t="str">
        <f>Table1[[#This Row],[Tabela]]&amp;Table1[[#This Row],[Campo]]</f>
        <v>lt004_protectionflg_fin</v>
      </c>
      <c r="I1269" s="2" t="s">
        <v>611</v>
      </c>
      <c r="J1269" s="44">
        <f>VLOOKUP(Table1[[#This Row],[Status]],Auxiliar!$B$16:$C$24,2,0)</f>
        <v>0</v>
      </c>
      <c r="K1269" s="44" t="s">
        <v>1171</v>
      </c>
      <c r="L1269" s="45" t="s">
        <v>1177</v>
      </c>
      <c r="M1269" s="20" t="s">
        <v>1178</v>
      </c>
      <c r="N1269" s="47">
        <v>45674</v>
      </c>
      <c r="O1269" s="20">
        <f>INDEX(Auxiliar!$D$5:$F$13,MATCH(Table1[[#This Row],[Tipologia_Testes]],Auxiliar!$B$5:$B$13,0),MATCH(Table1[[#This Row],[Complexidade]],Auxiliar!$D$4:$F$4,0))</f>
        <v>2</v>
      </c>
      <c r="P1269" s="42"/>
      <c r="Q1269" s="151"/>
      <c r="R1269" s="151">
        <v>45593</v>
      </c>
      <c r="S1269" s="151"/>
      <c r="T1269" s="151">
        <v>45593</v>
      </c>
      <c r="U1269" s="151">
        <v>45624</v>
      </c>
      <c r="V1269" s="151">
        <v>45624</v>
      </c>
      <c r="W1269" s="2">
        <f>VLOOKUP(Table1[[#This Row],[Status]],Auxiliar!$B$16:$D$24,3,0)*Table1[[#This Row],[Estimação (horas)]]</f>
        <v>0</v>
      </c>
      <c r="X1269" s="166">
        <f>+VLOOKUP(CONCATENATE(Table1[[#This Row],[Tabela]],Table1[[#This Row],[Campo]]),'2. Status Detalhe Campos FY24'!A:J,9,FALSE)</f>
        <v>0</v>
      </c>
    </row>
    <row r="1270" spans="2:24" ht="17.850000000000001" hidden="1" customHeight="1">
      <c r="B1270" s="38" t="s">
        <v>26</v>
      </c>
      <c r="C1270" s="38" t="s">
        <v>26</v>
      </c>
      <c r="D1270" s="38" t="s">
        <v>477</v>
      </c>
      <c r="E1270" s="38" t="s">
        <v>480</v>
      </c>
      <c r="F1270" s="38" t="s">
        <v>368</v>
      </c>
      <c r="G1270" s="38" t="s">
        <v>480</v>
      </c>
      <c r="H1270" s="58" t="str">
        <f>Table1[[#This Row],[Tabela]]&amp;Table1[[#This Row],[Campo]]</f>
        <v>lt004_protectionflg_fin</v>
      </c>
      <c r="I1270" s="2" t="s">
        <v>611</v>
      </c>
      <c r="J1270" s="44">
        <f>VLOOKUP(Table1[[#This Row],[Status]],Auxiliar!$B$16:$C$24,2,0)</f>
        <v>0</v>
      </c>
      <c r="K1270" s="44" t="s">
        <v>1172</v>
      </c>
      <c r="L1270" s="45" t="s">
        <v>1177</v>
      </c>
      <c r="M1270" s="20" t="s">
        <v>1178</v>
      </c>
      <c r="N1270" s="47">
        <v>45674</v>
      </c>
      <c r="O1270" s="20">
        <f>INDEX(Auxiliar!$D$5:$F$13,MATCH(Table1[[#This Row],[Tipologia_Testes]],Auxiliar!$B$5:$B$13,0),MATCH(Table1[[#This Row],[Complexidade]],Auxiliar!$D$4:$F$4,0))</f>
        <v>2</v>
      </c>
      <c r="P1270" s="42"/>
      <c r="Q1270" s="151"/>
      <c r="R1270" s="151">
        <v>45593</v>
      </c>
      <c r="S1270" s="151"/>
      <c r="T1270" s="151">
        <v>45593</v>
      </c>
      <c r="U1270" s="151">
        <v>45624</v>
      </c>
      <c r="V1270" s="151">
        <v>45624</v>
      </c>
      <c r="W1270" s="2">
        <f>VLOOKUP(Table1[[#This Row],[Status]],Auxiliar!$B$16:$D$24,3,0)*Table1[[#This Row],[Estimação (horas)]]</f>
        <v>0</v>
      </c>
      <c r="X1270" s="166">
        <f>+VLOOKUP(CONCATENATE(Table1[[#This Row],[Tabela]],Table1[[#This Row],[Campo]]),'2. Status Detalhe Campos FY24'!A:J,9,FALSE)</f>
        <v>0</v>
      </c>
    </row>
    <row r="1271" spans="2:24" ht="17.850000000000001" hidden="1" customHeight="1">
      <c r="B1271" s="38" t="s">
        <v>26</v>
      </c>
      <c r="C1271" s="38" t="s">
        <v>26</v>
      </c>
      <c r="D1271" s="38" t="s">
        <v>477</v>
      </c>
      <c r="E1271" s="38" t="s">
        <v>480</v>
      </c>
      <c r="F1271" s="38" t="s">
        <v>368</v>
      </c>
      <c r="G1271" s="38" t="s">
        <v>480</v>
      </c>
      <c r="H1271" s="58" t="str">
        <f>Table1[[#This Row],[Tabela]]&amp;Table1[[#This Row],[Campo]]</f>
        <v>lt004_protectionflg_fin</v>
      </c>
      <c r="I1271" s="2" t="s">
        <v>611</v>
      </c>
      <c r="J1271" s="44">
        <f>VLOOKUP(Table1[[#This Row],[Status]],Auxiliar!$B$16:$C$24,2,0)</f>
        <v>0</v>
      </c>
      <c r="K1271" s="44" t="s">
        <v>1174</v>
      </c>
      <c r="L1271" s="45" t="s">
        <v>1177</v>
      </c>
      <c r="M1271" s="20" t="s">
        <v>1178</v>
      </c>
      <c r="N1271" s="47">
        <v>45674</v>
      </c>
      <c r="O1271" s="20">
        <f>INDEX(Auxiliar!$D$5:$F$13,MATCH(Table1[[#This Row],[Tipologia_Testes]],Auxiliar!$B$5:$B$13,0),MATCH(Table1[[#This Row],[Complexidade]],Auxiliar!$D$4:$F$4,0))</f>
        <v>0.1</v>
      </c>
      <c r="P1271" s="42"/>
      <c r="Q1271" s="151"/>
      <c r="R1271" s="151">
        <v>45593</v>
      </c>
      <c r="S1271" s="151"/>
      <c r="T1271" s="151">
        <v>45593</v>
      </c>
      <c r="U1271" s="151">
        <v>45624</v>
      </c>
      <c r="V1271" s="151">
        <v>45624</v>
      </c>
      <c r="W1271" s="2">
        <f>VLOOKUP(Table1[[#This Row],[Status]],Auxiliar!$B$16:$D$24,3,0)*Table1[[#This Row],[Estimação (horas)]]</f>
        <v>0</v>
      </c>
      <c r="X1271" s="166">
        <f>+VLOOKUP(CONCATENATE(Table1[[#This Row],[Tabela]],Table1[[#This Row],[Campo]]),'2. Status Detalhe Campos FY24'!A:J,9,FALSE)</f>
        <v>0</v>
      </c>
    </row>
    <row r="1272" spans="2:24" ht="17.850000000000001" hidden="1" customHeight="1">
      <c r="B1272" s="40" t="s">
        <v>26</v>
      </c>
      <c r="C1272" s="40" t="s">
        <v>26</v>
      </c>
      <c r="D1272" s="36" t="s">
        <v>477</v>
      </c>
      <c r="E1272" s="41" t="s">
        <v>478</v>
      </c>
      <c r="F1272" s="39" t="s">
        <v>368</v>
      </c>
      <c r="G1272" s="37" t="s">
        <v>1279</v>
      </c>
      <c r="H1272" s="59" t="str">
        <f>Table1[[#This Row],[Tabela]]&amp;Table1[[#This Row],[Campo]]</f>
        <v>lt004_protectionflg_exec</v>
      </c>
      <c r="I1272" s="2" t="s">
        <v>611</v>
      </c>
      <c r="J1272" s="44">
        <f>VLOOKUP(Table1[[#This Row],[Status]],Auxiliar!$B$16:$C$24,2,0)</f>
        <v>0</v>
      </c>
      <c r="K1272" s="44" t="s">
        <v>1171</v>
      </c>
      <c r="L1272" s="45" t="s">
        <v>1177</v>
      </c>
      <c r="M1272" s="20" t="s">
        <v>1178</v>
      </c>
      <c r="N1272" s="47">
        <v>45674</v>
      </c>
      <c r="O1272" s="20">
        <f>INDEX(Auxiliar!$D$5:$F$13,MATCH(Table1[[#This Row],[Tipologia_Testes]],Auxiliar!$B$5:$B$13,0),MATCH(Table1[[#This Row],[Complexidade]],Auxiliar!$D$4:$F$4,0))</f>
        <v>2</v>
      </c>
      <c r="P1272" s="42"/>
      <c r="Q1272" s="151"/>
      <c r="R1272" s="151">
        <v>45593</v>
      </c>
      <c r="S1272" s="151"/>
      <c r="T1272" s="151">
        <v>45593</v>
      </c>
      <c r="U1272" s="151">
        <v>45624</v>
      </c>
      <c r="V1272" s="151">
        <v>45624</v>
      </c>
      <c r="W1272" s="2">
        <f>VLOOKUP(Table1[[#This Row],[Status]],Auxiliar!$B$16:$D$24,3,0)*Table1[[#This Row],[Estimação (horas)]]</f>
        <v>0</v>
      </c>
      <c r="X1272" s="166">
        <f>+VLOOKUP(CONCATENATE(Table1[[#This Row],[Tabela]],Table1[[#This Row],[Campo]]),'2. Status Detalhe Campos FY24'!A:J,9,FALSE)</f>
        <v>0</v>
      </c>
    </row>
    <row r="1273" spans="2:24" ht="17.850000000000001" hidden="1" customHeight="1">
      <c r="B1273" s="38" t="s">
        <v>26</v>
      </c>
      <c r="C1273" s="38" t="s">
        <v>26</v>
      </c>
      <c r="D1273" s="38" t="s">
        <v>477</v>
      </c>
      <c r="E1273" s="38" t="s">
        <v>478</v>
      </c>
      <c r="F1273" s="38" t="s">
        <v>368</v>
      </c>
      <c r="G1273" s="38" t="s">
        <v>1279</v>
      </c>
      <c r="H1273" s="58" t="str">
        <f>Table1[[#This Row],[Tabela]]&amp;Table1[[#This Row],[Campo]]</f>
        <v>lt004_protectionflg_exec</v>
      </c>
      <c r="I1273" s="2" t="s">
        <v>611</v>
      </c>
      <c r="J1273" s="44">
        <f>VLOOKUP(Table1[[#This Row],[Status]],Auxiliar!$B$16:$C$24,2,0)</f>
        <v>0</v>
      </c>
      <c r="K1273" s="44" t="s">
        <v>1172</v>
      </c>
      <c r="L1273" s="45" t="s">
        <v>1177</v>
      </c>
      <c r="M1273" s="20" t="s">
        <v>1178</v>
      </c>
      <c r="N1273" s="47">
        <v>45674</v>
      </c>
      <c r="O1273" s="20">
        <f>INDEX(Auxiliar!$D$5:$F$13,MATCH(Table1[[#This Row],[Tipologia_Testes]],Auxiliar!$B$5:$B$13,0),MATCH(Table1[[#This Row],[Complexidade]],Auxiliar!$D$4:$F$4,0))</f>
        <v>2</v>
      </c>
      <c r="P1273" s="42"/>
      <c r="Q1273" s="151"/>
      <c r="R1273" s="151">
        <v>45593</v>
      </c>
      <c r="S1273" s="151"/>
      <c r="T1273" s="151">
        <v>45593</v>
      </c>
      <c r="U1273" s="151">
        <v>45624</v>
      </c>
      <c r="V1273" s="151">
        <v>45624</v>
      </c>
      <c r="W1273" s="2">
        <f>VLOOKUP(Table1[[#This Row],[Status]],Auxiliar!$B$16:$D$24,3,0)*Table1[[#This Row],[Estimação (horas)]]</f>
        <v>0</v>
      </c>
      <c r="X1273" s="166">
        <f>+VLOOKUP(CONCATENATE(Table1[[#This Row],[Tabela]],Table1[[#This Row],[Campo]]),'2. Status Detalhe Campos FY24'!A:J,9,FALSE)</f>
        <v>0</v>
      </c>
    </row>
    <row r="1274" spans="2:24" ht="35.1" hidden="1" customHeight="1">
      <c r="B1274" s="38" t="s">
        <v>26</v>
      </c>
      <c r="C1274" s="38" t="s">
        <v>26</v>
      </c>
      <c r="D1274" s="38" t="s">
        <v>477</v>
      </c>
      <c r="E1274" s="38" t="s">
        <v>478</v>
      </c>
      <c r="F1274" s="38" t="s">
        <v>368</v>
      </c>
      <c r="G1274" s="38" t="s">
        <v>1279</v>
      </c>
      <c r="H1274" s="58" t="str">
        <f>Table1[[#This Row],[Tabela]]&amp;Table1[[#This Row],[Campo]]</f>
        <v>lt004_protectionflg_exec</v>
      </c>
      <c r="I1274" s="2" t="s">
        <v>611</v>
      </c>
      <c r="J1274" s="44">
        <f>VLOOKUP(Table1[[#This Row],[Status]],Auxiliar!$B$16:$C$24,2,0)</f>
        <v>0</v>
      </c>
      <c r="K1274" s="44" t="s">
        <v>1174</v>
      </c>
      <c r="L1274" s="45" t="s">
        <v>1177</v>
      </c>
      <c r="M1274" s="20" t="s">
        <v>1178</v>
      </c>
      <c r="N1274" s="47">
        <v>45674</v>
      </c>
      <c r="O1274" s="20">
        <f>INDEX(Auxiliar!$D$5:$F$13,MATCH(Table1[[#This Row],[Tipologia_Testes]],Auxiliar!$B$5:$B$13,0),MATCH(Table1[[#This Row],[Complexidade]],Auxiliar!$D$4:$F$4,0))</f>
        <v>0.1</v>
      </c>
      <c r="P1274" s="42"/>
      <c r="Q1274" s="151"/>
      <c r="R1274" s="151">
        <v>45593</v>
      </c>
      <c r="S1274" s="151"/>
      <c r="T1274" s="151">
        <v>45593</v>
      </c>
      <c r="U1274" s="151">
        <v>45624</v>
      </c>
      <c r="V1274" s="151">
        <v>45624</v>
      </c>
      <c r="W1274" s="2">
        <f>VLOOKUP(Table1[[#This Row],[Status]],Auxiliar!$B$16:$D$24,3,0)*Table1[[#This Row],[Estimação (horas)]]</f>
        <v>0</v>
      </c>
      <c r="X1274" s="166">
        <f>+VLOOKUP(CONCATENATE(Table1[[#This Row],[Tabela]],Table1[[#This Row],[Campo]]),'2. Status Detalhe Campos FY24'!A:J,9,FALSE)</f>
        <v>0</v>
      </c>
    </row>
    <row r="1275" spans="2:24" ht="17.850000000000001" hidden="1" customHeight="1">
      <c r="B1275" s="40" t="s">
        <v>26</v>
      </c>
      <c r="C1275" s="40" t="s">
        <v>26</v>
      </c>
      <c r="D1275" s="36" t="s">
        <v>477</v>
      </c>
      <c r="E1275" s="39" t="s">
        <v>479</v>
      </c>
      <c r="F1275" s="39" t="s">
        <v>368</v>
      </c>
      <c r="G1275" s="37" t="s">
        <v>479</v>
      </c>
      <c r="H1275" s="59" t="str">
        <f>Table1[[#This Row],[Tabela]]&amp;Table1[[#This Row],[Campo]]</f>
        <v>lt004_protectionflg_col</v>
      </c>
      <c r="I1275" s="2" t="s">
        <v>611</v>
      </c>
      <c r="J1275" s="44">
        <f>VLOOKUP(Table1[[#This Row],[Status]],Auxiliar!$B$16:$C$24,2,0)</f>
        <v>0</v>
      </c>
      <c r="K1275" s="44" t="s">
        <v>1171</v>
      </c>
      <c r="L1275" s="45" t="s">
        <v>1177</v>
      </c>
      <c r="M1275" s="20" t="s">
        <v>1178</v>
      </c>
      <c r="N1275" s="47">
        <v>45674</v>
      </c>
      <c r="O1275" s="20">
        <f>INDEX(Auxiliar!$D$5:$F$13,MATCH(Table1[[#This Row],[Tipologia_Testes]],Auxiliar!$B$5:$B$13,0),MATCH(Table1[[#This Row],[Complexidade]],Auxiliar!$D$4:$F$4,0))</f>
        <v>2</v>
      </c>
      <c r="P1275" s="42"/>
      <c r="Q1275" s="151"/>
      <c r="R1275" s="151">
        <v>45593</v>
      </c>
      <c r="S1275" s="151"/>
      <c r="T1275" s="151">
        <v>45593</v>
      </c>
      <c r="U1275" s="151">
        <v>45624</v>
      </c>
      <c r="V1275" s="151">
        <v>45624</v>
      </c>
      <c r="W1275" s="2">
        <f>VLOOKUP(Table1[[#This Row],[Status]],Auxiliar!$B$16:$D$24,3,0)*Table1[[#This Row],[Estimação (horas)]]</f>
        <v>0</v>
      </c>
      <c r="X1275" s="166">
        <f>+VLOOKUP(CONCATENATE(Table1[[#This Row],[Tabela]],Table1[[#This Row],[Campo]]),'2. Status Detalhe Campos FY24'!A:J,9,FALSE)</f>
        <v>0</v>
      </c>
    </row>
    <row r="1276" spans="2:24" ht="17.850000000000001" hidden="1" customHeight="1">
      <c r="B1276" s="38" t="s">
        <v>26</v>
      </c>
      <c r="C1276" s="38" t="s">
        <v>26</v>
      </c>
      <c r="D1276" s="38" t="s">
        <v>477</v>
      </c>
      <c r="E1276" s="38" t="s">
        <v>479</v>
      </c>
      <c r="F1276" s="38" t="s">
        <v>368</v>
      </c>
      <c r="G1276" s="38" t="s">
        <v>479</v>
      </c>
      <c r="H1276" s="58" t="str">
        <f>Table1[[#This Row],[Tabela]]&amp;Table1[[#This Row],[Campo]]</f>
        <v>lt004_protectionflg_col</v>
      </c>
      <c r="I1276" s="2" t="s">
        <v>611</v>
      </c>
      <c r="J1276" s="44">
        <f>VLOOKUP(Table1[[#This Row],[Status]],Auxiliar!$B$16:$C$24,2,0)</f>
        <v>0</v>
      </c>
      <c r="K1276" s="44" t="s">
        <v>1172</v>
      </c>
      <c r="L1276" s="45" t="s">
        <v>1177</v>
      </c>
      <c r="M1276" s="20" t="s">
        <v>1178</v>
      </c>
      <c r="N1276" s="47">
        <v>45674</v>
      </c>
      <c r="O1276" s="20">
        <f>INDEX(Auxiliar!$D$5:$F$13,MATCH(Table1[[#This Row],[Tipologia_Testes]],Auxiliar!$B$5:$B$13,0),MATCH(Table1[[#This Row],[Complexidade]],Auxiliar!$D$4:$F$4,0))</f>
        <v>2</v>
      </c>
      <c r="P1276" s="42"/>
      <c r="Q1276" s="151"/>
      <c r="R1276" s="151">
        <v>45593</v>
      </c>
      <c r="S1276" s="151"/>
      <c r="T1276" s="151">
        <v>45593</v>
      </c>
      <c r="U1276" s="151">
        <v>45624</v>
      </c>
      <c r="V1276" s="151">
        <v>45624</v>
      </c>
      <c r="W1276" s="2">
        <f>VLOOKUP(Table1[[#This Row],[Status]],Auxiliar!$B$16:$D$24,3,0)*Table1[[#This Row],[Estimação (horas)]]</f>
        <v>0</v>
      </c>
      <c r="X1276" s="166">
        <f>+VLOOKUP(CONCATENATE(Table1[[#This Row],[Tabela]],Table1[[#This Row],[Campo]]),'2. Status Detalhe Campos FY24'!A:J,9,FALSE)</f>
        <v>0</v>
      </c>
    </row>
    <row r="1277" spans="2:24" ht="35.1" hidden="1" customHeight="1">
      <c r="B1277" s="38" t="s">
        <v>26</v>
      </c>
      <c r="C1277" s="38" t="s">
        <v>26</v>
      </c>
      <c r="D1277" s="38" t="s">
        <v>477</v>
      </c>
      <c r="E1277" s="38" t="s">
        <v>479</v>
      </c>
      <c r="F1277" s="38" t="s">
        <v>368</v>
      </c>
      <c r="G1277" s="38" t="s">
        <v>479</v>
      </c>
      <c r="H1277" s="58" t="str">
        <f>Table1[[#This Row],[Tabela]]&amp;Table1[[#This Row],[Campo]]</f>
        <v>lt004_protectionflg_col</v>
      </c>
      <c r="I1277" s="2" t="s">
        <v>611</v>
      </c>
      <c r="J1277" s="44">
        <f>VLOOKUP(Table1[[#This Row],[Status]],Auxiliar!$B$16:$C$24,2,0)</f>
        <v>0</v>
      </c>
      <c r="K1277" s="44" t="s">
        <v>1174</v>
      </c>
      <c r="L1277" s="45" t="s">
        <v>1177</v>
      </c>
      <c r="M1277" s="20" t="s">
        <v>1178</v>
      </c>
      <c r="N1277" s="47">
        <v>45674</v>
      </c>
      <c r="O1277" s="20">
        <f>INDEX(Auxiliar!$D$5:$F$13,MATCH(Table1[[#This Row],[Tipologia_Testes]],Auxiliar!$B$5:$B$13,0),MATCH(Table1[[#This Row],[Complexidade]],Auxiliar!$D$4:$F$4,0))</f>
        <v>0.1</v>
      </c>
      <c r="P1277" s="42"/>
      <c r="Q1277" s="151"/>
      <c r="R1277" s="151">
        <v>45593</v>
      </c>
      <c r="S1277" s="151"/>
      <c r="T1277" s="151">
        <v>45593</v>
      </c>
      <c r="U1277" s="151">
        <v>45624</v>
      </c>
      <c r="V1277" s="151">
        <v>45624</v>
      </c>
      <c r="W1277" s="2">
        <f>VLOOKUP(Table1[[#This Row],[Status]],Auxiliar!$B$16:$D$24,3,0)*Table1[[#This Row],[Estimação (horas)]]</f>
        <v>0</v>
      </c>
      <c r="X1277" s="166">
        <f>+VLOOKUP(CONCATENATE(Table1[[#This Row],[Tabela]],Table1[[#This Row],[Campo]]),'2. Status Detalhe Campos FY24'!A:J,9,FALSE)</f>
        <v>0</v>
      </c>
    </row>
    <row r="1278" spans="2:24" ht="17.850000000000001" hidden="1" customHeight="1">
      <c r="B1278" s="40" t="s">
        <v>26</v>
      </c>
      <c r="C1278" s="40" t="s">
        <v>26</v>
      </c>
      <c r="D1278" s="35" t="s">
        <v>311</v>
      </c>
      <c r="E1278" s="39" t="s">
        <v>283</v>
      </c>
      <c r="F1278" s="39" t="s">
        <v>368</v>
      </c>
      <c r="G1278" s="37" t="s">
        <v>358</v>
      </c>
      <c r="H1278" s="59" t="str">
        <f>Table1[[#This Row],[Tabela]]&amp;Table1[[#This Row],[Campo]]</f>
        <v>lt004_protectionflg_chrnc_physcl_rsk</v>
      </c>
      <c r="I1278" s="2" t="s">
        <v>1845</v>
      </c>
      <c r="J1278" s="44">
        <f>VLOOKUP(Table1[[#This Row],[Status]],Auxiliar!$B$16:$C$24,2,0)</f>
        <v>2</v>
      </c>
      <c r="K1278" s="44" t="s">
        <v>1171</v>
      </c>
      <c r="L1278" s="45" t="s">
        <v>1177</v>
      </c>
      <c r="M1278" s="20" t="s">
        <v>1178</v>
      </c>
      <c r="N1278" s="47">
        <v>45632</v>
      </c>
      <c r="O1278" s="20">
        <f>INDEX(Auxiliar!$D$5:$F$13,MATCH(Table1[[#This Row],[Tipologia_Testes]],Auxiliar!$B$5:$B$13,0),MATCH(Table1[[#This Row],[Complexidade]],Auxiliar!$D$4:$F$4,0))</f>
        <v>2</v>
      </c>
      <c r="P1278" s="42" t="s">
        <v>1262</v>
      </c>
      <c r="Q1278" s="151"/>
      <c r="R1278" s="151">
        <v>45583</v>
      </c>
      <c r="S1278" s="151"/>
      <c r="T1278" s="151">
        <v>45583</v>
      </c>
      <c r="U1278" s="151">
        <v>45596</v>
      </c>
      <c r="V1278" s="151">
        <v>45596</v>
      </c>
      <c r="W1278" s="2">
        <f>VLOOKUP(Table1[[#This Row],[Status]],Auxiliar!$B$16:$D$24,3,0)*Table1[[#This Row],[Estimação (horas)]]</f>
        <v>1</v>
      </c>
      <c r="X1278" s="166">
        <f>+VLOOKUP(CONCATENATE(Table1[[#This Row],[Tabela]],Table1[[#This Row],[Campo]]),'2. Status Detalhe Campos FY24'!A:J,9,FALSE)</f>
        <v>0</v>
      </c>
    </row>
    <row r="1279" spans="2:24" ht="17.850000000000001" hidden="1" customHeight="1">
      <c r="B1279" s="38" t="s">
        <v>26</v>
      </c>
      <c r="C1279" s="38" t="s">
        <v>26</v>
      </c>
      <c r="D1279" s="38" t="s">
        <v>311</v>
      </c>
      <c r="E1279" s="38" t="s">
        <v>283</v>
      </c>
      <c r="F1279" s="38" t="s">
        <v>368</v>
      </c>
      <c r="G1279" s="38" t="s">
        <v>358</v>
      </c>
      <c r="H1279" s="58" t="str">
        <f>Table1[[#This Row],[Tabela]]&amp;Table1[[#This Row],[Campo]]</f>
        <v>lt004_protectionflg_chrnc_physcl_rsk</v>
      </c>
      <c r="I1279" s="2" t="s">
        <v>1845</v>
      </c>
      <c r="J1279" s="44">
        <f>VLOOKUP(Table1[[#This Row],[Status]],Auxiliar!$B$16:$C$24,2,0)</f>
        <v>2</v>
      </c>
      <c r="K1279" s="44" t="s">
        <v>1172</v>
      </c>
      <c r="L1279" s="45" t="s">
        <v>1177</v>
      </c>
      <c r="M1279" s="20" t="s">
        <v>1178</v>
      </c>
      <c r="N1279" s="47">
        <v>45632</v>
      </c>
      <c r="O1279" s="20">
        <f>INDEX(Auxiliar!$D$5:$F$13,MATCH(Table1[[#This Row],[Tipologia_Testes]],Auxiliar!$B$5:$B$13,0),MATCH(Table1[[#This Row],[Complexidade]],Auxiliar!$D$4:$F$4,0))</f>
        <v>2</v>
      </c>
      <c r="P1279" s="42" t="s">
        <v>1262</v>
      </c>
      <c r="Q1279" s="151"/>
      <c r="R1279" s="151">
        <v>45583</v>
      </c>
      <c r="S1279" s="151"/>
      <c r="T1279" s="151">
        <v>45583</v>
      </c>
      <c r="U1279" s="151">
        <v>45596</v>
      </c>
      <c r="V1279" s="151">
        <v>45596</v>
      </c>
      <c r="W1279" s="2">
        <f>VLOOKUP(Table1[[#This Row],[Status]],Auxiliar!$B$16:$D$24,3,0)*Table1[[#This Row],[Estimação (horas)]]</f>
        <v>1</v>
      </c>
      <c r="X1279" s="166">
        <f>+VLOOKUP(CONCATENATE(Table1[[#This Row],[Tabela]],Table1[[#This Row],[Campo]]),'2. Status Detalhe Campos FY24'!A:J,9,FALSE)</f>
        <v>0</v>
      </c>
    </row>
    <row r="1280" spans="2:24" ht="35.1" hidden="1" customHeight="1">
      <c r="B1280" s="38" t="s">
        <v>26</v>
      </c>
      <c r="C1280" s="38" t="s">
        <v>26</v>
      </c>
      <c r="D1280" s="38" t="s">
        <v>311</v>
      </c>
      <c r="E1280" s="38" t="s">
        <v>283</v>
      </c>
      <c r="F1280" s="38" t="s">
        <v>368</v>
      </c>
      <c r="G1280" s="38" t="s">
        <v>358</v>
      </c>
      <c r="H1280" s="58" t="str">
        <f>Table1[[#This Row],[Tabela]]&amp;Table1[[#This Row],[Campo]]</f>
        <v>lt004_protectionflg_chrnc_physcl_rsk</v>
      </c>
      <c r="I1280" s="2" t="s">
        <v>1845</v>
      </c>
      <c r="J1280" s="44">
        <f>VLOOKUP(Table1[[#This Row],[Status]],Auxiliar!$B$16:$C$24,2,0)</f>
        <v>2</v>
      </c>
      <c r="K1280" s="44" t="s">
        <v>1174</v>
      </c>
      <c r="L1280" s="45" t="s">
        <v>1177</v>
      </c>
      <c r="M1280" s="20" t="s">
        <v>1178</v>
      </c>
      <c r="N1280" s="47">
        <v>45632</v>
      </c>
      <c r="O1280" s="20">
        <f>INDEX(Auxiliar!$D$5:$F$13,MATCH(Table1[[#This Row],[Tipologia_Testes]],Auxiliar!$B$5:$B$13,0),MATCH(Table1[[#This Row],[Complexidade]],Auxiliar!$D$4:$F$4,0))</f>
        <v>0.1</v>
      </c>
      <c r="P1280" s="42" t="s">
        <v>1262</v>
      </c>
      <c r="Q1280" s="151"/>
      <c r="R1280" s="151">
        <v>45583</v>
      </c>
      <c r="S1280" s="151"/>
      <c r="T1280" s="151">
        <v>45583</v>
      </c>
      <c r="U1280" s="151">
        <v>45596</v>
      </c>
      <c r="V1280" s="151">
        <v>45596</v>
      </c>
      <c r="W1280" s="2">
        <f>VLOOKUP(Table1[[#This Row],[Status]],Auxiliar!$B$16:$D$24,3,0)*Table1[[#This Row],[Estimação (horas)]]</f>
        <v>0.05</v>
      </c>
      <c r="X1280" s="166">
        <f>+VLOOKUP(CONCATENATE(Table1[[#This Row],[Tabela]],Table1[[#This Row],[Campo]]),'2. Status Detalhe Campos FY24'!A:J,9,FALSE)</f>
        <v>0</v>
      </c>
    </row>
    <row r="1281" spans="2:24" ht="17.850000000000001" hidden="1" customHeight="1">
      <c r="B1281" s="40" t="s">
        <v>26</v>
      </c>
      <c r="C1281" s="40" t="s">
        <v>26</v>
      </c>
      <c r="D1281" s="35" t="s">
        <v>311</v>
      </c>
      <c r="E1281" s="39" t="s">
        <v>282</v>
      </c>
      <c r="F1281" s="39" t="s">
        <v>368</v>
      </c>
      <c r="G1281" s="37" t="s">
        <v>357</v>
      </c>
      <c r="H1281" s="59" t="str">
        <f>Table1[[#This Row],[Tabela]]&amp;Table1[[#This Row],[Campo]]</f>
        <v>lt004_protectionflg_act_physcl_rsk</v>
      </c>
      <c r="I1281" s="2" t="s">
        <v>1845</v>
      </c>
      <c r="J1281" s="44">
        <f>VLOOKUP(Table1[[#This Row],[Status]],Auxiliar!$B$16:$C$24,2,0)</f>
        <v>2</v>
      </c>
      <c r="K1281" s="44" t="s">
        <v>1171</v>
      </c>
      <c r="L1281" s="45" t="s">
        <v>1177</v>
      </c>
      <c r="M1281" s="20" t="s">
        <v>1178</v>
      </c>
      <c r="N1281" s="47">
        <v>45632</v>
      </c>
      <c r="O1281" s="20">
        <f>INDEX(Auxiliar!$D$5:$F$13,MATCH(Table1[[#This Row],[Tipologia_Testes]],Auxiliar!$B$5:$B$13,0),MATCH(Table1[[#This Row],[Complexidade]],Auxiliar!$D$4:$F$4,0))</f>
        <v>2</v>
      </c>
      <c r="P1281" s="42" t="s">
        <v>1262</v>
      </c>
      <c r="Q1281" s="151"/>
      <c r="R1281" s="151">
        <v>45583</v>
      </c>
      <c r="S1281" s="151"/>
      <c r="T1281" s="151">
        <v>45583</v>
      </c>
      <c r="U1281" s="151">
        <v>45596</v>
      </c>
      <c r="V1281" s="151">
        <v>45596</v>
      </c>
      <c r="W1281" s="2">
        <f>VLOOKUP(Table1[[#This Row],[Status]],Auxiliar!$B$16:$D$24,3,0)*Table1[[#This Row],[Estimação (horas)]]</f>
        <v>1</v>
      </c>
      <c r="X1281" s="166">
        <f>+VLOOKUP(CONCATENATE(Table1[[#This Row],[Tabela]],Table1[[#This Row],[Campo]]),'2. Status Detalhe Campos FY24'!A:J,9,FALSE)</f>
        <v>0</v>
      </c>
    </row>
    <row r="1282" spans="2:24" ht="17.850000000000001" hidden="1" customHeight="1">
      <c r="B1282" s="38" t="s">
        <v>26</v>
      </c>
      <c r="C1282" s="38" t="s">
        <v>26</v>
      </c>
      <c r="D1282" s="38" t="s">
        <v>311</v>
      </c>
      <c r="E1282" s="38" t="s">
        <v>282</v>
      </c>
      <c r="F1282" s="38" t="s">
        <v>368</v>
      </c>
      <c r="G1282" s="38" t="s">
        <v>357</v>
      </c>
      <c r="H1282" s="58" t="str">
        <f>Table1[[#This Row],[Tabela]]&amp;Table1[[#This Row],[Campo]]</f>
        <v>lt004_protectionflg_act_physcl_rsk</v>
      </c>
      <c r="I1282" s="2" t="s">
        <v>1845</v>
      </c>
      <c r="J1282" s="44">
        <f>VLOOKUP(Table1[[#This Row],[Status]],Auxiliar!$B$16:$C$24,2,0)</f>
        <v>2</v>
      </c>
      <c r="K1282" s="44" t="s">
        <v>1172</v>
      </c>
      <c r="L1282" s="45" t="s">
        <v>1177</v>
      </c>
      <c r="M1282" s="20" t="s">
        <v>1178</v>
      </c>
      <c r="N1282" s="47">
        <v>45632</v>
      </c>
      <c r="O1282" s="20">
        <f>INDEX(Auxiliar!$D$5:$F$13,MATCH(Table1[[#This Row],[Tipologia_Testes]],Auxiliar!$B$5:$B$13,0),MATCH(Table1[[#This Row],[Complexidade]],Auxiliar!$D$4:$F$4,0))</f>
        <v>2</v>
      </c>
      <c r="P1282" s="42" t="s">
        <v>1262</v>
      </c>
      <c r="Q1282" s="151"/>
      <c r="R1282" s="151">
        <v>45583</v>
      </c>
      <c r="S1282" s="151"/>
      <c r="T1282" s="151">
        <v>45583</v>
      </c>
      <c r="U1282" s="151">
        <v>45596</v>
      </c>
      <c r="V1282" s="151">
        <v>45596</v>
      </c>
      <c r="W1282" s="2">
        <f>VLOOKUP(Table1[[#This Row],[Status]],Auxiliar!$B$16:$D$24,3,0)*Table1[[#This Row],[Estimação (horas)]]</f>
        <v>1</v>
      </c>
      <c r="X1282" s="166">
        <f>+VLOOKUP(CONCATENATE(Table1[[#This Row],[Tabela]],Table1[[#This Row],[Campo]]),'2. Status Detalhe Campos FY24'!A:J,9,FALSE)</f>
        <v>0</v>
      </c>
    </row>
    <row r="1283" spans="2:24" ht="35.1" hidden="1" customHeight="1">
      <c r="B1283" s="38" t="s">
        <v>26</v>
      </c>
      <c r="C1283" s="38" t="s">
        <v>26</v>
      </c>
      <c r="D1283" s="38" t="s">
        <v>311</v>
      </c>
      <c r="E1283" s="38" t="s">
        <v>282</v>
      </c>
      <c r="F1283" s="38" t="s">
        <v>368</v>
      </c>
      <c r="G1283" s="38" t="s">
        <v>357</v>
      </c>
      <c r="H1283" s="58" t="str">
        <f>Table1[[#This Row],[Tabela]]&amp;Table1[[#This Row],[Campo]]</f>
        <v>lt004_protectionflg_act_physcl_rsk</v>
      </c>
      <c r="I1283" s="2" t="s">
        <v>1845</v>
      </c>
      <c r="J1283" s="44">
        <f>VLOOKUP(Table1[[#This Row],[Status]],Auxiliar!$B$16:$C$24,2,0)</f>
        <v>2</v>
      </c>
      <c r="K1283" s="44" t="s">
        <v>1174</v>
      </c>
      <c r="L1283" s="45" t="s">
        <v>1177</v>
      </c>
      <c r="M1283" s="20" t="s">
        <v>1178</v>
      </c>
      <c r="N1283" s="47">
        <v>45632</v>
      </c>
      <c r="O1283" s="20">
        <f>INDEX(Auxiliar!$D$5:$F$13,MATCH(Table1[[#This Row],[Tipologia_Testes]],Auxiliar!$B$5:$B$13,0),MATCH(Table1[[#This Row],[Complexidade]],Auxiliar!$D$4:$F$4,0))</f>
        <v>0.1</v>
      </c>
      <c r="P1283" s="42" t="s">
        <v>1262</v>
      </c>
      <c r="Q1283" s="151"/>
      <c r="R1283" s="151">
        <v>45583</v>
      </c>
      <c r="S1283" s="151"/>
      <c r="T1283" s="151">
        <v>45583</v>
      </c>
      <c r="U1283" s="151">
        <v>45596</v>
      </c>
      <c r="V1283" s="151">
        <v>45596</v>
      </c>
      <c r="W1283" s="2">
        <f>VLOOKUP(Table1[[#This Row],[Status]],Auxiliar!$B$16:$D$24,3,0)*Table1[[#This Row],[Estimação (horas)]]</f>
        <v>0.05</v>
      </c>
      <c r="X1283" s="166">
        <f>+VLOOKUP(CONCATENATE(Table1[[#This Row],[Tabela]],Table1[[#This Row],[Campo]]),'2. Status Detalhe Campos FY24'!A:J,9,FALSE)</f>
        <v>0</v>
      </c>
    </row>
    <row r="1284" spans="2:24" ht="17.850000000000001" hidden="1" customHeight="1">
      <c r="B1284" s="40" t="s">
        <v>26</v>
      </c>
      <c r="C1284" s="40" t="s">
        <v>26</v>
      </c>
      <c r="D1284" s="36" t="s">
        <v>1273</v>
      </c>
      <c r="E1284" s="41" t="s">
        <v>1255</v>
      </c>
      <c r="F1284" s="39" t="s">
        <v>368</v>
      </c>
      <c r="G1284" s="37" t="s">
        <v>372</v>
      </c>
      <c r="H1284" s="59" t="str">
        <f>Table1[[#This Row],[Tabela]]&amp;Table1[[#This Row],[Campo]]</f>
        <v>lt004_protectionepc_lbl</v>
      </c>
      <c r="I1284" s="2" t="s">
        <v>612</v>
      </c>
      <c r="J1284" s="44">
        <f>VLOOKUP(Table1[[#This Row],[Status]],Auxiliar!$B$16:$C$24,2,0)</f>
        <v>1</v>
      </c>
      <c r="K1284" s="44" t="s">
        <v>1171</v>
      </c>
      <c r="L1284" s="45" t="s">
        <v>1177</v>
      </c>
      <c r="M1284" s="20" t="s">
        <v>1178</v>
      </c>
      <c r="N1284" s="47">
        <v>45667</v>
      </c>
      <c r="O1284" s="20">
        <f>INDEX(Auxiliar!$D$5:$F$13,MATCH(Table1[[#This Row],[Tipologia_Testes]],Auxiliar!$B$5:$B$13,0),MATCH(Table1[[#This Row],[Complexidade]],Auxiliar!$D$4:$F$4,0))</f>
        <v>2</v>
      </c>
      <c r="P1284" s="42" t="s">
        <v>1274</v>
      </c>
      <c r="Q1284" s="42"/>
      <c r="R1284" s="151">
        <v>45583</v>
      </c>
      <c r="S1284" s="151"/>
      <c r="T1284" s="151">
        <v>45583</v>
      </c>
      <c r="U1284" s="151">
        <v>45596</v>
      </c>
      <c r="V1284" s="151">
        <v>45596</v>
      </c>
      <c r="W1284" s="2">
        <f>VLOOKUP(Table1[[#This Row],[Status]],Auxiliar!$B$16:$D$24,3,0)*Table1[[#This Row],[Estimação (horas)]]</f>
        <v>2</v>
      </c>
      <c r="X1284" s="166">
        <f>+VLOOKUP(CONCATENATE(Table1[[#This Row],[Tabela]],Table1[[#This Row],[Campo]]),'2. Status Detalhe Campos FY24'!A:J,9,FALSE)</f>
        <v>0</v>
      </c>
    </row>
    <row r="1285" spans="2:24" ht="17.850000000000001" hidden="1" customHeight="1">
      <c r="B1285" s="38" t="s">
        <v>26</v>
      </c>
      <c r="C1285" s="38" t="s">
        <v>26</v>
      </c>
      <c r="D1285" s="38" t="s">
        <v>1273</v>
      </c>
      <c r="E1285" s="38" t="s">
        <v>1255</v>
      </c>
      <c r="F1285" s="38" t="s">
        <v>368</v>
      </c>
      <c r="G1285" s="38" t="s">
        <v>372</v>
      </c>
      <c r="H1285" s="58" t="str">
        <f>Table1[[#This Row],[Tabela]]&amp;Table1[[#This Row],[Campo]]</f>
        <v>lt004_protectionepc_lbl</v>
      </c>
      <c r="I1285" s="2" t="s">
        <v>612</v>
      </c>
      <c r="J1285" s="44">
        <f>VLOOKUP(Table1[[#This Row],[Status]],Auxiliar!$B$16:$C$24,2,0)</f>
        <v>1</v>
      </c>
      <c r="K1285" s="44" t="s">
        <v>1172</v>
      </c>
      <c r="L1285" s="45" t="s">
        <v>1177</v>
      </c>
      <c r="M1285" s="20" t="s">
        <v>1178</v>
      </c>
      <c r="N1285" s="47">
        <v>45667</v>
      </c>
      <c r="O1285" s="20">
        <f>INDEX(Auxiliar!$D$5:$F$13,MATCH(Table1[[#This Row],[Tipologia_Testes]],Auxiliar!$B$5:$B$13,0),MATCH(Table1[[#This Row],[Complexidade]],Auxiliar!$D$4:$F$4,0))</f>
        <v>2</v>
      </c>
      <c r="P1285" s="42" t="s">
        <v>1274</v>
      </c>
      <c r="Q1285" s="42"/>
      <c r="R1285" s="151">
        <v>45583</v>
      </c>
      <c r="S1285" s="151"/>
      <c r="T1285" s="151">
        <v>45583</v>
      </c>
      <c r="U1285" s="151">
        <v>45596</v>
      </c>
      <c r="V1285" s="151">
        <v>45596</v>
      </c>
      <c r="W1285" s="2">
        <f>VLOOKUP(Table1[[#This Row],[Status]],Auxiliar!$B$16:$D$24,3,0)*Table1[[#This Row],[Estimação (horas)]]</f>
        <v>2</v>
      </c>
      <c r="X1285" s="166">
        <f>+VLOOKUP(CONCATENATE(Table1[[#This Row],[Tabela]],Table1[[#This Row],[Campo]]),'2. Status Detalhe Campos FY24'!A:J,9,FALSE)</f>
        <v>0</v>
      </c>
    </row>
    <row r="1286" spans="2:24" ht="35.1" hidden="1" customHeight="1">
      <c r="B1286" s="38" t="s">
        <v>26</v>
      </c>
      <c r="C1286" s="38" t="s">
        <v>26</v>
      </c>
      <c r="D1286" s="38" t="s">
        <v>1273</v>
      </c>
      <c r="E1286" s="38" t="s">
        <v>1255</v>
      </c>
      <c r="F1286" s="38" t="s">
        <v>368</v>
      </c>
      <c r="G1286" s="38" t="s">
        <v>372</v>
      </c>
      <c r="H1286" s="58" t="str">
        <f>Table1[[#This Row],[Tabela]]&amp;Table1[[#This Row],[Campo]]</f>
        <v>lt004_protectionepc_lbl</v>
      </c>
      <c r="I1286" s="2" t="s">
        <v>612</v>
      </c>
      <c r="J1286" s="44">
        <f>VLOOKUP(Table1[[#This Row],[Status]],Auxiliar!$B$16:$C$24,2,0)</f>
        <v>1</v>
      </c>
      <c r="K1286" s="44" t="s">
        <v>1174</v>
      </c>
      <c r="L1286" s="45" t="s">
        <v>1177</v>
      </c>
      <c r="M1286" s="20" t="s">
        <v>1178</v>
      </c>
      <c r="N1286" s="47">
        <v>45667</v>
      </c>
      <c r="O1286" s="20">
        <f>INDEX(Auxiliar!$D$5:$F$13,MATCH(Table1[[#This Row],[Tipologia_Testes]],Auxiliar!$B$5:$B$13,0),MATCH(Table1[[#This Row],[Complexidade]],Auxiliar!$D$4:$F$4,0))</f>
        <v>0.1</v>
      </c>
      <c r="P1286" s="42" t="s">
        <v>1274</v>
      </c>
      <c r="Q1286" s="42"/>
      <c r="R1286" s="151">
        <v>45583</v>
      </c>
      <c r="S1286" s="151"/>
      <c r="T1286" s="151">
        <v>45583</v>
      </c>
      <c r="U1286" s="151">
        <v>45596</v>
      </c>
      <c r="V1286" s="151">
        <v>45596</v>
      </c>
      <c r="W1286" s="2">
        <f>VLOOKUP(Table1[[#This Row],[Status]],Auxiliar!$B$16:$D$24,3,0)*Table1[[#This Row],[Estimação (horas)]]</f>
        <v>0.1</v>
      </c>
      <c r="X1286" s="166">
        <f>+VLOOKUP(CONCATENATE(Table1[[#This Row],[Tabela]],Table1[[#This Row],[Campo]]),'2. Status Detalhe Campos FY24'!A:J,9,FALSE)</f>
        <v>0</v>
      </c>
    </row>
    <row r="1287" spans="2:24" ht="17.850000000000001" hidden="1" customHeight="1">
      <c r="B1287" s="40" t="s">
        <v>26</v>
      </c>
      <c r="C1287" s="40" t="s">
        <v>26</v>
      </c>
      <c r="D1287" s="36" t="s">
        <v>1273</v>
      </c>
      <c r="E1287" s="41" t="s">
        <v>1255</v>
      </c>
      <c r="F1287" s="39" t="s">
        <v>368</v>
      </c>
      <c r="G1287" s="37" t="s">
        <v>370</v>
      </c>
      <c r="H1287" s="59" t="str">
        <f>Table1[[#This Row],[Tabela]]&amp;Table1[[#This Row],[Campo]]</f>
        <v>lt004_protectionep_scr</v>
      </c>
      <c r="I1287" s="2" t="s">
        <v>614</v>
      </c>
      <c r="J1287" s="44">
        <f>VLOOKUP(Table1[[#This Row],[Status]],Auxiliar!$B$16:$C$24,2,0)</f>
        <v>5</v>
      </c>
      <c r="K1287" s="44" t="s">
        <v>1171</v>
      </c>
      <c r="L1287" s="45" t="s">
        <v>1177</v>
      </c>
      <c r="M1287" s="20" t="s">
        <v>1178</v>
      </c>
      <c r="N1287" s="47">
        <v>45667</v>
      </c>
      <c r="O1287" s="20">
        <f>INDEX(Auxiliar!$D$5:$F$13,MATCH(Table1[[#This Row],[Tipologia_Testes]],Auxiliar!$B$5:$B$13,0),MATCH(Table1[[#This Row],[Complexidade]],Auxiliar!$D$4:$F$4,0))</f>
        <v>2</v>
      </c>
      <c r="P1287" s="42" t="s">
        <v>1274</v>
      </c>
      <c r="Q1287" s="151"/>
      <c r="R1287" s="151">
        <v>45583</v>
      </c>
      <c r="S1287" s="151"/>
      <c r="T1287" s="151">
        <v>45583</v>
      </c>
      <c r="U1287" s="151">
        <v>45596</v>
      </c>
      <c r="V1287" s="151">
        <v>45596</v>
      </c>
      <c r="W1287" s="2">
        <f>VLOOKUP(Table1[[#This Row],[Status]],Auxiliar!$B$16:$D$24,3,0)*Table1[[#This Row],[Estimação (horas)]]</f>
        <v>0.5</v>
      </c>
      <c r="X1287" s="166">
        <f>+VLOOKUP(CONCATENATE(Table1[[#This Row],[Tabela]],Table1[[#This Row],[Campo]]),'2. Status Detalhe Campos FY24'!A:J,9,FALSE)</f>
        <v>0</v>
      </c>
    </row>
    <row r="1288" spans="2:24" ht="17.850000000000001" hidden="1" customHeight="1">
      <c r="B1288" s="38" t="s">
        <v>26</v>
      </c>
      <c r="C1288" s="38" t="s">
        <v>26</v>
      </c>
      <c r="D1288" s="38" t="s">
        <v>1273</v>
      </c>
      <c r="E1288" s="38" t="s">
        <v>1255</v>
      </c>
      <c r="F1288" s="38" t="s">
        <v>368</v>
      </c>
      <c r="G1288" s="38" t="s">
        <v>370</v>
      </c>
      <c r="H1288" s="58" t="str">
        <f>Table1[[#This Row],[Tabela]]&amp;Table1[[#This Row],[Campo]]</f>
        <v>lt004_protectionep_scr</v>
      </c>
      <c r="I1288" s="2" t="s">
        <v>614</v>
      </c>
      <c r="J1288" s="44">
        <f>VLOOKUP(Table1[[#This Row],[Status]],Auxiliar!$B$16:$C$24,2,0)</f>
        <v>5</v>
      </c>
      <c r="K1288" s="44" t="s">
        <v>1172</v>
      </c>
      <c r="L1288" s="45" t="s">
        <v>1177</v>
      </c>
      <c r="M1288" s="20" t="s">
        <v>1178</v>
      </c>
      <c r="N1288" s="47">
        <v>45667</v>
      </c>
      <c r="O1288" s="20">
        <f>INDEX(Auxiliar!$D$5:$F$13,MATCH(Table1[[#This Row],[Tipologia_Testes]],Auxiliar!$B$5:$B$13,0),MATCH(Table1[[#This Row],[Complexidade]],Auxiliar!$D$4:$F$4,0))</f>
        <v>2</v>
      </c>
      <c r="P1288" s="42" t="s">
        <v>1274</v>
      </c>
      <c r="Q1288" s="151"/>
      <c r="R1288" s="151">
        <v>45583</v>
      </c>
      <c r="S1288" s="151"/>
      <c r="T1288" s="151">
        <v>45583</v>
      </c>
      <c r="U1288" s="151">
        <v>45596</v>
      </c>
      <c r="V1288" s="151">
        <v>45596</v>
      </c>
      <c r="W1288" s="2">
        <f>VLOOKUP(Table1[[#This Row],[Status]],Auxiliar!$B$16:$D$24,3,0)*Table1[[#This Row],[Estimação (horas)]]</f>
        <v>0.5</v>
      </c>
      <c r="X1288" s="166">
        <f>+VLOOKUP(CONCATENATE(Table1[[#This Row],[Tabela]],Table1[[#This Row],[Campo]]),'2. Status Detalhe Campos FY24'!A:J,9,FALSE)</f>
        <v>0</v>
      </c>
    </row>
    <row r="1289" spans="2:24" ht="35.1" hidden="1" customHeight="1">
      <c r="B1289" s="38" t="s">
        <v>26</v>
      </c>
      <c r="C1289" s="38" t="s">
        <v>26</v>
      </c>
      <c r="D1289" s="38" t="s">
        <v>1273</v>
      </c>
      <c r="E1289" s="38" t="s">
        <v>1255</v>
      </c>
      <c r="F1289" s="38" t="s">
        <v>368</v>
      </c>
      <c r="G1289" s="38" t="s">
        <v>370</v>
      </c>
      <c r="H1289" s="58" t="str">
        <f>Table1[[#This Row],[Tabela]]&amp;Table1[[#This Row],[Campo]]</f>
        <v>lt004_protectionep_scr</v>
      </c>
      <c r="I1289" s="2" t="s">
        <v>614</v>
      </c>
      <c r="J1289" s="44">
        <f>VLOOKUP(Table1[[#This Row],[Status]],Auxiliar!$B$16:$C$24,2,0)</f>
        <v>5</v>
      </c>
      <c r="K1289" s="44" t="s">
        <v>1174</v>
      </c>
      <c r="L1289" s="45" t="s">
        <v>1177</v>
      </c>
      <c r="M1289" s="20" t="s">
        <v>1178</v>
      </c>
      <c r="N1289" s="47">
        <v>45667</v>
      </c>
      <c r="O1289" s="20">
        <f>INDEX(Auxiliar!$D$5:$F$13,MATCH(Table1[[#This Row],[Tipologia_Testes]],Auxiliar!$B$5:$B$13,0),MATCH(Table1[[#This Row],[Complexidade]],Auxiliar!$D$4:$F$4,0))</f>
        <v>0.1</v>
      </c>
      <c r="P1289" s="42" t="s">
        <v>1274</v>
      </c>
      <c r="Q1289" s="151"/>
      <c r="R1289" s="151">
        <v>45583</v>
      </c>
      <c r="S1289" s="151"/>
      <c r="T1289" s="151">
        <v>45583</v>
      </c>
      <c r="U1289" s="151">
        <v>45596</v>
      </c>
      <c r="V1289" s="151">
        <v>45596</v>
      </c>
      <c r="W1289" s="2">
        <f>VLOOKUP(Table1[[#This Row],[Status]],Auxiliar!$B$16:$D$24,3,0)*Table1[[#This Row],[Estimação (horas)]]</f>
        <v>2.5000000000000001E-2</v>
      </c>
      <c r="X1289" s="166">
        <f>+VLOOKUP(CONCATENATE(Table1[[#This Row],[Tabela]],Table1[[#This Row],[Campo]]),'2. Status Detalhe Campos FY24'!A:J,9,FALSE)</f>
        <v>0</v>
      </c>
    </row>
    <row r="1290" spans="2:24" ht="17.850000000000001" hidden="1" customHeight="1">
      <c r="B1290" s="40" t="s">
        <v>26</v>
      </c>
      <c r="C1290" s="40" t="s">
        <v>26</v>
      </c>
      <c r="D1290" s="35" t="s">
        <v>1275</v>
      </c>
      <c r="E1290" s="39" t="s">
        <v>1278</v>
      </c>
      <c r="F1290" s="39" t="s">
        <v>368</v>
      </c>
      <c r="G1290" s="37" t="s">
        <v>375</v>
      </c>
      <c r="H1290" s="59" t="str">
        <f>Table1[[#This Row],[Tabela]]&amp;Table1[[#This Row],[Campo]]</f>
        <v>lt004_protectionemssns_scp3_prtctn</v>
      </c>
      <c r="I1290" s="2" t="s">
        <v>612</v>
      </c>
      <c r="J1290" s="44">
        <f>VLOOKUP(Table1[[#This Row],[Status]],Auxiliar!$B$16:$C$24,2,0)</f>
        <v>1</v>
      </c>
      <c r="K1290" s="44" t="s">
        <v>1171</v>
      </c>
      <c r="L1290" s="45" t="s">
        <v>1177</v>
      </c>
      <c r="M1290" s="20" t="s">
        <v>1178</v>
      </c>
      <c r="N1290" s="47">
        <v>45667</v>
      </c>
      <c r="O1290" s="20">
        <f>INDEX(Auxiliar!$D$5:$F$13,MATCH(Table1[[#This Row],[Tipologia_Testes]],Auxiliar!$B$5:$B$13,0),MATCH(Table1[[#This Row],[Complexidade]],Auxiliar!$D$4:$F$4,0))</f>
        <v>2</v>
      </c>
      <c r="P1290" s="42" t="s">
        <v>1262</v>
      </c>
      <c r="Q1290" s="151"/>
      <c r="R1290" s="151">
        <v>45622</v>
      </c>
      <c r="S1290" s="151"/>
      <c r="T1290" s="151"/>
      <c r="U1290" s="151">
        <v>45631</v>
      </c>
      <c r="V1290" s="151">
        <v>45631</v>
      </c>
      <c r="W1290" s="2">
        <f>VLOOKUP(Table1[[#This Row],[Status]],Auxiliar!$B$16:$D$24,3,0)*Table1[[#This Row],[Estimação (horas)]]</f>
        <v>2</v>
      </c>
      <c r="X1290" s="166">
        <f>+VLOOKUP(CONCATENATE(Table1[[#This Row],[Tabela]],Table1[[#This Row],[Campo]]),'2. Status Detalhe Campos FY24'!A:J,9,FALSE)</f>
        <v>0</v>
      </c>
    </row>
    <row r="1291" spans="2:24" ht="17.850000000000001" hidden="1" customHeight="1">
      <c r="B1291" s="38" t="s">
        <v>26</v>
      </c>
      <c r="C1291" s="38" t="s">
        <v>26</v>
      </c>
      <c r="D1291" s="38" t="s">
        <v>1275</v>
      </c>
      <c r="E1291" s="38" t="s">
        <v>1278</v>
      </c>
      <c r="F1291" s="38" t="s">
        <v>368</v>
      </c>
      <c r="G1291" s="38" t="s">
        <v>375</v>
      </c>
      <c r="H1291" s="58" t="str">
        <f>Table1[[#This Row],[Tabela]]&amp;Table1[[#This Row],[Campo]]</f>
        <v>lt004_protectionemssns_scp3_prtctn</v>
      </c>
      <c r="I1291" s="2" t="s">
        <v>612</v>
      </c>
      <c r="J1291" s="44">
        <f>VLOOKUP(Table1[[#This Row],[Status]],Auxiliar!$B$16:$C$24,2,0)</f>
        <v>1</v>
      </c>
      <c r="K1291" s="44" t="s">
        <v>1172</v>
      </c>
      <c r="L1291" s="45" t="s">
        <v>1177</v>
      </c>
      <c r="M1291" s="20" t="s">
        <v>1178</v>
      </c>
      <c r="N1291" s="47">
        <v>45667</v>
      </c>
      <c r="O1291" s="20">
        <f>INDEX(Auxiliar!$D$5:$F$13,MATCH(Table1[[#This Row],[Tipologia_Testes]],Auxiliar!$B$5:$B$13,0),MATCH(Table1[[#This Row],[Complexidade]],Auxiliar!$D$4:$F$4,0))</f>
        <v>2</v>
      </c>
      <c r="P1291" s="42" t="s">
        <v>1262</v>
      </c>
      <c r="Q1291" s="151"/>
      <c r="R1291" s="151">
        <v>45622</v>
      </c>
      <c r="S1291" s="151"/>
      <c r="T1291" s="151"/>
      <c r="U1291" s="151">
        <v>45631</v>
      </c>
      <c r="V1291" s="151">
        <v>45631</v>
      </c>
      <c r="W1291" s="2">
        <f>VLOOKUP(Table1[[#This Row],[Status]],Auxiliar!$B$16:$D$24,3,0)*Table1[[#This Row],[Estimação (horas)]]</f>
        <v>2</v>
      </c>
      <c r="X1291" s="166">
        <f>+VLOOKUP(CONCATENATE(Table1[[#This Row],[Tabela]],Table1[[#This Row],[Campo]]),'2. Status Detalhe Campos FY24'!A:J,9,FALSE)</f>
        <v>0</v>
      </c>
    </row>
    <row r="1292" spans="2:24" ht="17.850000000000001" hidden="1" customHeight="1">
      <c r="B1292" s="38" t="s">
        <v>26</v>
      </c>
      <c r="C1292" s="38" t="s">
        <v>26</v>
      </c>
      <c r="D1292" s="38" t="s">
        <v>1275</v>
      </c>
      <c r="E1292" s="38" t="s">
        <v>1278</v>
      </c>
      <c r="F1292" s="38" t="s">
        <v>368</v>
      </c>
      <c r="G1292" s="38" t="s">
        <v>375</v>
      </c>
      <c r="H1292" s="58" t="str">
        <f>Table1[[#This Row],[Tabela]]&amp;Table1[[#This Row],[Campo]]</f>
        <v>lt004_protectionemssns_scp3_prtctn</v>
      </c>
      <c r="I1292" s="2" t="s">
        <v>612</v>
      </c>
      <c r="J1292" s="44">
        <f>VLOOKUP(Table1[[#This Row],[Status]],Auxiliar!$B$16:$C$24,2,0)</f>
        <v>1</v>
      </c>
      <c r="K1292" s="44" t="s">
        <v>1174</v>
      </c>
      <c r="L1292" s="45" t="s">
        <v>1177</v>
      </c>
      <c r="M1292" s="20" t="s">
        <v>1178</v>
      </c>
      <c r="N1292" s="47">
        <v>45667</v>
      </c>
      <c r="O1292" s="20">
        <f>INDEX(Auxiliar!$D$5:$F$13,MATCH(Table1[[#This Row],[Tipologia_Testes]],Auxiliar!$B$5:$B$13,0),MATCH(Table1[[#This Row],[Complexidade]],Auxiliar!$D$4:$F$4,0))</f>
        <v>0.1</v>
      </c>
      <c r="P1292" s="42" t="s">
        <v>1262</v>
      </c>
      <c r="Q1292" s="151"/>
      <c r="R1292" s="151">
        <v>45622</v>
      </c>
      <c r="S1292" s="151"/>
      <c r="T1292" s="151"/>
      <c r="U1292" s="151">
        <v>45631</v>
      </c>
      <c r="V1292" s="151">
        <v>45631</v>
      </c>
      <c r="W1292" s="2">
        <f>VLOOKUP(Table1[[#This Row],[Status]],Auxiliar!$B$16:$D$24,3,0)*Table1[[#This Row],[Estimação (horas)]]</f>
        <v>0.1</v>
      </c>
      <c r="X1292" s="166">
        <f>+VLOOKUP(CONCATENATE(Table1[[#This Row],[Tabela]],Table1[[#This Row],[Campo]]),'2. Status Detalhe Campos FY24'!A:J,9,FALSE)</f>
        <v>0</v>
      </c>
    </row>
    <row r="1293" spans="2:24" ht="17.850000000000001" hidden="1" customHeight="1">
      <c r="B1293" s="40" t="s">
        <v>26</v>
      </c>
      <c r="C1293" s="40" t="s">
        <v>26</v>
      </c>
      <c r="D1293" s="2" t="s">
        <v>38</v>
      </c>
      <c r="E1293" s="41" t="s">
        <v>38</v>
      </c>
      <c r="F1293" s="39" t="s">
        <v>379</v>
      </c>
      <c r="G1293" s="37" t="s">
        <v>380</v>
      </c>
      <c r="H1293" s="59" t="str">
        <f>Table1[[#This Row],[Tabela]]&amp;Table1[[#This Row],[Campo]]</f>
        <v>lt002_instrumentrsk_mtgtd_cct</v>
      </c>
      <c r="I1293" s="2" t="s">
        <v>612</v>
      </c>
      <c r="J1293" s="44">
        <f>VLOOKUP(Table1[[#This Row],[Status]],Auxiliar!$B$16:$C$24,2,0)</f>
        <v>1</v>
      </c>
      <c r="K1293" s="44" t="s">
        <v>1171</v>
      </c>
      <c r="L1293" s="45" t="s">
        <v>1177</v>
      </c>
      <c r="M1293" s="20" t="s">
        <v>1178</v>
      </c>
      <c r="N1293" s="47">
        <v>45625</v>
      </c>
      <c r="O1293" s="20">
        <f>INDEX(Auxiliar!$D$5:$F$13,MATCH(Table1[[#This Row],[Tipologia_Testes]],Auxiliar!$B$5:$B$13,0),MATCH(Table1[[#This Row],[Complexidade]],Auxiliar!$D$4:$F$4,0))</f>
        <v>2</v>
      </c>
      <c r="P1293" s="42"/>
      <c r="Q1293" s="151"/>
      <c r="R1293" s="151">
        <v>45595</v>
      </c>
      <c r="S1293" s="151"/>
      <c r="T1293" s="151">
        <v>45595</v>
      </c>
      <c r="U1293" s="151">
        <v>374329</v>
      </c>
      <c r="V1293" s="151">
        <v>374329</v>
      </c>
      <c r="W1293" s="2">
        <f>VLOOKUP(Table1[[#This Row],[Status]],Auxiliar!$B$16:$D$24,3,0)*Table1[[#This Row],[Estimação (horas)]]</f>
        <v>2</v>
      </c>
      <c r="X1293" s="166">
        <f>+VLOOKUP(CONCATENATE(Table1[[#This Row],[Tabela]],Table1[[#This Row],[Campo]]),'2. Status Detalhe Campos FY24'!A:J,9,FALSE)</f>
        <v>0</v>
      </c>
    </row>
    <row r="1294" spans="2:24" ht="17.850000000000001" hidden="1" customHeight="1">
      <c r="B1294" s="38" t="s">
        <v>26</v>
      </c>
      <c r="C1294" s="38" t="s">
        <v>26</v>
      </c>
      <c r="D1294" s="2" t="s">
        <v>38</v>
      </c>
      <c r="E1294" s="38" t="s">
        <v>38</v>
      </c>
      <c r="F1294" s="38" t="s">
        <v>379</v>
      </c>
      <c r="G1294" s="38" t="s">
        <v>380</v>
      </c>
      <c r="H1294" s="58" t="str">
        <f>Table1[[#This Row],[Tabela]]&amp;Table1[[#This Row],[Campo]]</f>
        <v>lt002_instrumentrsk_mtgtd_cct</v>
      </c>
      <c r="I1294" s="2" t="s">
        <v>612</v>
      </c>
      <c r="J1294" s="44">
        <f>VLOOKUP(Table1[[#This Row],[Status]],Auxiliar!$B$16:$C$24,2,0)</f>
        <v>1</v>
      </c>
      <c r="K1294" s="44" t="s">
        <v>1172</v>
      </c>
      <c r="L1294" s="45" t="s">
        <v>1177</v>
      </c>
      <c r="M1294" s="20" t="s">
        <v>1178</v>
      </c>
      <c r="N1294" s="47">
        <v>45625</v>
      </c>
      <c r="O1294" s="20">
        <f>INDEX(Auxiliar!$D$5:$F$13,MATCH(Table1[[#This Row],[Tipologia_Testes]],Auxiliar!$B$5:$B$13,0),MATCH(Table1[[#This Row],[Complexidade]],Auxiliar!$D$4:$F$4,0))</f>
        <v>2</v>
      </c>
      <c r="P1294" s="42"/>
      <c r="Q1294" s="151"/>
      <c r="R1294" s="151">
        <v>45595</v>
      </c>
      <c r="S1294" s="151"/>
      <c r="T1294" s="151">
        <v>45595</v>
      </c>
      <c r="U1294" s="151">
        <v>374329</v>
      </c>
      <c r="V1294" s="151">
        <v>374329</v>
      </c>
      <c r="W1294" s="2">
        <f>VLOOKUP(Table1[[#This Row],[Status]],Auxiliar!$B$16:$D$24,3,0)*Table1[[#This Row],[Estimação (horas)]]</f>
        <v>2</v>
      </c>
      <c r="X1294" s="166">
        <f>+VLOOKUP(CONCATENATE(Table1[[#This Row],[Tabela]],Table1[[#This Row],[Campo]]),'2. Status Detalhe Campos FY24'!A:J,9,FALSE)</f>
        <v>0</v>
      </c>
    </row>
    <row r="1295" spans="2:24" ht="17.850000000000001" hidden="1" customHeight="1">
      <c r="B1295" s="38" t="s">
        <v>26</v>
      </c>
      <c r="C1295" s="38" t="s">
        <v>26</v>
      </c>
      <c r="D1295" s="2" t="s">
        <v>38</v>
      </c>
      <c r="E1295" s="38" t="s">
        <v>38</v>
      </c>
      <c r="F1295" s="38" t="s">
        <v>379</v>
      </c>
      <c r="G1295" s="38" t="s">
        <v>380</v>
      </c>
      <c r="H1295" s="58" t="str">
        <f>Table1[[#This Row],[Tabela]]&amp;Table1[[#This Row],[Campo]]</f>
        <v>lt002_instrumentrsk_mtgtd_cct</v>
      </c>
      <c r="I1295" s="2" t="s">
        <v>612</v>
      </c>
      <c r="J1295" s="44">
        <f>VLOOKUP(Table1[[#This Row],[Status]],Auxiliar!$B$16:$C$24,2,0)</f>
        <v>1</v>
      </c>
      <c r="K1295" s="44" t="s">
        <v>1174</v>
      </c>
      <c r="L1295" s="45" t="s">
        <v>1177</v>
      </c>
      <c r="M1295" s="20" t="s">
        <v>1178</v>
      </c>
      <c r="N1295" s="47">
        <v>45625</v>
      </c>
      <c r="O1295" s="20">
        <f>INDEX(Auxiliar!$D$5:$F$13,MATCH(Table1[[#This Row],[Tipologia_Testes]],Auxiliar!$B$5:$B$13,0),MATCH(Table1[[#This Row],[Complexidade]],Auxiliar!$D$4:$F$4,0))</f>
        <v>0.1</v>
      </c>
      <c r="P1295" s="42"/>
      <c r="Q1295" s="151"/>
      <c r="R1295" s="151">
        <v>45595</v>
      </c>
      <c r="S1295" s="151"/>
      <c r="T1295" s="151">
        <v>45595</v>
      </c>
      <c r="U1295" s="151">
        <v>374329</v>
      </c>
      <c r="V1295" s="151">
        <v>374329</v>
      </c>
      <c r="W1295" s="2">
        <f>VLOOKUP(Table1[[#This Row],[Status]],Auxiliar!$B$16:$D$24,3,0)*Table1[[#This Row],[Estimação (horas)]]</f>
        <v>0.1</v>
      </c>
      <c r="X1295" s="166">
        <f>+VLOOKUP(CONCATENATE(Table1[[#This Row],[Tabela]],Table1[[#This Row],[Campo]]),'2. Status Detalhe Campos FY24'!A:J,9,FALSE)</f>
        <v>0</v>
      </c>
    </row>
    <row r="1296" spans="2:24" ht="17.850000000000001" hidden="1" customHeight="1">
      <c r="B1296" s="40" t="s">
        <v>26</v>
      </c>
      <c r="C1296" s="40" t="s">
        <v>26</v>
      </c>
      <c r="D1296" s="2" t="s">
        <v>38</v>
      </c>
      <c r="E1296" s="41" t="s">
        <v>38</v>
      </c>
      <c r="F1296" s="39" t="s">
        <v>379</v>
      </c>
      <c r="G1296" s="37" t="s">
        <v>381</v>
      </c>
      <c r="H1296" s="59" t="str">
        <f>Table1[[#This Row],[Tabela]]&amp;Table1[[#This Row],[Campo]]</f>
        <v>lt002_instrumentrsk_mtgtd_ccp</v>
      </c>
      <c r="I1296" s="2" t="s">
        <v>2325</v>
      </c>
      <c r="J1296" s="44">
        <f>VLOOKUP(Table1[[#This Row],[Status]],Auxiliar!$B$16:$C$24,2,0)</f>
        <v>7</v>
      </c>
      <c r="K1296" s="44" t="s">
        <v>1171</v>
      </c>
      <c r="L1296" s="45" t="s">
        <v>1177</v>
      </c>
      <c r="M1296" s="20" t="s">
        <v>1178</v>
      </c>
      <c r="N1296" s="47">
        <v>45642</v>
      </c>
      <c r="O1296" s="20">
        <f>INDEX(Auxiliar!$D$5:$F$13,MATCH(Table1[[#This Row],[Tipologia_Testes]],Auxiliar!$B$5:$B$13,0),MATCH(Table1[[#This Row],[Complexidade]],Auxiliar!$D$4:$F$4,0))</f>
        <v>2</v>
      </c>
      <c r="P1296" s="42"/>
      <c r="Q1296" s="151"/>
      <c r="R1296" s="151">
        <v>45595</v>
      </c>
      <c r="S1296" s="151"/>
      <c r="T1296" s="151">
        <v>45595</v>
      </c>
      <c r="U1296" s="151">
        <v>374342</v>
      </c>
      <c r="V1296" s="151">
        <v>374342</v>
      </c>
      <c r="W1296" s="2">
        <f>VLOOKUP(Table1[[#This Row],[Status]],Auxiliar!$B$16:$D$24,3,0)*Table1[[#This Row],[Estimação (horas)]]</f>
        <v>0.5</v>
      </c>
      <c r="X1296" s="166">
        <f>+VLOOKUP(CONCATENATE(Table1[[#This Row],[Tabela]],Table1[[#This Row],[Campo]]),'2. Status Detalhe Campos FY24'!A:J,9,FALSE)</f>
        <v>0</v>
      </c>
    </row>
    <row r="1297" spans="2:24" ht="17.850000000000001" hidden="1" customHeight="1">
      <c r="B1297" s="38" t="s">
        <v>26</v>
      </c>
      <c r="C1297" s="38" t="s">
        <v>26</v>
      </c>
      <c r="D1297" s="2" t="s">
        <v>38</v>
      </c>
      <c r="E1297" s="38" t="s">
        <v>38</v>
      </c>
      <c r="F1297" s="38" t="s">
        <v>379</v>
      </c>
      <c r="G1297" s="38" t="s">
        <v>381</v>
      </c>
      <c r="H1297" s="58" t="str">
        <f>Table1[[#This Row],[Tabela]]&amp;Table1[[#This Row],[Campo]]</f>
        <v>lt002_instrumentrsk_mtgtd_ccp</v>
      </c>
      <c r="I1297" s="2" t="s">
        <v>2325</v>
      </c>
      <c r="J1297" s="44">
        <f>VLOOKUP(Table1[[#This Row],[Status]],Auxiliar!$B$16:$C$24,2,0)</f>
        <v>7</v>
      </c>
      <c r="K1297" s="44" t="s">
        <v>1172</v>
      </c>
      <c r="L1297" s="45" t="s">
        <v>1177</v>
      </c>
      <c r="M1297" s="20" t="s">
        <v>1178</v>
      </c>
      <c r="N1297" s="47">
        <v>45642</v>
      </c>
      <c r="O1297" s="20">
        <f>INDEX(Auxiliar!$D$5:$F$13,MATCH(Table1[[#This Row],[Tipologia_Testes]],Auxiliar!$B$5:$B$13,0),MATCH(Table1[[#This Row],[Complexidade]],Auxiliar!$D$4:$F$4,0))</f>
        <v>2</v>
      </c>
      <c r="P1297" s="42"/>
      <c r="Q1297" s="151"/>
      <c r="R1297" s="151">
        <v>45595</v>
      </c>
      <c r="S1297" s="151"/>
      <c r="T1297" s="151">
        <v>45595</v>
      </c>
      <c r="U1297" s="151">
        <v>374342</v>
      </c>
      <c r="V1297" s="151">
        <v>374342</v>
      </c>
      <c r="W1297" s="2">
        <f>VLOOKUP(Table1[[#This Row],[Status]],Auxiliar!$B$16:$D$24,3,0)*Table1[[#This Row],[Estimação (horas)]]</f>
        <v>0.5</v>
      </c>
      <c r="X1297" s="166">
        <f>+VLOOKUP(CONCATENATE(Table1[[#This Row],[Tabela]],Table1[[#This Row],[Campo]]),'2. Status Detalhe Campos FY24'!A:J,9,FALSE)</f>
        <v>0</v>
      </c>
    </row>
    <row r="1298" spans="2:24" ht="17.850000000000001" hidden="1" customHeight="1">
      <c r="B1298" s="38" t="s">
        <v>26</v>
      </c>
      <c r="C1298" s="38" t="s">
        <v>26</v>
      </c>
      <c r="D1298" s="2" t="s">
        <v>38</v>
      </c>
      <c r="E1298" s="38" t="s">
        <v>38</v>
      </c>
      <c r="F1298" s="38" t="s">
        <v>379</v>
      </c>
      <c r="G1298" s="38" t="s">
        <v>381</v>
      </c>
      <c r="H1298" s="58" t="str">
        <f>Table1[[#This Row],[Tabela]]&amp;Table1[[#This Row],[Campo]]</f>
        <v>lt002_instrumentrsk_mtgtd_ccp</v>
      </c>
      <c r="I1298" s="2" t="s">
        <v>2325</v>
      </c>
      <c r="J1298" s="44">
        <f>VLOOKUP(Table1[[#This Row],[Status]],Auxiliar!$B$16:$C$24,2,0)</f>
        <v>7</v>
      </c>
      <c r="K1298" s="44" t="s">
        <v>1174</v>
      </c>
      <c r="L1298" s="45" t="s">
        <v>1177</v>
      </c>
      <c r="M1298" s="20" t="s">
        <v>1178</v>
      </c>
      <c r="N1298" s="47">
        <v>45642</v>
      </c>
      <c r="O1298" s="20">
        <f>INDEX(Auxiliar!$D$5:$F$13,MATCH(Table1[[#This Row],[Tipologia_Testes]],Auxiliar!$B$5:$B$13,0),MATCH(Table1[[#This Row],[Complexidade]],Auxiliar!$D$4:$F$4,0))</f>
        <v>0.1</v>
      </c>
      <c r="P1298" s="42"/>
      <c r="Q1298" s="151"/>
      <c r="R1298" s="151">
        <v>45595</v>
      </c>
      <c r="S1298" s="151"/>
      <c r="T1298" s="151">
        <v>45595</v>
      </c>
      <c r="U1298" s="151">
        <v>374342</v>
      </c>
      <c r="V1298" s="151">
        <v>374342</v>
      </c>
      <c r="W1298" s="2">
        <f>VLOOKUP(Table1[[#This Row],[Status]],Auxiliar!$B$16:$D$24,3,0)*Table1[[#This Row],[Estimação (horas)]]</f>
        <v>2.5000000000000001E-2</v>
      </c>
      <c r="X1298" s="166">
        <f>+VLOOKUP(CONCATENATE(Table1[[#This Row],[Tabela]],Table1[[#This Row],[Campo]]),'2. Status Detalhe Campos FY24'!A:J,9,FALSE)</f>
        <v>0</v>
      </c>
    </row>
    <row r="1299" spans="2:24" ht="17.850000000000001" hidden="1" customHeight="1">
      <c r="B1299" s="40" t="s">
        <v>26</v>
      </c>
      <c r="C1299" s="40" t="s">
        <v>26</v>
      </c>
      <c r="D1299" s="36" t="s">
        <v>1273</v>
      </c>
      <c r="E1299" s="41" t="s">
        <v>1255</v>
      </c>
      <c r="F1299" s="39" t="s">
        <v>1865</v>
      </c>
      <c r="G1299" s="37" t="s">
        <v>382</v>
      </c>
      <c r="H1299" s="59" t="str">
        <f>Table1[[#This Row],[Tabela]]&amp;Table1[[#This Row],[Campo]]</f>
        <v>lt007_instr_activityenvrnmntl_objctv</v>
      </c>
      <c r="I1299" s="2" t="s">
        <v>612</v>
      </c>
      <c r="J1299" s="44">
        <f>VLOOKUP(Table1[[#This Row],[Status]],Auxiliar!$B$16:$C$24,2,0)</f>
        <v>1</v>
      </c>
      <c r="K1299" s="44" t="s">
        <v>1171</v>
      </c>
      <c r="L1299" s="45" t="s">
        <v>1177</v>
      </c>
      <c r="M1299" s="20" t="s">
        <v>1178</v>
      </c>
      <c r="N1299" s="47">
        <v>45649</v>
      </c>
      <c r="O1299" s="20">
        <f>INDEX(Auxiliar!$D$5:$F$13,MATCH(Table1[[#This Row],[Tipologia_Testes]],Auxiliar!$B$5:$B$13,0),MATCH(Table1[[#This Row],[Complexidade]],Auxiliar!$D$4:$F$4,0))</f>
        <v>2</v>
      </c>
      <c r="P1299" s="42"/>
      <c r="Q1299" s="151"/>
      <c r="R1299" s="151">
        <v>45593</v>
      </c>
      <c r="S1299" s="151"/>
      <c r="T1299" s="151">
        <v>45593</v>
      </c>
      <c r="U1299" s="151">
        <v>45624</v>
      </c>
      <c r="V1299" s="151">
        <v>45624</v>
      </c>
      <c r="W1299" s="2">
        <f>VLOOKUP(Table1[[#This Row],[Status]],Auxiliar!$B$16:$D$24,3,0)*Table1[[#This Row],[Estimação (horas)]]</f>
        <v>2</v>
      </c>
      <c r="X1299" s="166">
        <f>+VLOOKUP(CONCATENATE(Table1[[#This Row],[Tabela]],Table1[[#This Row],[Campo]]),'2. Status Detalhe Campos FY24'!A:J,9,FALSE)</f>
        <v>0</v>
      </c>
    </row>
    <row r="1300" spans="2:24" ht="17.850000000000001" hidden="1" customHeight="1">
      <c r="B1300" s="38" t="s">
        <v>26</v>
      </c>
      <c r="C1300" s="38" t="s">
        <v>26</v>
      </c>
      <c r="D1300" s="38" t="s">
        <v>1273</v>
      </c>
      <c r="E1300" s="38" t="s">
        <v>1255</v>
      </c>
      <c r="F1300" s="39" t="s">
        <v>1865</v>
      </c>
      <c r="G1300" s="38" t="s">
        <v>382</v>
      </c>
      <c r="H1300" s="58" t="str">
        <f>Table1[[#This Row],[Tabela]]&amp;Table1[[#This Row],[Campo]]</f>
        <v>lt007_instr_activityenvrnmntl_objctv</v>
      </c>
      <c r="I1300" s="2" t="s">
        <v>612</v>
      </c>
      <c r="J1300" s="44">
        <f>VLOOKUP(Table1[[#This Row],[Status]],Auxiliar!$B$16:$C$24,2,0)</f>
        <v>1</v>
      </c>
      <c r="K1300" s="44" t="s">
        <v>1172</v>
      </c>
      <c r="L1300" s="45" t="s">
        <v>1177</v>
      </c>
      <c r="M1300" s="20" t="s">
        <v>1178</v>
      </c>
      <c r="N1300" s="47">
        <v>45649</v>
      </c>
      <c r="O1300" s="20">
        <f>INDEX(Auxiliar!$D$5:$F$13,MATCH(Table1[[#This Row],[Tipologia_Testes]],Auxiliar!$B$5:$B$13,0),MATCH(Table1[[#This Row],[Complexidade]],Auxiliar!$D$4:$F$4,0))</f>
        <v>2</v>
      </c>
      <c r="P1300" s="42"/>
      <c r="Q1300" s="151"/>
      <c r="R1300" s="151">
        <v>45593</v>
      </c>
      <c r="S1300" s="151"/>
      <c r="T1300" s="151">
        <v>45593</v>
      </c>
      <c r="U1300" s="151">
        <v>45624</v>
      </c>
      <c r="V1300" s="151">
        <v>45624</v>
      </c>
      <c r="W1300" s="2">
        <f>VLOOKUP(Table1[[#This Row],[Status]],Auxiliar!$B$16:$D$24,3,0)*Table1[[#This Row],[Estimação (horas)]]</f>
        <v>2</v>
      </c>
      <c r="X1300" s="166">
        <f>+VLOOKUP(CONCATENATE(Table1[[#This Row],[Tabela]],Table1[[#This Row],[Campo]]),'2. Status Detalhe Campos FY24'!A:J,9,FALSE)</f>
        <v>0</v>
      </c>
    </row>
    <row r="1301" spans="2:24" ht="17.850000000000001" hidden="1" customHeight="1">
      <c r="B1301" s="38" t="s">
        <v>26</v>
      </c>
      <c r="C1301" s="38" t="s">
        <v>26</v>
      </c>
      <c r="D1301" s="38" t="s">
        <v>1273</v>
      </c>
      <c r="E1301" s="38" t="s">
        <v>1255</v>
      </c>
      <c r="F1301" s="39" t="s">
        <v>1865</v>
      </c>
      <c r="G1301" s="38" t="s">
        <v>382</v>
      </c>
      <c r="H1301" s="58" t="str">
        <f>Table1[[#This Row],[Tabela]]&amp;Table1[[#This Row],[Campo]]</f>
        <v>lt007_instr_activityenvrnmntl_objctv</v>
      </c>
      <c r="I1301" s="2" t="s">
        <v>612</v>
      </c>
      <c r="J1301" s="44">
        <f>VLOOKUP(Table1[[#This Row],[Status]],Auxiliar!$B$16:$C$24,2,0)</f>
        <v>1</v>
      </c>
      <c r="K1301" s="44" t="s">
        <v>1174</v>
      </c>
      <c r="L1301" s="45" t="s">
        <v>1177</v>
      </c>
      <c r="M1301" s="20" t="s">
        <v>1178</v>
      </c>
      <c r="N1301" s="47">
        <v>45649</v>
      </c>
      <c r="O1301" s="20">
        <f>INDEX(Auxiliar!$D$5:$F$13,MATCH(Table1[[#This Row],[Tipologia_Testes]],Auxiliar!$B$5:$B$13,0),MATCH(Table1[[#This Row],[Complexidade]],Auxiliar!$D$4:$F$4,0))</f>
        <v>0.1</v>
      </c>
      <c r="P1301" s="42"/>
      <c r="Q1301" s="151"/>
      <c r="R1301" s="151">
        <v>45593</v>
      </c>
      <c r="S1301" s="151"/>
      <c r="T1301" s="151">
        <v>45593</v>
      </c>
      <c r="U1301" s="151">
        <v>45624</v>
      </c>
      <c r="V1301" s="151">
        <v>45624</v>
      </c>
      <c r="W1301" s="2">
        <f>VLOOKUP(Table1[[#This Row],[Status]],Auxiliar!$B$16:$D$24,3,0)*Table1[[#This Row],[Estimação (horas)]]</f>
        <v>0.1</v>
      </c>
      <c r="X1301" s="166">
        <f>+VLOOKUP(CONCATENATE(Table1[[#This Row],[Tabela]],Table1[[#This Row],[Campo]]),'2. Status Detalhe Campos FY24'!A:J,9,FALSE)</f>
        <v>0</v>
      </c>
    </row>
    <row r="1302" spans="2:24" ht="17.850000000000001" hidden="1" customHeight="1">
      <c r="B1302" s="40" t="s">
        <v>26</v>
      </c>
      <c r="C1302" s="40" t="s">
        <v>26</v>
      </c>
      <c r="D1302" s="36" t="s">
        <v>1273</v>
      </c>
      <c r="E1302" s="41" t="s">
        <v>1255</v>
      </c>
      <c r="F1302" s="39" t="s">
        <v>1865</v>
      </c>
      <c r="G1302" s="37" t="s">
        <v>383</v>
      </c>
      <c r="H1302" s="59" t="str">
        <f>Table1[[#This Row],[Tabela]]&amp;Table1[[#This Row],[Campo]]</f>
        <v>lt007_instr_activitytyp_actvty</v>
      </c>
      <c r="I1302" s="2" t="s">
        <v>612</v>
      </c>
      <c r="J1302" s="44">
        <f>VLOOKUP(Table1[[#This Row],[Status]],Auxiliar!$B$16:$C$24,2,0)</f>
        <v>1</v>
      </c>
      <c r="K1302" s="44" t="s">
        <v>1171</v>
      </c>
      <c r="L1302" s="45" t="s">
        <v>1177</v>
      </c>
      <c r="M1302" s="20" t="s">
        <v>1178</v>
      </c>
      <c r="N1302" s="47">
        <v>45649</v>
      </c>
      <c r="O1302" s="20">
        <f>INDEX(Auxiliar!$D$5:$F$13,MATCH(Table1[[#This Row],[Tipologia_Testes]],Auxiliar!$B$5:$B$13,0),MATCH(Table1[[#This Row],[Complexidade]],Auxiliar!$D$4:$F$4,0))</f>
        <v>2</v>
      </c>
      <c r="P1302" s="42"/>
      <c r="Q1302" s="151"/>
      <c r="R1302" s="151">
        <v>45593</v>
      </c>
      <c r="S1302" s="151"/>
      <c r="T1302" s="151">
        <v>45593</v>
      </c>
      <c r="U1302" s="151">
        <v>45624</v>
      </c>
      <c r="V1302" s="151">
        <v>45624</v>
      </c>
      <c r="W1302" s="2">
        <f>VLOOKUP(Table1[[#This Row],[Status]],Auxiliar!$B$16:$D$24,3,0)*Table1[[#This Row],[Estimação (horas)]]</f>
        <v>2</v>
      </c>
      <c r="X1302" s="166">
        <f>+VLOOKUP(CONCATENATE(Table1[[#This Row],[Tabela]],Table1[[#This Row],[Campo]]),'2. Status Detalhe Campos FY24'!A:J,9,FALSE)</f>
        <v>0</v>
      </c>
    </row>
    <row r="1303" spans="2:24" ht="17.850000000000001" hidden="1" customHeight="1">
      <c r="B1303" s="38" t="s">
        <v>26</v>
      </c>
      <c r="C1303" s="38" t="s">
        <v>26</v>
      </c>
      <c r="D1303" s="38" t="s">
        <v>1273</v>
      </c>
      <c r="E1303" s="38" t="s">
        <v>1255</v>
      </c>
      <c r="F1303" s="39" t="s">
        <v>1865</v>
      </c>
      <c r="G1303" s="38" t="s">
        <v>383</v>
      </c>
      <c r="H1303" s="58" t="str">
        <f>Table1[[#This Row],[Tabela]]&amp;Table1[[#This Row],[Campo]]</f>
        <v>lt007_instr_activitytyp_actvty</v>
      </c>
      <c r="I1303" s="2" t="s">
        <v>612</v>
      </c>
      <c r="J1303" s="44">
        <f>VLOOKUP(Table1[[#This Row],[Status]],Auxiliar!$B$16:$C$24,2,0)</f>
        <v>1</v>
      </c>
      <c r="K1303" s="44" t="s">
        <v>1172</v>
      </c>
      <c r="L1303" s="45" t="s">
        <v>1177</v>
      </c>
      <c r="M1303" s="20" t="s">
        <v>1178</v>
      </c>
      <c r="N1303" s="47">
        <v>45649</v>
      </c>
      <c r="O1303" s="20">
        <f>INDEX(Auxiliar!$D$5:$F$13,MATCH(Table1[[#This Row],[Tipologia_Testes]],Auxiliar!$B$5:$B$13,0),MATCH(Table1[[#This Row],[Complexidade]],Auxiliar!$D$4:$F$4,0))</f>
        <v>2</v>
      </c>
      <c r="P1303" s="42"/>
      <c r="Q1303" s="151"/>
      <c r="R1303" s="151">
        <v>45593</v>
      </c>
      <c r="S1303" s="151"/>
      <c r="T1303" s="151">
        <v>45593</v>
      </c>
      <c r="U1303" s="151">
        <v>45624</v>
      </c>
      <c r="V1303" s="151">
        <v>45624</v>
      </c>
      <c r="W1303" s="2">
        <f>VLOOKUP(Table1[[#This Row],[Status]],Auxiliar!$B$16:$D$24,3,0)*Table1[[#This Row],[Estimação (horas)]]</f>
        <v>2</v>
      </c>
      <c r="X1303" s="166">
        <f>+VLOOKUP(CONCATENATE(Table1[[#This Row],[Tabela]],Table1[[#This Row],[Campo]]),'2. Status Detalhe Campos FY24'!A:J,9,FALSE)</f>
        <v>0</v>
      </c>
    </row>
    <row r="1304" spans="2:24" ht="17.850000000000001" hidden="1" customHeight="1">
      <c r="B1304" s="38" t="s">
        <v>26</v>
      </c>
      <c r="C1304" s="38" t="s">
        <v>26</v>
      </c>
      <c r="D1304" s="38" t="s">
        <v>1273</v>
      </c>
      <c r="E1304" s="38" t="s">
        <v>1255</v>
      </c>
      <c r="F1304" s="39" t="s">
        <v>1865</v>
      </c>
      <c r="G1304" s="38" t="s">
        <v>383</v>
      </c>
      <c r="H1304" s="58" t="str">
        <f>Table1[[#This Row],[Tabela]]&amp;Table1[[#This Row],[Campo]]</f>
        <v>lt007_instr_activitytyp_actvty</v>
      </c>
      <c r="I1304" s="2" t="s">
        <v>612</v>
      </c>
      <c r="J1304" s="44">
        <f>VLOOKUP(Table1[[#This Row],[Status]],Auxiliar!$B$16:$C$24,2,0)</f>
        <v>1</v>
      </c>
      <c r="K1304" s="44" t="s">
        <v>1174</v>
      </c>
      <c r="L1304" s="45" t="s">
        <v>1177</v>
      </c>
      <c r="M1304" s="20" t="s">
        <v>1178</v>
      </c>
      <c r="N1304" s="47">
        <v>45649</v>
      </c>
      <c r="O1304" s="20">
        <f>INDEX(Auxiliar!$D$5:$F$13,MATCH(Table1[[#This Row],[Tipologia_Testes]],Auxiliar!$B$5:$B$13,0),MATCH(Table1[[#This Row],[Complexidade]],Auxiliar!$D$4:$F$4,0))</f>
        <v>0.1</v>
      </c>
      <c r="P1304" s="42"/>
      <c r="Q1304" s="151"/>
      <c r="R1304" s="151">
        <v>45593</v>
      </c>
      <c r="S1304" s="151"/>
      <c r="T1304" s="151">
        <v>45593</v>
      </c>
      <c r="U1304" s="151">
        <v>45624</v>
      </c>
      <c r="V1304" s="151">
        <v>45624</v>
      </c>
      <c r="W1304" s="2">
        <f>VLOOKUP(Table1[[#This Row],[Status]],Auxiliar!$B$16:$D$24,3,0)*Table1[[#This Row],[Estimação (horas)]]</f>
        <v>0.1</v>
      </c>
      <c r="X1304" s="166">
        <f>+VLOOKUP(CONCATENATE(Table1[[#This Row],[Tabela]],Table1[[#This Row],[Campo]]),'2. Status Detalhe Campos FY24'!A:J,9,FALSE)</f>
        <v>0</v>
      </c>
    </row>
    <row r="1305" spans="2:24" ht="17.850000000000001" hidden="1" customHeight="1">
      <c r="B1305" s="38" t="s">
        <v>26</v>
      </c>
      <c r="C1305" s="38" t="s">
        <v>26</v>
      </c>
      <c r="D1305" s="37" t="s">
        <v>1273</v>
      </c>
      <c r="E1305" s="41" t="s">
        <v>1255</v>
      </c>
      <c r="F1305" s="39" t="s">
        <v>379</v>
      </c>
      <c r="G1305" s="37" t="s">
        <v>384</v>
      </c>
      <c r="H1305" s="59" t="str">
        <f>Table1[[#This Row],[Tabela]]&amp;Table1[[#This Row],[Campo]]</f>
        <v>lt002_instrumentlns_clltrlzd_clssfctn</v>
      </c>
      <c r="I1305" s="2" t="s">
        <v>612</v>
      </c>
      <c r="J1305" s="44">
        <f>VLOOKUP(Table1[[#This Row],[Status]],Auxiliar!$B$16:$C$24,2,0)</f>
        <v>1</v>
      </c>
      <c r="K1305" s="44" t="s">
        <v>1171</v>
      </c>
      <c r="L1305" s="45" t="s">
        <v>1177</v>
      </c>
      <c r="M1305" s="20" t="s">
        <v>1178</v>
      </c>
      <c r="N1305" s="47">
        <v>45583</v>
      </c>
      <c r="O1305" s="20">
        <f>INDEX(Auxiliar!$D$5:$F$13,MATCH(Table1[[#This Row],[Tipologia_Testes]],Auxiliar!$B$5:$B$13,0),MATCH(Table1[[#This Row],[Complexidade]],Auxiliar!$D$4:$F$4,0))</f>
        <v>2</v>
      </c>
      <c r="P1305" s="42" t="s">
        <v>1280</v>
      </c>
      <c r="Q1305" s="151"/>
      <c r="R1305" s="151">
        <v>45583</v>
      </c>
      <c r="S1305" s="151"/>
      <c r="T1305" s="151">
        <v>45583</v>
      </c>
      <c r="U1305" s="151">
        <v>45589</v>
      </c>
      <c r="V1305" s="151">
        <v>45589</v>
      </c>
      <c r="W1305" s="2">
        <f>VLOOKUP(Table1[[#This Row],[Status]],Auxiliar!$B$16:$D$24,3,0)*Table1[[#This Row],[Estimação (horas)]]</f>
        <v>2</v>
      </c>
      <c r="X1305" s="166">
        <f>+VLOOKUP(CONCATENATE(Table1[[#This Row],[Tabela]],Table1[[#This Row],[Campo]]),'2. Status Detalhe Campos FY24'!A:J,9,FALSE)</f>
        <v>0</v>
      </c>
    </row>
    <row r="1306" spans="2:24" ht="17.850000000000001" hidden="1" customHeight="1">
      <c r="B1306" s="38" t="s">
        <v>26</v>
      </c>
      <c r="C1306" s="38" t="s">
        <v>26</v>
      </c>
      <c r="D1306" s="38" t="s">
        <v>1273</v>
      </c>
      <c r="E1306" s="38" t="s">
        <v>1255</v>
      </c>
      <c r="F1306" s="38" t="s">
        <v>379</v>
      </c>
      <c r="G1306" s="38" t="s">
        <v>384</v>
      </c>
      <c r="H1306" s="58" t="str">
        <f>Table1[[#This Row],[Tabela]]&amp;Table1[[#This Row],[Campo]]</f>
        <v>lt002_instrumentlns_clltrlzd_clssfctn</v>
      </c>
      <c r="I1306" s="2" t="s">
        <v>612</v>
      </c>
      <c r="J1306" s="44">
        <f>VLOOKUP(Table1[[#This Row],[Status]],Auxiliar!$B$16:$C$24,2,0)</f>
        <v>1</v>
      </c>
      <c r="K1306" s="44" t="s">
        <v>1172</v>
      </c>
      <c r="L1306" s="45" t="s">
        <v>1177</v>
      </c>
      <c r="M1306" s="20" t="s">
        <v>1178</v>
      </c>
      <c r="N1306" s="47">
        <v>45596</v>
      </c>
      <c r="O1306" s="20">
        <f>INDEX(Auxiliar!$D$5:$F$13,MATCH(Table1[[#This Row],[Tipologia_Testes]],Auxiliar!$B$5:$B$13,0),MATCH(Table1[[#This Row],[Complexidade]],Auxiliar!$D$4:$F$4,0))</f>
        <v>2</v>
      </c>
      <c r="P1306" s="42" t="s">
        <v>1280</v>
      </c>
      <c r="Q1306" s="151"/>
      <c r="R1306" s="151">
        <v>45583</v>
      </c>
      <c r="S1306" s="151"/>
      <c r="T1306" s="151">
        <v>45583</v>
      </c>
      <c r="U1306" s="151"/>
      <c r="V1306" s="151">
        <v>45589</v>
      </c>
      <c r="W1306" s="2">
        <f>VLOOKUP(Table1[[#This Row],[Status]],Auxiliar!$B$16:$D$24,3,0)*Table1[[#This Row],[Estimação (horas)]]</f>
        <v>2</v>
      </c>
      <c r="X1306" s="166">
        <f>+VLOOKUP(CONCATENATE(Table1[[#This Row],[Tabela]],Table1[[#This Row],[Campo]]),'2. Status Detalhe Campos FY24'!A:J,9,FALSE)</f>
        <v>0</v>
      </c>
    </row>
    <row r="1307" spans="2:24" ht="17.850000000000001" hidden="1" customHeight="1">
      <c r="B1307" s="38" t="s">
        <v>26</v>
      </c>
      <c r="C1307" s="38" t="s">
        <v>26</v>
      </c>
      <c r="D1307" s="38" t="s">
        <v>1273</v>
      </c>
      <c r="E1307" s="38" t="s">
        <v>1255</v>
      </c>
      <c r="F1307" s="38" t="s">
        <v>379</v>
      </c>
      <c r="G1307" s="38" t="s">
        <v>384</v>
      </c>
      <c r="H1307" s="58" t="str">
        <f>Table1[[#This Row],[Tabela]]&amp;Table1[[#This Row],[Campo]]</f>
        <v>lt002_instrumentlns_clltrlzd_clssfctn</v>
      </c>
      <c r="I1307" s="2" t="s">
        <v>612</v>
      </c>
      <c r="J1307" s="44">
        <f>VLOOKUP(Table1[[#This Row],[Status]],Auxiliar!$B$16:$C$24,2,0)</f>
        <v>1</v>
      </c>
      <c r="K1307" s="44" t="s">
        <v>1174</v>
      </c>
      <c r="L1307" s="45" t="s">
        <v>1177</v>
      </c>
      <c r="M1307" s="20" t="s">
        <v>1178</v>
      </c>
      <c r="N1307" s="47">
        <v>45596</v>
      </c>
      <c r="O1307" s="20">
        <f>INDEX(Auxiliar!$D$5:$F$13,MATCH(Table1[[#This Row],[Tipologia_Testes]],Auxiliar!$B$5:$B$13,0),MATCH(Table1[[#This Row],[Complexidade]],Auxiliar!$D$4:$F$4,0))</f>
        <v>0.1</v>
      </c>
      <c r="P1307" s="42" t="s">
        <v>1280</v>
      </c>
      <c r="Q1307" s="151"/>
      <c r="R1307" s="151">
        <v>45583</v>
      </c>
      <c r="S1307" s="151"/>
      <c r="T1307" s="151">
        <v>45583</v>
      </c>
      <c r="U1307" s="151"/>
      <c r="V1307" s="151">
        <v>45589</v>
      </c>
      <c r="W1307" s="2">
        <f>VLOOKUP(Table1[[#This Row],[Status]],Auxiliar!$B$16:$D$24,3,0)*Table1[[#This Row],[Estimação (horas)]]</f>
        <v>0.1</v>
      </c>
      <c r="X1307" s="166">
        <f>+VLOOKUP(CONCATENATE(Table1[[#This Row],[Tabela]],Table1[[#This Row],[Campo]]),'2. Status Detalhe Campos FY24'!A:J,9,FALSE)</f>
        <v>0</v>
      </c>
    </row>
    <row r="1308" spans="2:24" ht="17.850000000000001" hidden="1" customHeight="1">
      <c r="B1308" s="38" t="s">
        <v>26</v>
      </c>
      <c r="C1308" s="38" t="s">
        <v>26</v>
      </c>
      <c r="D1308" s="38" t="s">
        <v>1273</v>
      </c>
      <c r="E1308" s="38" t="s">
        <v>1255</v>
      </c>
      <c r="F1308" s="38" t="s">
        <v>379</v>
      </c>
      <c r="G1308" s="38" t="s">
        <v>2169</v>
      </c>
      <c r="H1308" s="58" t="str">
        <f>Table1[[#This Row],[Tabela]]&amp;Table1[[#This Row],[Campo]]</f>
        <v>lt002_instrumentFRBRNC_STTS_INSTRMNT</v>
      </c>
      <c r="I1308" s="2" t="s">
        <v>2325</v>
      </c>
      <c r="J1308" s="44">
        <f>VLOOKUP(Table1[[#This Row],[Status]],Auxiliar!$B$16:$C$24,2,0)</f>
        <v>7</v>
      </c>
      <c r="K1308" s="44" t="s">
        <v>1172</v>
      </c>
      <c r="L1308" s="45" t="s">
        <v>1177</v>
      </c>
      <c r="M1308" s="20" t="s">
        <v>1178</v>
      </c>
      <c r="N1308" s="47">
        <v>45695</v>
      </c>
      <c r="O1308" s="20">
        <f>INDEX(Auxiliar!$D$5:$F$11,MATCH(Table1[[#This Row],[Tipologia_Testes]],Auxiliar!$B$5:$B$11,0),MATCH(Table1[[#This Row],[Complexidade]],Auxiliar!$D$4:$F$4,0))</f>
        <v>2</v>
      </c>
      <c r="P1308" s="42"/>
      <c r="Q1308" s="151"/>
      <c r="R1308" s="151"/>
      <c r="S1308" s="151"/>
      <c r="T1308" s="151"/>
      <c r="U1308" s="151"/>
      <c r="V1308" s="151"/>
      <c r="W1308" s="2">
        <f>VLOOKUP(Table1[[#This Row],[Status]],Auxiliar!$B$16:$D$24,3,0)*Table1[[#This Row],[Estimação (horas)]]</f>
        <v>0.5</v>
      </c>
      <c r="X1308" s="166">
        <f>+VLOOKUP(CONCATENATE(Table1[[#This Row],[Tabela]],Table1[[#This Row],[Campo]]),'2. Status Detalhe Campos FY24'!A:J,9,FALSE)</f>
        <v>0</v>
      </c>
    </row>
    <row r="1309" spans="2:24" ht="17.850000000000001" hidden="1" customHeight="1">
      <c r="B1309" s="38" t="s">
        <v>26</v>
      </c>
      <c r="C1309" s="38" t="s">
        <v>26</v>
      </c>
      <c r="D1309" s="38" t="s">
        <v>1273</v>
      </c>
      <c r="E1309" s="38" t="s">
        <v>1255</v>
      </c>
      <c r="F1309" s="38" t="s">
        <v>379</v>
      </c>
      <c r="G1309" s="38" t="s">
        <v>2170</v>
      </c>
      <c r="H1309" s="58" t="str">
        <f>Table1[[#This Row],[Tabela]]&amp;Table1[[#This Row],[Campo]]</f>
        <v>lt002_instrumentINTRNL_SGMNT</v>
      </c>
      <c r="I1309" s="2" t="s">
        <v>2325</v>
      </c>
      <c r="J1309" s="44">
        <f>VLOOKUP(Table1[[#This Row],[Status]],Auxiliar!$B$16:$C$24,2,0)</f>
        <v>7</v>
      </c>
      <c r="K1309" s="44" t="s">
        <v>1172</v>
      </c>
      <c r="L1309" s="45" t="s">
        <v>1177</v>
      </c>
      <c r="M1309" s="20" t="s">
        <v>1178</v>
      </c>
      <c r="N1309" s="47">
        <v>45695</v>
      </c>
      <c r="O1309" s="20">
        <f>INDEX(Auxiliar!$D$5:$F$11,MATCH(Table1[[#This Row],[Tipologia_Testes]],Auxiliar!$B$5:$B$11,0),MATCH(Table1[[#This Row],[Complexidade]],Auxiliar!$D$4:$F$4,0))</f>
        <v>2</v>
      </c>
      <c r="P1309" s="42"/>
      <c r="Q1309" s="151"/>
      <c r="R1309" s="151"/>
      <c r="S1309" s="151"/>
      <c r="T1309" s="151"/>
      <c r="U1309" s="151"/>
      <c r="V1309" s="151"/>
      <c r="W1309" s="2">
        <f>VLOOKUP(Table1[[#This Row],[Status]],Auxiliar!$B$16:$D$24,3,0)*Table1[[#This Row],[Estimação (horas)]]</f>
        <v>0.5</v>
      </c>
      <c r="X1309" s="166">
        <f>+VLOOKUP(CONCATENATE(Table1[[#This Row],[Tabela]],Table1[[#This Row],[Campo]]),'2. Status Detalhe Campos FY24'!A:J,9,FALSE)</f>
        <v>0</v>
      </c>
    </row>
    <row r="1310" spans="2:24" ht="17.850000000000001" hidden="1" customHeight="1">
      <c r="B1310" s="38" t="s">
        <v>26</v>
      </c>
      <c r="C1310" s="38" t="s">
        <v>26</v>
      </c>
      <c r="D1310" s="38" t="s">
        <v>1273</v>
      </c>
      <c r="E1310" s="38" t="s">
        <v>1255</v>
      </c>
      <c r="F1310" s="38" t="s">
        <v>379</v>
      </c>
      <c r="G1310" s="38" t="s">
        <v>2171</v>
      </c>
      <c r="H1310" s="58" t="str">
        <f>Table1[[#This Row],[Tabela]]&amp;Table1[[#This Row],[Campo]]</f>
        <v>lt002_instrumentDT_ORGNL_MTRTY</v>
      </c>
      <c r="I1310" s="2" t="s">
        <v>2325</v>
      </c>
      <c r="J1310" s="44">
        <f>VLOOKUP(Table1[[#This Row],[Status]],Auxiliar!$B$16:$C$24,2,0)</f>
        <v>7</v>
      </c>
      <c r="K1310" s="44" t="s">
        <v>1172</v>
      </c>
      <c r="L1310" s="45" t="s">
        <v>1177</v>
      </c>
      <c r="M1310" s="20" t="s">
        <v>1178</v>
      </c>
      <c r="N1310" s="47">
        <v>45695</v>
      </c>
      <c r="O1310" s="20">
        <f>INDEX(Auxiliar!$D$5:$F$11,MATCH(Table1[[#This Row],[Tipologia_Testes]],Auxiliar!$B$5:$B$11,0),MATCH(Table1[[#This Row],[Complexidade]],Auxiliar!$D$4:$F$4,0))</f>
        <v>2</v>
      </c>
      <c r="P1310" s="42"/>
      <c r="Q1310" s="151"/>
      <c r="R1310" s="151"/>
      <c r="S1310" s="151"/>
      <c r="T1310" s="151"/>
      <c r="U1310" s="151"/>
      <c r="V1310" s="151"/>
      <c r="W1310" s="2">
        <f>VLOOKUP(Table1[[#This Row],[Status]],Auxiliar!$B$16:$D$24,3,0)*Table1[[#This Row],[Estimação (horas)]]</f>
        <v>0.5</v>
      </c>
      <c r="X1310" s="166">
        <f>+VLOOKUP(CONCATENATE(Table1[[#This Row],[Tabela]],Table1[[#This Row],[Campo]]),'2. Status Detalhe Campos FY24'!A:J,9,FALSE)</f>
        <v>0</v>
      </c>
    </row>
    <row r="1311" spans="2:24" ht="17.850000000000001" hidden="1" customHeight="1">
      <c r="B1311" s="38" t="s">
        <v>26</v>
      </c>
      <c r="C1311" s="38" t="s">
        <v>26</v>
      </c>
      <c r="D1311" s="38" t="s">
        <v>1273</v>
      </c>
      <c r="E1311" s="38" t="s">
        <v>1255</v>
      </c>
      <c r="F1311" s="38" t="s">
        <v>379</v>
      </c>
      <c r="G1311" s="38" t="s">
        <v>2172</v>
      </c>
      <c r="H1311" s="58" t="str">
        <f>Table1[[#This Row],[Tabela]]&amp;Table1[[#This Row],[Campo]]</f>
        <v>lt002_instrumentEAD</v>
      </c>
      <c r="I1311" s="2" t="s">
        <v>2325</v>
      </c>
      <c r="J1311" s="44">
        <f>VLOOKUP(Table1[[#This Row],[Status]],Auxiliar!$B$16:$C$24,2,0)</f>
        <v>7</v>
      </c>
      <c r="K1311" s="44" t="s">
        <v>1172</v>
      </c>
      <c r="L1311" s="45" t="s">
        <v>1177</v>
      </c>
      <c r="M1311" s="20" t="s">
        <v>1178</v>
      </c>
      <c r="N1311" s="47">
        <v>45695</v>
      </c>
      <c r="O1311" s="20">
        <f>INDEX(Auxiliar!$D$5:$F$11,MATCH(Table1[[#This Row],[Tipologia_Testes]],Auxiliar!$B$5:$B$11,0),MATCH(Table1[[#This Row],[Complexidade]],Auxiliar!$D$4:$F$4,0))</f>
        <v>2</v>
      </c>
      <c r="P1311" s="42"/>
      <c r="Q1311" s="151"/>
      <c r="R1311" s="151"/>
      <c r="S1311" s="151"/>
      <c r="T1311" s="151"/>
      <c r="U1311" s="151"/>
      <c r="V1311" s="151"/>
      <c r="W1311" s="2">
        <f>VLOOKUP(Table1[[#This Row],[Status]],Auxiliar!$B$16:$D$24,3,0)*Table1[[#This Row],[Estimação (horas)]]</f>
        <v>0.5</v>
      </c>
      <c r="X1311" s="166">
        <f>+VLOOKUP(CONCATENATE(Table1[[#This Row],[Tabela]],Table1[[#This Row],[Campo]]),'2. Status Detalhe Campos FY24'!A:J,9,FALSE)</f>
        <v>0</v>
      </c>
    </row>
    <row r="1312" spans="2:24" ht="17.850000000000001" hidden="1" customHeight="1">
      <c r="B1312" s="38" t="s">
        <v>26</v>
      </c>
      <c r="C1312" s="38" t="s">
        <v>26</v>
      </c>
      <c r="D1312" s="38" t="s">
        <v>1273</v>
      </c>
      <c r="E1312" s="38" t="s">
        <v>1255</v>
      </c>
      <c r="F1312" s="38" t="s">
        <v>379</v>
      </c>
      <c r="G1312" s="38" t="s">
        <v>1417</v>
      </c>
      <c r="H1312" s="58" t="str">
        <f>Table1[[#This Row],[Tabela]]&amp;Table1[[#This Row],[Campo]]</f>
        <v>lt002_instrumentOFF_BLNC_SHT_AMNT_INSTRMNT</v>
      </c>
      <c r="I1312" s="2" t="s">
        <v>2325</v>
      </c>
      <c r="J1312" s="44">
        <f>VLOOKUP(Table1[[#This Row],[Status]],Auxiliar!$B$16:$C$24,2,0)</f>
        <v>7</v>
      </c>
      <c r="K1312" s="44" t="s">
        <v>1172</v>
      </c>
      <c r="L1312" s="45" t="s">
        <v>1177</v>
      </c>
      <c r="M1312" s="20" t="s">
        <v>1178</v>
      </c>
      <c r="N1312" s="47"/>
      <c r="O1312" s="20">
        <f>INDEX(Auxiliar!$D$5:$F$11,MATCH(Table1[[#This Row],[Tipologia_Testes]],Auxiliar!$B$5:$B$11,0),MATCH(Table1[[#This Row],[Complexidade]],Auxiliar!$D$4:$F$4,0))</f>
        <v>2</v>
      </c>
      <c r="P1312" s="42"/>
      <c r="Q1312" s="151"/>
      <c r="R1312" s="151"/>
      <c r="S1312" s="151"/>
      <c r="T1312" s="151"/>
      <c r="U1312" s="151"/>
      <c r="V1312" s="151"/>
      <c r="W1312" s="2">
        <f>VLOOKUP(Table1[[#This Row],[Status]],Auxiliar!$B$16:$D$24,3,0)*Table1[[#This Row],[Estimação (horas)]]</f>
        <v>0.5</v>
      </c>
      <c r="X1312" s="166">
        <f>+VLOOKUP(CONCATENATE(Table1[[#This Row],[Tabela]],Table1[[#This Row],[Campo]]),'2. Status Detalhe Campos FY24'!A:J,9,FALSE)</f>
        <v>0</v>
      </c>
    </row>
    <row r="1313" spans="2:24" ht="17.850000000000001" hidden="1" customHeight="1">
      <c r="B1313" s="38" t="s">
        <v>26</v>
      </c>
      <c r="C1313" s="38" t="s">
        <v>26</v>
      </c>
      <c r="D1313" s="38" t="s">
        <v>1273</v>
      </c>
      <c r="E1313" s="38" t="s">
        <v>1255</v>
      </c>
      <c r="F1313" s="38" t="s">
        <v>379</v>
      </c>
      <c r="G1313" s="38" t="s">
        <v>1423</v>
      </c>
      <c r="H1313" s="58" t="str">
        <f>Table1[[#This Row],[Tabela]]&amp;Table1[[#This Row],[Campo]]</f>
        <v>lt002_instrumentRWA</v>
      </c>
      <c r="I1313" s="2" t="s">
        <v>2325</v>
      </c>
      <c r="J1313" s="44">
        <f>VLOOKUP(Table1[[#This Row],[Status]],Auxiliar!$B$16:$C$24,2,0)</f>
        <v>7</v>
      </c>
      <c r="K1313" s="44" t="s">
        <v>1172</v>
      </c>
      <c r="L1313" s="45" t="s">
        <v>1177</v>
      </c>
      <c r="M1313" s="20" t="s">
        <v>1178</v>
      </c>
      <c r="N1313" s="47">
        <v>45695</v>
      </c>
      <c r="O1313" s="20">
        <f>INDEX(Auxiliar!$D$5:$F$11,MATCH(Table1[[#This Row],[Tipologia_Testes]],Auxiliar!$B$5:$B$11,0),MATCH(Table1[[#This Row],[Complexidade]],Auxiliar!$D$4:$F$4,0))</f>
        <v>2</v>
      </c>
      <c r="P1313" s="42"/>
      <c r="Q1313" s="151"/>
      <c r="R1313" s="151"/>
      <c r="S1313" s="151"/>
      <c r="T1313" s="151"/>
      <c r="U1313" s="151"/>
      <c r="V1313" s="151"/>
      <c r="W1313" s="2">
        <f>VLOOKUP(Table1[[#This Row],[Status]],Auxiliar!$B$16:$D$24,3,0)*Table1[[#This Row],[Estimação (horas)]]</f>
        <v>0.5</v>
      </c>
      <c r="X1313" s="166">
        <f>+VLOOKUP(CONCATENATE(Table1[[#This Row],[Tabela]],Table1[[#This Row],[Campo]]),'2. Status Detalhe Campos FY24'!A:J,9,FALSE)</f>
        <v>0</v>
      </c>
    </row>
    <row r="1314" spans="2:24" ht="17.850000000000001" hidden="1" customHeight="1">
      <c r="B1314" s="38" t="s">
        <v>26</v>
      </c>
      <c r="C1314" s="38" t="s">
        <v>26</v>
      </c>
      <c r="D1314" s="38" t="s">
        <v>1273</v>
      </c>
      <c r="E1314" s="38" t="s">
        <v>1255</v>
      </c>
      <c r="F1314" s="38" t="s">
        <v>379</v>
      </c>
      <c r="G1314" s="38" t="s">
        <v>2173</v>
      </c>
      <c r="H1314" s="58" t="str">
        <f>Table1[[#This Row],[Tabela]]&amp;Table1[[#This Row],[Campo]]</f>
        <v>lt002_instrumentLTV</v>
      </c>
      <c r="I1314" s="2" t="s">
        <v>2325</v>
      </c>
      <c r="J1314" s="44">
        <f>VLOOKUP(Table1[[#This Row],[Status]],Auxiliar!$B$16:$C$24,2,0)</f>
        <v>7</v>
      </c>
      <c r="K1314" s="44" t="s">
        <v>1172</v>
      </c>
      <c r="L1314" s="45" t="s">
        <v>1177</v>
      </c>
      <c r="M1314" s="20" t="s">
        <v>1178</v>
      </c>
      <c r="N1314" s="47">
        <v>45695</v>
      </c>
      <c r="O1314" s="20">
        <f>INDEX(Auxiliar!$D$5:$F$11,MATCH(Table1[[#This Row],[Tipologia_Testes]],Auxiliar!$B$5:$B$11,0),MATCH(Table1[[#This Row],[Complexidade]],Auxiliar!$D$4:$F$4,0))</f>
        <v>2</v>
      </c>
      <c r="P1314" s="42"/>
      <c r="Q1314" s="151"/>
      <c r="R1314" s="151"/>
      <c r="S1314" s="151"/>
      <c r="T1314" s="151"/>
      <c r="U1314" s="151"/>
      <c r="V1314" s="151"/>
      <c r="W1314" s="2">
        <f>VLOOKUP(Table1[[#This Row],[Status]],Auxiliar!$B$16:$D$24,3,0)*Table1[[#This Row],[Estimação (horas)]]</f>
        <v>0.5</v>
      </c>
      <c r="X1314" s="166">
        <f>+VLOOKUP(CONCATENATE(Table1[[#This Row],[Tabela]],Table1[[#This Row],[Campo]]),'2. Status Detalhe Campos FY24'!A:J,9,FALSE)</f>
        <v>0</v>
      </c>
    </row>
    <row r="1315" spans="2:24" ht="17.850000000000001" hidden="1" customHeight="1">
      <c r="B1315" s="38" t="s">
        <v>26</v>
      </c>
      <c r="C1315" s="38" t="s">
        <v>26</v>
      </c>
      <c r="D1315" s="38" t="s">
        <v>1273</v>
      </c>
      <c r="E1315" s="38" t="s">
        <v>1255</v>
      </c>
      <c r="F1315" s="38" t="s">
        <v>379</v>
      </c>
      <c r="G1315" s="38" t="s">
        <v>2174</v>
      </c>
      <c r="H1315" s="58" t="str">
        <f>Table1[[#This Row],[Tabela]]&amp;Table1[[#This Row],[Campo]]</f>
        <v>lt002_instrumentLTV_INCPTN</v>
      </c>
      <c r="I1315" s="2" t="s">
        <v>2325</v>
      </c>
      <c r="J1315" s="44">
        <f>VLOOKUP(Table1[[#This Row],[Status]],Auxiliar!$B$16:$C$24,2,0)</f>
        <v>7</v>
      </c>
      <c r="K1315" s="44" t="s">
        <v>1172</v>
      </c>
      <c r="L1315" s="45" t="s">
        <v>1177</v>
      </c>
      <c r="M1315" s="20" t="s">
        <v>1178</v>
      </c>
      <c r="N1315" s="47">
        <v>45695</v>
      </c>
      <c r="O1315" s="20">
        <f>INDEX(Auxiliar!$D$5:$F$11,MATCH(Table1[[#This Row],[Tipologia_Testes]],Auxiliar!$B$5:$B$11,0),MATCH(Table1[[#This Row],[Complexidade]],Auxiliar!$D$4:$F$4,0))</f>
        <v>2</v>
      </c>
      <c r="P1315" s="42"/>
      <c r="Q1315" s="151"/>
      <c r="R1315" s="151"/>
      <c r="S1315" s="151"/>
      <c r="T1315" s="151"/>
      <c r="U1315" s="151"/>
      <c r="V1315" s="151"/>
      <c r="W1315" s="2">
        <f>VLOOKUP(Table1[[#This Row],[Status]],Auxiliar!$B$16:$D$24,3,0)*Table1[[#This Row],[Estimação (horas)]]</f>
        <v>0.5</v>
      </c>
      <c r="X1315" s="166">
        <f>+VLOOKUP(CONCATENATE(Table1[[#This Row],[Tabela]],Table1[[#This Row],[Campo]]),'2. Status Detalhe Campos FY24'!A:J,9,FALSE)</f>
        <v>0</v>
      </c>
    </row>
    <row r="1316" spans="2:24" ht="17.850000000000001" hidden="1" customHeight="1">
      <c r="B1316" s="38" t="s">
        <v>26</v>
      </c>
      <c r="C1316" s="38" t="s">
        <v>26</v>
      </c>
      <c r="D1316" s="38" t="s">
        <v>1273</v>
      </c>
      <c r="E1316" s="38" t="s">
        <v>1255</v>
      </c>
      <c r="F1316" s="38" t="s">
        <v>379</v>
      </c>
      <c r="G1316" s="38" t="s">
        <v>2175</v>
      </c>
      <c r="H1316" s="58" t="str">
        <f>Table1[[#This Row],[Tabela]]&amp;Table1[[#This Row],[Campo]]</f>
        <v>lt002_instrumentEIR</v>
      </c>
      <c r="I1316" s="2" t="s">
        <v>2325</v>
      </c>
      <c r="J1316" s="44">
        <f>VLOOKUP(Table1[[#This Row],[Status]],Auxiliar!$B$16:$C$24,2,0)</f>
        <v>7</v>
      </c>
      <c r="K1316" s="44" t="s">
        <v>1172</v>
      </c>
      <c r="L1316" s="45" t="s">
        <v>1177</v>
      </c>
      <c r="M1316" s="20" t="s">
        <v>1178</v>
      </c>
      <c r="N1316" s="47">
        <v>45695</v>
      </c>
      <c r="O1316" s="20">
        <f>INDEX(Auxiliar!$D$5:$F$11,MATCH(Table1[[#This Row],[Tipologia_Testes]],Auxiliar!$B$5:$B$11,0),MATCH(Table1[[#This Row],[Complexidade]],Auxiliar!$D$4:$F$4,0))</f>
        <v>2</v>
      </c>
      <c r="P1316" s="42"/>
      <c r="Q1316" s="151"/>
      <c r="R1316" s="151"/>
      <c r="S1316" s="151"/>
      <c r="T1316" s="151"/>
      <c r="U1316" s="151"/>
      <c r="V1316" s="151"/>
      <c r="W1316" s="2">
        <f>VLOOKUP(Table1[[#This Row],[Status]],Auxiliar!$B$16:$D$24,3,0)*Table1[[#This Row],[Estimação (horas)]]</f>
        <v>0.5</v>
      </c>
      <c r="X1316" s="166">
        <f>+VLOOKUP(CONCATENATE(Table1[[#This Row],[Tabela]],Table1[[#This Row],[Campo]]),'2. Status Detalhe Campos FY24'!A:J,9,FALSE)</f>
        <v>0</v>
      </c>
    </row>
    <row r="1317" spans="2:24" ht="17.850000000000001" hidden="1" customHeight="1">
      <c r="B1317" s="38" t="s">
        <v>26</v>
      </c>
      <c r="C1317" s="38" t="s">
        <v>26</v>
      </c>
      <c r="D1317" s="38" t="s">
        <v>1273</v>
      </c>
      <c r="E1317" s="38" t="s">
        <v>1255</v>
      </c>
      <c r="F1317" s="38" t="s">
        <v>379</v>
      </c>
      <c r="G1317" s="38" t="s">
        <v>2176</v>
      </c>
      <c r="H1317" s="58" t="str">
        <f>Table1[[#This Row],[Tabela]]&amp;Table1[[#This Row],[Campo]]</f>
        <v>lt002_instrumentEIR_INCPTN</v>
      </c>
      <c r="I1317" s="2" t="s">
        <v>2325</v>
      </c>
      <c r="J1317" s="44">
        <f>VLOOKUP(Table1[[#This Row],[Status]],Auxiliar!$B$16:$C$24,2,0)</f>
        <v>7</v>
      </c>
      <c r="K1317" s="44" t="s">
        <v>1172</v>
      </c>
      <c r="L1317" s="45" t="s">
        <v>1177</v>
      </c>
      <c r="M1317" s="20" t="s">
        <v>1178</v>
      </c>
      <c r="N1317" s="47">
        <v>45695</v>
      </c>
      <c r="O1317" s="20">
        <f>INDEX(Auxiliar!$D$5:$F$11,MATCH(Table1[[#This Row],[Tipologia_Testes]],Auxiliar!$B$5:$B$11,0),MATCH(Table1[[#This Row],[Complexidade]],Auxiliar!$D$4:$F$4,0))</f>
        <v>2</v>
      </c>
      <c r="P1317" s="42"/>
      <c r="Q1317" s="151"/>
      <c r="R1317" s="151"/>
      <c r="S1317" s="151"/>
      <c r="T1317" s="151"/>
      <c r="U1317" s="151"/>
      <c r="V1317" s="151"/>
      <c r="W1317" s="2">
        <f>VLOOKUP(Table1[[#This Row],[Status]],Auxiliar!$B$16:$D$24,3,0)*Table1[[#This Row],[Estimação (horas)]]</f>
        <v>0.5</v>
      </c>
      <c r="X1317" s="166">
        <f>+VLOOKUP(CONCATENATE(Table1[[#This Row],[Tabela]],Table1[[#This Row],[Campo]]),'2. Status Detalhe Campos FY24'!A:J,9,FALSE)</f>
        <v>0</v>
      </c>
    </row>
    <row r="1318" spans="2:24" ht="17.850000000000001" hidden="1" customHeight="1">
      <c r="B1318" s="38" t="s">
        <v>26</v>
      </c>
      <c r="C1318" s="38" t="s">
        <v>26</v>
      </c>
      <c r="D1318" s="38" t="s">
        <v>1273</v>
      </c>
      <c r="E1318" s="38" t="s">
        <v>1255</v>
      </c>
      <c r="F1318" s="38" t="s">
        <v>379</v>
      </c>
      <c r="G1318" s="38" t="s">
        <v>2177</v>
      </c>
      <c r="H1318" s="58" t="str">
        <f>Table1[[#This Row],[Tabela]]&amp;Table1[[#This Row],[Campo]]</f>
        <v>lt002_instrumentINTRNL_SGMNT_CAT_MSTA</v>
      </c>
      <c r="I1318" s="2" t="s">
        <v>2325</v>
      </c>
      <c r="J1318" s="44">
        <f>VLOOKUP(Table1[[#This Row],[Status]],Auxiliar!$B$16:$C$24,2,0)</f>
        <v>7</v>
      </c>
      <c r="K1318" s="44" t="s">
        <v>1172</v>
      </c>
      <c r="L1318" s="45" t="s">
        <v>1177</v>
      </c>
      <c r="M1318" s="20" t="s">
        <v>1178</v>
      </c>
      <c r="N1318" s="47">
        <v>45695</v>
      </c>
      <c r="O1318" s="20">
        <f>INDEX(Auxiliar!$D$5:$F$11,MATCH(Table1[[#This Row],[Tipologia_Testes]],Auxiliar!$B$5:$B$11,0),MATCH(Table1[[#This Row],[Complexidade]],Auxiliar!$D$4:$F$4,0))</f>
        <v>2</v>
      </c>
      <c r="P1318" s="42"/>
      <c r="Q1318" s="151"/>
      <c r="R1318" s="151"/>
      <c r="S1318" s="151"/>
      <c r="T1318" s="151"/>
      <c r="U1318" s="151"/>
      <c r="V1318" s="151"/>
      <c r="W1318" s="2">
        <f>VLOOKUP(Table1[[#This Row],[Status]],Auxiliar!$B$16:$D$24,3,0)*Table1[[#This Row],[Estimação (horas)]]</f>
        <v>0.5</v>
      </c>
      <c r="X1318" s="166">
        <f>+VLOOKUP(CONCATENATE(Table1[[#This Row],[Tabela]],Table1[[#This Row],[Campo]]),'2. Status Detalhe Campos FY24'!A:J,9,FALSE)</f>
        <v>0</v>
      </c>
    </row>
    <row r="1319" spans="2:24" ht="17.850000000000001" hidden="1" customHeight="1">
      <c r="B1319" s="38" t="s">
        <v>26</v>
      </c>
      <c r="C1319" s="38" t="s">
        <v>26</v>
      </c>
      <c r="D1319" s="38" t="s">
        <v>1273</v>
      </c>
      <c r="E1319" s="38" t="s">
        <v>1255</v>
      </c>
      <c r="F1319" s="38" t="s">
        <v>379</v>
      </c>
      <c r="G1319" s="38" t="s">
        <v>2178</v>
      </c>
      <c r="H1319" s="58" t="str">
        <f>Table1[[#This Row],[Tabela]]&amp;Table1[[#This Row],[Campo]]</f>
        <v>lt002_instrumentINTRNL_SGMNT_CATGSUB</v>
      </c>
      <c r="I1319" s="2" t="s">
        <v>2325</v>
      </c>
      <c r="J1319" s="44">
        <f>VLOOKUP(Table1[[#This Row],[Status]],Auxiliar!$B$16:$C$24,2,0)</f>
        <v>7</v>
      </c>
      <c r="K1319" s="44" t="s">
        <v>1172</v>
      </c>
      <c r="L1319" s="45" t="s">
        <v>1177</v>
      </c>
      <c r="M1319" s="20" t="s">
        <v>1178</v>
      </c>
      <c r="N1319" s="47">
        <v>45695</v>
      </c>
      <c r="O1319" s="20">
        <f>INDEX(Auxiliar!$D$5:$F$11,MATCH(Table1[[#This Row],[Tipologia_Testes]],Auxiliar!$B$5:$B$11,0),MATCH(Table1[[#This Row],[Complexidade]],Auxiliar!$D$4:$F$4,0))</f>
        <v>2</v>
      </c>
      <c r="P1319" s="42"/>
      <c r="Q1319" s="151"/>
      <c r="R1319" s="151"/>
      <c r="S1319" s="151"/>
      <c r="T1319" s="151"/>
      <c r="U1319" s="151"/>
      <c r="V1319" s="151"/>
      <c r="W1319" s="2">
        <f>VLOOKUP(Table1[[#This Row],[Status]],Auxiliar!$B$16:$D$24,3,0)*Table1[[#This Row],[Estimação (horas)]]</f>
        <v>0.5</v>
      </c>
      <c r="X1319" s="166">
        <f>+VLOOKUP(CONCATENATE(Table1[[#This Row],[Tabela]],Table1[[#This Row],[Campo]]),'2. Status Detalhe Campos FY24'!A:J,9,FALSE)</f>
        <v>0</v>
      </c>
    </row>
    <row r="1320" spans="2:24" ht="17.850000000000001" hidden="1" customHeight="1">
      <c r="B1320" s="38" t="s">
        <v>26</v>
      </c>
      <c r="C1320" s="38" t="s">
        <v>26</v>
      </c>
      <c r="D1320" s="38" t="s">
        <v>1273</v>
      </c>
      <c r="E1320" s="38" t="s">
        <v>1255</v>
      </c>
      <c r="F1320" s="38" t="s">
        <v>379</v>
      </c>
      <c r="G1320" s="38" t="s">
        <v>1339</v>
      </c>
      <c r="H1320" s="58" t="str">
        <f>Table1[[#This Row],[Tabela]]&amp;Table1[[#This Row],[Campo]]</f>
        <v>lt002_instrumentNW_BSNSS</v>
      </c>
      <c r="I1320" s="2" t="s">
        <v>2325</v>
      </c>
      <c r="J1320" s="44">
        <f>VLOOKUP(Table1[[#This Row],[Status]],Auxiliar!$B$16:$C$24,2,0)</f>
        <v>7</v>
      </c>
      <c r="K1320" s="44" t="s">
        <v>1172</v>
      </c>
      <c r="L1320" s="45" t="s">
        <v>1177</v>
      </c>
      <c r="M1320" s="20" t="s">
        <v>1178</v>
      </c>
      <c r="N1320" s="47"/>
      <c r="O1320" s="20">
        <f>INDEX(Auxiliar!$D$5:$F$11,MATCH(Table1[[#This Row],[Tipologia_Testes]],Auxiliar!$B$5:$B$11,0),MATCH(Table1[[#This Row],[Complexidade]],Auxiliar!$D$4:$F$4,0))</f>
        <v>2</v>
      </c>
      <c r="P1320" s="42"/>
      <c r="Q1320" s="151"/>
      <c r="R1320" s="151"/>
      <c r="S1320" s="151"/>
      <c r="T1320" s="151"/>
      <c r="U1320" s="151"/>
      <c r="V1320" s="151"/>
      <c r="W1320" s="2">
        <f>VLOOKUP(Table1[[#This Row],[Status]],Auxiliar!$B$16:$D$24,3,0)*Table1[[#This Row],[Estimação (horas)]]</f>
        <v>0.5</v>
      </c>
      <c r="X1320" s="166">
        <f>+VLOOKUP(CONCATENATE(Table1[[#This Row],[Tabela]],Table1[[#This Row],[Campo]]),'2. Status Detalhe Campos FY24'!A:J,9,FALSE)</f>
        <v>0</v>
      </c>
    </row>
    <row r="1321" spans="2:24" ht="17.850000000000001" hidden="1" customHeight="1">
      <c r="B1321" s="38" t="s">
        <v>26</v>
      </c>
      <c r="C1321" s="38" t="s">
        <v>26</v>
      </c>
      <c r="D1321" s="38" t="s">
        <v>1273</v>
      </c>
      <c r="E1321" s="38" t="s">
        <v>1255</v>
      </c>
      <c r="F1321" s="38" t="s">
        <v>379</v>
      </c>
      <c r="G1321" s="38" t="s">
        <v>1349</v>
      </c>
      <c r="H1321" s="58" t="str">
        <f>Table1[[#This Row],[Tabela]]&amp;Table1[[#This Row],[Campo]]</f>
        <v>lt002_instrumentCNCLLD_INSTRMNT_STTS</v>
      </c>
      <c r="I1321" s="2" t="s">
        <v>614</v>
      </c>
      <c r="J1321" s="44">
        <f>VLOOKUP(Table1[[#This Row],[Status]],Auxiliar!$B$16:$C$24,2,0)</f>
        <v>5</v>
      </c>
      <c r="K1321" s="44" t="s">
        <v>1172</v>
      </c>
      <c r="L1321" s="45" t="s">
        <v>1177</v>
      </c>
      <c r="M1321" s="20" t="s">
        <v>1178</v>
      </c>
      <c r="N1321" s="47"/>
      <c r="O1321" s="20">
        <f>INDEX(Auxiliar!$D$5:$F$11,MATCH(Table1[[#This Row],[Tipologia_Testes]],Auxiliar!$B$5:$B$11,0),MATCH(Table1[[#This Row],[Complexidade]],Auxiliar!$D$4:$F$4,0))</f>
        <v>2</v>
      </c>
      <c r="P1321" s="42"/>
      <c r="Q1321" s="151"/>
      <c r="R1321" s="151"/>
      <c r="S1321" s="151"/>
      <c r="T1321" s="151"/>
      <c r="U1321" s="151"/>
      <c r="V1321" s="151"/>
      <c r="W1321" s="2">
        <f>VLOOKUP(Table1[[#This Row],[Status]],Auxiliar!$B$16:$D$24,3,0)*Table1[[#This Row],[Estimação (horas)]]</f>
        <v>0.5</v>
      </c>
      <c r="X1321" s="166">
        <f>+VLOOKUP(CONCATENATE(Table1[[#This Row],[Tabela]],Table1[[#This Row],[Campo]]),'2. Status Detalhe Campos FY24'!A:J,9,FALSE)</f>
        <v>0</v>
      </c>
    </row>
    <row r="1322" spans="2:24" ht="17.850000000000001" hidden="1" customHeight="1">
      <c r="B1322" s="38" t="s">
        <v>26</v>
      </c>
      <c r="C1322" s="38" t="s">
        <v>26</v>
      </c>
      <c r="D1322" s="38" t="s">
        <v>1273</v>
      </c>
      <c r="E1322" s="38" t="s">
        <v>1255</v>
      </c>
      <c r="F1322" s="38" t="s">
        <v>379</v>
      </c>
      <c r="G1322" s="38" t="s">
        <v>2179</v>
      </c>
      <c r="H1322" s="58" t="str">
        <f>Table1[[#This Row],[Tabela]]&amp;Table1[[#This Row],[Campo]]</f>
        <v>lt002_instrumentTYP_OFF_BLNC_PRDCT</v>
      </c>
      <c r="I1322" s="2" t="s">
        <v>2325</v>
      </c>
      <c r="J1322" s="44">
        <f>VLOOKUP(Table1[[#This Row],[Status]],Auxiliar!$B$16:$C$24,2,0)</f>
        <v>7</v>
      </c>
      <c r="K1322" s="44" t="s">
        <v>1172</v>
      </c>
      <c r="L1322" s="45" t="s">
        <v>1177</v>
      </c>
      <c r="M1322" s="20" t="s">
        <v>1178</v>
      </c>
      <c r="N1322" s="47"/>
      <c r="O1322" s="20">
        <f>INDEX(Auxiliar!$D$5:$F$11,MATCH(Table1[[#This Row],[Tipologia_Testes]],Auxiliar!$B$5:$B$11,0),MATCH(Table1[[#This Row],[Complexidade]],Auxiliar!$D$4:$F$4,0))</f>
        <v>2</v>
      </c>
      <c r="P1322" s="42"/>
      <c r="Q1322" s="151"/>
      <c r="R1322" s="151"/>
      <c r="S1322" s="151"/>
      <c r="T1322" s="151"/>
      <c r="U1322" s="151"/>
      <c r="V1322" s="151"/>
      <c r="W1322" s="2">
        <f>VLOOKUP(Table1[[#This Row],[Status]],Auxiliar!$B$16:$D$24,3,0)*Table1[[#This Row],[Estimação (horas)]]</f>
        <v>0.5</v>
      </c>
      <c r="X1322" s="166">
        <f>+VLOOKUP(CONCATENATE(Table1[[#This Row],[Tabela]],Table1[[#This Row],[Campo]]),'2. Status Detalhe Campos FY24'!A:J,9,FALSE)</f>
        <v>0</v>
      </c>
    </row>
    <row r="1323" spans="2:24" ht="35.1" hidden="1" customHeight="1">
      <c r="B1323" s="38" t="s">
        <v>26</v>
      </c>
      <c r="C1323" s="38" t="s">
        <v>26</v>
      </c>
      <c r="D1323" s="38" t="s">
        <v>1273</v>
      </c>
      <c r="E1323" s="38" t="s">
        <v>1255</v>
      </c>
      <c r="F1323" s="38" t="s">
        <v>379</v>
      </c>
      <c r="G1323" s="38" t="s">
        <v>2180</v>
      </c>
      <c r="H1323" s="58" t="str">
        <f>Table1[[#This Row],[Tabela]]&amp;Table1[[#This Row],[Campo]]</f>
        <v>lt002_instrumentFLG_MNMM_SFGRDS</v>
      </c>
      <c r="I1323" s="2" t="s">
        <v>2325</v>
      </c>
      <c r="J1323" s="44">
        <f>VLOOKUP(Table1[[#This Row],[Status]],Auxiliar!$B$16:$C$24,2,0)</f>
        <v>7</v>
      </c>
      <c r="K1323" s="44" t="s">
        <v>1172</v>
      </c>
      <c r="L1323" s="45" t="s">
        <v>1177</v>
      </c>
      <c r="M1323" s="20" t="s">
        <v>1178</v>
      </c>
      <c r="N1323" s="47">
        <v>45695</v>
      </c>
      <c r="O1323" s="20">
        <f>INDEX(Auxiliar!$D$5:$F$11,MATCH(Table1[[#This Row],[Tipologia_Testes]],Auxiliar!$B$5:$B$11,0),MATCH(Table1[[#This Row],[Complexidade]],Auxiliar!$D$4:$F$4,0))</f>
        <v>2</v>
      </c>
      <c r="P1323" s="42"/>
      <c r="Q1323" s="151"/>
      <c r="R1323" s="151"/>
      <c r="S1323" s="151"/>
      <c r="T1323" s="151"/>
      <c r="U1323" s="151"/>
      <c r="V1323" s="151"/>
      <c r="W1323" s="2">
        <f>VLOOKUP(Table1[[#This Row],[Status]],Auxiliar!$B$16:$D$24,3,0)*Table1[[#This Row],[Estimação (horas)]]</f>
        <v>0.5</v>
      </c>
      <c r="X1323" s="166">
        <f>+VLOOKUP(CONCATENATE(Table1[[#This Row],[Tabela]],Table1[[#This Row],[Campo]]),'2. Status Detalhe Campos FY24'!A:J,9,FALSE)</f>
        <v>0</v>
      </c>
    </row>
    <row r="1324" spans="2:24" ht="17.850000000000001" hidden="1" customHeight="1">
      <c r="B1324" s="38" t="s">
        <v>26</v>
      </c>
      <c r="C1324" s="38" t="s">
        <v>26</v>
      </c>
      <c r="D1324" s="36" t="s">
        <v>1866</v>
      </c>
      <c r="E1324" s="110" t="s">
        <v>38</v>
      </c>
      <c r="F1324" s="39" t="s">
        <v>379</v>
      </c>
      <c r="G1324" s="37" t="s">
        <v>385</v>
      </c>
      <c r="H1324" s="59" t="str">
        <f>Table1[[#This Row],[Tabela]]&amp;Table1[[#This Row],[Campo]]</f>
        <v>lt002_instrumentmthd_usd_instrmnt_scp_1</v>
      </c>
      <c r="I1324" s="2" t="s">
        <v>2324</v>
      </c>
      <c r="J1324" s="44">
        <f>VLOOKUP(Table1[[#This Row],[Status]],Auxiliar!$B$16:$C$24,2,0)</f>
        <v>3</v>
      </c>
      <c r="K1324" s="44" t="s">
        <v>1171</v>
      </c>
      <c r="L1324" s="45" t="s">
        <v>1177</v>
      </c>
      <c r="M1324" s="20" t="s">
        <v>1178</v>
      </c>
      <c r="N1324" s="47">
        <v>45667</v>
      </c>
      <c r="O1324" s="20">
        <f>INDEX(Auxiliar!$D$5:$F$13,MATCH(Table1[[#This Row],[Tipologia_Testes]],Auxiliar!$B$5:$B$13,0),MATCH(Table1[[#This Row],[Complexidade]],Auxiliar!$D$4:$F$4,0))</f>
        <v>2</v>
      </c>
      <c r="P1324" s="42"/>
      <c r="Q1324" s="151"/>
      <c r="R1324" s="151">
        <v>45622</v>
      </c>
      <c r="S1324" s="151"/>
      <c r="T1324" s="151"/>
      <c r="U1324" s="151">
        <v>45631</v>
      </c>
      <c r="V1324" s="151">
        <v>45631</v>
      </c>
      <c r="W1324" s="2">
        <f>VLOOKUP(Table1[[#This Row],[Status]],Auxiliar!$B$16:$D$24,3,0)*Table1[[#This Row],[Estimação (horas)]]</f>
        <v>1</v>
      </c>
      <c r="X1324" s="166">
        <f>+VLOOKUP(CONCATENATE(Table1[[#This Row],[Tabela]],Table1[[#This Row],[Campo]]),'2. Status Detalhe Campos FY24'!A:J,9,FALSE)</f>
        <v>0</v>
      </c>
    </row>
    <row r="1325" spans="2:24" ht="17.850000000000001" hidden="1" customHeight="1">
      <c r="B1325" s="38" t="s">
        <v>26</v>
      </c>
      <c r="C1325" s="38" t="s">
        <v>26</v>
      </c>
      <c r="D1325" s="38" t="s">
        <v>1866</v>
      </c>
      <c r="E1325" s="38" t="s">
        <v>38</v>
      </c>
      <c r="F1325" s="38" t="s">
        <v>379</v>
      </c>
      <c r="G1325" s="38" t="s">
        <v>385</v>
      </c>
      <c r="H1325" s="58" t="str">
        <f>Table1[[#This Row],[Tabela]]&amp;Table1[[#This Row],[Campo]]</f>
        <v>lt002_instrumentmthd_usd_instrmnt_scp_1</v>
      </c>
      <c r="I1325" s="2" t="s">
        <v>2324</v>
      </c>
      <c r="J1325" s="44">
        <f>VLOOKUP(Table1[[#This Row],[Status]],Auxiliar!$B$16:$C$24,2,0)</f>
        <v>3</v>
      </c>
      <c r="K1325" s="44" t="s">
        <v>1172</v>
      </c>
      <c r="L1325" s="45" t="s">
        <v>1177</v>
      </c>
      <c r="M1325" s="20" t="s">
        <v>1178</v>
      </c>
      <c r="N1325" s="47">
        <v>45667</v>
      </c>
      <c r="O1325" s="20">
        <f>INDEX(Auxiliar!$D$5:$F$13,MATCH(Table1[[#This Row],[Tipologia_Testes]],Auxiliar!$B$5:$B$13,0),MATCH(Table1[[#This Row],[Complexidade]],Auxiliar!$D$4:$F$4,0))</f>
        <v>2</v>
      </c>
      <c r="P1325" s="42"/>
      <c r="Q1325" s="151"/>
      <c r="R1325" s="151">
        <v>45622</v>
      </c>
      <c r="S1325" s="151"/>
      <c r="T1325" s="151"/>
      <c r="U1325" s="151">
        <v>45631</v>
      </c>
      <c r="V1325" s="151">
        <v>45631</v>
      </c>
      <c r="W1325" s="2">
        <f>VLOOKUP(Table1[[#This Row],[Status]],Auxiliar!$B$16:$D$24,3,0)*Table1[[#This Row],[Estimação (horas)]]</f>
        <v>1</v>
      </c>
      <c r="X1325" s="166">
        <f>+VLOOKUP(CONCATENATE(Table1[[#This Row],[Tabela]],Table1[[#This Row],[Campo]]),'2. Status Detalhe Campos FY24'!A:J,9,FALSE)</f>
        <v>0</v>
      </c>
    </row>
    <row r="1326" spans="2:24" ht="35.1" hidden="1" customHeight="1">
      <c r="B1326" s="38" t="s">
        <v>26</v>
      </c>
      <c r="C1326" s="38" t="s">
        <v>26</v>
      </c>
      <c r="D1326" s="38" t="s">
        <v>1866</v>
      </c>
      <c r="E1326" s="38" t="s">
        <v>38</v>
      </c>
      <c r="F1326" s="38" t="s">
        <v>379</v>
      </c>
      <c r="G1326" s="38" t="s">
        <v>385</v>
      </c>
      <c r="H1326" s="58" t="str">
        <f>Table1[[#This Row],[Tabela]]&amp;Table1[[#This Row],[Campo]]</f>
        <v>lt002_instrumentmthd_usd_instrmnt_scp_1</v>
      </c>
      <c r="I1326" s="2" t="s">
        <v>2324</v>
      </c>
      <c r="J1326" s="44">
        <f>VLOOKUP(Table1[[#This Row],[Status]],Auxiliar!$B$16:$C$24,2,0)</f>
        <v>3</v>
      </c>
      <c r="K1326" s="44" t="s">
        <v>1174</v>
      </c>
      <c r="L1326" s="45" t="s">
        <v>1177</v>
      </c>
      <c r="M1326" s="20" t="s">
        <v>1178</v>
      </c>
      <c r="N1326" s="47">
        <v>45667</v>
      </c>
      <c r="O1326" s="20">
        <f>INDEX(Auxiliar!$D$5:$F$13,MATCH(Table1[[#This Row],[Tipologia_Testes]],Auxiliar!$B$5:$B$13,0),MATCH(Table1[[#This Row],[Complexidade]],Auxiliar!$D$4:$F$4,0))</f>
        <v>0.1</v>
      </c>
      <c r="P1326" s="42"/>
      <c r="Q1326" s="151"/>
      <c r="R1326" s="151">
        <v>45622</v>
      </c>
      <c r="S1326" s="151"/>
      <c r="T1326" s="151"/>
      <c r="U1326" s="151">
        <v>45631</v>
      </c>
      <c r="V1326" s="151">
        <v>45631</v>
      </c>
      <c r="W1326" s="2">
        <f>VLOOKUP(Table1[[#This Row],[Status]],Auxiliar!$B$16:$D$24,3,0)*Table1[[#This Row],[Estimação (horas)]]</f>
        <v>0.05</v>
      </c>
      <c r="X1326" s="166">
        <f>+VLOOKUP(CONCATENATE(Table1[[#This Row],[Tabela]],Table1[[#This Row],[Campo]]),'2. Status Detalhe Campos FY24'!A:J,9,FALSE)</f>
        <v>0</v>
      </c>
    </row>
    <row r="1327" spans="2:24" ht="17.850000000000001" hidden="1" customHeight="1">
      <c r="B1327" s="38" t="s">
        <v>26</v>
      </c>
      <c r="C1327" s="38" t="s">
        <v>26</v>
      </c>
      <c r="D1327" s="36" t="s">
        <v>1866</v>
      </c>
      <c r="E1327" s="110" t="s">
        <v>38</v>
      </c>
      <c r="F1327" s="39" t="s">
        <v>379</v>
      </c>
      <c r="G1327" s="37" t="s">
        <v>386</v>
      </c>
      <c r="H1327" s="59" t="str">
        <f>Table1[[#This Row],[Tabela]]&amp;Table1[[#This Row],[Campo]]</f>
        <v>lt002_instrumentmthd_usd_instrmnt_scp_2</v>
      </c>
      <c r="I1327" s="2" t="s">
        <v>2324</v>
      </c>
      <c r="J1327" s="44">
        <f>VLOOKUP(Table1[[#This Row],[Status]],Auxiliar!$B$16:$C$24,2,0)</f>
        <v>3</v>
      </c>
      <c r="K1327" s="44" t="s">
        <v>1171</v>
      </c>
      <c r="L1327" s="45" t="s">
        <v>1177</v>
      </c>
      <c r="M1327" s="20" t="s">
        <v>1178</v>
      </c>
      <c r="N1327" s="47">
        <v>45667</v>
      </c>
      <c r="O1327" s="20">
        <f>INDEX(Auxiliar!$D$5:$F$13,MATCH(Table1[[#This Row],[Tipologia_Testes]],Auxiliar!$B$5:$B$13,0),MATCH(Table1[[#This Row],[Complexidade]],Auxiliar!$D$4:$F$4,0))</f>
        <v>2</v>
      </c>
      <c r="P1327" s="42"/>
      <c r="Q1327" s="151"/>
      <c r="R1327" s="151">
        <v>45622</v>
      </c>
      <c r="S1327" s="151"/>
      <c r="T1327" s="151"/>
      <c r="U1327" s="151">
        <v>45631</v>
      </c>
      <c r="V1327" s="151">
        <v>45631</v>
      </c>
      <c r="W1327" s="2">
        <f>VLOOKUP(Table1[[#This Row],[Status]],Auxiliar!$B$16:$D$24,3,0)*Table1[[#This Row],[Estimação (horas)]]</f>
        <v>1</v>
      </c>
      <c r="X1327" s="166">
        <f>+VLOOKUP(CONCATENATE(Table1[[#This Row],[Tabela]],Table1[[#This Row],[Campo]]),'2. Status Detalhe Campos FY24'!A:J,9,FALSE)</f>
        <v>0</v>
      </c>
    </row>
    <row r="1328" spans="2:24" ht="17.850000000000001" hidden="1" customHeight="1">
      <c r="B1328" s="38" t="s">
        <v>26</v>
      </c>
      <c r="C1328" s="38" t="s">
        <v>26</v>
      </c>
      <c r="D1328" s="38" t="s">
        <v>1866</v>
      </c>
      <c r="E1328" s="38" t="s">
        <v>38</v>
      </c>
      <c r="F1328" s="38" t="s">
        <v>379</v>
      </c>
      <c r="G1328" s="38" t="s">
        <v>386</v>
      </c>
      <c r="H1328" s="58" t="str">
        <f>Table1[[#This Row],[Tabela]]&amp;Table1[[#This Row],[Campo]]</f>
        <v>lt002_instrumentmthd_usd_instrmnt_scp_2</v>
      </c>
      <c r="I1328" s="2" t="s">
        <v>2324</v>
      </c>
      <c r="J1328" s="44">
        <f>VLOOKUP(Table1[[#This Row],[Status]],Auxiliar!$B$16:$C$24,2,0)</f>
        <v>3</v>
      </c>
      <c r="K1328" s="44" t="s">
        <v>1172</v>
      </c>
      <c r="L1328" s="45" t="s">
        <v>1177</v>
      </c>
      <c r="M1328" s="20" t="s">
        <v>1178</v>
      </c>
      <c r="N1328" s="47">
        <v>45667</v>
      </c>
      <c r="O1328" s="20">
        <f>INDEX(Auxiliar!$D$5:$F$13,MATCH(Table1[[#This Row],[Tipologia_Testes]],Auxiliar!$B$5:$B$13,0),MATCH(Table1[[#This Row],[Complexidade]],Auxiliar!$D$4:$F$4,0))</f>
        <v>2</v>
      </c>
      <c r="P1328" s="42"/>
      <c r="Q1328" s="151"/>
      <c r="R1328" s="151">
        <v>45622</v>
      </c>
      <c r="S1328" s="151"/>
      <c r="T1328" s="151"/>
      <c r="U1328" s="151">
        <v>45631</v>
      </c>
      <c r="V1328" s="151">
        <v>45631</v>
      </c>
      <c r="W1328" s="2">
        <f>VLOOKUP(Table1[[#This Row],[Status]],Auxiliar!$B$16:$D$24,3,0)*Table1[[#This Row],[Estimação (horas)]]</f>
        <v>1</v>
      </c>
      <c r="X1328" s="166">
        <f>+VLOOKUP(CONCATENATE(Table1[[#This Row],[Tabela]],Table1[[#This Row],[Campo]]),'2. Status Detalhe Campos FY24'!A:J,9,FALSE)</f>
        <v>0</v>
      </c>
    </row>
    <row r="1329" spans="2:24" ht="35.1" hidden="1" customHeight="1">
      <c r="B1329" s="38" t="s">
        <v>26</v>
      </c>
      <c r="C1329" s="38" t="s">
        <v>26</v>
      </c>
      <c r="D1329" s="38" t="s">
        <v>1866</v>
      </c>
      <c r="E1329" s="38" t="s">
        <v>38</v>
      </c>
      <c r="F1329" s="38" t="s">
        <v>379</v>
      </c>
      <c r="G1329" s="38" t="s">
        <v>386</v>
      </c>
      <c r="H1329" s="58" t="str">
        <f>Table1[[#This Row],[Tabela]]&amp;Table1[[#This Row],[Campo]]</f>
        <v>lt002_instrumentmthd_usd_instrmnt_scp_2</v>
      </c>
      <c r="I1329" s="2" t="s">
        <v>2324</v>
      </c>
      <c r="J1329" s="44">
        <f>VLOOKUP(Table1[[#This Row],[Status]],Auxiliar!$B$16:$C$24,2,0)</f>
        <v>3</v>
      </c>
      <c r="K1329" s="44" t="s">
        <v>1174</v>
      </c>
      <c r="L1329" s="45" t="s">
        <v>1177</v>
      </c>
      <c r="M1329" s="20" t="s">
        <v>1178</v>
      </c>
      <c r="N1329" s="47">
        <v>45667</v>
      </c>
      <c r="O1329" s="20">
        <f>INDEX(Auxiliar!$D$5:$F$13,MATCH(Table1[[#This Row],[Tipologia_Testes]],Auxiliar!$B$5:$B$13,0),MATCH(Table1[[#This Row],[Complexidade]],Auxiliar!$D$4:$F$4,0))</f>
        <v>0.1</v>
      </c>
      <c r="P1329" s="42"/>
      <c r="Q1329" s="151"/>
      <c r="R1329" s="151">
        <v>45622</v>
      </c>
      <c r="S1329" s="151"/>
      <c r="T1329" s="151"/>
      <c r="U1329" s="151">
        <v>45631</v>
      </c>
      <c r="V1329" s="151">
        <v>45631</v>
      </c>
      <c r="W1329" s="2">
        <f>VLOOKUP(Table1[[#This Row],[Status]],Auxiliar!$B$16:$D$24,3,0)*Table1[[#This Row],[Estimação (horas)]]</f>
        <v>0.05</v>
      </c>
      <c r="X1329" s="166">
        <f>+VLOOKUP(CONCATENATE(Table1[[#This Row],[Tabela]],Table1[[#This Row],[Campo]]),'2. Status Detalhe Campos FY24'!A:J,9,FALSE)</f>
        <v>0</v>
      </c>
    </row>
    <row r="1330" spans="2:24" ht="17.850000000000001" hidden="1" customHeight="1">
      <c r="B1330" s="38" t="s">
        <v>26</v>
      </c>
      <c r="C1330" s="38" t="s">
        <v>26</v>
      </c>
      <c r="D1330" s="36" t="s">
        <v>1866</v>
      </c>
      <c r="E1330" s="110" t="s">
        <v>38</v>
      </c>
      <c r="F1330" s="39" t="s">
        <v>379</v>
      </c>
      <c r="G1330" s="37" t="s">
        <v>387</v>
      </c>
      <c r="H1330" s="59" t="str">
        <f>Table1[[#This Row],[Tabela]]&amp;Table1[[#This Row],[Campo]]</f>
        <v>lt002_instrumentmthd_usd_instrmnt_scp_3</v>
      </c>
      <c r="I1330" s="2" t="s">
        <v>2324</v>
      </c>
      <c r="J1330" s="44">
        <f>VLOOKUP(Table1[[#This Row],[Status]],Auxiliar!$B$16:$C$24,2,0)</f>
        <v>3</v>
      </c>
      <c r="K1330" s="44" t="s">
        <v>1171</v>
      </c>
      <c r="L1330" s="45" t="s">
        <v>1177</v>
      </c>
      <c r="M1330" s="20" t="s">
        <v>1178</v>
      </c>
      <c r="N1330" s="47">
        <v>45667</v>
      </c>
      <c r="O1330" s="20">
        <f>INDEX(Auxiliar!$D$5:$F$13,MATCH(Table1[[#This Row],[Tipologia_Testes]],Auxiliar!$B$5:$B$13,0),MATCH(Table1[[#This Row],[Complexidade]],Auxiliar!$D$4:$F$4,0))</f>
        <v>2</v>
      </c>
      <c r="P1330" s="42"/>
      <c r="Q1330" s="151"/>
      <c r="R1330" s="151">
        <v>45622</v>
      </c>
      <c r="S1330" s="151"/>
      <c r="T1330" s="151"/>
      <c r="U1330" s="151">
        <v>45631</v>
      </c>
      <c r="V1330" s="151">
        <v>45631</v>
      </c>
      <c r="W1330" s="2">
        <f>VLOOKUP(Table1[[#This Row],[Status]],Auxiliar!$B$16:$D$24,3,0)*Table1[[#This Row],[Estimação (horas)]]</f>
        <v>1</v>
      </c>
      <c r="X1330" s="166">
        <f>+VLOOKUP(CONCATENATE(Table1[[#This Row],[Tabela]],Table1[[#This Row],[Campo]]),'2. Status Detalhe Campos FY24'!A:J,9,FALSE)</f>
        <v>0</v>
      </c>
    </row>
    <row r="1331" spans="2:24" ht="17.850000000000001" hidden="1" customHeight="1">
      <c r="B1331" s="38" t="s">
        <v>26</v>
      </c>
      <c r="C1331" s="38" t="s">
        <v>26</v>
      </c>
      <c r="D1331" s="38" t="s">
        <v>1866</v>
      </c>
      <c r="E1331" s="38" t="s">
        <v>38</v>
      </c>
      <c r="F1331" s="38" t="s">
        <v>379</v>
      </c>
      <c r="G1331" s="38" t="s">
        <v>387</v>
      </c>
      <c r="H1331" s="58" t="str">
        <f>Table1[[#This Row],[Tabela]]&amp;Table1[[#This Row],[Campo]]</f>
        <v>lt002_instrumentmthd_usd_instrmnt_scp_3</v>
      </c>
      <c r="I1331" s="2" t="s">
        <v>2324</v>
      </c>
      <c r="J1331" s="44">
        <f>VLOOKUP(Table1[[#This Row],[Status]],Auxiliar!$B$16:$C$24,2,0)</f>
        <v>3</v>
      </c>
      <c r="K1331" s="44" t="s">
        <v>1172</v>
      </c>
      <c r="L1331" s="45" t="s">
        <v>1177</v>
      </c>
      <c r="M1331" s="20" t="s">
        <v>1178</v>
      </c>
      <c r="N1331" s="47">
        <v>45667</v>
      </c>
      <c r="O1331" s="20">
        <f>INDEX(Auxiliar!$D$5:$F$13,MATCH(Table1[[#This Row],[Tipologia_Testes]],Auxiliar!$B$5:$B$13,0),MATCH(Table1[[#This Row],[Complexidade]],Auxiliar!$D$4:$F$4,0))</f>
        <v>2</v>
      </c>
      <c r="P1331" s="42"/>
      <c r="Q1331" s="151"/>
      <c r="R1331" s="151">
        <v>45622</v>
      </c>
      <c r="S1331" s="151"/>
      <c r="T1331" s="151"/>
      <c r="U1331" s="151">
        <v>45631</v>
      </c>
      <c r="V1331" s="151">
        <v>45631</v>
      </c>
      <c r="W1331" s="2">
        <f>VLOOKUP(Table1[[#This Row],[Status]],Auxiliar!$B$16:$D$24,3,0)*Table1[[#This Row],[Estimação (horas)]]</f>
        <v>1</v>
      </c>
      <c r="X1331" s="166">
        <f>+VLOOKUP(CONCATENATE(Table1[[#This Row],[Tabela]],Table1[[#This Row],[Campo]]),'2. Status Detalhe Campos FY24'!A:J,9,FALSE)</f>
        <v>0</v>
      </c>
    </row>
    <row r="1332" spans="2:24" ht="17.850000000000001" hidden="1" customHeight="1">
      <c r="B1332" s="38" t="s">
        <v>26</v>
      </c>
      <c r="C1332" s="38" t="s">
        <v>26</v>
      </c>
      <c r="D1332" s="38" t="s">
        <v>1866</v>
      </c>
      <c r="E1332" s="38" t="s">
        <v>38</v>
      </c>
      <c r="F1332" s="38" t="s">
        <v>379</v>
      </c>
      <c r="G1332" s="38" t="s">
        <v>387</v>
      </c>
      <c r="H1332" s="58" t="str">
        <f>Table1[[#This Row],[Tabela]]&amp;Table1[[#This Row],[Campo]]</f>
        <v>lt002_instrumentmthd_usd_instrmnt_scp_3</v>
      </c>
      <c r="I1332" s="2" t="s">
        <v>2324</v>
      </c>
      <c r="J1332" s="44">
        <f>VLOOKUP(Table1[[#This Row],[Status]],Auxiliar!$B$16:$C$24,2,0)</f>
        <v>3</v>
      </c>
      <c r="K1332" s="44" t="s">
        <v>1174</v>
      </c>
      <c r="L1332" s="45" t="s">
        <v>1177</v>
      </c>
      <c r="M1332" s="20" t="s">
        <v>1178</v>
      </c>
      <c r="N1332" s="47">
        <v>45667</v>
      </c>
      <c r="O1332" s="20">
        <f>INDEX(Auxiliar!$D$5:$F$13,MATCH(Table1[[#This Row],[Tipologia_Testes]],Auxiliar!$B$5:$B$13,0),MATCH(Table1[[#This Row],[Complexidade]],Auxiliar!$D$4:$F$4,0))</f>
        <v>0.1</v>
      </c>
      <c r="P1332" s="42"/>
      <c r="Q1332" s="151"/>
      <c r="R1332" s="151">
        <v>45622</v>
      </c>
      <c r="S1332" s="151"/>
      <c r="T1332" s="151"/>
      <c r="U1332" s="151">
        <v>45631</v>
      </c>
      <c r="V1332" s="151">
        <v>45631</v>
      </c>
      <c r="W1332" s="2">
        <f>VLOOKUP(Table1[[#This Row],[Status]],Auxiliar!$B$16:$D$24,3,0)*Table1[[#This Row],[Estimação (horas)]]</f>
        <v>0.05</v>
      </c>
      <c r="X1332" s="166">
        <f>+VLOOKUP(CONCATENATE(Table1[[#This Row],[Tabela]],Table1[[#This Row],[Campo]]),'2. Status Detalhe Campos FY24'!A:J,9,FALSE)</f>
        <v>0</v>
      </c>
    </row>
    <row r="1333" spans="2:24" ht="17.850000000000001" hidden="1" customHeight="1">
      <c r="B1333" s="38" t="s">
        <v>26</v>
      </c>
      <c r="C1333" s="38" t="s">
        <v>26</v>
      </c>
      <c r="D1333" s="39" t="s">
        <v>1281</v>
      </c>
      <c r="E1333" s="41" t="s">
        <v>1282</v>
      </c>
      <c r="F1333" s="39" t="s">
        <v>379</v>
      </c>
      <c r="G1333" s="37" t="s">
        <v>388</v>
      </c>
      <c r="H1333" s="59" t="str">
        <f>Table1[[#This Row],[Tabela]]&amp;Table1[[#This Row],[Campo]]</f>
        <v>lt002_instrumentsstnbl_ctgry_txnmy</v>
      </c>
      <c r="I1333" s="2" t="s">
        <v>612</v>
      </c>
      <c r="J1333" s="44">
        <f>VLOOKUP(Table1[[#This Row],[Status]],Auxiliar!$B$16:$C$24,2,0)</f>
        <v>1</v>
      </c>
      <c r="K1333" s="44" t="s">
        <v>1171</v>
      </c>
      <c r="L1333" s="45" t="s">
        <v>1177</v>
      </c>
      <c r="M1333" s="20" t="s">
        <v>1178</v>
      </c>
      <c r="N1333" s="47">
        <v>45625</v>
      </c>
      <c r="O1333" s="20">
        <f>INDEX(Auxiliar!$D$5:$F$13,MATCH(Table1[[#This Row],[Tipologia_Testes]],Auxiliar!$B$5:$B$13,0),MATCH(Table1[[#This Row],[Complexidade]],Auxiliar!$D$4:$F$4,0))</f>
        <v>2</v>
      </c>
      <c r="P1333" s="42"/>
      <c r="Q1333" s="151"/>
      <c r="R1333" s="151">
        <v>45593</v>
      </c>
      <c r="S1333" s="151"/>
      <c r="T1333" s="151">
        <v>45593</v>
      </c>
      <c r="U1333" s="151">
        <v>45611</v>
      </c>
      <c r="V1333" s="151">
        <v>374329</v>
      </c>
      <c r="W1333" s="2">
        <f>VLOOKUP(Table1[[#This Row],[Status]],Auxiliar!$B$16:$D$24,3,0)*Table1[[#This Row],[Estimação (horas)]]</f>
        <v>2</v>
      </c>
      <c r="X1333" s="166">
        <f>+VLOOKUP(CONCATENATE(Table1[[#This Row],[Tabela]],Table1[[#This Row],[Campo]]),'2. Status Detalhe Campos FY24'!A:J,9,FALSE)</f>
        <v>0</v>
      </c>
    </row>
    <row r="1334" spans="2:24" ht="17.850000000000001" hidden="1" customHeight="1">
      <c r="B1334" s="38" t="s">
        <v>26</v>
      </c>
      <c r="C1334" s="38" t="s">
        <v>26</v>
      </c>
      <c r="D1334" s="38" t="s">
        <v>1281</v>
      </c>
      <c r="E1334" s="38" t="s">
        <v>1282</v>
      </c>
      <c r="F1334" s="38" t="s">
        <v>379</v>
      </c>
      <c r="G1334" s="38" t="s">
        <v>388</v>
      </c>
      <c r="H1334" s="58" t="str">
        <f>Table1[[#This Row],[Tabela]]&amp;Table1[[#This Row],[Campo]]</f>
        <v>lt002_instrumentsstnbl_ctgry_txnmy</v>
      </c>
      <c r="I1334" s="2" t="s">
        <v>612</v>
      </c>
      <c r="J1334" s="44">
        <f>VLOOKUP(Table1[[#This Row],[Status]],Auxiliar!$B$16:$C$24,2,0)</f>
        <v>1</v>
      </c>
      <c r="K1334" s="44" t="s">
        <v>1172</v>
      </c>
      <c r="L1334" s="45" t="s">
        <v>1177</v>
      </c>
      <c r="M1334" s="20" t="s">
        <v>1178</v>
      </c>
      <c r="N1334" s="47">
        <v>45625</v>
      </c>
      <c r="O1334" s="20">
        <f>INDEX(Auxiliar!$D$5:$F$13,MATCH(Table1[[#This Row],[Tipologia_Testes]],Auxiliar!$B$5:$B$13,0),MATCH(Table1[[#This Row],[Complexidade]],Auxiliar!$D$4:$F$4,0))</f>
        <v>2</v>
      </c>
      <c r="P1334" s="42"/>
      <c r="Q1334" s="151"/>
      <c r="R1334" s="151">
        <v>45593</v>
      </c>
      <c r="S1334" s="151"/>
      <c r="T1334" s="151">
        <v>45593</v>
      </c>
      <c r="U1334" s="151">
        <v>45611</v>
      </c>
      <c r="V1334" s="151">
        <v>374329</v>
      </c>
      <c r="W1334" s="2">
        <f>VLOOKUP(Table1[[#This Row],[Status]],Auxiliar!$B$16:$D$24,3,0)*Table1[[#This Row],[Estimação (horas)]]</f>
        <v>2</v>
      </c>
      <c r="X1334" s="166">
        <f>+VLOOKUP(CONCATENATE(Table1[[#This Row],[Tabela]],Table1[[#This Row],[Campo]]),'2. Status Detalhe Campos FY24'!A:J,9,FALSE)</f>
        <v>0</v>
      </c>
    </row>
    <row r="1335" spans="2:24" ht="17.850000000000001" hidden="1" customHeight="1">
      <c r="B1335" s="38" t="s">
        <v>26</v>
      </c>
      <c r="C1335" s="38" t="s">
        <v>26</v>
      </c>
      <c r="D1335" s="38" t="s">
        <v>1281</v>
      </c>
      <c r="E1335" s="38" t="s">
        <v>1282</v>
      </c>
      <c r="F1335" s="38" t="s">
        <v>379</v>
      </c>
      <c r="G1335" s="38" t="s">
        <v>388</v>
      </c>
      <c r="H1335" s="58" t="str">
        <f>Table1[[#This Row],[Tabela]]&amp;Table1[[#This Row],[Campo]]</f>
        <v>lt002_instrumentsstnbl_ctgry_txnmy</v>
      </c>
      <c r="I1335" s="2" t="s">
        <v>612</v>
      </c>
      <c r="J1335" s="44">
        <f>VLOOKUP(Table1[[#This Row],[Status]],Auxiliar!$B$16:$C$24,2,0)</f>
        <v>1</v>
      </c>
      <c r="K1335" s="44" t="s">
        <v>1174</v>
      </c>
      <c r="L1335" s="45" t="s">
        <v>1177</v>
      </c>
      <c r="M1335" s="20" t="s">
        <v>1178</v>
      </c>
      <c r="N1335" s="47">
        <v>45625</v>
      </c>
      <c r="O1335" s="20">
        <f>INDEX(Auxiliar!$D$5:$F$13,MATCH(Table1[[#This Row],[Tipologia_Testes]],Auxiliar!$B$5:$B$13,0),MATCH(Table1[[#This Row],[Complexidade]],Auxiliar!$D$4:$F$4,0))</f>
        <v>0.1</v>
      </c>
      <c r="P1335" s="42"/>
      <c r="Q1335" s="151"/>
      <c r="R1335" s="151">
        <v>45593</v>
      </c>
      <c r="S1335" s="151"/>
      <c r="T1335" s="151">
        <v>45593</v>
      </c>
      <c r="U1335" s="151">
        <v>45611</v>
      </c>
      <c r="V1335" s="151">
        <v>374329</v>
      </c>
      <c r="W1335" s="2">
        <f>VLOOKUP(Table1[[#This Row],[Status]],Auxiliar!$B$16:$D$24,3,0)*Table1[[#This Row],[Estimação (horas)]]</f>
        <v>0.1</v>
      </c>
      <c r="X1335" s="166">
        <f>+VLOOKUP(CONCATENATE(Table1[[#This Row],[Tabela]],Table1[[#This Row],[Campo]]),'2. Status Detalhe Campos FY24'!A:J,9,FALSE)</f>
        <v>0</v>
      </c>
    </row>
    <row r="1336" spans="2:24" ht="17.850000000000001" hidden="1" customHeight="1">
      <c r="B1336" s="38" t="s">
        <v>26</v>
      </c>
      <c r="C1336" s="38" t="s">
        <v>26</v>
      </c>
      <c r="D1336" s="2" t="s">
        <v>38</v>
      </c>
      <c r="E1336" s="39" t="s">
        <v>38</v>
      </c>
      <c r="F1336" s="39" t="s">
        <v>1866</v>
      </c>
      <c r="G1336" s="39" t="s">
        <v>390</v>
      </c>
      <c r="H1336" s="59" t="str">
        <f>Table1[[#This Row],[Tabela]]&amp;Table1[[#This Row],[Campo]]</f>
        <v>lt827_mthd_usd_instrmntambito</v>
      </c>
      <c r="I1336" s="2" t="s">
        <v>612</v>
      </c>
      <c r="J1336" s="44">
        <f>VLOOKUP(Table1[[#This Row],[Status]],Auxiliar!$B$16:$C$24,2,0)</f>
        <v>1</v>
      </c>
      <c r="K1336" s="44" t="s">
        <v>1171</v>
      </c>
      <c r="L1336" s="45" t="s">
        <v>1177</v>
      </c>
      <c r="M1336" s="20" t="s">
        <v>1178</v>
      </c>
      <c r="N1336" s="47">
        <v>45625</v>
      </c>
      <c r="O1336" s="20">
        <f>INDEX(Auxiliar!$D$5:$F$13,MATCH(Table1[[#This Row],[Tipologia_Testes]],Auxiliar!$B$5:$B$13,0),MATCH(Table1[[#This Row],[Complexidade]],Auxiliar!$D$4:$F$4,0))</f>
        <v>2</v>
      </c>
      <c r="P1336" s="42"/>
      <c r="Q1336" s="151"/>
      <c r="R1336" s="151">
        <v>45593</v>
      </c>
      <c r="S1336" s="151"/>
      <c r="T1336" s="151">
        <v>45593</v>
      </c>
      <c r="U1336" s="151">
        <v>45611</v>
      </c>
      <c r="V1336" s="151">
        <v>45611</v>
      </c>
      <c r="W1336" s="2">
        <f>VLOOKUP(Table1[[#This Row],[Status]],Auxiliar!$B$16:$D$24,3,0)*Table1[[#This Row],[Estimação (horas)]]</f>
        <v>2</v>
      </c>
      <c r="X1336" s="166">
        <f>+VLOOKUP(CONCATENATE(Table1[[#This Row],[Tabela]],Table1[[#This Row],[Campo]]),'2. Status Detalhe Campos FY24'!A:J,9,FALSE)</f>
        <v>0</v>
      </c>
    </row>
    <row r="1337" spans="2:24" ht="17.850000000000001" hidden="1" customHeight="1">
      <c r="B1337" s="38" t="s">
        <v>26</v>
      </c>
      <c r="C1337" s="38" t="s">
        <v>26</v>
      </c>
      <c r="D1337" s="2" t="s">
        <v>38</v>
      </c>
      <c r="E1337" s="38" t="s">
        <v>38</v>
      </c>
      <c r="F1337" s="38" t="s">
        <v>1866</v>
      </c>
      <c r="G1337" s="38" t="s">
        <v>390</v>
      </c>
      <c r="H1337" s="58" t="str">
        <f>Table1[[#This Row],[Tabela]]&amp;Table1[[#This Row],[Campo]]</f>
        <v>lt827_mthd_usd_instrmntambito</v>
      </c>
      <c r="I1337" s="2" t="s">
        <v>612</v>
      </c>
      <c r="J1337" s="44">
        <f>VLOOKUP(Table1[[#This Row],[Status]],Auxiliar!$B$16:$C$24,2,0)</f>
        <v>1</v>
      </c>
      <c r="K1337" s="44" t="s">
        <v>1172</v>
      </c>
      <c r="L1337" s="45" t="s">
        <v>1177</v>
      </c>
      <c r="M1337" s="20" t="s">
        <v>1178</v>
      </c>
      <c r="N1337" s="47">
        <v>45625</v>
      </c>
      <c r="O1337" s="20">
        <f>INDEX(Auxiliar!$D$5:$F$13,MATCH(Table1[[#This Row],[Tipologia_Testes]],Auxiliar!$B$5:$B$13,0),MATCH(Table1[[#This Row],[Complexidade]],Auxiliar!$D$4:$F$4,0))</f>
        <v>2</v>
      </c>
      <c r="P1337" s="42"/>
      <c r="Q1337" s="151"/>
      <c r="R1337" s="151">
        <v>45593</v>
      </c>
      <c r="S1337" s="151"/>
      <c r="T1337" s="151">
        <v>45593</v>
      </c>
      <c r="U1337" s="151">
        <v>45611</v>
      </c>
      <c r="V1337" s="151">
        <v>45611</v>
      </c>
      <c r="W1337" s="2">
        <f>VLOOKUP(Table1[[#This Row],[Status]],Auxiliar!$B$16:$D$24,3,0)*Table1[[#This Row],[Estimação (horas)]]</f>
        <v>2</v>
      </c>
      <c r="X1337" s="166">
        <f>+VLOOKUP(CONCATENATE(Table1[[#This Row],[Tabela]],Table1[[#This Row],[Campo]]),'2. Status Detalhe Campos FY24'!A:J,9,FALSE)</f>
        <v>0</v>
      </c>
    </row>
    <row r="1338" spans="2:24" ht="17.850000000000001" hidden="1" customHeight="1">
      <c r="B1338" s="38" t="s">
        <v>26</v>
      </c>
      <c r="C1338" s="38" t="s">
        <v>26</v>
      </c>
      <c r="D1338" s="2" t="s">
        <v>38</v>
      </c>
      <c r="E1338" s="38" t="s">
        <v>38</v>
      </c>
      <c r="F1338" s="38" t="s">
        <v>1866</v>
      </c>
      <c r="G1338" s="38" t="s">
        <v>390</v>
      </c>
      <c r="H1338" s="58" t="str">
        <f>Table1[[#This Row],[Tabela]]&amp;Table1[[#This Row],[Campo]]</f>
        <v>lt827_mthd_usd_instrmntambito</v>
      </c>
      <c r="I1338" s="2" t="s">
        <v>612</v>
      </c>
      <c r="J1338" s="44">
        <f>VLOOKUP(Table1[[#This Row],[Status]],Auxiliar!$B$16:$C$24,2,0)</f>
        <v>1</v>
      </c>
      <c r="K1338" s="44" t="s">
        <v>1174</v>
      </c>
      <c r="L1338" s="45" t="s">
        <v>1177</v>
      </c>
      <c r="M1338" s="20" t="s">
        <v>1178</v>
      </c>
      <c r="N1338" s="47">
        <v>45625</v>
      </c>
      <c r="O1338" s="20">
        <f>INDEX(Auxiliar!$D$5:$F$13,MATCH(Table1[[#This Row],[Tipologia_Testes]],Auxiliar!$B$5:$B$13,0),MATCH(Table1[[#This Row],[Complexidade]],Auxiliar!$D$4:$F$4,0))</f>
        <v>0.1</v>
      </c>
      <c r="P1338" s="42"/>
      <c r="Q1338" s="151"/>
      <c r="R1338" s="151">
        <v>45593</v>
      </c>
      <c r="S1338" s="151"/>
      <c r="T1338" s="151">
        <v>45593</v>
      </c>
      <c r="U1338" s="151">
        <v>45611</v>
      </c>
      <c r="V1338" s="151">
        <v>45611</v>
      </c>
      <c r="W1338" s="2">
        <f>VLOOKUP(Table1[[#This Row],[Status]],Auxiliar!$B$16:$D$24,3,0)*Table1[[#This Row],[Estimação (horas)]]</f>
        <v>0.1</v>
      </c>
      <c r="X1338" s="166">
        <f>+VLOOKUP(CONCATENATE(Table1[[#This Row],[Tabela]],Table1[[#This Row],[Campo]]),'2. Status Detalhe Campos FY24'!A:J,9,FALSE)</f>
        <v>0</v>
      </c>
    </row>
    <row r="1339" spans="2:24" ht="17.850000000000001" hidden="1" customHeight="1">
      <c r="B1339" s="38" t="s">
        <v>26</v>
      </c>
      <c r="C1339" s="38" t="s">
        <v>26</v>
      </c>
      <c r="D1339" s="2" t="s">
        <v>38</v>
      </c>
      <c r="E1339" s="39" t="s">
        <v>38</v>
      </c>
      <c r="F1339" s="39" t="s">
        <v>1866</v>
      </c>
      <c r="G1339" s="39" t="s">
        <v>208</v>
      </c>
      <c r="H1339" s="59" t="str">
        <f>Table1[[#This Row],[Tabela]]&amp;Table1[[#This Row],[Campo]]</f>
        <v>lt827_mthd_usd_instrmntref_date</v>
      </c>
      <c r="I1339" s="2" t="s">
        <v>612</v>
      </c>
      <c r="J1339" s="44">
        <f>VLOOKUP(Table1[[#This Row],[Status]],Auxiliar!$B$16:$C$24,2,0)</f>
        <v>1</v>
      </c>
      <c r="K1339" s="44" t="s">
        <v>1171</v>
      </c>
      <c r="L1339" s="45" t="s">
        <v>1177</v>
      </c>
      <c r="M1339" s="20" t="s">
        <v>1178</v>
      </c>
      <c r="N1339" s="47">
        <v>45625</v>
      </c>
      <c r="O1339" s="20">
        <f>INDEX(Auxiliar!$D$5:$F$13,MATCH(Table1[[#This Row],[Tipologia_Testes]],Auxiliar!$B$5:$B$13,0),MATCH(Table1[[#This Row],[Complexidade]],Auxiliar!$D$4:$F$4,0))</f>
        <v>2</v>
      </c>
      <c r="P1339" s="42"/>
      <c r="Q1339" s="151"/>
      <c r="R1339" s="151">
        <v>45593</v>
      </c>
      <c r="S1339" s="151"/>
      <c r="T1339" s="151">
        <v>45593</v>
      </c>
      <c r="U1339" s="151">
        <v>45611</v>
      </c>
      <c r="V1339" s="151">
        <v>45611</v>
      </c>
      <c r="W1339" s="2">
        <f>VLOOKUP(Table1[[#This Row],[Status]],Auxiliar!$B$16:$D$24,3,0)*Table1[[#This Row],[Estimação (horas)]]</f>
        <v>2</v>
      </c>
      <c r="X1339" s="166">
        <f>+VLOOKUP(CONCATENATE(Table1[[#This Row],[Tabela]],Table1[[#This Row],[Campo]]),'2. Status Detalhe Campos FY24'!A:J,9,FALSE)</f>
        <v>0</v>
      </c>
    </row>
    <row r="1340" spans="2:24" ht="17.850000000000001" hidden="1" customHeight="1">
      <c r="B1340" s="38" t="s">
        <v>26</v>
      </c>
      <c r="C1340" s="38" t="s">
        <v>26</v>
      </c>
      <c r="D1340" s="2" t="s">
        <v>38</v>
      </c>
      <c r="E1340" s="38" t="s">
        <v>38</v>
      </c>
      <c r="F1340" s="38" t="s">
        <v>1866</v>
      </c>
      <c r="G1340" s="38" t="s">
        <v>208</v>
      </c>
      <c r="H1340" s="58" t="str">
        <f>Table1[[#This Row],[Tabela]]&amp;Table1[[#This Row],[Campo]]</f>
        <v>lt827_mthd_usd_instrmntref_date</v>
      </c>
      <c r="I1340" s="2" t="s">
        <v>612</v>
      </c>
      <c r="J1340" s="44">
        <f>VLOOKUP(Table1[[#This Row],[Status]],Auxiliar!$B$16:$C$24,2,0)</f>
        <v>1</v>
      </c>
      <c r="K1340" s="44" t="s">
        <v>1172</v>
      </c>
      <c r="L1340" s="45" t="s">
        <v>1177</v>
      </c>
      <c r="M1340" s="20" t="s">
        <v>1178</v>
      </c>
      <c r="N1340" s="47">
        <v>45625</v>
      </c>
      <c r="O1340" s="20">
        <f>INDEX(Auxiliar!$D$5:$F$13,MATCH(Table1[[#This Row],[Tipologia_Testes]],Auxiliar!$B$5:$B$13,0),MATCH(Table1[[#This Row],[Complexidade]],Auxiliar!$D$4:$F$4,0))</f>
        <v>2</v>
      </c>
      <c r="P1340" s="42"/>
      <c r="Q1340" s="151"/>
      <c r="R1340" s="151">
        <v>45593</v>
      </c>
      <c r="S1340" s="151"/>
      <c r="T1340" s="151">
        <v>45593</v>
      </c>
      <c r="U1340" s="151">
        <v>45611</v>
      </c>
      <c r="V1340" s="151">
        <v>45611</v>
      </c>
      <c r="W1340" s="2">
        <f>VLOOKUP(Table1[[#This Row],[Status]],Auxiliar!$B$16:$D$24,3,0)*Table1[[#This Row],[Estimação (horas)]]</f>
        <v>2</v>
      </c>
      <c r="X1340" s="166">
        <f>+VLOOKUP(CONCATENATE(Table1[[#This Row],[Tabela]],Table1[[#This Row],[Campo]]),'2. Status Detalhe Campos FY24'!A:J,9,FALSE)</f>
        <v>0</v>
      </c>
    </row>
    <row r="1341" spans="2:24" ht="17.850000000000001" hidden="1" customHeight="1">
      <c r="B1341" s="38" t="s">
        <v>26</v>
      </c>
      <c r="C1341" s="38" t="s">
        <v>26</v>
      </c>
      <c r="D1341" s="2" t="s">
        <v>38</v>
      </c>
      <c r="E1341" s="38" t="s">
        <v>38</v>
      </c>
      <c r="F1341" s="38" t="s">
        <v>1866</v>
      </c>
      <c r="G1341" s="38" t="s">
        <v>208</v>
      </c>
      <c r="H1341" s="58" t="str">
        <f>Table1[[#This Row],[Tabela]]&amp;Table1[[#This Row],[Campo]]</f>
        <v>lt827_mthd_usd_instrmntref_date</v>
      </c>
      <c r="I1341" s="2" t="s">
        <v>612</v>
      </c>
      <c r="J1341" s="44">
        <f>VLOOKUP(Table1[[#This Row],[Status]],Auxiliar!$B$16:$C$24,2,0)</f>
        <v>1</v>
      </c>
      <c r="K1341" s="44" t="s">
        <v>1174</v>
      </c>
      <c r="L1341" s="45" t="s">
        <v>1177</v>
      </c>
      <c r="M1341" s="20" t="s">
        <v>1178</v>
      </c>
      <c r="N1341" s="47">
        <v>45625</v>
      </c>
      <c r="O1341" s="20">
        <f>INDEX(Auxiliar!$D$5:$F$13,MATCH(Table1[[#This Row],[Tipologia_Testes]],Auxiliar!$B$5:$B$13,0),MATCH(Table1[[#This Row],[Complexidade]],Auxiliar!$D$4:$F$4,0))</f>
        <v>0.1</v>
      </c>
      <c r="P1341" s="42"/>
      <c r="Q1341" s="151"/>
      <c r="R1341" s="151">
        <v>45593</v>
      </c>
      <c r="S1341" s="151"/>
      <c r="T1341" s="151">
        <v>45593</v>
      </c>
      <c r="U1341" s="151">
        <v>45611</v>
      </c>
      <c r="V1341" s="151">
        <v>45611</v>
      </c>
      <c r="W1341" s="2">
        <f>VLOOKUP(Table1[[#This Row],[Status]],Auxiliar!$B$16:$D$24,3,0)*Table1[[#This Row],[Estimação (horas)]]</f>
        <v>0.1</v>
      </c>
      <c r="X1341" s="166">
        <f>+VLOOKUP(CONCATENATE(Table1[[#This Row],[Tabela]],Table1[[#This Row],[Campo]]),'2. Status Detalhe Campos FY24'!A:J,9,FALSE)</f>
        <v>0</v>
      </c>
    </row>
    <row r="1342" spans="2:24" ht="17.850000000000001" hidden="1" customHeight="1">
      <c r="B1342" s="38" t="s">
        <v>26</v>
      </c>
      <c r="C1342" s="38" t="s">
        <v>26</v>
      </c>
      <c r="D1342" s="2" t="s">
        <v>38</v>
      </c>
      <c r="E1342" s="39" t="s">
        <v>38</v>
      </c>
      <c r="F1342" s="39" t="s">
        <v>1866</v>
      </c>
      <c r="G1342" s="39" t="s">
        <v>211</v>
      </c>
      <c r="H1342" s="59" t="str">
        <f>Table1[[#This Row],[Tabela]]&amp;Table1[[#This Row],[Campo]]</f>
        <v>lt827_mthd_usd_instrmntordem</v>
      </c>
      <c r="I1342" s="2" t="s">
        <v>612</v>
      </c>
      <c r="J1342" s="44">
        <f>VLOOKUP(Table1[[#This Row],[Status]],Auxiliar!$B$16:$C$24,2,0)</f>
        <v>1</v>
      </c>
      <c r="K1342" s="44" t="s">
        <v>1171</v>
      </c>
      <c r="L1342" s="45" t="s">
        <v>1177</v>
      </c>
      <c r="M1342" s="20" t="s">
        <v>1178</v>
      </c>
      <c r="N1342" s="47">
        <v>45625</v>
      </c>
      <c r="O1342" s="20">
        <f>INDEX(Auxiliar!$D$5:$F$13,MATCH(Table1[[#This Row],[Tipologia_Testes]],Auxiliar!$B$5:$B$13,0),MATCH(Table1[[#This Row],[Complexidade]],Auxiliar!$D$4:$F$4,0))</f>
        <v>2</v>
      </c>
      <c r="P1342" s="42"/>
      <c r="Q1342" s="151"/>
      <c r="R1342" s="151">
        <v>45593</v>
      </c>
      <c r="S1342" s="151"/>
      <c r="T1342" s="151">
        <v>45593</v>
      </c>
      <c r="U1342" s="151">
        <v>45611</v>
      </c>
      <c r="V1342" s="151">
        <v>45611</v>
      </c>
      <c r="W1342" s="2">
        <f>VLOOKUP(Table1[[#This Row],[Status]],Auxiliar!$B$16:$D$24,3,0)*Table1[[#This Row],[Estimação (horas)]]</f>
        <v>2</v>
      </c>
      <c r="X1342" s="166">
        <f>+VLOOKUP(CONCATENATE(Table1[[#This Row],[Tabela]],Table1[[#This Row],[Campo]]),'2. Status Detalhe Campos FY24'!A:J,9,FALSE)</f>
        <v>0</v>
      </c>
    </row>
    <row r="1343" spans="2:24" ht="17.850000000000001" hidden="1" customHeight="1">
      <c r="B1343" s="38" t="s">
        <v>26</v>
      </c>
      <c r="C1343" s="38" t="s">
        <v>26</v>
      </c>
      <c r="D1343" s="2" t="s">
        <v>38</v>
      </c>
      <c r="E1343" s="38" t="s">
        <v>38</v>
      </c>
      <c r="F1343" s="38" t="s">
        <v>1866</v>
      </c>
      <c r="G1343" s="38" t="s">
        <v>211</v>
      </c>
      <c r="H1343" s="58" t="str">
        <f>Table1[[#This Row],[Tabela]]&amp;Table1[[#This Row],[Campo]]</f>
        <v>lt827_mthd_usd_instrmntordem</v>
      </c>
      <c r="I1343" s="2" t="s">
        <v>612</v>
      </c>
      <c r="J1343" s="44">
        <f>VLOOKUP(Table1[[#This Row],[Status]],Auxiliar!$B$16:$C$24,2,0)</f>
        <v>1</v>
      </c>
      <c r="K1343" s="44" t="s">
        <v>1172</v>
      </c>
      <c r="L1343" s="45" t="s">
        <v>1177</v>
      </c>
      <c r="M1343" s="20" t="s">
        <v>1178</v>
      </c>
      <c r="N1343" s="47">
        <v>45625</v>
      </c>
      <c r="O1343" s="20">
        <f>INDEX(Auxiliar!$D$5:$F$13,MATCH(Table1[[#This Row],[Tipologia_Testes]],Auxiliar!$B$5:$B$13,0),MATCH(Table1[[#This Row],[Complexidade]],Auxiliar!$D$4:$F$4,0))</f>
        <v>2</v>
      </c>
      <c r="P1343" s="42"/>
      <c r="Q1343" s="151"/>
      <c r="R1343" s="151">
        <v>45593</v>
      </c>
      <c r="S1343" s="151"/>
      <c r="T1343" s="151">
        <v>45593</v>
      </c>
      <c r="U1343" s="151">
        <v>45611</v>
      </c>
      <c r="V1343" s="151">
        <v>45611</v>
      </c>
      <c r="W1343" s="2">
        <f>VLOOKUP(Table1[[#This Row],[Status]],Auxiliar!$B$16:$D$24,3,0)*Table1[[#This Row],[Estimação (horas)]]</f>
        <v>2</v>
      </c>
      <c r="X1343" s="166">
        <f>+VLOOKUP(CONCATENATE(Table1[[#This Row],[Tabela]],Table1[[#This Row],[Campo]]),'2. Status Detalhe Campos FY24'!A:J,9,FALSE)</f>
        <v>0</v>
      </c>
    </row>
    <row r="1344" spans="2:24" ht="17.850000000000001" hidden="1" customHeight="1">
      <c r="B1344" s="38" t="s">
        <v>26</v>
      </c>
      <c r="C1344" s="38" t="s">
        <v>26</v>
      </c>
      <c r="D1344" s="2" t="s">
        <v>38</v>
      </c>
      <c r="E1344" s="38" t="s">
        <v>38</v>
      </c>
      <c r="F1344" s="38" t="s">
        <v>1866</v>
      </c>
      <c r="G1344" s="38" t="s">
        <v>211</v>
      </c>
      <c r="H1344" s="58" t="str">
        <f>Table1[[#This Row],[Tabela]]&amp;Table1[[#This Row],[Campo]]</f>
        <v>lt827_mthd_usd_instrmntordem</v>
      </c>
      <c r="I1344" s="2" t="s">
        <v>612</v>
      </c>
      <c r="J1344" s="44">
        <f>VLOOKUP(Table1[[#This Row],[Status]],Auxiliar!$B$16:$C$24,2,0)</f>
        <v>1</v>
      </c>
      <c r="K1344" s="44" t="s">
        <v>1174</v>
      </c>
      <c r="L1344" s="45" t="s">
        <v>1177</v>
      </c>
      <c r="M1344" s="20" t="s">
        <v>1178</v>
      </c>
      <c r="N1344" s="47">
        <v>45625</v>
      </c>
      <c r="O1344" s="20">
        <f>INDEX(Auxiliar!$D$5:$F$13,MATCH(Table1[[#This Row],[Tipologia_Testes]],Auxiliar!$B$5:$B$13,0),MATCH(Table1[[#This Row],[Complexidade]],Auxiliar!$D$4:$F$4,0))</f>
        <v>0.1</v>
      </c>
      <c r="P1344" s="42"/>
      <c r="Q1344" s="151"/>
      <c r="R1344" s="151">
        <v>45593</v>
      </c>
      <c r="S1344" s="151"/>
      <c r="T1344" s="151">
        <v>45593</v>
      </c>
      <c r="U1344" s="151">
        <v>45611</v>
      </c>
      <c r="V1344" s="151">
        <v>45611</v>
      </c>
      <c r="W1344" s="2">
        <f>VLOOKUP(Table1[[#This Row],[Status]],Auxiliar!$B$16:$D$24,3,0)*Table1[[#This Row],[Estimação (horas)]]</f>
        <v>0.1</v>
      </c>
      <c r="X1344" s="166">
        <f>+VLOOKUP(CONCATENATE(Table1[[#This Row],[Tabela]],Table1[[#This Row],[Campo]]),'2. Status Detalhe Campos FY24'!A:J,9,FALSE)</f>
        <v>0</v>
      </c>
    </row>
    <row r="1345" spans="2:24" ht="17.850000000000001" hidden="1" customHeight="1">
      <c r="B1345" s="38" t="s">
        <v>26</v>
      </c>
      <c r="C1345" s="38" t="s">
        <v>26</v>
      </c>
      <c r="D1345" s="2" t="s">
        <v>38</v>
      </c>
      <c r="E1345" s="39" t="s">
        <v>38</v>
      </c>
      <c r="F1345" s="39" t="s">
        <v>1866</v>
      </c>
      <c r="G1345" s="39" t="s">
        <v>391</v>
      </c>
      <c r="H1345" s="59" t="str">
        <f>Table1[[#This Row],[Tabela]]&amp;Table1[[#This Row],[Campo]]</f>
        <v>lt827_mthd_usd_instrmnttabela</v>
      </c>
      <c r="I1345" s="2" t="s">
        <v>612</v>
      </c>
      <c r="J1345" s="44">
        <f>VLOOKUP(Table1[[#This Row],[Status]],Auxiliar!$B$16:$C$24,2,0)</f>
        <v>1</v>
      </c>
      <c r="K1345" s="44" t="s">
        <v>1171</v>
      </c>
      <c r="L1345" s="45" t="s">
        <v>1177</v>
      </c>
      <c r="M1345" s="20" t="s">
        <v>1178</v>
      </c>
      <c r="N1345" s="47">
        <v>45625</v>
      </c>
      <c r="O1345" s="20">
        <f>INDEX(Auxiliar!$D$5:$F$13,MATCH(Table1[[#This Row],[Tipologia_Testes]],Auxiliar!$B$5:$B$13,0),MATCH(Table1[[#This Row],[Complexidade]],Auxiliar!$D$4:$F$4,0))</f>
        <v>2</v>
      </c>
      <c r="P1345" s="42"/>
      <c r="Q1345" s="151"/>
      <c r="R1345" s="151">
        <v>45593</v>
      </c>
      <c r="S1345" s="151"/>
      <c r="T1345" s="151">
        <v>45593</v>
      </c>
      <c r="U1345" s="151">
        <v>45611</v>
      </c>
      <c r="V1345" s="151">
        <v>45611</v>
      </c>
      <c r="W1345" s="2">
        <f>VLOOKUP(Table1[[#This Row],[Status]],Auxiliar!$B$16:$D$24,3,0)*Table1[[#This Row],[Estimação (horas)]]</f>
        <v>2</v>
      </c>
      <c r="X1345" s="166">
        <f>+VLOOKUP(CONCATENATE(Table1[[#This Row],[Tabela]],Table1[[#This Row],[Campo]]),'2. Status Detalhe Campos FY24'!A:J,9,FALSE)</f>
        <v>0</v>
      </c>
    </row>
    <row r="1346" spans="2:24" ht="17.850000000000001" hidden="1" customHeight="1">
      <c r="B1346" s="38" t="s">
        <v>26</v>
      </c>
      <c r="C1346" s="38" t="s">
        <v>26</v>
      </c>
      <c r="D1346" s="2" t="s">
        <v>38</v>
      </c>
      <c r="E1346" s="38" t="s">
        <v>38</v>
      </c>
      <c r="F1346" s="38" t="s">
        <v>1866</v>
      </c>
      <c r="G1346" s="38" t="s">
        <v>391</v>
      </c>
      <c r="H1346" s="58" t="str">
        <f>Table1[[#This Row],[Tabela]]&amp;Table1[[#This Row],[Campo]]</f>
        <v>lt827_mthd_usd_instrmnttabela</v>
      </c>
      <c r="I1346" s="2" t="s">
        <v>612</v>
      </c>
      <c r="J1346" s="44">
        <f>VLOOKUP(Table1[[#This Row],[Status]],Auxiliar!$B$16:$C$24,2,0)</f>
        <v>1</v>
      </c>
      <c r="K1346" s="44" t="s">
        <v>1172</v>
      </c>
      <c r="L1346" s="45" t="s">
        <v>1177</v>
      </c>
      <c r="M1346" s="20" t="s">
        <v>1178</v>
      </c>
      <c r="N1346" s="47">
        <v>45625</v>
      </c>
      <c r="O1346" s="20">
        <f>INDEX(Auxiliar!$D$5:$F$13,MATCH(Table1[[#This Row],[Tipologia_Testes]],Auxiliar!$B$5:$B$13,0),MATCH(Table1[[#This Row],[Complexidade]],Auxiliar!$D$4:$F$4,0))</f>
        <v>2</v>
      </c>
      <c r="P1346" s="42"/>
      <c r="Q1346" s="151"/>
      <c r="R1346" s="151">
        <v>45593</v>
      </c>
      <c r="S1346" s="151"/>
      <c r="T1346" s="151">
        <v>45593</v>
      </c>
      <c r="U1346" s="151">
        <v>45611</v>
      </c>
      <c r="V1346" s="151">
        <v>45611</v>
      </c>
      <c r="W1346" s="2">
        <f>VLOOKUP(Table1[[#This Row],[Status]],Auxiliar!$B$16:$D$24,3,0)*Table1[[#This Row],[Estimação (horas)]]</f>
        <v>2</v>
      </c>
      <c r="X1346" s="166">
        <f>+VLOOKUP(CONCATENATE(Table1[[#This Row],[Tabela]],Table1[[#This Row],[Campo]]),'2. Status Detalhe Campos FY24'!A:J,9,FALSE)</f>
        <v>0</v>
      </c>
    </row>
    <row r="1347" spans="2:24" ht="17.850000000000001" hidden="1" customHeight="1">
      <c r="B1347" s="38" t="s">
        <v>26</v>
      </c>
      <c r="C1347" s="38" t="s">
        <v>26</v>
      </c>
      <c r="D1347" s="2" t="s">
        <v>38</v>
      </c>
      <c r="E1347" s="38" t="s">
        <v>38</v>
      </c>
      <c r="F1347" s="38" t="s">
        <v>1866</v>
      </c>
      <c r="G1347" s="38" t="s">
        <v>391</v>
      </c>
      <c r="H1347" s="58" t="str">
        <f>Table1[[#This Row],[Tabela]]&amp;Table1[[#This Row],[Campo]]</f>
        <v>lt827_mthd_usd_instrmnttabela</v>
      </c>
      <c r="I1347" s="2" t="s">
        <v>612</v>
      </c>
      <c r="J1347" s="44">
        <f>VLOOKUP(Table1[[#This Row],[Status]],Auxiliar!$B$16:$C$24,2,0)</f>
        <v>1</v>
      </c>
      <c r="K1347" s="44" t="s">
        <v>1174</v>
      </c>
      <c r="L1347" s="45" t="s">
        <v>1177</v>
      </c>
      <c r="M1347" s="20" t="s">
        <v>1178</v>
      </c>
      <c r="N1347" s="47">
        <v>45625</v>
      </c>
      <c r="O1347" s="20">
        <f>INDEX(Auxiliar!$D$5:$F$13,MATCH(Table1[[#This Row],[Tipologia_Testes]],Auxiliar!$B$5:$B$13,0),MATCH(Table1[[#This Row],[Complexidade]],Auxiliar!$D$4:$F$4,0))</f>
        <v>0.1</v>
      </c>
      <c r="P1347" s="42"/>
      <c r="Q1347" s="151"/>
      <c r="R1347" s="151">
        <v>45593</v>
      </c>
      <c r="S1347" s="151"/>
      <c r="T1347" s="151">
        <v>45593</v>
      </c>
      <c r="U1347" s="151">
        <v>45611</v>
      </c>
      <c r="V1347" s="151">
        <v>45611</v>
      </c>
      <c r="W1347" s="2">
        <f>VLOOKUP(Table1[[#This Row],[Status]],Auxiliar!$B$16:$D$24,3,0)*Table1[[#This Row],[Estimação (horas)]]</f>
        <v>0.1</v>
      </c>
      <c r="X1347" s="166">
        <f>+VLOOKUP(CONCATENATE(Table1[[#This Row],[Tabela]],Table1[[#This Row],[Campo]]),'2. Status Detalhe Campos FY24'!A:J,9,FALSE)</f>
        <v>0</v>
      </c>
    </row>
    <row r="1348" spans="2:24" ht="17.850000000000001" hidden="1" customHeight="1">
      <c r="B1348" s="38" t="s">
        <v>26</v>
      </c>
      <c r="C1348" s="38" t="s">
        <v>26</v>
      </c>
      <c r="D1348" s="2" t="s">
        <v>38</v>
      </c>
      <c r="E1348" s="39" t="s">
        <v>38</v>
      </c>
      <c r="F1348" s="39" t="s">
        <v>1866</v>
      </c>
      <c r="G1348" s="37" t="s">
        <v>319</v>
      </c>
      <c r="H1348" s="59" t="str">
        <f>Table1[[#This Row],[Tabela]]&amp;Table1[[#This Row],[Campo]]</f>
        <v>lt827_mthd_usd_instrmntorigem_scp1_emss</v>
      </c>
      <c r="I1348" s="2" t="s">
        <v>612</v>
      </c>
      <c r="J1348" s="44">
        <f>VLOOKUP(Table1[[#This Row],[Status]],Auxiliar!$B$16:$C$24,2,0)</f>
        <v>1</v>
      </c>
      <c r="K1348" s="44" t="s">
        <v>1171</v>
      </c>
      <c r="L1348" s="45" t="s">
        <v>1177</v>
      </c>
      <c r="M1348" s="20" t="s">
        <v>1178</v>
      </c>
      <c r="N1348" s="47">
        <v>45625</v>
      </c>
      <c r="O1348" s="20">
        <f>INDEX(Auxiliar!$D$5:$F$13,MATCH(Table1[[#This Row],[Tipologia_Testes]],Auxiliar!$B$5:$B$13,0),MATCH(Table1[[#This Row],[Complexidade]],Auxiliar!$D$4:$F$4,0))</f>
        <v>2</v>
      </c>
      <c r="P1348" s="42"/>
      <c r="Q1348" s="151"/>
      <c r="R1348" s="151">
        <v>45593</v>
      </c>
      <c r="S1348" s="151"/>
      <c r="T1348" s="151">
        <v>45593</v>
      </c>
      <c r="U1348" s="151">
        <v>45611</v>
      </c>
      <c r="V1348" s="151">
        <v>45611</v>
      </c>
      <c r="W1348" s="2">
        <f>VLOOKUP(Table1[[#This Row],[Status]],Auxiliar!$B$16:$D$24,3,0)*Table1[[#This Row],[Estimação (horas)]]</f>
        <v>2</v>
      </c>
      <c r="X1348" s="166">
        <f>+VLOOKUP(CONCATENATE(Table1[[#This Row],[Tabela]],Table1[[#This Row],[Campo]]),'2. Status Detalhe Campos FY24'!A:J,9,FALSE)</f>
        <v>0</v>
      </c>
    </row>
    <row r="1349" spans="2:24" ht="17.850000000000001" hidden="1" customHeight="1">
      <c r="B1349" s="38" t="s">
        <v>26</v>
      </c>
      <c r="C1349" s="38" t="s">
        <v>26</v>
      </c>
      <c r="D1349" s="2" t="s">
        <v>38</v>
      </c>
      <c r="E1349" s="38" t="s">
        <v>38</v>
      </c>
      <c r="F1349" s="38" t="s">
        <v>1866</v>
      </c>
      <c r="G1349" s="38" t="s">
        <v>319</v>
      </c>
      <c r="H1349" s="58" t="str">
        <f>Table1[[#This Row],[Tabela]]&amp;Table1[[#This Row],[Campo]]</f>
        <v>lt827_mthd_usd_instrmntorigem_scp1_emss</v>
      </c>
      <c r="I1349" s="2" t="s">
        <v>612</v>
      </c>
      <c r="J1349" s="44">
        <f>VLOOKUP(Table1[[#This Row],[Status]],Auxiliar!$B$16:$C$24,2,0)</f>
        <v>1</v>
      </c>
      <c r="K1349" s="44" t="s">
        <v>1172</v>
      </c>
      <c r="L1349" s="45" t="s">
        <v>1177</v>
      </c>
      <c r="M1349" s="20" t="s">
        <v>1178</v>
      </c>
      <c r="N1349" s="47">
        <v>45625</v>
      </c>
      <c r="O1349" s="20">
        <f>INDEX(Auxiliar!$D$5:$F$13,MATCH(Table1[[#This Row],[Tipologia_Testes]],Auxiliar!$B$5:$B$13,0),MATCH(Table1[[#This Row],[Complexidade]],Auxiliar!$D$4:$F$4,0))</f>
        <v>2</v>
      </c>
      <c r="P1349" s="42"/>
      <c r="Q1349" s="151"/>
      <c r="R1349" s="151">
        <v>45593</v>
      </c>
      <c r="S1349" s="151"/>
      <c r="T1349" s="151">
        <v>45593</v>
      </c>
      <c r="U1349" s="151">
        <v>45611</v>
      </c>
      <c r="V1349" s="151">
        <v>45611</v>
      </c>
      <c r="W1349" s="2">
        <f>VLOOKUP(Table1[[#This Row],[Status]],Auxiliar!$B$16:$D$24,3,0)*Table1[[#This Row],[Estimação (horas)]]</f>
        <v>2</v>
      </c>
      <c r="X1349" s="166">
        <f>+VLOOKUP(CONCATENATE(Table1[[#This Row],[Tabela]],Table1[[#This Row],[Campo]]),'2. Status Detalhe Campos FY24'!A:J,9,FALSE)</f>
        <v>0</v>
      </c>
    </row>
    <row r="1350" spans="2:24" ht="17.850000000000001" hidden="1" customHeight="1">
      <c r="B1350" s="38" t="s">
        <v>26</v>
      </c>
      <c r="C1350" s="38" t="s">
        <v>26</v>
      </c>
      <c r="D1350" s="2" t="s">
        <v>38</v>
      </c>
      <c r="E1350" s="38" t="s">
        <v>38</v>
      </c>
      <c r="F1350" s="38" t="s">
        <v>1866</v>
      </c>
      <c r="G1350" s="38" t="s">
        <v>319</v>
      </c>
      <c r="H1350" s="58" t="str">
        <f>Table1[[#This Row],[Tabela]]&amp;Table1[[#This Row],[Campo]]</f>
        <v>lt827_mthd_usd_instrmntorigem_scp1_emss</v>
      </c>
      <c r="I1350" s="2" t="s">
        <v>612</v>
      </c>
      <c r="J1350" s="44">
        <f>VLOOKUP(Table1[[#This Row],[Status]],Auxiliar!$B$16:$C$24,2,0)</f>
        <v>1</v>
      </c>
      <c r="K1350" s="44" t="s">
        <v>1174</v>
      </c>
      <c r="L1350" s="45" t="s">
        <v>1177</v>
      </c>
      <c r="M1350" s="20" t="s">
        <v>1178</v>
      </c>
      <c r="N1350" s="47">
        <v>45625</v>
      </c>
      <c r="O1350" s="20">
        <f>INDEX(Auxiliar!$D$5:$F$13,MATCH(Table1[[#This Row],[Tipologia_Testes]],Auxiliar!$B$5:$B$13,0),MATCH(Table1[[#This Row],[Complexidade]],Auxiliar!$D$4:$F$4,0))</f>
        <v>0.1</v>
      </c>
      <c r="P1350" s="42"/>
      <c r="Q1350" s="151"/>
      <c r="R1350" s="151">
        <v>45593</v>
      </c>
      <c r="S1350" s="151"/>
      <c r="T1350" s="151">
        <v>45593</v>
      </c>
      <c r="U1350" s="151">
        <v>45611</v>
      </c>
      <c r="V1350" s="151">
        <v>45611</v>
      </c>
      <c r="W1350" s="2">
        <f>VLOOKUP(Table1[[#This Row],[Status]],Auxiliar!$B$16:$D$24,3,0)*Table1[[#This Row],[Estimação (horas)]]</f>
        <v>0.1</v>
      </c>
      <c r="X1350" s="166">
        <f>+VLOOKUP(CONCATENATE(Table1[[#This Row],[Tabela]],Table1[[#This Row],[Campo]]),'2. Status Detalhe Campos FY24'!A:J,9,FALSE)</f>
        <v>0</v>
      </c>
    </row>
    <row r="1351" spans="2:24" ht="17.850000000000001" hidden="1" customHeight="1">
      <c r="B1351" s="38" t="s">
        <v>26</v>
      </c>
      <c r="C1351" s="38" t="s">
        <v>26</v>
      </c>
      <c r="D1351" s="2" t="s">
        <v>38</v>
      </c>
      <c r="E1351" s="39" t="s">
        <v>38</v>
      </c>
      <c r="F1351" s="39" t="s">
        <v>1866</v>
      </c>
      <c r="G1351" s="37" t="s">
        <v>320</v>
      </c>
      <c r="H1351" s="59" t="str">
        <f>Table1[[#This Row],[Tabela]]&amp;Table1[[#This Row],[Campo]]</f>
        <v>lt827_mthd_usd_instrmntorigem_scp2_emss</v>
      </c>
      <c r="I1351" s="2" t="s">
        <v>612</v>
      </c>
      <c r="J1351" s="44">
        <f>VLOOKUP(Table1[[#This Row],[Status]],Auxiliar!$B$16:$C$24,2,0)</f>
        <v>1</v>
      </c>
      <c r="K1351" s="44" t="s">
        <v>1171</v>
      </c>
      <c r="L1351" s="45" t="s">
        <v>1177</v>
      </c>
      <c r="M1351" s="20" t="s">
        <v>1178</v>
      </c>
      <c r="N1351" s="47">
        <v>45625</v>
      </c>
      <c r="O1351" s="20">
        <f>INDEX(Auxiliar!$D$5:$F$13,MATCH(Table1[[#This Row],[Tipologia_Testes]],Auxiliar!$B$5:$B$13,0),MATCH(Table1[[#This Row],[Complexidade]],Auxiliar!$D$4:$F$4,0))</f>
        <v>2</v>
      </c>
      <c r="P1351" s="42"/>
      <c r="Q1351" s="151"/>
      <c r="R1351" s="151">
        <v>45593</v>
      </c>
      <c r="S1351" s="151"/>
      <c r="T1351" s="151">
        <v>45593</v>
      </c>
      <c r="U1351" s="151">
        <v>45611</v>
      </c>
      <c r="V1351" s="151">
        <v>45611</v>
      </c>
      <c r="W1351" s="2">
        <f>VLOOKUP(Table1[[#This Row],[Status]],Auxiliar!$B$16:$D$24,3,0)*Table1[[#This Row],[Estimação (horas)]]</f>
        <v>2</v>
      </c>
      <c r="X1351" s="166">
        <f>+VLOOKUP(CONCATENATE(Table1[[#This Row],[Tabela]],Table1[[#This Row],[Campo]]),'2. Status Detalhe Campos FY24'!A:J,9,FALSE)</f>
        <v>0</v>
      </c>
    </row>
    <row r="1352" spans="2:24" ht="17.850000000000001" hidden="1" customHeight="1">
      <c r="B1352" s="38" t="s">
        <v>26</v>
      </c>
      <c r="C1352" s="38" t="s">
        <v>26</v>
      </c>
      <c r="D1352" s="2" t="s">
        <v>38</v>
      </c>
      <c r="E1352" s="38" t="s">
        <v>38</v>
      </c>
      <c r="F1352" s="38" t="s">
        <v>1866</v>
      </c>
      <c r="G1352" s="38" t="s">
        <v>320</v>
      </c>
      <c r="H1352" s="58" t="str">
        <f>Table1[[#This Row],[Tabela]]&amp;Table1[[#This Row],[Campo]]</f>
        <v>lt827_mthd_usd_instrmntorigem_scp2_emss</v>
      </c>
      <c r="I1352" s="2" t="s">
        <v>612</v>
      </c>
      <c r="J1352" s="44">
        <f>VLOOKUP(Table1[[#This Row],[Status]],Auxiliar!$B$16:$C$24,2,0)</f>
        <v>1</v>
      </c>
      <c r="K1352" s="44" t="s">
        <v>1172</v>
      </c>
      <c r="L1352" s="45" t="s">
        <v>1177</v>
      </c>
      <c r="M1352" s="20" t="s">
        <v>1178</v>
      </c>
      <c r="N1352" s="47">
        <v>45625</v>
      </c>
      <c r="O1352" s="20">
        <f>INDEX(Auxiliar!$D$5:$F$13,MATCH(Table1[[#This Row],[Tipologia_Testes]],Auxiliar!$B$5:$B$13,0),MATCH(Table1[[#This Row],[Complexidade]],Auxiliar!$D$4:$F$4,0))</f>
        <v>2</v>
      </c>
      <c r="P1352" s="42"/>
      <c r="Q1352" s="151"/>
      <c r="R1352" s="151">
        <v>45593</v>
      </c>
      <c r="S1352" s="151"/>
      <c r="T1352" s="151">
        <v>45593</v>
      </c>
      <c r="U1352" s="151">
        <v>45611</v>
      </c>
      <c r="V1352" s="151">
        <v>45611</v>
      </c>
      <c r="W1352" s="2">
        <f>VLOOKUP(Table1[[#This Row],[Status]],Auxiliar!$B$16:$D$24,3,0)*Table1[[#This Row],[Estimação (horas)]]</f>
        <v>2</v>
      </c>
      <c r="X1352" s="166">
        <f>+VLOOKUP(CONCATENATE(Table1[[#This Row],[Tabela]],Table1[[#This Row],[Campo]]),'2. Status Detalhe Campos FY24'!A:J,9,FALSE)</f>
        <v>0</v>
      </c>
    </row>
    <row r="1353" spans="2:24" ht="17.850000000000001" hidden="1" customHeight="1">
      <c r="B1353" s="38" t="s">
        <v>26</v>
      </c>
      <c r="C1353" s="38" t="s">
        <v>26</v>
      </c>
      <c r="D1353" s="2" t="s">
        <v>38</v>
      </c>
      <c r="E1353" s="38" t="s">
        <v>38</v>
      </c>
      <c r="F1353" s="38" t="s">
        <v>1866</v>
      </c>
      <c r="G1353" s="38" t="s">
        <v>320</v>
      </c>
      <c r="H1353" s="58" t="str">
        <f>Table1[[#This Row],[Tabela]]&amp;Table1[[#This Row],[Campo]]</f>
        <v>lt827_mthd_usd_instrmntorigem_scp2_emss</v>
      </c>
      <c r="I1353" s="2" t="s">
        <v>612</v>
      </c>
      <c r="J1353" s="44">
        <f>VLOOKUP(Table1[[#This Row],[Status]],Auxiliar!$B$16:$C$24,2,0)</f>
        <v>1</v>
      </c>
      <c r="K1353" s="44" t="s">
        <v>1174</v>
      </c>
      <c r="L1353" s="45" t="s">
        <v>1177</v>
      </c>
      <c r="M1353" s="20" t="s">
        <v>1178</v>
      </c>
      <c r="N1353" s="47">
        <v>45625</v>
      </c>
      <c r="O1353" s="20">
        <f>INDEX(Auxiliar!$D$5:$F$13,MATCH(Table1[[#This Row],[Tipologia_Testes]],Auxiliar!$B$5:$B$13,0),MATCH(Table1[[#This Row],[Complexidade]],Auxiliar!$D$4:$F$4,0))</f>
        <v>0.1</v>
      </c>
      <c r="P1353" s="42"/>
      <c r="Q1353" s="151"/>
      <c r="R1353" s="151">
        <v>45593</v>
      </c>
      <c r="S1353" s="151"/>
      <c r="T1353" s="151">
        <v>45593</v>
      </c>
      <c r="U1353" s="151">
        <v>45611</v>
      </c>
      <c r="V1353" s="151">
        <v>45611</v>
      </c>
      <c r="W1353" s="2">
        <f>VLOOKUP(Table1[[#This Row],[Status]],Auxiliar!$B$16:$D$24,3,0)*Table1[[#This Row],[Estimação (horas)]]</f>
        <v>0.1</v>
      </c>
      <c r="X1353" s="166">
        <f>+VLOOKUP(CONCATENATE(Table1[[#This Row],[Tabela]],Table1[[#This Row],[Campo]]),'2. Status Detalhe Campos FY24'!A:J,9,FALSE)</f>
        <v>0</v>
      </c>
    </row>
    <row r="1354" spans="2:24" ht="17.850000000000001" hidden="1" customHeight="1">
      <c r="B1354" s="38" t="s">
        <v>26</v>
      </c>
      <c r="C1354" s="38" t="s">
        <v>26</v>
      </c>
      <c r="D1354" s="2" t="s">
        <v>38</v>
      </c>
      <c r="E1354" s="39" t="s">
        <v>38</v>
      </c>
      <c r="F1354" s="39" t="s">
        <v>1866</v>
      </c>
      <c r="G1354" s="37" t="s">
        <v>321</v>
      </c>
      <c r="H1354" s="59" t="str">
        <f>Table1[[#This Row],[Tabela]]&amp;Table1[[#This Row],[Campo]]</f>
        <v>lt827_mthd_usd_instrmntorigem_scp3_emss</v>
      </c>
      <c r="I1354" s="2" t="s">
        <v>612</v>
      </c>
      <c r="J1354" s="44">
        <f>VLOOKUP(Table1[[#This Row],[Status]],Auxiliar!$B$16:$C$24,2,0)</f>
        <v>1</v>
      </c>
      <c r="K1354" s="44" t="s">
        <v>1171</v>
      </c>
      <c r="L1354" s="45" t="s">
        <v>1177</v>
      </c>
      <c r="M1354" s="20" t="s">
        <v>1178</v>
      </c>
      <c r="N1354" s="47">
        <v>45625</v>
      </c>
      <c r="O1354" s="20">
        <f>INDEX(Auxiliar!$D$5:$F$13,MATCH(Table1[[#This Row],[Tipologia_Testes]],Auxiliar!$B$5:$B$13,0),MATCH(Table1[[#This Row],[Complexidade]],Auxiliar!$D$4:$F$4,0))</f>
        <v>2</v>
      </c>
      <c r="P1354" s="42"/>
      <c r="Q1354" s="151"/>
      <c r="R1354" s="151">
        <v>45593</v>
      </c>
      <c r="S1354" s="151"/>
      <c r="T1354" s="151">
        <v>45593</v>
      </c>
      <c r="U1354" s="151">
        <v>45611</v>
      </c>
      <c r="V1354" s="151">
        <v>45611</v>
      </c>
      <c r="W1354" s="2">
        <f>VLOOKUP(Table1[[#This Row],[Status]],Auxiliar!$B$16:$D$24,3,0)*Table1[[#This Row],[Estimação (horas)]]</f>
        <v>2</v>
      </c>
      <c r="X1354" s="166">
        <f>+VLOOKUP(CONCATENATE(Table1[[#This Row],[Tabela]],Table1[[#This Row],[Campo]]),'2. Status Detalhe Campos FY24'!A:J,9,FALSE)</f>
        <v>0</v>
      </c>
    </row>
    <row r="1355" spans="2:24" ht="17.850000000000001" hidden="1" customHeight="1">
      <c r="B1355" s="38" t="s">
        <v>26</v>
      </c>
      <c r="C1355" s="38" t="s">
        <v>26</v>
      </c>
      <c r="D1355" s="2" t="s">
        <v>38</v>
      </c>
      <c r="E1355" s="38" t="s">
        <v>38</v>
      </c>
      <c r="F1355" s="38" t="s">
        <v>1866</v>
      </c>
      <c r="G1355" s="38" t="s">
        <v>321</v>
      </c>
      <c r="H1355" s="58" t="str">
        <f>Table1[[#This Row],[Tabela]]&amp;Table1[[#This Row],[Campo]]</f>
        <v>lt827_mthd_usd_instrmntorigem_scp3_emss</v>
      </c>
      <c r="I1355" s="2" t="s">
        <v>612</v>
      </c>
      <c r="J1355" s="44">
        <f>VLOOKUP(Table1[[#This Row],[Status]],Auxiliar!$B$16:$C$24,2,0)</f>
        <v>1</v>
      </c>
      <c r="K1355" s="44" t="s">
        <v>1172</v>
      </c>
      <c r="L1355" s="45" t="s">
        <v>1177</v>
      </c>
      <c r="M1355" s="20" t="s">
        <v>1178</v>
      </c>
      <c r="N1355" s="47">
        <v>45625</v>
      </c>
      <c r="O1355" s="20">
        <f>INDEX(Auxiliar!$D$5:$F$13,MATCH(Table1[[#This Row],[Tipologia_Testes]],Auxiliar!$B$5:$B$13,0),MATCH(Table1[[#This Row],[Complexidade]],Auxiliar!$D$4:$F$4,0))</f>
        <v>2</v>
      </c>
      <c r="P1355" s="42"/>
      <c r="Q1355" s="151"/>
      <c r="R1355" s="151">
        <v>45593</v>
      </c>
      <c r="S1355" s="151"/>
      <c r="T1355" s="151">
        <v>45593</v>
      </c>
      <c r="U1355" s="151">
        <v>45611</v>
      </c>
      <c r="V1355" s="151">
        <v>45611</v>
      </c>
      <c r="W1355" s="2">
        <f>VLOOKUP(Table1[[#This Row],[Status]],Auxiliar!$B$16:$D$24,3,0)*Table1[[#This Row],[Estimação (horas)]]</f>
        <v>2</v>
      </c>
      <c r="X1355" s="166">
        <f>+VLOOKUP(CONCATENATE(Table1[[#This Row],[Tabela]],Table1[[#This Row],[Campo]]),'2. Status Detalhe Campos FY24'!A:J,9,FALSE)</f>
        <v>0</v>
      </c>
    </row>
    <row r="1356" spans="2:24" ht="17.850000000000001" hidden="1" customHeight="1">
      <c r="B1356" s="38" t="s">
        <v>26</v>
      </c>
      <c r="C1356" s="38" t="s">
        <v>26</v>
      </c>
      <c r="D1356" s="2" t="s">
        <v>38</v>
      </c>
      <c r="E1356" s="38" t="s">
        <v>38</v>
      </c>
      <c r="F1356" s="38" t="s">
        <v>1866</v>
      </c>
      <c r="G1356" s="38" t="s">
        <v>321</v>
      </c>
      <c r="H1356" s="58" t="str">
        <f>Table1[[#This Row],[Tabela]]&amp;Table1[[#This Row],[Campo]]</f>
        <v>lt827_mthd_usd_instrmntorigem_scp3_emss</v>
      </c>
      <c r="I1356" s="2" t="s">
        <v>612</v>
      </c>
      <c r="J1356" s="44">
        <f>VLOOKUP(Table1[[#This Row],[Status]],Auxiliar!$B$16:$C$24,2,0)</f>
        <v>1</v>
      </c>
      <c r="K1356" s="44" t="s">
        <v>1174</v>
      </c>
      <c r="L1356" s="45" t="s">
        <v>1177</v>
      </c>
      <c r="M1356" s="20" t="s">
        <v>1178</v>
      </c>
      <c r="N1356" s="47">
        <v>45625</v>
      </c>
      <c r="O1356" s="20">
        <f>INDEX(Auxiliar!$D$5:$F$13,MATCH(Table1[[#This Row],[Tipologia_Testes]],Auxiliar!$B$5:$B$13,0),MATCH(Table1[[#This Row],[Complexidade]],Auxiliar!$D$4:$F$4,0))</f>
        <v>0.1</v>
      </c>
      <c r="P1356" s="42"/>
      <c r="Q1356" s="151"/>
      <c r="R1356" s="151">
        <v>45593</v>
      </c>
      <c r="S1356" s="151"/>
      <c r="T1356" s="151">
        <v>45593</v>
      </c>
      <c r="U1356" s="151">
        <v>45611</v>
      </c>
      <c r="V1356" s="151">
        <v>45611</v>
      </c>
      <c r="W1356" s="2">
        <f>VLOOKUP(Table1[[#This Row],[Status]],Auxiliar!$B$16:$D$24,3,0)*Table1[[#This Row],[Estimação (horas)]]</f>
        <v>0.1</v>
      </c>
      <c r="X1356" s="166">
        <f>+VLOOKUP(CONCATENATE(Table1[[#This Row],[Tabela]],Table1[[#This Row],[Campo]]),'2. Status Detalhe Campos FY24'!A:J,9,FALSE)</f>
        <v>0</v>
      </c>
    </row>
    <row r="1357" spans="2:24" ht="17.850000000000001" hidden="1" customHeight="1">
      <c r="B1357" s="38" t="s">
        <v>26</v>
      </c>
      <c r="C1357" s="38" t="s">
        <v>26</v>
      </c>
      <c r="D1357" s="2" t="s">
        <v>38</v>
      </c>
      <c r="E1357" s="39" t="s">
        <v>38</v>
      </c>
      <c r="F1357" s="39" t="s">
        <v>1866</v>
      </c>
      <c r="G1357" s="37" t="s">
        <v>385</v>
      </c>
      <c r="H1357" s="59" t="str">
        <f>Table1[[#This Row],[Tabela]]&amp;Table1[[#This Row],[Campo]]</f>
        <v>lt827_mthd_usd_instrmntmthd_usd_instrmnt_scp_1</v>
      </c>
      <c r="I1357" s="2" t="s">
        <v>612</v>
      </c>
      <c r="J1357" s="44">
        <f>VLOOKUP(Table1[[#This Row],[Status]],Auxiliar!$B$16:$C$24,2,0)</f>
        <v>1</v>
      </c>
      <c r="K1357" s="44" t="s">
        <v>1171</v>
      </c>
      <c r="L1357" s="45" t="s">
        <v>1177</v>
      </c>
      <c r="M1357" s="20" t="s">
        <v>1178</v>
      </c>
      <c r="N1357" s="47">
        <v>45625</v>
      </c>
      <c r="O1357" s="20">
        <f>INDEX(Auxiliar!$D$5:$F$13,MATCH(Table1[[#This Row],[Tipologia_Testes]],Auxiliar!$B$5:$B$13,0),MATCH(Table1[[#This Row],[Complexidade]],Auxiliar!$D$4:$F$4,0))</f>
        <v>2</v>
      </c>
      <c r="P1357" s="42"/>
      <c r="Q1357" s="151"/>
      <c r="R1357" s="151">
        <v>45593</v>
      </c>
      <c r="S1357" s="151"/>
      <c r="T1357" s="151">
        <v>45593</v>
      </c>
      <c r="U1357" s="151">
        <v>45611</v>
      </c>
      <c r="V1357" s="151">
        <v>45611</v>
      </c>
      <c r="W1357" s="2">
        <f>VLOOKUP(Table1[[#This Row],[Status]],Auxiliar!$B$16:$D$24,3,0)*Table1[[#This Row],[Estimação (horas)]]</f>
        <v>2</v>
      </c>
      <c r="X1357" s="166">
        <f>+VLOOKUP(CONCATENATE(Table1[[#This Row],[Tabela]],Table1[[#This Row],[Campo]]),'2. Status Detalhe Campos FY24'!A:J,9,FALSE)</f>
        <v>0</v>
      </c>
    </row>
    <row r="1358" spans="2:24" ht="17.850000000000001" hidden="1" customHeight="1">
      <c r="B1358" s="38" t="s">
        <v>26</v>
      </c>
      <c r="C1358" s="38" t="s">
        <v>26</v>
      </c>
      <c r="D1358" s="2" t="s">
        <v>38</v>
      </c>
      <c r="E1358" s="38" t="s">
        <v>38</v>
      </c>
      <c r="F1358" s="38" t="s">
        <v>1866</v>
      </c>
      <c r="G1358" s="38" t="s">
        <v>385</v>
      </c>
      <c r="H1358" s="58" t="str">
        <f>Table1[[#This Row],[Tabela]]&amp;Table1[[#This Row],[Campo]]</f>
        <v>lt827_mthd_usd_instrmntmthd_usd_instrmnt_scp_1</v>
      </c>
      <c r="I1358" s="2" t="s">
        <v>612</v>
      </c>
      <c r="J1358" s="44">
        <f>VLOOKUP(Table1[[#This Row],[Status]],Auxiliar!$B$16:$C$24,2,0)</f>
        <v>1</v>
      </c>
      <c r="K1358" s="44" t="s">
        <v>1172</v>
      </c>
      <c r="L1358" s="45" t="s">
        <v>1177</v>
      </c>
      <c r="M1358" s="20" t="s">
        <v>1178</v>
      </c>
      <c r="N1358" s="47">
        <v>45625</v>
      </c>
      <c r="O1358" s="20">
        <f>INDEX(Auxiliar!$D$5:$F$13,MATCH(Table1[[#This Row],[Tipologia_Testes]],Auxiliar!$B$5:$B$13,0),MATCH(Table1[[#This Row],[Complexidade]],Auxiliar!$D$4:$F$4,0))</f>
        <v>2</v>
      </c>
      <c r="P1358" s="42"/>
      <c r="Q1358" s="151"/>
      <c r="R1358" s="151">
        <v>45593</v>
      </c>
      <c r="S1358" s="151"/>
      <c r="T1358" s="151">
        <v>45593</v>
      </c>
      <c r="U1358" s="151">
        <v>45611</v>
      </c>
      <c r="V1358" s="151">
        <v>45611</v>
      </c>
      <c r="W1358" s="2">
        <f>VLOOKUP(Table1[[#This Row],[Status]],Auxiliar!$B$16:$D$24,3,0)*Table1[[#This Row],[Estimação (horas)]]</f>
        <v>2</v>
      </c>
      <c r="X1358" s="166">
        <f>+VLOOKUP(CONCATENATE(Table1[[#This Row],[Tabela]],Table1[[#This Row],[Campo]]),'2. Status Detalhe Campos FY24'!A:J,9,FALSE)</f>
        <v>0</v>
      </c>
    </row>
    <row r="1359" spans="2:24" ht="17.850000000000001" hidden="1" customHeight="1">
      <c r="B1359" s="38" t="s">
        <v>26</v>
      </c>
      <c r="C1359" s="38" t="s">
        <v>26</v>
      </c>
      <c r="D1359" s="2" t="s">
        <v>38</v>
      </c>
      <c r="E1359" s="38" t="s">
        <v>38</v>
      </c>
      <c r="F1359" s="38" t="s">
        <v>1866</v>
      </c>
      <c r="G1359" s="38" t="s">
        <v>385</v>
      </c>
      <c r="H1359" s="58" t="str">
        <f>Table1[[#This Row],[Tabela]]&amp;Table1[[#This Row],[Campo]]</f>
        <v>lt827_mthd_usd_instrmntmthd_usd_instrmnt_scp_1</v>
      </c>
      <c r="I1359" s="2" t="s">
        <v>612</v>
      </c>
      <c r="J1359" s="44">
        <f>VLOOKUP(Table1[[#This Row],[Status]],Auxiliar!$B$16:$C$24,2,0)</f>
        <v>1</v>
      </c>
      <c r="K1359" s="44" t="s">
        <v>1174</v>
      </c>
      <c r="L1359" s="45" t="s">
        <v>1177</v>
      </c>
      <c r="M1359" s="20" t="s">
        <v>1178</v>
      </c>
      <c r="N1359" s="47">
        <v>45625</v>
      </c>
      <c r="O1359" s="20">
        <f>INDEX(Auxiliar!$D$5:$F$13,MATCH(Table1[[#This Row],[Tipologia_Testes]],Auxiliar!$B$5:$B$13,0),MATCH(Table1[[#This Row],[Complexidade]],Auxiliar!$D$4:$F$4,0))</f>
        <v>0.1</v>
      </c>
      <c r="P1359" s="42"/>
      <c r="Q1359" s="151"/>
      <c r="R1359" s="151">
        <v>45593</v>
      </c>
      <c r="S1359" s="151"/>
      <c r="T1359" s="151">
        <v>45593</v>
      </c>
      <c r="U1359" s="151">
        <v>45611</v>
      </c>
      <c r="V1359" s="151">
        <v>45611</v>
      </c>
      <c r="W1359" s="2">
        <f>VLOOKUP(Table1[[#This Row],[Status]],Auxiliar!$B$16:$D$24,3,0)*Table1[[#This Row],[Estimação (horas)]]</f>
        <v>0.1</v>
      </c>
      <c r="X1359" s="166">
        <f>+VLOOKUP(CONCATENATE(Table1[[#This Row],[Tabela]],Table1[[#This Row],[Campo]]),'2. Status Detalhe Campos FY24'!A:J,9,FALSE)</f>
        <v>0</v>
      </c>
    </row>
    <row r="1360" spans="2:24" ht="17.850000000000001" hidden="1" customHeight="1">
      <c r="B1360" s="38" t="s">
        <v>26</v>
      </c>
      <c r="C1360" s="38" t="s">
        <v>26</v>
      </c>
      <c r="D1360" s="2" t="s">
        <v>38</v>
      </c>
      <c r="E1360" s="39" t="s">
        <v>38</v>
      </c>
      <c r="F1360" s="39" t="s">
        <v>1866</v>
      </c>
      <c r="G1360" s="37" t="s">
        <v>386</v>
      </c>
      <c r="H1360" s="59" t="str">
        <f>Table1[[#This Row],[Tabela]]&amp;Table1[[#This Row],[Campo]]</f>
        <v>lt827_mthd_usd_instrmntmthd_usd_instrmnt_scp_2</v>
      </c>
      <c r="I1360" s="2" t="s">
        <v>612</v>
      </c>
      <c r="J1360" s="44">
        <f>VLOOKUP(Table1[[#This Row],[Status]],Auxiliar!$B$16:$C$24,2,0)</f>
        <v>1</v>
      </c>
      <c r="K1360" s="44" t="s">
        <v>1171</v>
      </c>
      <c r="L1360" s="45" t="s">
        <v>1177</v>
      </c>
      <c r="M1360" s="20" t="s">
        <v>1178</v>
      </c>
      <c r="N1360" s="47">
        <v>45625</v>
      </c>
      <c r="O1360" s="20">
        <f>INDEX(Auxiliar!$D$5:$F$13,MATCH(Table1[[#This Row],[Tipologia_Testes]],Auxiliar!$B$5:$B$13,0),MATCH(Table1[[#This Row],[Complexidade]],Auxiliar!$D$4:$F$4,0))</f>
        <v>2</v>
      </c>
      <c r="P1360" s="42"/>
      <c r="Q1360" s="151"/>
      <c r="R1360" s="151">
        <v>45593</v>
      </c>
      <c r="S1360" s="151"/>
      <c r="T1360" s="151">
        <v>45593</v>
      </c>
      <c r="U1360" s="151">
        <v>45611</v>
      </c>
      <c r="V1360" s="151">
        <v>45611</v>
      </c>
      <c r="W1360" s="2">
        <f>VLOOKUP(Table1[[#This Row],[Status]],Auxiliar!$B$16:$D$24,3,0)*Table1[[#This Row],[Estimação (horas)]]</f>
        <v>2</v>
      </c>
      <c r="X1360" s="166">
        <f>+VLOOKUP(CONCATENATE(Table1[[#This Row],[Tabela]],Table1[[#This Row],[Campo]]),'2. Status Detalhe Campos FY24'!A:J,9,FALSE)</f>
        <v>0</v>
      </c>
    </row>
    <row r="1361" spans="2:24" ht="17.850000000000001" hidden="1" customHeight="1">
      <c r="B1361" s="38" t="s">
        <v>26</v>
      </c>
      <c r="C1361" s="38" t="s">
        <v>26</v>
      </c>
      <c r="D1361" s="2" t="s">
        <v>38</v>
      </c>
      <c r="E1361" s="38" t="s">
        <v>38</v>
      </c>
      <c r="F1361" s="38" t="s">
        <v>1866</v>
      </c>
      <c r="G1361" s="38" t="s">
        <v>386</v>
      </c>
      <c r="H1361" s="58" t="str">
        <f>Table1[[#This Row],[Tabela]]&amp;Table1[[#This Row],[Campo]]</f>
        <v>lt827_mthd_usd_instrmntmthd_usd_instrmnt_scp_2</v>
      </c>
      <c r="I1361" s="2" t="s">
        <v>612</v>
      </c>
      <c r="J1361" s="44">
        <f>VLOOKUP(Table1[[#This Row],[Status]],Auxiliar!$B$16:$C$24,2,0)</f>
        <v>1</v>
      </c>
      <c r="K1361" s="44" t="s">
        <v>1172</v>
      </c>
      <c r="L1361" s="45" t="s">
        <v>1177</v>
      </c>
      <c r="M1361" s="20" t="s">
        <v>1178</v>
      </c>
      <c r="N1361" s="47">
        <v>45625</v>
      </c>
      <c r="O1361" s="20">
        <f>INDEX(Auxiliar!$D$5:$F$13,MATCH(Table1[[#This Row],[Tipologia_Testes]],Auxiliar!$B$5:$B$13,0),MATCH(Table1[[#This Row],[Complexidade]],Auxiliar!$D$4:$F$4,0))</f>
        <v>2</v>
      </c>
      <c r="P1361" s="42"/>
      <c r="Q1361" s="151"/>
      <c r="R1361" s="151">
        <v>45593</v>
      </c>
      <c r="S1361" s="151"/>
      <c r="T1361" s="151">
        <v>45593</v>
      </c>
      <c r="U1361" s="151">
        <v>45611</v>
      </c>
      <c r="V1361" s="151">
        <v>45611</v>
      </c>
      <c r="W1361" s="2">
        <f>VLOOKUP(Table1[[#This Row],[Status]],Auxiliar!$B$16:$D$24,3,0)*Table1[[#This Row],[Estimação (horas)]]</f>
        <v>2</v>
      </c>
      <c r="X1361" s="166">
        <f>+VLOOKUP(CONCATENATE(Table1[[#This Row],[Tabela]],Table1[[#This Row],[Campo]]),'2. Status Detalhe Campos FY24'!A:J,9,FALSE)</f>
        <v>0</v>
      </c>
    </row>
    <row r="1362" spans="2:24" ht="17.850000000000001" hidden="1" customHeight="1">
      <c r="B1362" s="38" t="s">
        <v>26</v>
      </c>
      <c r="C1362" s="38" t="s">
        <v>26</v>
      </c>
      <c r="D1362" s="2" t="s">
        <v>38</v>
      </c>
      <c r="E1362" s="38" t="s">
        <v>38</v>
      </c>
      <c r="F1362" s="38" t="s">
        <v>1866</v>
      </c>
      <c r="G1362" s="38" t="s">
        <v>386</v>
      </c>
      <c r="H1362" s="58" t="str">
        <f>Table1[[#This Row],[Tabela]]&amp;Table1[[#This Row],[Campo]]</f>
        <v>lt827_mthd_usd_instrmntmthd_usd_instrmnt_scp_2</v>
      </c>
      <c r="I1362" s="2" t="s">
        <v>612</v>
      </c>
      <c r="J1362" s="44">
        <f>VLOOKUP(Table1[[#This Row],[Status]],Auxiliar!$B$16:$C$24,2,0)</f>
        <v>1</v>
      </c>
      <c r="K1362" s="44" t="s">
        <v>1174</v>
      </c>
      <c r="L1362" s="45" t="s">
        <v>1177</v>
      </c>
      <c r="M1362" s="20" t="s">
        <v>1178</v>
      </c>
      <c r="N1362" s="47">
        <v>45625</v>
      </c>
      <c r="O1362" s="20">
        <f>INDEX(Auxiliar!$D$5:$F$13,MATCH(Table1[[#This Row],[Tipologia_Testes]],Auxiliar!$B$5:$B$13,0),MATCH(Table1[[#This Row],[Complexidade]],Auxiliar!$D$4:$F$4,0))</f>
        <v>0.1</v>
      </c>
      <c r="P1362" s="42"/>
      <c r="Q1362" s="151"/>
      <c r="R1362" s="151">
        <v>45593</v>
      </c>
      <c r="S1362" s="151"/>
      <c r="T1362" s="151">
        <v>45593</v>
      </c>
      <c r="U1362" s="151">
        <v>45611</v>
      </c>
      <c r="V1362" s="151">
        <v>45611</v>
      </c>
      <c r="W1362" s="2">
        <f>VLOOKUP(Table1[[#This Row],[Status]],Auxiliar!$B$16:$D$24,3,0)*Table1[[#This Row],[Estimação (horas)]]</f>
        <v>0.1</v>
      </c>
      <c r="X1362" s="166">
        <f>+VLOOKUP(CONCATENATE(Table1[[#This Row],[Tabela]],Table1[[#This Row],[Campo]]),'2. Status Detalhe Campos FY24'!A:J,9,FALSE)</f>
        <v>0</v>
      </c>
    </row>
    <row r="1363" spans="2:24" ht="17.850000000000001" hidden="1" customHeight="1">
      <c r="B1363" s="38" t="s">
        <v>26</v>
      </c>
      <c r="C1363" s="38" t="s">
        <v>26</v>
      </c>
      <c r="D1363" s="2" t="s">
        <v>38</v>
      </c>
      <c r="E1363" s="39" t="s">
        <v>38</v>
      </c>
      <c r="F1363" s="39" t="s">
        <v>1866</v>
      </c>
      <c r="G1363" s="37" t="s">
        <v>387</v>
      </c>
      <c r="H1363" s="59" t="str">
        <f>Table1[[#This Row],[Tabela]]&amp;Table1[[#This Row],[Campo]]</f>
        <v>lt827_mthd_usd_instrmntmthd_usd_instrmnt_scp_3</v>
      </c>
      <c r="I1363" s="2" t="s">
        <v>612</v>
      </c>
      <c r="J1363" s="44">
        <f>VLOOKUP(Table1[[#This Row],[Status]],Auxiliar!$B$16:$C$24,2,0)</f>
        <v>1</v>
      </c>
      <c r="K1363" s="44" t="s">
        <v>1171</v>
      </c>
      <c r="L1363" s="45" t="s">
        <v>1177</v>
      </c>
      <c r="M1363" s="20" t="s">
        <v>1178</v>
      </c>
      <c r="N1363" s="47">
        <v>45625</v>
      </c>
      <c r="O1363" s="20">
        <f>INDEX(Auxiliar!$D$5:$F$13,MATCH(Table1[[#This Row],[Tipologia_Testes]],Auxiliar!$B$5:$B$13,0),MATCH(Table1[[#This Row],[Complexidade]],Auxiliar!$D$4:$F$4,0))</f>
        <v>2</v>
      </c>
      <c r="P1363" s="42"/>
      <c r="Q1363" s="151"/>
      <c r="R1363" s="151">
        <v>45593</v>
      </c>
      <c r="S1363" s="151"/>
      <c r="T1363" s="151">
        <v>45593</v>
      </c>
      <c r="U1363" s="151">
        <v>45611</v>
      </c>
      <c r="V1363" s="151">
        <v>45611</v>
      </c>
      <c r="W1363" s="2">
        <f>VLOOKUP(Table1[[#This Row],[Status]],Auxiliar!$B$16:$D$24,3,0)*Table1[[#This Row],[Estimação (horas)]]</f>
        <v>2</v>
      </c>
      <c r="X1363" s="166">
        <f>+VLOOKUP(CONCATENATE(Table1[[#This Row],[Tabela]],Table1[[#This Row],[Campo]]),'2. Status Detalhe Campos FY24'!A:J,9,FALSE)</f>
        <v>0</v>
      </c>
    </row>
    <row r="1364" spans="2:24" ht="17.850000000000001" hidden="1" customHeight="1">
      <c r="B1364" s="38" t="s">
        <v>26</v>
      </c>
      <c r="C1364" s="38" t="s">
        <v>26</v>
      </c>
      <c r="D1364" s="2" t="s">
        <v>38</v>
      </c>
      <c r="E1364" s="38" t="s">
        <v>38</v>
      </c>
      <c r="F1364" s="38" t="s">
        <v>1866</v>
      </c>
      <c r="G1364" s="38" t="s">
        <v>387</v>
      </c>
      <c r="H1364" s="58" t="str">
        <f>Table1[[#This Row],[Tabela]]&amp;Table1[[#This Row],[Campo]]</f>
        <v>lt827_mthd_usd_instrmntmthd_usd_instrmnt_scp_3</v>
      </c>
      <c r="I1364" s="2" t="s">
        <v>612</v>
      </c>
      <c r="J1364" s="44">
        <f>VLOOKUP(Table1[[#This Row],[Status]],Auxiliar!$B$16:$C$24,2,0)</f>
        <v>1</v>
      </c>
      <c r="K1364" s="44" t="s">
        <v>1172</v>
      </c>
      <c r="L1364" s="45" t="s">
        <v>1177</v>
      </c>
      <c r="M1364" s="20" t="s">
        <v>1178</v>
      </c>
      <c r="N1364" s="47">
        <v>45625</v>
      </c>
      <c r="O1364" s="20">
        <f>INDEX(Auxiliar!$D$5:$F$13,MATCH(Table1[[#This Row],[Tipologia_Testes]],Auxiliar!$B$5:$B$13,0),MATCH(Table1[[#This Row],[Complexidade]],Auxiliar!$D$4:$F$4,0))</f>
        <v>2</v>
      </c>
      <c r="P1364" s="42"/>
      <c r="Q1364" s="151"/>
      <c r="R1364" s="151">
        <v>45593</v>
      </c>
      <c r="S1364" s="151"/>
      <c r="T1364" s="151">
        <v>45593</v>
      </c>
      <c r="U1364" s="151">
        <v>45611</v>
      </c>
      <c r="V1364" s="151">
        <v>45611</v>
      </c>
      <c r="W1364" s="2">
        <f>VLOOKUP(Table1[[#This Row],[Status]],Auxiliar!$B$16:$D$24,3,0)*Table1[[#This Row],[Estimação (horas)]]</f>
        <v>2</v>
      </c>
      <c r="X1364" s="166">
        <f>+VLOOKUP(CONCATENATE(Table1[[#This Row],[Tabela]],Table1[[#This Row],[Campo]]),'2. Status Detalhe Campos FY24'!A:J,9,FALSE)</f>
        <v>0</v>
      </c>
    </row>
    <row r="1365" spans="2:24" ht="17.850000000000001" hidden="1" customHeight="1">
      <c r="B1365" s="38" t="s">
        <v>26</v>
      </c>
      <c r="C1365" s="38" t="s">
        <v>26</v>
      </c>
      <c r="D1365" s="2" t="s">
        <v>38</v>
      </c>
      <c r="E1365" s="38" t="s">
        <v>38</v>
      </c>
      <c r="F1365" s="38" t="s">
        <v>1866</v>
      </c>
      <c r="G1365" s="38" t="s">
        <v>387</v>
      </c>
      <c r="H1365" s="58" t="str">
        <f>Table1[[#This Row],[Tabela]]&amp;Table1[[#This Row],[Campo]]</f>
        <v>lt827_mthd_usd_instrmntmthd_usd_instrmnt_scp_3</v>
      </c>
      <c r="I1365" s="2" t="s">
        <v>612</v>
      </c>
      <c r="J1365" s="44">
        <f>VLOOKUP(Table1[[#This Row],[Status]],Auxiliar!$B$16:$C$24,2,0)</f>
        <v>1</v>
      </c>
      <c r="K1365" s="44" t="s">
        <v>1174</v>
      </c>
      <c r="L1365" s="45" t="s">
        <v>1177</v>
      </c>
      <c r="M1365" s="20" t="s">
        <v>1178</v>
      </c>
      <c r="N1365" s="47">
        <v>45625</v>
      </c>
      <c r="O1365" s="20">
        <f>INDEX(Auxiliar!$D$5:$F$13,MATCH(Table1[[#This Row],[Tipologia_Testes]],Auxiliar!$B$5:$B$13,0),MATCH(Table1[[#This Row],[Complexidade]],Auxiliar!$D$4:$F$4,0))</f>
        <v>0.1</v>
      </c>
      <c r="P1365" s="42"/>
      <c r="Q1365" s="151"/>
      <c r="R1365" s="151">
        <v>45593</v>
      </c>
      <c r="S1365" s="151"/>
      <c r="T1365" s="151">
        <v>45593</v>
      </c>
      <c r="U1365" s="151">
        <v>45611</v>
      </c>
      <c r="V1365" s="151">
        <v>45611</v>
      </c>
      <c r="W1365" s="2">
        <f>VLOOKUP(Table1[[#This Row],[Status]],Auxiliar!$B$16:$D$24,3,0)*Table1[[#This Row],[Estimação (horas)]]</f>
        <v>0.1</v>
      </c>
      <c r="X1365" s="166">
        <f>+VLOOKUP(CONCATENATE(Table1[[#This Row],[Tabela]],Table1[[#This Row],[Campo]]),'2. Status Detalhe Campos FY24'!A:J,9,FALSE)</f>
        <v>0</v>
      </c>
    </row>
    <row r="1366" spans="2:24" ht="17.850000000000001" hidden="1" customHeight="1">
      <c r="B1366" s="38" t="s">
        <v>26</v>
      </c>
      <c r="C1366" s="38" t="s">
        <v>26</v>
      </c>
      <c r="D1366" s="2" t="s">
        <v>38</v>
      </c>
      <c r="E1366" s="38" t="s">
        <v>38</v>
      </c>
      <c r="F1366" s="38" t="s">
        <v>1866</v>
      </c>
      <c r="G1366" s="38" t="s">
        <v>1852</v>
      </c>
      <c r="H1366" s="58" t="str">
        <f>Table1[[#This Row],[Tabela]]&amp;Table1[[#This Row],[Campo]]</f>
        <v>lt827_mthd_usd_instrmntpurpose_code</v>
      </c>
      <c r="I1366" s="2" t="s">
        <v>612</v>
      </c>
      <c r="J1366" s="44">
        <f>VLOOKUP(Table1[[#This Row],[Status]],Auxiliar!$B$16:$C$24,2,0)</f>
        <v>1</v>
      </c>
      <c r="K1366" s="44" t="s">
        <v>1171</v>
      </c>
      <c r="L1366" s="45" t="s">
        <v>1177</v>
      </c>
      <c r="M1366" s="20" t="s">
        <v>1178</v>
      </c>
      <c r="N1366" s="47">
        <v>45625</v>
      </c>
      <c r="O1366" s="20">
        <f>INDEX(Auxiliar!$D$5:$F$11,MATCH(Table1[[#This Row],[Tipologia_Testes]],Auxiliar!$B$5:$B$11,0),MATCH(Table1[[#This Row],[Complexidade]],Auxiliar!$D$4:$F$4,0))</f>
        <v>2</v>
      </c>
      <c r="P1366" s="42"/>
      <c r="Q1366" s="151"/>
      <c r="R1366" s="151"/>
      <c r="S1366" s="151"/>
      <c r="T1366" s="151"/>
      <c r="U1366" s="151">
        <v>45611</v>
      </c>
      <c r="V1366" s="151">
        <v>45611</v>
      </c>
      <c r="W1366" s="2">
        <f>VLOOKUP(Table1[[#This Row],[Status]],Auxiliar!$B$16:$D$24,3,0)*Table1[[#This Row],[Estimação (horas)]]</f>
        <v>2</v>
      </c>
      <c r="X1366" s="166">
        <f>+VLOOKUP(CONCATENATE(Table1[[#This Row],[Tabela]],Table1[[#This Row],[Campo]]),'2. Status Detalhe Campos FY24'!A:J,9,FALSE)</f>
        <v>0</v>
      </c>
    </row>
    <row r="1367" spans="2:24" ht="17.850000000000001" hidden="1" customHeight="1">
      <c r="B1367" s="38" t="s">
        <v>26</v>
      </c>
      <c r="C1367" s="38" t="s">
        <v>26</v>
      </c>
      <c r="D1367" s="2" t="s">
        <v>38</v>
      </c>
      <c r="E1367" s="38" t="s">
        <v>38</v>
      </c>
      <c r="F1367" s="38" t="s">
        <v>1866</v>
      </c>
      <c r="G1367" s="38" t="s">
        <v>1852</v>
      </c>
      <c r="H1367" s="58" t="str">
        <f>Table1[[#This Row],[Tabela]]&amp;Table1[[#This Row],[Campo]]</f>
        <v>lt827_mthd_usd_instrmntpurpose_code</v>
      </c>
      <c r="I1367" s="2" t="s">
        <v>612</v>
      </c>
      <c r="J1367" s="44">
        <f>VLOOKUP(Table1[[#This Row],[Status]],Auxiliar!$B$16:$C$24,2,0)</f>
        <v>1</v>
      </c>
      <c r="K1367" s="44" t="s">
        <v>1172</v>
      </c>
      <c r="L1367" s="45" t="s">
        <v>1177</v>
      </c>
      <c r="M1367" s="20" t="s">
        <v>1178</v>
      </c>
      <c r="N1367" s="47">
        <v>45625</v>
      </c>
      <c r="O1367" s="20">
        <f>INDEX(Auxiliar!$D$5:$F$11,MATCH(Table1[[#This Row],[Tipologia_Testes]],Auxiliar!$B$5:$B$11,0),MATCH(Table1[[#This Row],[Complexidade]],Auxiliar!$D$4:$F$4,0))</f>
        <v>2</v>
      </c>
      <c r="P1367" s="42"/>
      <c r="Q1367" s="151"/>
      <c r="R1367" s="151"/>
      <c r="S1367" s="151"/>
      <c r="T1367" s="151"/>
      <c r="U1367" s="151">
        <v>45611</v>
      </c>
      <c r="V1367" s="151">
        <v>45611</v>
      </c>
      <c r="W1367" s="2">
        <f>VLOOKUP(Table1[[#This Row],[Status]],Auxiliar!$B$16:$D$24,3,0)*Table1[[#This Row],[Estimação (horas)]]</f>
        <v>2</v>
      </c>
      <c r="X1367" s="166">
        <f>+VLOOKUP(CONCATENATE(Table1[[#This Row],[Tabela]],Table1[[#This Row],[Campo]]),'2. Status Detalhe Campos FY24'!A:J,9,FALSE)</f>
        <v>0</v>
      </c>
    </row>
    <row r="1368" spans="2:24" ht="17.850000000000001" hidden="1" customHeight="1">
      <c r="B1368" s="38" t="s">
        <v>26</v>
      </c>
      <c r="C1368" s="38" t="s">
        <v>26</v>
      </c>
      <c r="D1368" s="2" t="s">
        <v>38</v>
      </c>
      <c r="E1368" s="38" t="s">
        <v>38</v>
      </c>
      <c r="F1368" s="38" t="s">
        <v>1866</v>
      </c>
      <c r="G1368" s="38" t="s">
        <v>1852</v>
      </c>
      <c r="H1368" s="58" t="str">
        <f>Table1[[#This Row],[Tabela]]&amp;Table1[[#This Row],[Campo]]</f>
        <v>lt827_mthd_usd_instrmntpurpose_code</v>
      </c>
      <c r="I1368" s="2" t="s">
        <v>612</v>
      </c>
      <c r="J1368" s="44">
        <f>VLOOKUP(Table1[[#This Row],[Status]],Auxiliar!$B$16:$C$24,2,0)</f>
        <v>1</v>
      </c>
      <c r="K1368" s="44" t="s">
        <v>1174</v>
      </c>
      <c r="L1368" s="45" t="s">
        <v>1177</v>
      </c>
      <c r="M1368" s="20" t="s">
        <v>1178</v>
      </c>
      <c r="N1368" s="47">
        <v>45625</v>
      </c>
      <c r="O1368" s="20">
        <f>INDEX(Auxiliar!$D$5:$F$11,MATCH(Table1[[#This Row],[Tipologia_Testes]],Auxiliar!$B$5:$B$11,0),MATCH(Table1[[#This Row],[Complexidade]],Auxiliar!$D$4:$F$4,0))</f>
        <v>0.1</v>
      </c>
      <c r="P1368" s="42"/>
      <c r="Q1368" s="151"/>
      <c r="R1368" s="151"/>
      <c r="S1368" s="151"/>
      <c r="T1368" s="151"/>
      <c r="U1368" s="151">
        <v>45611</v>
      </c>
      <c r="V1368" s="151">
        <v>45611</v>
      </c>
      <c r="W1368" s="2">
        <f>VLOOKUP(Table1[[#This Row],[Status]],Auxiliar!$B$16:$D$24,3,0)*Table1[[#This Row],[Estimação (horas)]]</f>
        <v>0.1</v>
      </c>
      <c r="X1368" s="166">
        <f>+VLOOKUP(CONCATENATE(Table1[[#This Row],[Tabela]],Table1[[#This Row],[Campo]]),'2. Status Detalhe Campos FY24'!A:J,9,FALSE)</f>
        <v>0</v>
      </c>
    </row>
    <row r="1369" spans="2:24" ht="17.850000000000001" hidden="1" customHeight="1">
      <c r="B1369" s="38" t="s">
        <v>26</v>
      </c>
      <c r="C1369" s="38" t="s">
        <v>26</v>
      </c>
      <c r="D1369" s="2" t="s">
        <v>38</v>
      </c>
      <c r="E1369" s="38" t="s">
        <v>38</v>
      </c>
      <c r="F1369" s="38" t="s">
        <v>1866</v>
      </c>
      <c r="G1369" s="38" t="s">
        <v>480</v>
      </c>
      <c r="H1369" s="58" t="str">
        <f>Table1[[#This Row],[Tabela]]&amp;Table1[[#This Row],[Campo]]</f>
        <v>lt827_mthd_usd_instrmntflg_fin</v>
      </c>
      <c r="I1369" s="2" t="s">
        <v>612</v>
      </c>
      <c r="J1369" s="44">
        <f>VLOOKUP(Table1[[#This Row],[Status]],Auxiliar!$B$16:$C$24,2,0)</f>
        <v>1</v>
      </c>
      <c r="K1369" s="44" t="s">
        <v>1171</v>
      </c>
      <c r="L1369" s="45" t="s">
        <v>1177</v>
      </c>
      <c r="M1369" s="20" t="s">
        <v>1178</v>
      </c>
      <c r="N1369" s="47">
        <v>45625</v>
      </c>
      <c r="O1369" s="20">
        <f>INDEX(Auxiliar!$D$5:$F$11,MATCH(Table1[[#This Row],[Tipologia_Testes]],Auxiliar!$B$5:$B$11,0),MATCH(Table1[[#This Row],[Complexidade]],Auxiliar!$D$4:$F$4,0))</f>
        <v>2</v>
      </c>
      <c r="P1369" s="42"/>
      <c r="Q1369" s="151"/>
      <c r="R1369" s="151"/>
      <c r="S1369" s="151"/>
      <c r="T1369" s="151"/>
      <c r="U1369" s="151">
        <v>45611</v>
      </c>
      <c r="V1369" s="151">
        <v>45611</v>
      </c>
      <c r="W1369" s="2">
        <f>VLOOKUP(Table1[[#This Row],[Status]],Auxiliar!$B$16:$D$24,3,0)*Table1[[#This Row],[Estimação (horas)]]</f>
        <v>2</v>
      </c>
      <c r="X1369" s="166">
        <f>+VLOOKUP(CONCATENATE(Table1[[#This Row],[Tabela]],Table1[[#This Row],[Campo]]),'2. Status Detalhe Campos FY24'!A:J,9,FALSE)</f>
        <v>0</v>
      </c>
    </row>
    <row r="1370" spans="2:24" ht="17.850000000000001" hidden="1" customHeight="1">
      <c r="B1370" s="38" t="s">
        <v>26</v>
      </c>
      <c r="C1370" s="38" t="s">
        <v>26</v>
      </c>
      <c r="D1370" s="2" t="s">
        <v>38</v>
      </c>
      <c r="E1370" s="38" t="s">
        <v>38</v>
      </c>
      <c r="F1370" s="38" t="s">
        <v>1866</v>
      </c>
      <c r="G1370" s="38" t="s">
        <v>480</v>
      </c>
      <c r="H1370" s="58" t="str">
        <f>Table1[[#This Row],[Tabela]]&amp;Table1[[#This Row],[Campo]]</f>
        <v>lt827_mthd_usd_instrmntflg_fin</v>
      </c>
      <c r="I1370" s="2" t="s">
        <v>612</v>
      </c>
      <c r="J1370" s="44">
        <f>VLOOKUP(Table1[[#This Row],[Status]],Auxiliar!$B$16:$C$24,2,0)</f>
        <v>1</v>
      </c>
      <c r="K1370" s="44" t="s">
        <v>1172</v>
      </c>
      <c r="L1370" s="45" t="s">
        <v>1177</v>
      </c>
      <c r="M1370" s="20" t="s">
        <v>1178</v>
      </c>
      <c r="N1370" s="47">
        <v>45625</v>
      </c>
      <c r="O1370" s="20">
        <f>INDEX(Auxiliar!$D$5:$F$11,MATCH(Table1[[#This Row],[Tipologia_Testes]],Auxiliar!$B$5:$B$11,0),MATCH(Table1[[#This Row],[Complexidade]],Auxiliar!$D$4:$F$4,0))</f>
        <v>2</v>
      </c>
      <c r="P1370" s="42"/>
      <c r="Q1370" s="151"/>
      <c r="R1370" s="151"/>
      <c r="S1370" s="151"/>
      <c r="T1370" s="151"/>
      <c r="U1370" s="151">
        <v>45611</v>
      </c>
      <c r="V1370" s="151">
        <v>45611</v>
      </c>
      <c r="W1370" s="2">
        <f>VLOOKUP(Table1[[#This Row],[Status]],Auxiliar!$B$16:$D$24,3,0)*Table1[[#This Row],[Estimação (horas)]]</f>
        <v>2</v>
      </c>
      <c r="X1370" s="166">
        <f>+VLOOKUP(CONCATENATE(Table1[[#This Row],[Tabela]],Table1[[#This Row],[Campo]]),'2. Status Detalhe Campos FY24'!A:J,9,FALSE)</f>
        <v>0</v>
      </c>
    </row>
    <row r="1371" spans="2:24" ht="17.850000000000001" hidden="1" customHeight="1">
      <c r="B1371" s="38" t="s">
        <v>26</v>
      </c>
      <c r="C1371" s="38" t="s">
        <v>26</v>
      </c>
      <c r="D1371" s="2" t="s">
        <v>38</v>
      </c>
      <c r="E1371" s="38" t="s">
        <v>38</v>
      </c>
      <c r="F1371" s="38" t="s">
        <v>1866</v>
      </c>
      <c r="G1371" s="38" t="s">
        <v>480</v>
      </c>
      <c r="H1371" s="58" t="str">
        <f>Table1[[#This Row],[Tabela]]&amp;Table1[[#This Row],[Campo]]</f>
        <v>lt827_mthd_usd_instrmntflg_fin</v>
      </c>
      <c r="I1371" s="2" t="s">
        <v>612</v>
      </c>
      <c r="J1371" s="44">
        <f>VLOOKUP(Table1[[#This Row],[Status]],Auxiliar!$B$16:$C$24,2,0)</f>
        <v>1</v>
      </c>
      <c r="K1371" s="44" t="s">
        <v>1174</v>
      </c>
      <c r="L1371" s="45" t="s">
        <v>1177</v>
      </c>
      <c r="M1371" s="20" t="s">
        <v>1178</v>
      </c>
      <c r="N1371" s="47">
        <v>45625</v>
      </c>
      <c r="O1371" s="20">
        <f>INDEX(Auxiliar!$D$5:$F$11,MATCH(Table1[[#This Row],[Tipologia_Testes]],Auxiliar!$B$5:$B$11,0),MATCH(Table1[[#This Row],[Complexidade]],Auxiliar!$D$4:$F$4,0))</f>
        <v>0.1</v>
      </c>
      <c r="P1371" s="42"/>
      <c r="Q1371" s="151"/>
      <c r="R1371" s="151"/>
      <c r="S1371" s="151"/>
      <c r="T1371" s="151"/>
      <c r="U1371" s="151">
        <v>45611</v>
      </c>
      <c r="V1371" s="151">
        <v>45611</v>
      </c>
      <c r="W1371" s="2">
        <f>VLOOKUP(Table1[[#This Row],[Status]],Auxiliar!$B$16:$D$24,3,0)*Table1[[#This Row],[Estimação (horas)]]</f>
        <v>0.1</v>
      </c>
      <c r="X1371" s="166">
        <f>+VLOOKUP(CONCATENATE(Table1[[#This Row],[Tabela]],Table1[[#This Row],[Campo]]),'2. Status Detalhe Campos FY24'!A:J,9,FALSE)</f>
        <v>0</v>
      </c>
    </row>
    <row r="1372" spans="2:24" ht="17.850000000000001" hidden="1" customHeight="1">
      <c r="B1372" s="38" t="s">
        <v>26</v>
      </c>
      <c r="C1372" s="38" t="s">
        <v>26</v>
      </c>
      <c r="D1372" s="2" t="s">
        <v>38</v>
      </c>
      <c r="E1372" s="38" t="s">
        <v>38</v>
      </c>
      <c r="F1372" s="38" t="s">
        <v>1866</v>
      </c>
      <c r="G1372" s="38" t="s">
        <v>1279</v>
      </c>
      <c r="H1372" s="58" t="str">
        <f>Table1[[#This Row],[Tabela]]&amp;Table1[[#This Row],[Campo]]</f>
        <v>lt827_mthd_usd_instrmntflg_exec</v>
      </c>
      <c r="I1372" s="2" t="s">
        <v>612</v>
      </c>
      <c r="J1372" s="44">
        <f>VLOOKUP(Table1[[#This Row],[Status]],Auxiliar!$B$16:$C$24,2,0)</f>
        <v>1</v>
      </c>
      <c r="K1372" s="44" t="s">
        <v>1171</v>
      </c>
      <c r="L1372" s="45" t="s">
        <v>1177</v>
      </c>
      <c r="M1372" s="20" t="s">
        <v>1178</v>
      </c>
      <c r="N1372" s="47">
        <v>45625</v>
      </c>
      <c r="O1372" s="20">
        <f>INDEX(Auxiliar!$D$5:$F$11,MATCH(Table1[[#This Row],[Tipologia_Testes]],Auxiliar!$B$5:$B$11,0),MATCH(Table1[[#This Row],[Complexidade]],Auxiliar!$D$4:$F$4,0))</f>
        <v>2</v>
      </c>
      <c r="P1372" s="42"/>
      <c r="Q1372" s="151"/>
      <c r="R1372" s="151"/>
      <c r="S1372" s="151"/>
      <c r="T1372" s="151"/>
      <c r="U1372" s="151">
        <v>45611</v>
      </c>
      <c r="V1372" s="151">
        <v>45611</v>
      </c>
      <c r="W1372" s="2">
        <f>VLOOKUP(Table1[[#This Row],[Status]],Auxiliar!$B$16:$D$24,3,0)*Table1[[#This Row],[Estimação (horas)]]</f>
        <v>2</v>
      </c>
      <c r="X1372" s="166">
        <f>+VLOOKUP(CONCATENATE(Table1[[#This Row],[Tabela]],Table1[[#This Row],[Campo]]),'2. Status Detalhe Campos FY24'!A:J,9,FALSE)</f>
        <v>0</v>
      </c>
    </row>
    <row r="1373" spans="2:24" ht="17.850000000000001" hidden="1" customHeight="1">
      <c r="B1373" s="38" t="s">
        <v>26</v>
      </c>
      <c r="C1373" s="38" t="s">
        <v>26</v>
      </c>
      <c r="D1373" s="2" t="s">
        <v>38</v>
      </c>
      <c r="E1373" s="38" t="s">
        <v>38</v>
      </c>
      <c r="F1373" s="38" t="s">
        <v>1866</v>
      </c>
      <c r="G1373" s="38" t="s">
        <v>1279</v>
      </c>
      <c r="H1373" s="58" t="str">
        <f>Table1[[#This Row],[Tabela]]&amp;Table1[[#This Row],[Campo]]</f>
        <v>lt827_mthd_usd_instrmntflg_exec</v>
      </c>
      <c r="I1373" s="2" t="s">
        <v>612</v>
      </c>
      <c r="J1373" s="44">
        <f>VLOOKUP(Table1[[#This Row],[Status]],Auxiliar!$B$16:$C$24,2,0)</f>
        <v>1</v>
      </c>
      <c r="K1373" s="44" t="s">
        <v>1172</v>
      </c>
      <c r="L1373" s="45" t="s">
        <v>1177</v>
      </c>
      <c r="M1373" s="20" t="s">
        <v>1178</v>
      </c>
      <c r="N1373" s="47">
        <v>45625</v>
      </c>
      <c r="O1373" s="20">
        <f>INDEX(Auxiliar!$D$5:$F$11,MATCH(Table1[[#This Row],[Tipologia_Testes]],Auxiliar!$B$5:$B$11,0),MATCH(Table1[[#This Row],[Complexidade]],Auxiliar!$D$4:$F$4,0))</f>
        <v>2</v>
      </c>
      <c r="P1373" s="42"/>
      <c r="Q1373" s="151"/>
      <c r="R1373" s="151"/>
      <c r="S1373" s="151"/>
      <c r="T1373" s="151"/>
      <c r="U1373" s="151">
        <v>45611</v>
      </c>
      <c r="V1373" s="151">
        <v>45611</v>
      </c>
      <c r="W1373" s="2">
        <f>VLOOKUP(Table1[[#This Row],[Status]],Auxiliar!$B$16:$D$24,3,0)*Table1[[#This Row],[Estimação (horas)]]</f>
        <v>2</v>
      </c>
      <c r="X1373" s="166">
        <f>+VLOOKUP(CONCATENATE(Table1[[#This Row],[Tabela]],Table1[[#This Row],[Campo]]),'2. Status Detalhe Campos FY24'!A:J,9,FALSE)</f>
        <v>0</v>
      </c>
    </row>
    <row r="1374" spans="2:24" ht="17.850000000000001" hidden="1" customHeight="1">
      <c r="B1374" s="38" t="s">
        <v>26</v>
      </c>
      <c r="C1374" s="38" t="s">
        <v>26</v>
      </c>
      <c r="D1374" s="2" t="s">
        <v>38</v>
      </c>
      <c r="E1374" s="38" t="s">
        <v>38</v>
      </c>
      <c r="F1374" s="38" t="s">
        <v>1866</v>
      </c>
      <c r="G1374" s="38" t="s">
        <v>1279</v>
      </c>
      <c r="H1374" s="58" t="str">
        <f>Table1[[#This Row],[Tabela]]&amp;Table1[[#This Row],[Campo]]</f>
        <v>lt827_mthd_usd_instrmntflg_exec</v>
      </c>
      <c r="I1374" s="2" t="s">
        <v>612</v>
      </c>
      <c r="J1374" s="44">
        <f>VLOOKUP(Table1[[#This Row],[Status]],Auxiliar!$B$16:$C$24,2,0)</f>
        <v>1</v>
      </c>
      <c r="K1374" s="44" t="s">
        <v>1174</v>
      </c>
      <c r="L1374" s="45" t="s">
        <v>1177</v>
      </c>
      <c r="M1374" s="20" t="s">
        <v>1178</v>
      </c>
      <c r="N1374" s="47">
        <v>45625</v>
      </c>
      <c r="O1374" s="20">
        <f>INDEX(Auxiliar!$D$5:$F$11,MATCH(Table1[[#This Row],[Tipologia_Testes]],Auxiliar!$B$5:$B$11,0),MATCH(Table1[[#This Row],[Complexidade]],Auxiliar!$D$4:$F$4,0))</f>
        <v>0.1</v>
      </c>
      <c r="P1374" s="42"/>
      <c r="Q1374" s="151"/>
      <c r="R1374" s="151"/>
      <c r="S1374" s="151"/>
      <c r="T1374" s="151"/>
      <c r="U1374" s="151">
        <v>45611</v>
      </c>
      <c r="V1374" s="151">
        <v>45611</v>
      </c>
      <c r="W1374" s="2">
        <f>VLOOKUP(Table1[[#This Row],[Status]],Auxiliar!$B$16:$D$24,3,0)*Table1[[#This Row],[Estimação (horas)]]</f>
        <v>0.1</v>
      </c>
      <c r="X1374" s="166">
        <f>+VLOOKUP(CONCATENATE(Table1[[#This Row],[Tabela]],Table1[[#This Row],[Campo]]),'2. Status Detalhe Campos FY24'!A:J,9,FALSE)</f>
        <v>0</v>
      </c>
    </row>
    <row r="1375" spans="2:24" ht="17.850000000000001" hidden="1" customHeight="1">
      <c r="B1375" s="38" t="s">
        <v>26</v>
      </c>
      <c r="C1375" s="38" t="s">
        <v>26</v>
      </c>
      <c r="D1375" s="2" t="s">
        <v>38</v>
      </c>
      <c r="E1375" s="38" t="s">
        <v>38</v>
      </c>
      <c r="F1375" s="38" t="s">
        <v>1866</v>
      </c>
      <c r="G1375" s="38" t="s">
        <v>479</v>
      </c>
      <c r="H1375" s="58" t="str">
        <f>Table1[[#This Row],[Tabela]]&amp;Table1[[#This Row],[Campo]]</f>
        <v>lt827_mthd_usd_instrmntflg_col</v>
      </c>
      <c r="I1375" s="2" t="s">
        <v>612</v>
      </c>
      <c r="J1375" s="44">
        <f>VLOOKUP(Table1[[#This Row],[Status]],Auxiliar!$B$16:$C$24,2,0)</f>
        <v>1</v>
      </c>
      <c r="K1375" s="44" t="s">
        <v>1171</v>
      </c>
      <c r="L1375" s="45" t="s">
        <v>1177</v>
      </c>
      <c r="M1375" s="20" t="s">
        <v>1178</v>
      </c>
      <c r="N1375" s="47">
        <v>45625</v>
      </c>
      <c r="O1375" s="20">
        <f>INDEX(Auxiliar!$D$5:$F$11,MATCH(Table1[[#This Row],[Tipologia_Testes]],Auxiliar!$B$5:$B$11,0),MATCH(Table1[[#This Row],[Complexidade]],Auxiliar!$D$4:$F$4,0))</f>
        <v>2</v>
      </c>
      <c r="P1375" s="42"/>
      <c r="Q1375" s="151"/>
      <c r="R1375" s="151"/>
      <c r="S1375" s="151"/>
      <c r="T1375" s="151"/>
      <c r="U1375" s="151">
        <v>45611</v>
      </c>
      <c r="V1375" s="151">
        <v>45611</v>
      </c>
      <c r="W1375" s="2">
        <f>VLOOKUP(Table1[[#This Row],[Status]],Auxiliar!$B$16:$D$24,3,0)*Table1[[#This Row],[Estimação (horas)]]</f>
        <v>2</v>
      </c>
      <c r="X1375" s="166">
        <f>+VLOOKUP(CONCATENATE(Table1[[#This Row],[Tabela]],Table1[[#This Row],[Campo]]),'2. Status Detalhe Campos FY24'!A:J,9,FALSE)</f>
        <v>0</v>
      </c>
    </row>
    <row r="1376" spans="2:24" ht="17.850000000000001" hidden="1" customHeight="1">
      <c r="B1376" s="38" t="s">
        <v>26</v>
      </c>
      <c r="C1376" s="38" t="s">
        <v>26</v>
      </c>
      <c r="D1376" s="2" t="s">
        <v>38</v>
      </c>
      <c r="E1376" s="38" t="s">
        <v>38</v>
      </c>
      <c r="F1376" s="38" t="s">
        <v>1866</v>
      </c>
      <c r="G1376" s="38" t="s">
        <v>479</v>
      </c>
      <c r="H1376" s="58" t="str">
        <f>Table1[[#This Row],[Tabela]]&amp;Table1[[#This Row],[Campo]]</f>
        <v>lt827_mthd_usd_instrmntflg_col</v>
      </c>
      <c r="I1376" s="2" t="s">
        <v>612</v>
      </c>
      <c r="J1376" s="44">
        <f>VLOOKUP(Table1[[#This Row],[Status]],Auxiliar!$B$16:$C$24,2,0)</f>
        <v>1</v>
      </c>
      <c r="K1376" s="44" t="s">
        <v>1172</v>
      </c>
      <c r="L1376" s="45" t="s">
        <v>1177</v>
      </c>
      <c r="M1376" s="20" t="s">
        <v>1178</v>
      </c>
      <c r="N1376" s="47">
        <v>45625</v>
      </c>
      <c r="O1376" s="20">
        <f>INDEX(Auxiliar!$D$5:$F$11,MATCH(Table1[[#This Row],[Tipologia_Testes]],Auxiliar!$B$5:$B$11,0),MATCH(Table1[[#This Row],[Complexidade]],Auxiliar!$D$4:$F$4,0))</f>
        <v>2</v>
      </c>
      <c r="P1376" s="42"/>
      <c r="Q1376" s="151"/>
      <c r="R1376" s="151"/>
      <c r="S1376" s="151"/>
      <c r="T1376" s="151"/>
      <c r="U1376" s="151">
        <v>45611</v>
      </c>
      <c r="V1376" s="151">
        <v>45611</v>
      </c>
      <c r="W1376" s="2">
        <f>VLOOKUP(Table1[[#This Row],[Status]],Auxiliar!$B$16:$D$24,3,0)*Table1[[#This Row],[Estimação (horas)]]</f>
        <v>2</v>
      </c>
      <c r="X1376" s="166">
        <f>+VLOOKUP(CONCATENATE(Table1[[#This Row],[Tabela]],Table1[[#This Row],[Campo]]),'2. Status Detalhe Campos FY24'!A:J,9,FALSE)</f>
        <v>0</v>
      </c>
    </row>
    <row r="1377" spans="2:24" ht="17.850000000000001" hidden="1" customHeight="1">
      <c r="B1377" s="38" t="s">
        <v>26</v>
      </c>
      <c r="C1377" s="38" t="s">
        <v>26</v>
      </c>
      <c r="D1377" s="2" t="s">
        <v>38</v>
      </c>
      <c r="E1377" s="38" t="s">
        <v>38</v>
      </c>
      <c r="F1377" s="38" t="s">
        <v>1866</v>
      </c>
      <c r="G1377" s="38" t="s">
        <v>479</v>
      </c>
      <c r="H1377" s="58" t="str">
        <f>Table1[[#This Row],[Tabela]]&amp;Table1[[#This Row],[Campo]]</f>
        <v>lt827_mthd_usd_instrmntflg_col</v>
      </c>
      <c r="I1377" s="2" t="s">
        <v>612</v>
      </c>
      <c r="J1377" s="44">
        <f>VLOOKUP(Table1[[#This Row],[Status]],Auxiliar!$B$16:$C$24,2,0)</f>
        <v>1</v>
      </c>
      <c r="K1377" s="44" t="s">
        <v>1174</v>
      </c>
      <c r="L1377" s="45" t="s">
        <v>1177</v>
      </c>
      <c r="M1377" s="20" t="s">
        <v>1178</v>
      </c>
      <c r="N1377" s="47">
        <v>45625</v>
      </c>
      <c r="O1377" s="20">
        <f>INDEX(Auxiliar!$D$5:$F$11,MATCH(Table1[[#This Row],[Tipologia_Testes]],Auxiliar!$B$5:$B$11,0),MATCH(Table1[[#This Row],[Complexidade]],Auxiliar!$D$4:$F$4,0))</f>
        <v>0.1</v>
      </c>
      <c r="P1377" s="42"/>
      <c r="Q1377" s="151"/>
      <c r="R1377" s="151"/>
      <c r="S1377" s="151"/>
      <c r="T1377" s="151"/>
      <c r="U1377" s="151">
        <v>45611</v>
      </c>
      <c r="V1377" s="151">
        <v>45611</v>
      </c>
      <c r="W1377" s="2">
        <f>VLOOKUP(Table1[[#This Row],[Status]],Auxiliar!$B$16:$D$24,3,0)*Table1[[#This Row],[Estimação (horas)]]</f>
        <v>0.1</v>
      </c>
      <c r="X1377" s="166">
        <f>+VLOOKUP(CONCATENATE(Table1[[#This Row],[Tabela]],Table1[[#This Row],[Campo]]),'2. Status Detalhe Campos FY24'!A:J,9,FALSE)</f>
        <v>0</v>
      </c>
    </row>
    <row r="1378" spans="2:24" ht="17.850000000000001" hidden="1" customHeight="1">
      <c r="B1378" s="38" t="s">
        <v>26</v>
      </c>
      <c r="C1378" s="38" t="s">
        <v>26</v>
      </c>
      <c r="D1378" s="2" t="s">
        <v>38</v>
      </c>
      <c r="E1378" s="38" t="s">
        <v>38</v>
      </c>
      <c r="F1378" s="38" t="s">
        <v>1866</v>
      </c>
      <c r="G1378" s="38" t="s">
        <v>481</v>
      </c>
      <c r="H1378" s="58" t="str">
        <f>Table1[[#This Row],[Tabela]]&amp;Table1[[#This Row],[Campo]]</f>
        <v>lt827_mthd_usd_instrmntflg_pro</v>
      </c>
      <c r="I1378" s="2" t="s">
        <v>612</v>
      </c>
      <c r="J1378" s="44">
        <f>VLOOKUP(Table1[[#This Row],[Status]],Auxiliar!$B$16:$C$24,2,0)</f>
        <v>1</v>
      </c>
      <c r="K1378" s="44" t="s">
        <v>1171</v>
      </c>
      <c r="L1378" s="45" t="s">
        <v>1177</v>
      </c>
      <c r="M1378" s="20" t="s">
        <v>1178</v>
      </c>
      <c r="N1378" s="47">
        <v>45625</v>
      </c>
      <c r="O1378" s="20">
        <f>INDEX(Auxiliar!$D$5:$F$11,MATCH(Table1[[#This Row],[Tipologia_Testes]],Auxiliar!$B$5:$B$11,0),MATCH(Table1[[#This Row],[Complexidade]],Auxiliar!$D$4:$F$4,0))</f>
        <v>2</v>
      </c>
      <c r="P1378" s="42"/>
      <c r="Q1378" s="151"/>
      <c r="R1378" s="151"/>
      <c r="S1378" s="151"/>
      <c r="T1378" s="151"/>
      <c r="U1378" s="151">
        <v>45611</v>
      </c>
      <c r="V1378" s="151">
        <v>45611</v>
      </c>
      <c r="W1378" s="2">
        <f>VLOOKUP(Table1[[#This Row],[Status]],Auxiliar!$B$16:$D$24,3,0)*Table1[[#This Row],[Estimação (horas)]]</f>
        <v>2</v>
      </c>
      <c r="X1378" s="166">
        <f>+VLOOKUP(CONCATENATE(Table1[[#This Row],[Tabela]],Table1[[#This Row],[Campo]]),'2. Status Detalhe Campos FY24'!A:J,9,FALSE)</f>
        <v>0</v>
      </c>
    </row>
    <row r="1379" spans="2:24" ht="17.850000000000001" hidden="1" customHeight="1">
      <c r="B1379" s="38" t="s">
        <v>26</v>
      </c>
      <c r="C1379" s="38" t="s">
        <v>26</v>
      </c>
      <c r="D1379" s="2" t="s">
        <v>38</v>
      </c>
      <c r="E1379" s="38" t="s">
        <v>38</v>
      </c>
      <c r="F1379" s="38" t="s">
        <v>1866</v>
      </c>
      <c r="G1379" s="38" t="s">
        <v>481</v>
      </c>
      <c r="H1379" s="58" t="str">
        <f>Table1[[#This Row],[Tabela]]&amp;Table1[[#This Row],[Campo]]</f>
        <v>lt827_mthd_usd_instrmntflg_pro</v>
      </c>
      <c r="I1379" s="2" t="s">
        <v>612</v>
      </c>
      <c r="J1379" s="44">
        <f>VLOOKUP(Table1[[#This Row],[Status]],Auxiliar!$B$16:$C$24,2,0)</f>
        <v>1</v>
      </c>
      <c r="K1379" s="44" t="s">
        <v>1172</v>
      </c>
      <c r="L1379" s="45" t="s">
        <v>1177</v>
      </c>
      <c r="M1379" s="20" t="s">
        <v>1178</v>
      </c>
      <c r="N1379" s="47">
        <v>45625</v>
      </c>
      <c r="O1379" s="20">
        <f>INDEX(Auxiliar!$D$5:$F$11,MATCH(Table1[[#This Row],[Tipologia_Testes]],Auxiliar!$B$5:$B$11,0),MATCH(Table1[[#This Row],[Complexidade]],Auxiliar!$D$4:$F$4,0))</f>
        <v>2</v>
      </c>
      <c r="P1379" s="42"/>
      <c r="Q1379" s="151"/>
      <c r="R1379" s="151"/>
      <c r="S1379" s="151"/>
      <c r="T1379" s="151"/>
      <c r="U1379" s="151">
        <v>45611</v>
      </c>
      <c r="V1379" s="151">
        <v>45611</v>
      </c>
      <c r="W1379" s="2">
        <f>VLOOKUP(Table1[[#This Row],[Status]],Auxiliar!$B$16:$D$24,3,0)*Table1[[#This Row],[Estimação (horas)]]</f>
        <v>2</v>
      </c>
      <c r="X1379" s="166">
        <f>+VLOOKUP(CONCATENATE(Table1[[#This Row],[Tabela]],Table1[[#This Row],[Campo]]),'2. Status Detalhe Campos FY24'!A:J,9,FALSE)</f>
        <v>0</v>
      </c>
    </row>
    <row r="1380" spans="2:24" ht="17.850000000000001" hidden="1" customHeight="1">
      <c r="B1380" s="38" t="s">
        <v>26</v>
      </c>
      <c r="C1380" s="38" t="s">
        <v>26</v>
      </c>
      <c r="D1380" s="2" t="s">
        <v>38</v>
      </c>
      <c r="E1380" s="38" t="s">
        <v>38</v>
      </c>
      <c r="F1380" s="38" t="s">
        <v>1866</v>
      </c>
      <c r="G1380" s="38" t="s">
        <v>481</v>
      </c>
      <c r="H1380" s="58" t="str">
        <f>Table1[[#This Row],[Tabela]]&amp;Table1[[#This Row],[Campo]]</f>
        <v>lt827_mthd_usd_instrmntflg_pro</v>
      </c>
      <c r="I1380" s="2" t="s">
        <v>612</v>
      </c>
      <c r="J1380" s="44">
        <f>VLOOKUP(Table1[[#This Row],[Status]],Auxiliar!$B$16:$C$24,2,0)</f>
        <v>1</v>
      </c>
      <c r="K1380" s="44" t="s">
        <v>1174</v>
      </c>
      <c r="L1380" s="45" t="s">
        <v>1177</v>
      </c>
      <c r="M1380" s="20" t="s">
        <v>1178</v>
      </c>
      <c r="N1380" s="47">
        <v>45625</v>
      </c>
      <c r="O1380" s="20">
        <f>INDEX(Auxiliar!$D$5:$F$11,MATCH(Table1[[#This Row],[Tipologia_Testes]],Auxiliar!$B$5:$B$11,0),MATCH(Table1[[#This Row],[Complexidade]],Auxiliar!$D$4:$F$4,0))</f>
        <v>0.1</v>
      </c>
      <c r="P1380" s="42"/>
      <c r="Q1380" s="151"/>
      <c r="R1380" s="151"/>
      <c r="S1380" s="151"/>
      <c r="T1380" s="151"/>
      <c r="U1380" s="151">
        <v>45611</v>
      </c>
      <c r="V1380" s="151">
        <v>45611</v>
      </c>
      <c r="W1380" s="2">
        <f>VLOOKUP(Table1[[#This Row],[Status]],Auxiliar!$B$16:$D$24,3,0)*Table1[[#This Row],[Estimação (horas)]]</f>
        <v>0.1</v>
      </c>
      <c r="X1380" s="166">
        <f>+VLOOKUP(CONCATENATE(Table1[[#This Row],[Tabela]],Table1[[#This Row],[Campo]]),'2. Status Detalhe Campos FY24'!A:J,9,FALSE)</f>
        <v>0</v>
      </c>
    </row>
    <row r="1381" spans="2:24" ht="17.850000000000001" hidden="1" customHeight="1">
      <c r="B1381" s="38" t="s">
        <v>26</v>
      </c>
      <c r="C1381" s="38" t="s">
        <v>26</v>
      </c>
      <c r="D1381" s="2" t="s">
        <v>38</v>
      </c>
      <c r="E1381" s="39" t="s">
        <v>38</v>
      </c>
      <c r="F1381" s="39" t="s">
        <v>392</v>
      </c>
      <c r="G1381" s="39" t="s">
        <v>390</v>
      </c>
      <c r="H1381" s="59" t="str">
        <f>Table1[[#This Row],[Tabela]]&amp;Table1[[#This Row],[Campo]]</f>
        <v>lt826_esg_sbsctrambito</v>
      </c>
      <c r="I1381" s="2" t="s">
        <v>612</v>
      </c>
      <c r="J1381" s="44">
        <f>VLOOKUP(Table1[[#This Row],[Status]],Auxiliar!$B$16:$C$24,2,0)</f>
        <v>1</v>
      </c>
      <c r="K1381" s="44" t="s">
        <v>1171</v>
      </c>
      <c r="L1381" s="45" t="s">
        <v>1177</v>
      </c>
      <c r="M1381" s="20" t="s">
        <v>1178</v>
      </c>
      <c r="N1381" s="47">
        <v>45581</v>
      </c>
      <c r="O1381" s="20">
        <f>INDEX(Auxiliar!$D$5:$F$13,MATCH(Table1[[#This Row],[Tipologia_Testes]],Auxiliar!$B$5:$B$13,0),MATCH(Table1[[#This Row],[Complexidade]],Auxiliar!$D$4:$F$4,0))</f>
        <v>2</v>
      </c>
      <c r="P1381" s="42" t="s">
        <v>1259</v>
      </c>
      <c r="Q1381" s="151"/>
      <c r="R1381" s="151">
        <v>45261</v>
      </c>
      <c r="S1381" s="151"/>
      <c r="T1381" s="151"/>
      <c r="U1381" s="151"/>
      <c r="V1381" s="151"/>
      <c r="W1381" s="2">
        <f>VLOOKUP(Table1[[#This Row],[Status]],Auxiliar!$B$16:$D$24,3,0)*Table1[[#This Row],[Estimação (horas)]]</f>
        <v>2</v>
      </c>
      <c r="X1381" s="166">
        <f>+VLOOKUP(CONCATENATE(Table1[[#This Row],[Tabela]],Table1[[#This Row],[Campo]]),'2. Status Detalhe Campos FY24'!A:J,9,FALSE)</f>
        <v>0</v>
      </c>
    </row>
    <row r="1382" spans="2:24" ht="17.850000000000001" hidden="1" customHeight="1">
      <c r="B1382" s="38" t="s">
        <v>26</v>
      </c>
      <c r="C1382" s="38" t="s">
        <v>26</v>
      </c>
      <c r="D1382" s="2" t="s">
        <v>38</v>
      </c>
      <c r="E1382" s="38" t="s">
        <v>38</v>
      </c>
      <c r="F1382" s="38" t="s">
        <v>392</v>
      </c>
      <c r="G1382" s="38" t="s">
        <v>390</v>
      </c>
      <c r="H1382" s="58" t="str">
        <f>Table1[[#This Row],[Tabela]]&amp;Table1[[#This Row],[Campo]]</f>
        <v>lt826_esg_sbsctrambito</v>
      </c>
      <c r="I1382" s="2" t="s">
        <v>612</v>
      </c>
      <c r="J1382" s="44">
        <f>VLOOKUP(Table1[[#This Row],[Status]],Auxiliar!$B$16:$C$24,2,0)</f>
        <v>1</v>
      </c>
      <c r="K1382" s="44" t="s">
        <v>1172</v>
      </c>
      <c r="L1382" s="45" t="s">
        <v>1177</v>
      </c>
      <c r="M1382" s="20" t="s">
        <v>1178</v>
      </c>
      <c r="N1382" s="47">
        <v>45581</v>
      </c>
      <c r="O1382" s="20">
        <f>INDEX(Auxiliar!$D$5:$F$13,MATCH(Table1[[#This Row],[Tipologia_Testes]],Auxiliar!$B$5:$B$13,0),MATCH(Table1[[#This Row],[Complexidade]],Auxiliar!$D$4:$F$4,0))</f>
        <v>2</v>
      </c>
      <c r="P1382" s="42" t="s">
        <v>1259</v>
      </c>
      <c r="Q1382" s="151"/>
      <c r="R1382" s="151">
        <v>45261</v>
      </c>
      <c r="S1382" s="151"/>
      <c r="T1382" s="151"/>
      <c r="U1382" s="151"/>
      <c r="V1382" s="151"/>
      <c r="W1382" s="2">
        <f>VLOOKUP(Table1[[#This Row],[Status]],Auxiliar!$B$16:$D$24,3,0)*Table1[[#This Row],[Estimação (horas)]]</f>
        <v>2</v>
      </c>
      <c r="X1382" s="166">
        <f>+VLOOKUP(CONCATENATE(Table1[[#This Row],[Tabela]],Table1[[#This Row],[Campo]]),'2. Status Detalhe Campos FY24'!A:J,9,FALSE)</f>
        <v>0</v>
      </c>
    </row>
    <row r="1383" spans="2:24" ht="17.850000000000001" hidden="1" customHeight="1">
      <c r="B1383" s="38" t="s">
        <v>26</v>
      </c>
      <c r="C1383" s="38" t="s">
        <v>26</v>
      </c>
      <c r="D1383" s="2" t="s">
        <v>38</v>
      </c>
      <c r="E1383" s="38" t="s">
        <v>38</v>
      </c>
      <c r="F1383" s="38" t="s">
        <v>392</v>
      </c>
      <c r="G1383" s="38" t="s">
        <v>390</v>
      </c>
      <c r="H1383" s="58" t="str">
        <f>Table1[[#This Row],[Tabela]]&amp;Table1[[#This Row],[Campo]]</f>
        <v>lt826_esg_sbsctrambito</v>
      </c>
      <c r="I1383" s="2" t="s">
        <v>612</v>
      </c>
      <c r="J1383" s="44">
        <f>VLOOKUP(Table1[[#This Row],[Status]],Auxiliar!$B$16:$C$24,2,0)</f>
        <v>1</v>
      </c>
      <c r="K1383" s="44" t="s">
        <v>1174</v>
      </c>
      <c r="L1383" s="45" t="s">
        <v>1177</v>
      </c>
      <c r="M1383" s="20" t="s">
        <v>1178</v>
      </c>
      <c r="N1383" s="47">
        <v>45581</v>
      </c>
      <c r="O1383" s="20">
        <f>INDEX(Auxiliar!$D$5:$F$13,MATCH(Table1[[#This Row],[Tipologia_Testes]],Auxiliar!$B$5:$B$13,0),MATCH(Table1[[#This Row],[Complexidade]],Auxiliar!$D$4:$F$4,0))</f>
        <v>0.1</v>
      </c>
      <c r="P1383" s="42" t="s">
        <v>1259</v>
      </c>
      <c r="Q1383" s="151"/>
      <c r="R1383" s="151">
        <v>45261</v>
      </c>
      <c r="S1383" s="151"/>
      <c r="T1383" s="151"/>
      <c r="U1383" s="151"/>
      <c r="V1383" s="151"/>
      <c r="W1383" s="2">
        <f>VLOOKUP(Table1[[#This Row],[Status]],Auxiliar!$B$16:$D$24,3,0)*Table1[[#This Row],[Estimação (horas)]]</f>
        <v>0.1</v>
      </c>
      <c r="X1383" s="166">
        <f>+VLOOKUP(CONCATENATE(Table1[[#This Row],[Tabela]],Table1[[#This Row],[Campo]]),'2. Status Detalhe Campos FY24'!A:J,9,FALSE)</f>
        <v>0</v>
      </c>
    </row>
    <row r="1384" spans="2:24" ht="17.850000000000001" hidden="1" customHeight="1">
      <c r="B1384" s="38" t="s">
        <v>26</v>
      </c>
      <c r="C1384" s="38" t="s">
        <v>26</v>
      </c>
      <c r="D1384" s="2" t="s">
        <v>38</v>
      </c>
      <c r="E1384" s="39" t="s">
        <v>38</v>
      </c>
      <c r="F1384" s="39" t="s">
        <v>392</v>
      </c>
      <c r="G1384" s="39" t="s">
        <v>208</v>
      </c>
      <c r="H1384" s="59" t="str">
        <f>Table1[[#This Row],[Tabela]]&amp;Table1[[#This Row],[Campo]]</f>
        <v>lt826_esg_sbsctrref_date</v>
      </c>
      <c r="I1384" s="2" t="s">
        <v>612</v>
      </c>
      <c r="J1384" s="44">
        <f>VLOOKUP(Table1[[#This Row],[Status]],Auxiliar!$B$16:$C$24,2,0)</f>
        <v>1</v>
      </c>
      <c r="K1384" s="44" t="s">
        <v>1171</v>
      </c>
      <c r="L1384" s="45" t="s">
        <v>1177</v>
      </c>
      <c r="M1384" s="20" t="s">
        <v>1178</v>
      </c>
      <c r="N1384" s="47">
        <v>45581</v>
      </c>
      <c r="O1384" s="20">
        <f>INDEX(Auxiliar!$D$5:$F$13,MATCH(Table1[[#This Row],[Tipologia_Testes]],Auxiliar!$B$5:$B$13,0),MATCH(Table1[[#This Row],[Complexidade]],Auxiliar!$D$4:$F$4,0))</f>
        <v>2</v>
      </c>
      <c r="P1384" s="42" t="s">
        <v>1259</v>
      </c>
      <c r="Q1384" s="151"/>
      <c r="R1384" s="151">
        <v>45261</v>
      </c>
      <c r="S1384" s="151"/>
      <c r="T1384" s="151"/>
      <c r="U1384" s="151"/>
      <c r="V1384" s="151"/>
      <c r="W1384" s="2">
        <f>VLOOKUP(Table1[[#This Row],[Status]],Auxiliar!$B$16:$D$24,3,0)*Table1[[#This Row],[Estimação (horas)]]</f>
        <v>2</v>
      </c>
      <c r="X1384" s="166">
        <f>+VLOOKUP(CONCATENATE(Table1[[#This Row],[Tabela]],Table1[[#This Row],[Campo]]),'2. Status Detalhe Campos FY24'!A:J,9,FALSE)</f>
        <v>0</v>
      </c>
    </row>
    <row r="1385" spans="2:24" ht="17.850000000000001" hidden="1" customHeight="1">
      <c r="B1385" s="38" t="s">
        <v>26</v>
      </c>
      <c r="C1385" s="38" t="s">
        <v>26</v>
      </c>
      <c r="D1385" s="2" t="s">
        <v>38</v>
      </c>
      <c r="E1385" s="38" t="s">
        <v>38</v>
      </c>
      <c r="F1385" s="38" t="s">
        <v>392</v>
      </c>
      <c r="G1385" s="38" t="s">
        <v>208</v>
      </c>
      <c r="H1385" s="58" t="str">
        <f>Table1[[#This Row],[Tabela]]&amp;Table1[[#This Row],[Campo]]</f>
        <v>lt826_esg_sbsctrref_date</v>
      </c>
      <c r="I1385" s="2" t="s">
        <v>612</v>
      </c>
      <c r="J1385" s="44">
        <f>VLOOKUP(Table1[[#This Row],[Status]],Auxiliar!$B$16:$C$24,2,0)</f>
        <v>1</v>
      </c>
      <c r="K1385" s="44" t="s">
        <v>1172</v>
      </c>
      <c r="L1385" s="45" t="s">
        <v>1177</v>
      </c>
      <c r="M1385" s="20" t="s">
        <v>1178</v>
      </c>
      <c r="N1385" s="47">
        <v>45581</v>
      </c>
      <c r="O1385" s="20">
        <f>INDEX(Auxiliar!$D$5:$F$13,MATCH(Table1[[#This Row],[Tipologia_Testes]],Auxiliar!$B$5:$B$13,0),MATCH(Table1[[#This Row],[Complexidade]],Auxiliar!$D$4:$F$4,0))</f>
        <v>2</v>
      </c>
      <c r="P1385" s="42" t="s">
        <v>1259</v>
      </c>
      <c r="Q1385" s="151"/>
      <c r="R1385" s="151">
        <v>45261</v>
      </c>
      <c r="S1385" s="151"/>
      <c r="T1385" s="151"/>
      <c r="U1385" s="151"/>
      <c r="V1385" s="151"/>
      <c r="W1385" s="2">
        <f>VLOOKUP(Table1[[#This Row],[Status]],Auxiliar!$B$16:$D$24,3,0)*Table1[[#This Row],[Estimação (horas)]]</f>
        <v>2</v>
      </c>
      <c r="X1385" s="166">
        <f>+VLOOKUP(CONCATENATE(Table1[[#This Row],[Tabela]],Table1[[#This Row],[Campo]]),'2. Status Detalhe Campos FY24'!A:J,9,FALSE)</f>
        <v>0</v>
      </c>
    </row>
    <row r="1386" spans="2:24" ht="17.850000000000001" hidden="1" customHeight="1">
      <c r="B1386" s="38" t="s">
        <v>26</v>
      </c>
      <c r="C1386" s="38" t="s">
        <v>26</v>
      </c>
      <c r="D1386" s="2" t="s">
        <v>38</v>
      </c>
      <c r="E1386" s="38" t="s">
        <v>38</v>
      </c>
      <c r="F1386" s="38" t="s">
        <v>392</v>
      </c>
      <c r="G1386" s="38" t="s">
        <v>208</v>
      </c>
      <c r="H1386" s="58" t="str">
        <f>Table1[[#This Row],[Tabela]]&amp;Table1[[#This Row],[Campo]]</f>
        <v>lt826_esg_sbsctrref_date</v>
      </c>
      <c r="I1386" s="2" t="s">
        <v>612</v>
      </c>
      <c r="J1386" s="44">
        <f>VLOOKUP(Table1[[#This Row],[Status]],Auxiliar!$B$16:$C$24,2,0)</f>
        <v>1</v>
      </c>
      <c r="K1386" s="44" t="s">
        <v>1174</v>
      </c>
      <c r="L1386" s="45" t="s">
        <v>1177</v>
      </c>
      <c r="M1386" s="20" t="s">
        <v>1178</v>
      </c>
      <c r="N1386" s="47">
        <v>45581</v>
      </c>
      <c r="O1386" s="20">
        <f>INDEX(Auxiliar!$D$5:$F$13,MATCH(Table1[[#This Row],[Tipologia_Testes]],Auxiliar!$B$5:$B$13,0),MATCH(Table1[[#This Row],[Complexidade]],Auxiliar!$D$4:$F$4,0))</f>
        <v>0.1</v>
      </c>
      <c r="P1386" s="42" t="s">
        <v>1259</v>
      </c>
      <c r="Q1386" s="151"/>
      <c r="R1386" s="151">
        <v>45261</v>
      </c>
      <c r="S1386" s="151"/>
      <c r="T1386" s="151"/>
      <c r="U1386" s="151"/>
      <c r="V1386" s="151"/>
      <c r="W1386" s="2">
        <f>VLOOKUP(Table1[[#This Row],[Status]],Auxiliar!$B$16:$D$24,3,0)*Table1[[#This Row],[Estimação (horas)]]</f>
        <v>0.1</v>
      </c>
      <c r="X1386" s="166">
        <f>+VLOOKUP(CONCATENATE(Table1[[#This Row],[Tabela]],Table1[[#This Row],[Campo]]),'2. Status Detalhe Campos FY24'!A:J,9,FALSE)</f>
        <v>0</v>
      </c>
    </row>
    <row r="1387" spans="2:24" ht="17.850000000000001" hidden="1" customHeight="1">
      <c r="B1387" s="38" t="s">
        <v>26</v>
      </c>
      <c r="C1387" s="38" t="s">
        <v>26</v>
      </c>
      <c r="D1387" s="2" t="s">
        <v>38</v>
      </c>
      <c r="E1387" s="39" t="s">
        <v>38</v>
      </c>
      <c r="F1387" s="39" t="s">
        <v>392</v>
      </c>
      <c r="G1387" s="39" t="s">
        <v>211</v>
      </c>
      <c r="H1387" s="59" t="str">
        <f>Table1[[#This Row],[Tabela]]&amp;Table1[[#This Row],[Campo]]</f>
        <v>lt826_esg_sbsctrordem</v>
      </c>
      <c r="I1387" s="2" t="s">
        <v>612</v>
      </c>
      <c r="J1387" s="44">
        <f>VLOOKUP(Table1[[#This Row],[Status]],Auxiliar!$B$16:$C$24,2,0)</f>
        <v>1</v>
      </c>
      <c r="K1387" s="44" t="s">
        <v>1171</v>
      </c>
      <c r="L1387" s="45" t="s">
        <v>1177</v>
      </c>
      <c r="M1387" s="20" t="s">
        <v>1178</v>
      </c>
      <c r="N1387" s="47">
        <v>45581</v>
      </c>
      <c r="O1387" s="20">
        <f>INDEX(Auxiliar!$D$5:$F$13,MATCH(Table1[[#This Row],[Tipologia_Testes]],Auxiliar!$B$5:$B$13,0),MATCH(Table1[[#This Row],[Complexidade]],Auxiliar!$D$4:$F$4,0))</f>
        <v>2</v>
      </c>
      <c r="P1387" s="42" t="s">
        <v>1259</v>
      </c>
      <c r="Q1387" s="151"/>
      <c r="R1387" s="151">
        <v>45261</v>
      </c>
      <c r="S1387" s="151"/>
      <c r="T1387" s="151"/>
      <c r="U1387" s="151"/>
      <c r="V1387" s="151"/>
      <c r="W1387" s="2">
        <f>VLOOKUP(Table1[[#This Row],[Status]],Auxiliar!$B$16:$D$24,3,0)*Table1[[#This Row],[Estimação (horas)]]</f>
        <v>2</v>
      </c>
      <c r="X1387" s="166">
        <f>+VLOOKUP(CONCATENATE(Table1[[#This Row],[Tabela]],Table1[[#This Row],[Campo]]),'2. Status Detalhe Campos FY24'!A:J,9,FALSE)</f>
        <v>0</v>
      </c>
    </row>
    <row r="1388" spans="2:24" ht="17.850000000000001" hidden="1" customHeight="1">
      <c r="B1388" s="38" t="s">
        <v>26</v>
      </c>
      <c r="C1388" s="38" t="s">
        <v>26</v>
      </c>
      <c r="D1388" s="2" t="s">
        <v>38</v>
      </c>
      <c r="E1388" s="38" t="s">
        <v>38</v>
      </c>
      <c r="F1388" s="38" t="s">
        <v>392</v>
      </c>
      <c r="G1388" s="38" t="s">
        <v>211</v>
      </c>
      <c r="H1388" s="58" t="str">
        <f>Table1[[#This Row],[Tabela]]&amp;Table1[[#This Row],[Campo]]</f>
        <v>lt826_esg_sbsctrordem</v>
      </c>
      <c r="I1388" s="2" t="s">
        <v>612</v>
      </c>
      <c r="J1388" s="44">
        <f>VLOOKUP(Table1[[#This Row],[Status]],Auxiliar!$B$16:$C$24,2,0)</f>
        <v>1</v>
      </c>
      <c r="K1388" s="44" t="s">
        <v>1172</v>
      </c>
      <c r="L1388" s="45" t="s">
        <v>1177</v>
      </c>
      <c r="M1388" s="20" t="s">
        <v>1178</v>
      </c>
      <c r="N1388" s="47">
        <v>45581</v>
      </c>
      <c r="O1388" s="20">
        <f>INDEX(Auxiliar!$D$5:$F$13,MATCH(Table1[[#This Row],[Tipologia_Testes]],Auxiliar!$B$5:$B$13,0),MATCH(Table1[[#This Row],[Complexidade]],Auxiliar!$D$4:$F$4,0))</f>
        <v>2</v>
      </c>
      <c r="P1388" s="42" t="s">
        <v>1259</v>
      </c>
      <c r="Q1388" s="151"/>
      <c r="R1388" s="151">
        <v>45261</v>
      </c>
      <c r="S1388" s="151"/>
      <c r="T1388" s="151"/>
      <c r="U1388" s="151"/>
      <c r="V1388" s="151"/>
      <c r="W1388" s="2">
        <f>VLOOKUP(Table1[[#This Row],[Status]],Auxiliar!$B$16:$D$24,3,0)*Table1[[#This Row],[Estimação (horas)]]</f>
        <v>2</v>
      </c>
      <c r="X1388" s="166">
        <f>+VLOOKUP(CONCATENATE(Table1[[#This Row],[Tabela]],Table1[[#This Row],[Campo]]),'2. Status Detalhe Campos FY24'!A:J,9,FALSE)</f>
        <v>0</v>
      </c>
    </row>
    <row r="1389" spans="2:24" ht="17.850000000000001" hidden="1" customHeight="1">
      <c r="B1389" s="38" t="s">
        <v>26</v>
      </c>
      <c r="C1389" s="38" t="s">
        <v>26</v>
      </c>
      <c r="D1389" s="2" t="s">
        <v>38</v>
      </c>
      <c r="E1389" s="38" t="s">
        <v>38</v>
      </c>
      <c r="F1389" s="38" t="s">
        <v>392</v>
      </c>
      <c r="G1389" s="38" t="s">
        <v>211</v>
      </c>
      <c r="H1389" s="58" t="str">
        <f>Table1[[#This Row],[Tabela]]&amp;Table1[[#This Row],[Campo]]</f>
        <v>lt826_esg_sbsctrordem</v>
      </c>
      <c r="I1389" s="2" t="s">
        <v>612</v>
      </c>
      <c r="J1389" s="44">
        <f>VLOOKUP(Table1[[#This Row],[Status]],Auxiliar!$B$16:$C$24,2,0)</f>
        <v>1</v>
      </c>
      <c r="K1389" s="44" t="s">
        <v>1174</v>
      </c>
      <c r="L1389" s="45" t="s">
        <v>1177</v>
      </c>
      <c r="M1389" s="20" t="s">
        <v>1178</v>
      </c>
      <c r="N1389" s="47">
        <v>45581</v>
      </c>
      <c r="O1389" s="20">
        <f>INDEX(Auxiliar!$D$5:$F$13,MATCH(Table1[[#This Row],[Tipologia_Testes]],Auxiliar!$B$5:$B$13,0),MATCH(Table1[[#This Row],[Complexidade]],Auxiliar!$D$4:$F$4,0))</f>
        <v>0.1</v>
      </c>
      <c r="P1389" s="42" t="s">
        <v>1259</v>
      </c>
      <c r="Q1389" s="151"/>
      <c r="R1389" s="151">
        <v>45261</v>
      </c>
      <c r="S1389" s="151"/>
      <c r="T1389" s="151"/>
      <c r="U1389" s="151"/>
      <c r="V1389" s="151"/>
      <c r="W1389" s="2">
        <f>VLOOKUP(Table1[[#This Row],[Status]],Auxiliar!$B$16:$D$24,3,0)*Table1[[#This Row],[Estimação (horas)]]</f>
        <v>0.1</v>
      </c>
      <c r="X1389" s="166">
        <f>+VLOOKUP(CONCATENATE(Table1[[#This Row],[Tabela]],Table1[[#This Row],[Campo]]),'2. Status Detalhe Campos FY24'!A:J,9,FALSE)</f>
        <v>0</v>
      </c>
    </row>
    <row r="1390" spans="2:24" ht="17.850000000000001" hidden="1" customHeight="1">
      <c r="B1390" s="38" t="s">
        <v>26</v>
      </c>
      <c r="C1390" s="38" t="s">
        <v>26</v>
      </c>
      <c r="D1390" s="2" t="s">
        <v>38</v>
      </c>
      <c r="E1390" s="39" t="s">
        <v>38</v>
      </c>
      <c r="F1390" s="39" t="s">
        <v>392</v>
      </c>
      <c r="G1390" s="37" t="s">
        <v>393</v>
      </c>
      <c r="H1390" s="59" t="str">
        <f>Table1[[#This Row],[Tabela]]&amp;Table1[[#This Row],[Campo]]</f>
        <v>lt826_esg_sbsctrnace_code</v>
      </c>
      <c r="I1390" s="2" t="s">
        <v>612</v>
      </c>
      <c r="J1390" s="44">
        <f>VLOOKUP(Table1[[#This Row],[Status]],Auxiliar!$B$16:$C$24,2,0)</f>
        <v>1</v>
      </c>
      <c r="K1390" s="44" t="s">
        <v>1171</v>
      </c>
      <c r="L1390" s="45" t="s">
        <v>1177</v>
      </c>
      <c r="M1390" s="20" t="s">
        <v>1178</v>
      </c>
      <c r="N1390" s="47">
        <v>45581</v>
      </c>
      <c r="O1390" s="20">
        <f>INDEX(Auxiliar!$D$5:$F$13,MATCH(Table1[[#This Row],[Tipologia_Testes]],Auxiliar!$B$5:$B$13,0),MATCH(Table1[[#This Row],[Complexidade]],Auxiliar!$D$4:$F$4,0))</f>
        <v>2</v>
      </c>
      <c r="P1390" s="42" t="s">
        <v>1259</v>
      </c>
      <c r="Q1390" s="151"/>
      <c r="R1390" s="151">
        <v>45261</v>
      </c>
      <c r="S1390" s="151"/>
      <c r="T1390" s="151"/>
      <c r="U1390" s="151"/>
      <c r="V1390" s="151"/>
      <c r="W1390" s="2">
        <f>VLOOKUP(Table1[[#This Row],[Status]],Auxiliar!$B$16:$D$24,3,0)*Table1[[#This Row],[Estimação (horas)]]</f>
        <v>2</v>
      </c>
      <c r="X1390" s="166">
        <f>+VLOOKUP(CONCATENATE(Table1[[#This Row],[Tabela]],Table1[[#This Row],[Campo]]),'2. Status Detalhe Campos FY24'!A:J,9,FALSE)</f>
        <v>0</v>
      </c>
    </row>
    <row r="1391" spans="2:24" ht="17.850000000000001" hidden="1" customHeight="1">
      <c r="B1391" s="38" t="s">
        <v>26</v>
      </c>
      <c r="C1391" s="38" t="s">
        <v>26</v>
      </c>
      <c r="D1391" s="2" t="s">
        <v>38</v>
      </c>
      <c r="E1391" s="38" t="s">
        <v>38</v>
      </c>
      <c r="F1391" s="38" t="s">
        <v>392</v>
      </c>
      <c r="G1391" s="38" t="s">
        <v>393</v>
      </c>
      <c r="H1391" s="58" t="str">
        <f>Table1[[#This Row],[Tabela]]&amp;Table1[[#This Row],[Campo]]</f>
        <v>lt826_esg_sbsctrnace_code</v>
      </c>
      <c r="I1391" s="2" t="s">
        <v>612</v>
      </c>
      <c r="J1391" s="44">
        <f>VLOOKUP(Table1[[#This Row],[Status]],Auxiliar!$B$16:$C$24,2,0)</f>
        <v>1</v>
      </c>
      <c r="K1391" s="44" t="s">
        <v>1172</v>
      </c>
      <c r="L1391" s="45" t="s">
        <v>1177</v>
      </c>
      <c r="M1391" s="20" t="s">
        <v>1178</v>
      </c>
      <c r="N1391" s="47">
        <v>45581</v>
      </c>
      <c r="O1391" s="20">
        <f>INDEX(Auxiliar!$D$5:$F$13,MATCH(Table1[[#This Row],[Tipologia_Testes]],Auxiliar!$B$5:$B$13,0),MATCH(Table1[[#This Row],[Complexidade]],Auxiliar!$D$4:$F$4,0))</f>
        <v>2</v>
      </c>
      <c r="P1391" s="42" t="s">
        <v>1259</v>
      </c>
      <c r="Q1391" s="151"/>
      <c r="R1391" s="151">
        <v>45261</v>
      </c>
      <c r="S1391" s="151"/>
      <c r="T1391" s="151"/>
      <c r="U1391" s="151"/>
      <c r="V1391" s="151"/>
      <c r="W1391" s="2">
        <f>VLOOKUP(Table1[[#This Row],[Status]],Auxiliar!$B$16:$D$24,3,0)*Table1[[#This Row],[Estimação (horas)]]</f>
        <v>2</v>
      </c>
      <c r="X1391" s="166">
        <f>+VLOOKUP(CONCATENATE(Table1[[#This Row],[Tabela]],Table1[[#This Row],[Campo]]),'2. Status Detalhe Campos FY24'!A:J,9,FALSE)</f>
        <v>0</v>
      </c>
    </row>
    <row r="1392" spans="2:24" ht="17.850000000000001" hidden="1" customHeight="1">
      <c r="B1392" s="38" t="s">
        <v>26</v>
      </c>
      <c r="C1392" s="38" t="s">
        <v>26</v>
      </c>
      <c r="D1392" s="2" t="s">
        <v>38</v>
      </c>
      <c r="E1392" s="38" t="s">
        <v>38</v>
      </c>
      <c r="F1392" s="38" t="s">
        <v>392</v>
      </c>
      <c r="G1392" s="38" t="s">
        <v>393</v>
      </c>
      <c r="H1392" s="58" t="str">
        <f>Table1[[#This Row],[Tabela]]&amp;Table1[[#This Row],[Campo]]</f>
        <v>lt826_esg_sbsctrnace_code</v>
      </c>
      <c r="I1392" s="2" t="s">
        <v>612</v>
      </c>
      <c r="J1392" s="44">
        <f>VLOOKUP(Table1[[#This Row],[Status]],Auxiliar!$B$16:$C$24,2,0)</f>
        <v>1</v>
      </c>
      <c r="K1392" s="44" t="s">
        <v>1174</v>
      </c>
      <c r="L1392" s="45" t="s">
        <v>1177</v>
      </c>
      <c r="M1392" s="20" t="s">
        <v>1178</v>
      </c>
      <c r="N1392" s="47">
        <v>45581</v>
      </c>
      <c r="O1392" s="20">
        <f>INDEX(Auxiliar!$D$5:$F$13,MATCH(Table1[[#This Row],[Tipologia_Testes]],Auxiliar!$B$5:$B$13,0),MATCH(Table1[[#This Row],[Complexidade]],Auxiliar!$D$4:$F$4,0))</f>
        <v>0.1</v>
      </c>
      <c r="P1392" s="42" t="s">
        <v>1259</v>
      </c>
      <c r="Q1392" s="151"/>
      <c r="R1392" s="151">
        <v>45261</v>
      </c>
      <c r="S1392" s="151"/>
      <c r="T1392" s="151"/>
      <c r="U1392" s="151"/>
      <c r="V1392" s="151"/>
      <c r="W1392" s="2">
        <f>VLOOKUP(Table1[[#This Row],[Status]],Auxiliar!$B$16:$D$24,3,0)*Table1[[#This Row],[Estimação (horas)]]</f>
        <v>0.1</v>
      </c>
      <c r="X1392" s="166">
        <f>+VLOOKUP(CONCATENATE(Table1[[#This Row],[Tabela]],Table1[[#This Row],[Campo]]),'2. Status Detalhe Campos FY24'!A:J,9,FALSE)</f>
        <v>0</v>
      </c>
    </row>
    <row r="1393" spans="2:24" ht="17.850000000000001" hidden="1" customHeight="1">
      <c r="B1393" s="38" t="s">
        <v>26</v>
      </c>
      <c r="C1393" s="38" t="s">
        <v>26</v>
      </c>
      <c r="D1393" s="2" t="s">
        <v>38</v>
      </c>
      <c r="E1393" s="39" t="s">
        <v>38</v>
      </c>
      <c r="F1393" s="39" t="s">
        <v>392</v>
      </c>
      <c r="G1393" s="37" t="s">
        <v>394</v>
      </c>
      <c r="H1393" s="59" t="str">
        <f>Table1[[#This Row],[Tabela]]&amp;Table1[[#This Row],[Campo]]</f>
        <v>lt826_esg_sbsctrcontraparte</v>
      </c>
      <c r="I1393" s="2" t="s">
        <v>612</v>
      </c>
      <c r="J1393" s="44">
        <f>VLOOKUP(Table1[[#This Row],[Status]],Auxiliar!$B$16:$C$24,2,0)</f>
        <v>1</v>
      </c>
      <c r="K1393" s="44" t="s">
        <v>1171</v>
      </c>
      <c r="L1393" s="45" t="s">
        <v>1177</v>
      </c>
      <c r="M1393" s="20" t="s">
        <v>1178</v>
      </c>
      <c r="N1393" s="47">
        <v>45581</v>
      </c>
      <c r="O1393" s="20">
        <f>INDEX(Auxiliar!$D$5:$F$13,MATCH(Table1[[#This Row],[Tipologia_Testes]],Auxiliar!$B$5:$B$13,0),MATCH(Table1[[#This Row],[Complexidade]],Auxiliar!$D$4:$F$4,0))</f>
        <v>2</v>
      </c>
      <c r="P1393" s="42" t="s">
        <v>1259</v>
      </c>
      <c r="Q1393" s="151"/>
      <c r="R1393" s="151">
        <v>45261</v>
      </c>
      <c r="S1393" s="151"/>
      <c r="T1393" s="151"/>
      <c r="U1393" s="151"/>
      <c r="V1393" s="151"/>
      <c r="W1393" s="2">
        <f>VLOOKUP(Table1[[#This Row],[Status]],Auxiliar!$B$16:$D$24,3,0)*Table1[[#This Row],[Estimação (horas)]]</f>
        <v>2</v>
      </c>
      <c r="X1393" s="166">
        <f>+VLOOKUP(CONCATENATE(Table1[[#This Row],[Tabela]],Table1[[#This Row],[Campo]]),'2. Status Detalhe Campos FY24'!A:J,9,FALSE)</f>
        <v>0</v>
      </c>
    </row>
    <row r="1394" spans="2:24" ht="17.850000000000001" hidden="1" customHeight="1">
      <c r="B1394" s="38" t="s">
        <v>26</v>
      </c>
      <c r="C1394" s="38" t="s">
        <v>26</v>
      </c>
      <c r="D1394" s="2" t="s">
        <v>38</v>
      </c>
      <c r="E1394" s="38" t="s">
        <v>38</v>
      </c>
      <c r="F1394" s="38" t="s">
        <v>392</v>
      </c>
      <c r="G1394" s="38" t="s">
        <v>394</v>
      </c>
      <c r="H1394" s="58" t="str">
        <f>Table1[[#This Row],[Tabela]]&amp;Table1[[#This Row],[Campo]]</f>
        <v>lt826_esg_sbsctrcontraparte</v>
      </c>
      <c r="I1394" s="2" t="s">
        <v>612</v>
      </c>
      <c r="J1394" s="44">
        <f>VLOOKUP(Table1[[#This Row],[Status]],Auxiliar!$B$16:$C$24,2,0)</f>
        <v>1</v>
      </c>
      <c r="K1394" s="44" t="s">
        <v>1172</v>
      </c>
      <c r="L1394" s="45" t="s">
        <v>1177</v>
      </c>
      <c r="M1394" s="20" t="s">
        <v>1178</v>
      </c>
      <c r="N1394" s="47">
        <v>45581</v>
      </c>
      <c r="O1394" s="20">
        <f>INDEX(Auxiliar!$D$5:$F$13,MATCH(Table1[[#This Row],[Tipologia_Testes]],Auxiliar!$B$5:$B$13,0),MATCH(Table1[[#This Row],[Complexidade]],Auxiliar!$D$4:$F$4,0))</f>
        <v>2</v>
      </c>
      <c r="P1394" s="42" t="s">
        <v>1259</v>
      </c>
      <c r="Q1394" s="151"/>
      <c r="R1394" s="151">
        <v>45261</v>
      </c>
      <c r="S1394" s="151"/>
      <c r="T1394" s="151"/>
      <c r="U1394" s="151"/>
      <c r="V1394" s="151"/>
      <c r="W1394" s="2">
        <f>VLOOKUP(Table1[[#This Row],[Status]],Auxiliar!$B$16:$D$24,3,0)*Table1[[#This Row],[Estimação (horas)]]</f>
        <v>2</v>
      </c>
      <c r="X1394" s="166">
        <f>+VLOOKUP(CONCATENATE(Table1[[#This Row],[Tabela]],Table1[[#This Row],[Campo]]),'2. Status Detalhe Campos FY24'!A:J,9,FALSE)</f>
        <v>0</v>
      </c>
    </row>
    <row r="1395" spans="2:24" ht="17.850000000000001" hidden="1" customHeight="1">
      <c r="B1395" s="38" t="s">
        <v>26</v>
      </c>
      <c r="C1395" s="38" t="s">
        <v>26</v>
      </c>
      <c r="D1395" s="2" t="s">
        <v>38</v>
      </c>
      <c r="E1395" s="38" t="s">
        <v>38</v>
      </c>
      <c r="F1395" s="38" t="s">
        <v>392</v>
      </c>
      <c r="G1395" s="38" t="s">
        <v>394</v>
      </c>
      <c r="H1395" s="58" t="str">
        <f>Table1[[#This Row],[Tabela]]&amp;Table1[[#This Row],[Campo]]</f>
        <v>lt826_esg_sbsctrcontraparte</v>
      </c>
      <c r="I1395" s="2" t="s">
        <v>612</v>
      </c>
      <c r="J1395" s="44">
        <f>VLOOKUP(Table1[[#This Row],[Status]],Auxiliar!$B$16:$C$24,2,0)</f>
        <v>1</v>
      </c>
      <c r="K1395" s="44" t="s">
        <v>1174</v>
      </c>
      <c r="L1395" s="45" t="s">
        <v>1177</v>
      </c>
      <c r="M1395" s="20" t="s">
        <v>1178</v>
      </c>
      <c r="N1395" s="47">
        <v>45581</v>
      </c>
      <c r="O1395" s="20">
        <f>INDEX(Auxiliar!$D$5:$F$13,MATCH(Table1[[#This Row],[Tipologia_Testes]],Auxiliar!$B$5:$B$13,0),MATCH(Table1[[#This Row],[Complexidade]],Auxiliar!$D$4:$F$4,0))</f>
        <v>0.1</v>
      </c>
      <c r="P1395" s="42" t="s">
        <v>1259</v>
      </c>
      <c r="Q1395" s="151"/>
      <c r="R1395" s="151">
        <v>45261</v>
      </c>
      <c r="S1395" s="151"/>
      <c r="T1395" s="151"/>
      <c r="U1395" s="151"/>
      <c r="V1395" s="151"/>
      <c r="W1395" s="2">
        <f>VLOOKUP(Table1[[#This Row],[Status]],Auxiliar!$B$16:$D$24,3,0)*Table1[[#This Row],[Estimação (horas)]]</f>
        <v>0.1</v>
      </c>
      <c r="X1395" s="166">
        <f>+VLOOKUP(CONCATENATE(Table1[[#This Row],[Tabela]],Table1[[#This Row],[Campo]]),'2. Status Detalhe Campos FY24'!A:J,9,FALSE)</f>
        <v>0</v>
      </c>
    </row>
    <row r="1396" spans="2:24" ht="17.850000000000001" hidden="1" customHeight="1">
      <c r="B1396" s="38" t="s">
        <v>26</v>
      </c>
      <c r="C1396" s="38" t="s">
        <v>26</v>
      </c>
      <c r="D1396" s="2" t="s">
        <v>38</v>
      </c>
      <c r="E1396" s="39" t="s">
        <v>38</v>
      </c>
      <c r="F1396" s="39" t="s">
        <v>392</v>
      </c>
      <c r="G1396" s="37" t="s">
        <v>395</v>
      </c>
      <c r="H1396" s="59" t="str">
        <f>Table1[[#This Row],[Tabela]]&amp;Table1[[#This Row],[Campo]]</f>
        <v>lt826_esg_sbsctrcnatureza_juri</v>
      </c>
      <c r="I1396" s="2" t="s">
        <v>612</v>
      </c>
      <c r="J1396" s="44">
        <f>VLOOKUP(Table1[[#This Row],[Status]],Auxiliar!$B$16:$C$24,2,0)</f>
        <v>1</v>
      </c>
      <c r="K1396" s="44" t="s">
        <v>1171</v>
      </c>
      <c r="L1396" s="45" t="s">
        <v>1177</v>
      </c>
      <c r="M1396" s="20" t="s">
        <v>1178</v>
      </c>
      <c r="N1396" s="47">
        <v>45581</v>
      </c>
      <c r="O1396" s="20">
        <f>INDEX(Auxiliar!$D$5:$F$13,MATCH(Table1[[#This Row],[Tipologia_Testes]],Auxiliar!$B$5:$B$13,0),MATCH(Table1[[#This Row],[Complexidade]],Auxiliar!$D$4:$F$4,0))</f>
        <v>2</v>
      </c>
      <c r="P1396" s="42" t="s">
        <v>1259</v>
      </c>
      <c r="Q1396" s="151"/>
      <c r="R1396" s="151">
        <v>45261</v>
      </c>
      <c r="S1396" s="151"/>
      <c r="T1396" s="151"/>
      <c r="U1396" s="151"/>
      <c r="V1396" s="151"/>
      <c r="W1396" s="2">
        <f>VLOOKUP(Table1[[#This Row],[Status]],Auxiliar!$B$16:$D$24,3,0)*Table1[[#This Row],[Estimação (horas)]]</f>
        <v>2</v>
      </c>
      <c r="X1396" s="166">
        <f>+VLOOKUP(CONCATENATE(Table1[[#This Row],[Tabela]],Table1[[#This Row],[Campo]]),'2. Status Detalhe Campos FY24'!A:J,9,FALSE)</f>
        <v>0</v>
      </c>
    </row>
    <row r="1397" spans="2:24" ht="17.850000000000001" hidden="1" customHeight="1">
      <c r="B1397" s="38" t="s">
        <v>26</v>
      </c>
      <c r="C1397" s="38" t="s">
        <v>26</v>
      </c>
      <c r="D1397" s="2" t="s">
        <v>38</v>
      </c>
      <c r="E1397" s="38" t="s">
        <v>38</v>
      </c>
      <c r="F1397" s="38" t="s">
        <v>392</v>
      </c>
      <c r="G1397" s="38" t="s">
        <v>395</v>
      </c>
      <c r="H1397" s="58" t="str">
        <f>Table1[[#This Row],[Tabela]]&amp;Table1[[#This Row],[Campo]]</f>
        <v>lt826_esg_sbsctrcnatureza_juri</v>
      </c>
      <c r="I1397" s="2" t="s">
        <v>612</v>
      </c>
      <c r="J1397" s="44">
        <f>VLOOKUP(Table1[[#This Row],[Status]],Auxiliar!$B$16:$C$24,2,0)</f>
        <v>1</v>
      </c>
      <c r="K1397" s="44" t="s">
        <v>1172</v>
      </c>
      <c r="L1397" s="45" t="s">
        <v>1177</v>
      </c>
      <c r="M1397" s="20" t="s">
        <v>1178</v>
      </c>
      <c r="N1397" s="47">
        <v>45581</v>
      </c>
      <c r="O1397" s="20">
        <f>INDEX(Auxiliar!$D$5:$F$13,MATCH(Table1[[#This Row],[Tipologia_Testes]],Auxiliar!$B$5:$B$13,0),MATCH(Table1[[#This Row],[Complexidade]],Auxiliar!$D$4:$F$4,0))</f>
        <v>2</v>
      </c>
      <c r="P1397" s="42" t="s">
        <v>1259</v>
      </c>
      <c r="Q1397" s="151"/>
      <c r="R1397" s="151">
        <v>45261</v>
      </c>
      <c r="S1397" s="151"/>
      <c r="T1397" s="151"/>
      <c r="U1397" s="151"/>
      <c r="V1397" s="151"/>
      <c r="W1397" s="2">
        <f>VLOOKUP(Table1[[#This Row],[Status]],Auxiliar!$B$16:$D$24,3,0)*Table1[[#This Row],[Estimação (horas)]]</f>
        <v>2</v>
      </c>
      <c r="X1397" s="166">
        <f>+VLOOKUP(CONCATENATE(Table1[[#This Row],[Tabela]],Table1[[#This Row],[Campo]]),'2. Status Detalhe Campos FY24'!A:J,9,FALSE)</f>
        <v>0</v>
      </c>
    </row>
    <row r="1398" spans="2:24" ht="17.850000000000001" hidden="1" customHeight="1">
      <c r="B1398" s="38" t="s">
        <v>26</v>
      </c>
      <c r="C1398" s="38" t="s">
        <v>26</v>
      </c>
      <c r="D1398" s="2" t="s">
        <v>38</v>
      </c>
      <c r="E1398" s="38" t="s">
        <v>38</v>
      </c>
      <c r="F1398" s="38" t="s">
        <v>392</v>
      </c>
      <c r="G1398" s="38" t="s">
        <v>395</v>
      </c>
      <c r="H1398" s="58" t="str">
        <f>Table1[[#This Row],[Tabela]]&amp;Table1[[#This Row],[Campo]]</f>
        <v>lt826_esg_sbsctrcnatureza_juri</v>
      </c>
      <c r="I1398" s="2" t="s">
        <v>612</v>
      </c>
      <c r="J1398" s="44">
        <f>VLOOKUP(Table1[[#This Row],[Status]],Auxiliar!$B$16:$C$24,2,0)</f>
        <v>1</v>
      </c>
      <c r="K1398" s="44" t="s">
        <v>1174</v>
      </c>
      <c r="L1398" s="45" t="s">
        <v>1177</v>
      </c>
      <c r="M1398" s="20" t="s">
        <v>1178</v>
      </c>
      <c r="N1398" s="47">
        <v>45581</v>
      </c>
      <c r="O1398" s="20">
        <f>INDEX(Auxiliar!$D$5:$F$13,MATCH(Table1[[#This Row],[Tipologia_Testes]],Auxiliar!$B$5:$B$13,0),MATCH(Table1[[#This Row],[Complexidade]],Auxiliar!$D$4:$F$4,0))</f>
        <v>0.1</v>
      </c>
      <c r="P1398" s="42" t="s">
        <v>1259</v>
      </c>
      <c r="Q1398" s="151"/>
      <c r="R1398" s="151">
        <v>45261</v>
      </c>
      <c r="S1398" s="151"/>
      <c r="T1398" s="151"/>
      <c r="U1398" s="151"/>
      <c r="V1398" s="151"/>
      <c r="W1398" s="2">
        <f>VLOOKUP(Table1[[#This Row],[Status]],Auxiliar!$B$16:$D$24,3,0)*Table1[[#This Row],[Estimação (horas)]]</f>
        <v>0.1</v>
      </c>
      <c r="X1398" s="166">
        <f>+VLOOKUP(CONCATENATE(Table1[[#This Row],[Tabela]],Table1[[#This Row],[Campo]]),'2. Status Detalhe Campos FY24'!A:J,9,FALSE)</f>
        <v>0</v>
      </c>
    </row>
    <row r="1399" spans="2:24" ht="17.850000000000001" hidden="1" customHeight="1">
      <c r="B1399" s="38" t="s">
        <v>26</v>
      </c>
      <c r="C1399" s="38" t="s">
        <v>26</v>
      </c>
      <c r="D1399" s="2" t="s">
        <v>38</v>
      </c>
      <c r="E1399" s="39" t="s">
        <v>38</v>
      </c>
      <c r="F1399" s="39" t="s">
        <v>392</v>
      </c>
      <c r="G1399" s="37" t="s">
        <v>396</v>
      </c>
      <c r="H1399" s="59" t="str">
        <f>Table1[[#This Row],[Tabela]]&amp;Table1[[#This Row],[Campo]]</f>
        <v>lt826_esg_sbsctridcomb</v>
      </c>
      <c r="I1399" s="2" t="s">
        <v>612</v>
      </c>
      <c r="J1399" s="44">
        <f>VLOOKUP(Table1[[#This Row],[Status]],Auxiliar!$B$16:$C$24,2,0)</f>
        <v>1</v>
      </c>
      <c r="K1399" s="44" t="s">
        <v>1171</v>
      </c>
      <c r="L1399" s="45" t="s">
        <v>1177</v>
      </c>
      <c r="M1399" s="20" t="s">
        <v>1178</v>
      </c>
      <c r="N1399" s="47">
        <v>45581</v>
      </c>
      <c r="O1399" s="20">
        <f>INDEX(Auxiliar!$D$5:$F$13,MATCH(Table1[[#This Row],[Tipologia_Testes]],Auxiliar!$B$5:$B$13,0),MATCH(Table1[[#This Row],[Complexidade]],Auxiliar!$D$4:$F$4,0))</f>
        <v>2</v>
      </c>
      <c r="P1399" s="42" t="s">
        <v>1259</v>
      </c>
      <c r="Q1399" s="151"/>
      <c r="R1399" s="151">
        <v>45261</v>
      </c>
      <c r="S1399" s="151"/>
      <c r="T1399" s="151"/>
      <c r="U1399" s="151"/>
      <c r="V1399" s="151"/>
      <c r="W1399" s="2">
        <f>VLOOKUP(Table1[[#This Row],[Status]],Auxiliar!$B$16:$D$24,3,0)*Table1[[#This Row],[Estimação (horas)]]</f>
        <v>2</v>
      </c>
      <c r="X1399" s="166">
        <f>+VLOOKUP(CONCATENATE(Table1[[#This Row],[Tabela]],Table1[[#This Row],[Campo]]),'2. Status Detalhe Campos FY24'!A:J,9,FALSE)</f>
        <v>0</v>
      </c>
    </row>
    <row r="1400" spans="2:24" ht="17.850000000000001" hidden="1" customHeight="1">
      <c r="B1400" s="38" t="s">
        <v>26</v>
      </c>
      <c r="C1400" s="38" t="s">
        <v>26</v>
      </c>
      <c r="D1400" s="2" t="s">
        <v>38</v>
      </c>
      <c r="E1400" s="38" t="s">
        <v>38</v>
      </c>
      <c r="F1400" s="38" t="s">
        <v>392</v>
      </c>
      <c r="G1400" s="38" t="s">
        <v>396</v>
      </c>
      <c r="H1400" s="58" t="str">
        <f>Table1[[#This Row],[Tabela]]&amp;Table1[[#This Row],[Campo]]</f>
        <v>lt826_esg_sbsctridcomb</v>
      </c>
      <c r="I1400" s="2" t="s">
        <v>612</v>
      </c>
      <c r="J1400" s="44">
        <f>VLOOKUP(Table1[[#This Row],[Status]],Auxiliar!$B$16:$C$24,2,0)</f>
        <v>1</v>
      </c>
      <c r="K1400" s="44" t="s">
        <v>1172</v>
      </c>
      <c r="L1400" s="45" t="s">
        <v>1177</v>
      </c>
      <c r="M1400" s="20" t="s">
        <v>1178</v>
      </c>
      <c r="N1400" s="47">
        <v>45581</v>
      </c>
      <c r="O1400" s="20">
        <f>INDEX(Auxiliar!$D$5:$F$13,MATCH(Table1[[#This Row],[Tipologia_Testes]],Auxiliar!$B$5:$B$13,0),MATCH(Table1[[#This Row],[Complexidade]],Auxiliar!$D$4:$F$4,0))</f>
        <v>2</v>
      </c>
      <c r="P1400" s="42" t="s">
        <v>1259</v>
      </c>
      <c r="Q1400" s="151"/>
      <c r="R1400" s="151">
        <v>45261</v>
      </c>
      <c r="S1400" s="151"/>
      <c r="T1400" s="151"/>
      <c r="U1400" s="151"/>
      <c r="V1400" s="151"/>
      <c r="W1400" s="2">
        <f>VLOOKUP(Table1[[#This Row],[Status]],Auxiliar!$B$16:$D$24,3,0)*Table1[[#This Row],[Estimação (horas)]]</f>
        <v>2</v>
      </c>
      <c r="X1400" s="166">
        <f>+VLOOKUP(CONCATENATE(Table1[[#This Row],[Tabela]],Table1[[#This Row],[Campo]]),'2. Status Detalhe Campos FY24'!A:J,9,FALSE)</f>
        <v>0</v>
      </c>
    </row>
    <row r="1401" spans="2:24" ht="17.850000000000001" hidden="1" customHeight="1">
      <c r="B1401" s="38" t="s">
        <v>26</v>
      </c>
      <c r="C1401" s="38" t="s">
        <v>26</v>
      </c>
      <c r="D1401" s="2" t="s">
        <v>38</v>
      </c>
      <c r="E1401" s="38" t="s">
        <v>38</v>
      </c>
      <c r="F1401" s="38" t="s">
        <v>392</v>
      </c>
      <c r="G1401" s="38" t="s">
        <v>396</v>
      </c>
      <c r="H1401" s="58" t="str">
        <f>Table1[[#This Row],[Tabela]]&amp;Table1[[#This Row],[Campo]]</f>
        <v>lt826_esg_sbsctridcomb</v>
      </c>
      <c r="I1401" s="2" t="s">
        <v>612</v>
      </c>
      <c r="J1401" s="44">
        <f>VLOOKUP(Table1[[#This Row],[Status]],Auxiliar!$B$16:$C$24,2,0)</f>
        <v>1</v>
      </c>
      <c r="K1401" s="44" t="s">
        <v>1174</v>
      </c>
      <c r="L1401" s="45" t="s">
        <v>1177</v>
      </c>
      <c r="M1401" s="20" t="s">
        <v>1178</v>
      </c>
      <c r="N1401" s="47">
        <v>45581</v>
      </c>
      <c r="O1401" s="20">
        <f>INDEX(Auxiliar!$D$5:$F$13,MATCH(Table1[[#This Row],[Tipologia_Testes]],Auxiliar!$B$5:$B$13,0),MATCH(Table1[[#This Row],[Complexidade]],Auxiliar!$D$4:$F$4,0))</f>
        <v>0.1</v>
      </c>
      <c r="P1401" s="42" t="s">
        <v>1259</v>
      </c>
      <c r="Q1401" s="151"/>
      <c r="R1401" s="151">
        <v>45261</v>
      </c>
      <c r="S1401" s="151"/>
      <c r="T1401" s="151"/>
      <c r="U1401" s="151"/>
      <c r="V1401" s="151"/>
      <c r="W1401" s="2">
        <f>VLOOKUP(Table1[[#This Row],[Status]],Auxiliar!$B$16:$D$24,3,0)*Table1[[#This Row],[Estimação (horas)]]</f>
        <v>0.1</v>
      </c>
      <c r="X1401" s="166">
        <f>+VLOOKUP(CONCATENATE(Table1[[#This Row],[Tabela]],Table1[[#This Row],[Campo]]),'2. Status Detalhe Campos FY24'!A:J,9,FALSE)</f>
        <v>0</v>
      </c>
    </row>
    <row r="1402" spans="2:24" ht="17.850000000000001" hidden="1" customHeight="1">
      <c r="B1402" s="38" t="s">
        <v>26</v>
      </c>
      <c r="C1402" s="38" t="s">
        <v>26</v>
      </c>
      <c r="D1402" s="2" t="s">
        <v>38</v>
      </c>
      <c r="E1402" s="39" t="s">
        <v>38</v>
      </c>
      <c r="F1402" s="39" t="s">
        <v>392</v>
      </c>
      <c r="G1402" s="37" t="s">
        <v>360</v>
      </c>
      <c r="H1402" s="59" t="str">
        <f>Table1[[#This Row],[Tabela]]&amp;Table1[[#This Row],[Campo]]</f>
        <v>lt826_esg_sbsctresg_sbsctr</v>
      </c>
      <c r="I1402" s="2" t="s">
        <v>612</v>
      </c>
      <c r="J1402" s="44">
        <f>VLOOKUP(Table1[[#This Row],[Status]],Auxiliar!$B$16:$C$24,2,0)</f>
        <v>1</v>
      </c>
      <c r="K1402" s="44" t="s">
        <v>1171</v>
      </c>
      <c r="L1402" s="45" t="s">
        <v>1177</v>
      </c>
      <c r="M1402" s="20" t="s">
        <v>1178</v>
      </c>
      <c r="N1402" s="47">
        <v>45581</v>
      </c>
      <c r="O1402" s="20">
        <f>INDEX(Auxiliar!$D$5:$F$13,MATCH(Table1[[#This Row],[Tipologia_Testes]],Auxiliar!$B$5:$B$13,0),MATCH(Table1[[#This Row],[Complexidade]],Auxiliar!$D$4:$F$4,0))</f>
        <v>2</v>
      </c>
      <c r="P1402" s="42" t="s">
        <v>1259</v>
      </c>
      <c r="Q1402" s="151"/>
      <c r="R1402" s="151">
        <v>45261</v>
      </c>
      <c r="S1402" s="151"/>
      <c r="T1402" s="151"/>
      <c r="U1402" s="151"/>
      <c r="V1402" s="151"/>
      <c r="W1402" s="2">
        <f>VLOOKUP(Table1[[#This Row],[Status]],Auxiliar!$B$16:$D$24,3,0)*Table1[[#This Row],[Estimação (horas)]]</f>
        <v>2</v>
      </c>
      <c r="X1402" s="166">
        <f>+VLOOKUP(CONCATENATE(Table1[[#This Row],[Tabela]],Table1[[#This Row],[Campo]]),'2. Status Detalhe Campos FY24'!A:J,9,FALSE)</f>
        <v>0</v>
      </c>
    </row>
    <row r="1403" spans="2:24" ht="17.850000000000001" hidden="1" customHeight="1">
      <c r="B1403" s="38" t="s">
        <v>26</v>
      </c>
      <c r="C1403" s="38" t="s">
        <v>26</v>
      </c>
      <c r="D1403" s="2" t="s">
        <v>38</v>
      </c>
      <c r="E1403" s="38" t="s">
        <v>38</v>
      </c>
      <c r="F1403" s="38" t="s">
        <v>392</v>
      </c>
      <c r="G1403" s="38" t="s">
        <v>360</v>
      </c>
      <c r="H1403" s="58" t="str">
        <f>Table1[[#This Row],[Tabela]]&amp;Table1[[#This Row],[Campo]]</f>
        <v>lt826_esg_sbsctresg_sbsctr</v>
      </c>
      <c r="I1403" s="2" t="s">
        <v>612</v>
      </c>
      <c r="J1403" s="44">
        <f>VLOOKUP(Table1[[#This Row],[Status]],Auxiliar!$B$16:$C$24,2,0)</f>
        <v>1</v>
      </c>
      <c r="K1403" s="44" t="s">
        <v>1172</v>
      </c>
      <c r="L1403" s="45" t="s">
        <v>1177</v>
      </c>
      <c r="M1403" s="20" t="s">
        <v>1178</v>
      </c>
      <c r="N1403" s="47">
        <v>45581</v>
      </c>
      <c r="O1403" s="20">
        <f>INDEX(Auxiliar!$D$5:$F$13,MATCH(Table1[[#This Row],[Tipologia_Testes]],Auxiliar!$B$5:$B$13,0),MATCH(Table1[[#This Row],[Complexidade]],Auxiliar!$D$4:$F$4,0))</f>
        <v>2</v>
      </c>
      <c r="P1403" s="42" t="s">
        <v>1259</v>
      </c>
      <c r="Q1403" s="151"/>
      <c r="R1403" s="151">
        <v>45261</v>
      </c>
      <c r="S1403" s="151"/>
      <c r="T1403" s="151"/>
      <c r="U1403" s="151"/>
      <c r="V1403" s="151"/>
      <c r="W1403" s="2">
        <f>VLOOKUP(Table1[[#This Row],[Status]],Auxiliar!$B$16:$D$24,3,0)*Table1[[#This Row],[Estimação (horas)]]</f>
        <v>2</v>
      </c>
      <c r="X1403" s="166">
        <f>+VLOOKUP(CONCATENATE(Table1[[#This Row],[Tabela]],Table1[[#This Row],[Campo]]),'2. Status Detalhe Campos FY24'!A:J,9,FALSE)</f>
        <v>0</v>
      </c>
    </row>
    <row r="1404" spans="2:24" ht="17.850000000000001" hidden="1" customHeight="1">
      <c r="B1404" s="38" t="s">
        <v>26</v>
      </c>
      <c r="C1404" s="38" t="s">
        <v>26</v>
      </c>
      <c r="D1404" s="2" t="s">
        <v>38</v>
      </c>
      <c r="E1404" s="38" t="s">
        <v>38</v>
      </c>
      <c r="F1404" s="38" t="s">
        <v>392</v>
      </c>
      <c r="G1404" s="38" t="s">
        <v>360</v>
      </c>
      <c r="H1404" s="58" t="str">
        <f>Table1[[#This Row],[Tabela]]&amp;Table1[[#This Row],[Campo]]</f>
        <v>lt826_esg_sbsctresg_sbsctr</v>
      </c>
      <c r="I1404" s="2" t="s">
        <v>612</v>
      </c>
      <c r="J1404" s="44">
        <f>VLOOKUP(Table1[[#This Row],[Status]],Auxiliar!$B$16:$C$24,2,0)</f>
        <v>1</v>
      </c>
      <c r="K1404" s="44" t="s">
        <v>1174</v>
      </c>
      <c r="L1404" s="45" t="s">
        <v>1177</v>
      </c>
      <c r="M1404" s="20" t="s">
        <v>1178</v>
      </c>
      <c r="N1404" s="47">
        <v>45581</v>
      </c>
      <c r="O1404" s="20">
        <f>INDEX(Auxiliar!$D$5:$F$13,MATCH(Table1[[#This Row],[Tipologia_Testes]],Auxiliar!$B$5:$B$13,0),MATCH(Table1[[#This Row],[Complexidade]],Auxiliar!$D$4:$F$4,0))</f>
        <v>0.1</v>
      </c>
      <c r="P1404" s="42" t="s">
        <v>1259</v>
      </c>
      <c r="Q1404" s="151"/>
      <c r="R1404" s="151">
        <v>45261</v>
      </c>
      <c r="S1404" s="151"/>
      <c r="T1404" s="151"/>
      <c r="U1404" s="151"/>
      <c r="V1404" s="151"/>
      <c r="W1404" s="2">
        <f>VLOOKUP(Table1[[#This Row],[Status]],Auxiliar!$B$16:$D$24,3,0)*Table1[[#This Row],[Estimação (horas)]]</f>
        <v>0.1</v>
      </c>
      <c r="X1404" s="166">
        <f>+VLOOKUP(CONCATENATE(Table1[[#This Row],[Tabela]],Table1[[#This Row],[Campo]]),'2. Status Detalhe Campos FY24'!A:J,9,FALSE)</f>
        <v>0</v>
      </c>
    </row>
    <row r="1405" spans="2:24" ht="17.850000000000001" hidden="1" customHeight="1">
      <c r="B1405" s="38" t="s">
        <v>26</v>
      </c>
      <c r="C1405" s="38" t="s">
        <v>26</v>
      </c>
      <c r="D1405" s="2" t="s">
        <v>38</v>
      </c>
      <c r="E1405" s="39" t="s">
        <v>38</v>
      </c>
      <c r="F1405" s="39" t="s">
        <v>392</v>
      </c>
      <c r="G1405" s="37" t="s">
        <v>397</v>
      </c>
      <c r="H1405" s="59" t="str">
        <f>Table1[[#This Row],[Tabela]]&amp;Table1[[#This Row],[Campo]]</f>
        <v>lt826_esg_sbsctrdescrição</v>
      </c>
      <c r="I1405" s="2" t="s">
        <v>612</v>
      </c>
      <c r="J1405" s="44">
        <f>VLOOKUP(Table1[[#This Row],[Status]],Auxiliar!$B$16:$C$24,2,0)</f>
        <v>1</v>
      </c>
      <c r="K1405" s="44" t="s">
        <v>1171</v>
      </c>
      <c r="L1405" s="45" t="s">
        <v>1177</v>
      </c>
      <c r="M1405" s="20" t="s">
        <v>1178</v>
      </c>
      <c r="N1405" s="47">
        <v>45581</v>
      </c>
      <c r="O1405" s="20">
        <f>INDEX(Auxiliar!$D$5:$F$13,MATCH(Table1[[#This Row],[Tipologia_Testes]],Auxiliar!$B$5:$B$13,0),MATCH(Table1[[#This Row],[Complexidade]],Auxiliar!$D$4:$F$4,0))</f>
        <v>2</v>
      </c>
      <c r="P1405" s="42" t="s">
        <v>1259</v>
      </c>
      <c r="Q1405" s="151"/>
      <c r="R1405" s="151">
        <v>45261</v>
      </c>
      <c r="S1405" s="151"/>
      <c r="T1405" s="151"/>
      <c r="U1405" s="151"/>
      <c r="V1405" s="151"/>
      <c r="W1405" s="2">
        <f>VLOOKUP(Table1[[#This Row],[Status]],Auxiliar!$B$16:$D$24,3,0)*Table1[[#This Row],[Estimação (horas)]]</f>
        <v>2</v>
      </c>
      <c r="X1405" s="166">
        <f>+VLOOKUP(CONCATENATE(Table1[[#This Row],[Tabela]],Table1[[#This Row],[Campo]]),'2. Status Detalhe Campos FY24'!A:J,9,FALSE)</f>
        <v>0</v>
      </c>
    </row>
    <row r="1406" spans="2:24" ht="17.850000000000001" hidden="1" customHeight="1">
      <c r="B1406" s="38" t="s">
        <v>26</v>
      </c>
      <c r="C1406" s="38" t="s">
        <v>26</v>
      </c>
      <c r="D1406" s="2" t="s">
        <v>38</v>
      </c>
      <c r="E1406" s="111" t="s">
        <v>38</v>
      </c>
      <c r="F1406" s="38" t="s">
        <v>392</v>
      </c>
      <c r="G1406" s="38" t="s">
        <v>397</v>
      </c>
      <c r="H1406" s="58" t="str">
        <f>Table1[[#This Row],[Tabela]]&amp;Table1[[#This Row],[Campo]]</f>
        <v>lt826_esg_sbsctrdescrição</v>
      </c>
      <c r="I1406" s="2" t="s">
        <v>612</v>
      </c>
      <c r="J1406" s="44">
        <f>VLOOKUP(Table1[[#This Row],[Status]],Auxiliar!$B$16:$C$24,2,0)</f>
        <v>1</v>
      </c>
      <c r="K1406" s="44" t="s">
        <v>1172</v>
      </c>
      <c r="L1406" s="45" t="s">
        <v>1177</v>
      </c>
      <c r="M1406" s="20" t="s">
        <v>1178</v>
      </c>
      <c r="N1406" s="47">
        <v>45581</v>
      </c>
      <c r="O1406" s="20">
        <f>INDEX(Auxiliar!$D$5:$F$13,MATCH(Table1[[#This Row],[Tipologia_Testes]],Auxiliar!$B$5:$B$13,0),MATCH(Table1[[#This Row],[Complexidade]],Auxiliar!$D$4:$F$4,0))</f>
        <v>2</v>
      </c>
      <c r="P1406" s="42" t="s">
        <v>1259</v>
      </c>
      <c r="Q1406" s="151"/>
      <c r="R1406" s="151">
        <v>45261</v>
      </c>
      <c r="S1406" s="151"/>
      <c r="T1406" s="151"/>
      <c r="U1406" s="151"/>
      <c r="V1406" s="151"/>
      <c r="W1406" s="2">
        <f>VLOOKUP(Table1[[#This Row],[Status]],Auxiliar!$B$16:$D$24,3,0)*Table1[[#This Row],[Estimação (horas)]]</f>
        <v>2</v>
      </c>
      <c r="X1406" s="166">
        <f>+VLOOKUP(CONCATENATE(Table1[[#This Row],[Tabela]],Table1[[#This Row],[Campo]]),'2. Status Detalhe Campos FY24'!A:J,9,FALSE)</f>
        <v>0</v>
      </c>
    </row>
    <row r="1407" spans="2:24" ht="17.850000000000001" hidden="1" customHeight="1">
      <c r="B1407" s="38" t="s">
        <v>26</v>
      </c>
      <c r="C1407" s="38" t="s">
        <v>26</v>
      </c>
      <c r="D1407" s="2" t="s">
        <v>38</v>
      </c>
      <c r="E1407" s="111" t="s">
        <v>38</v>
      </c>
      <c r="F1407" s="38" t="s">
        <v>392</v>
      </c>
      <c r="G1407" s="38" t="s">
        <v>397</v>
      </c>
      <c r="H1407" s="58" t="str">
        <f>Table1[[#This Row],[Tabela]]&amp;Table1[[#This Row],[Campo]]</f>
        <v>lt826_esg_sbsctrdescrição</v>
      </c>
      <c r="I1407" s="2" t="s">
        <v>612</v>
      </c>
      <c r="J1407" s="44">
        <f>VLOOKUP(Table1[[#This Row],[Status]],Auxiliar!$B$16:$C$24,2,0)</f>
        <v>1</v>
      </c>
      <c r="K1407" s="44" t="s">
        <v>1174</v>
      </c>
      <c r="L1407" s="45" t="s">
        <v>1177</v>
      </c>
      <c r="M1407" s="20" t="s">
        <v>1178</v>
      </c>
      <c r="N1407" s="47">
        <v>45581</v>
      </c>
      <c r="O1407" s="20">
        <f>INDEX(Auxiliar!$D$5:$F$13,MATCH(Table1[[#This Row],[Tipologia_Testes]],Auxiliar!$B$5:$B$13,0),MATCH(Table1[[#This Row],[Complexidade]],Auxiliar!$D$4:$F$4,0))</f>
        <v>0.1</v>
      </c>
      <c r="P1407" s="42" t="s">
        <v>1259</v>
      </c>
      <c r="Q1407" s="151"/>
      <c r="R1407" s="151">
        <v>45261</v>
      </c>
      <c r="S1407" s="151"/>
      <c r="T1407" s="151"/>
      <c r="U1407" s="151"/>
      <c r="V1407" s="151"/>
      <c r="W1407" s="2">
        <f>VLOOKUP(Table1[[#This Row],[Status]],Auxiliar!$B$16:$D$24,3,0)*Table1[[#This Row],[Estimação (horas)]]</f>
        <v>0.1</v>
      </c>
      <c r="X1407" s="166">
        <f>+VLOOKUP(CONCATENATE(Table1[[#This Row],[Tabela]],Table1[[#This Row],[Campo]]),'2. Status Detalhe Campos FY24'!A:J,9,FALSE)</f>
        <v>0</v>
      </c>
    </row>
    <row r="1408" spans="2:24" ht="17.850000000000001" hidden="1" customHeight="1">
      <c r="B1408" s="38" t="s">
        <v>26</v>
      </c>
      <c r="C1408" s="38" t="s">
        <v>26</v>
      </c>
      <c r="D1408" s="12" t="s">
        <v>399</v>
      </c>
      <c r="E1408" s="111" t="s">
        <v>38</v>
      </c>
      <c r="F1408" s="2" t="s">
        <v>379</v>
      </c>
      <c r="G1408" s="12" t="s">
        <v>398</v>
      </c>
      <c r="H1408" s="58" t="str">
        <f>Table1[[#This Row],[Tabela]]&amp;Table1[[#This Row],[Campo]]</f>
        <v>lt002_instrumentdt_rfrnc</v>
      </c>
      <c r="I1408" s="2" t="s">
        <v>612</v>
      </c>
      <c r="J1408" s="44">
        <f>VLOOKUP(Table1[[#This Row],[Status]],Auxiliar!$B$16:$C$24,2,0)</f>
        <v>1</v>
      </c>
      <c r="K1408" s="20" t="s">
        <v>1176</v>
      </c>
      <c r="L1408" s="45" t="s">
        <v>1177</v>
      </c>
      <c r="M1408" s="20" t="s">
        <v>1178</v>
      </c>
      <c r="N1408" s="47">
        <v>45506</v>
      </c>
      <c r="O1408" s="112">
        <v>0.1</v>
      </c>
      <c r="P1408" s="2"/>
      <c r="Q1408" s="151"/>
      <c r="R1408" s="151"/>
      <c r="S1408" s="151"/>
      <c r="T1408" s="151"/>
      <c r="U1408" s="151"/>
      <c r="V1408" s="151"/>
      <c r="W1408" s="2">
        <f>VLOOKUP(Table1[[#This Row],[Status]],Auxiliar!$B$16:$D$24,3,0)*Table1[[#This Row],[Estimação (horas)]]</f>
        <v>0.1</v>
      </c>
      <c r="X1408" s="166">
        <f>+VLOOKUP(CONCATENATE(Table1[[#This Row],[Tabela]],Table1[[#This Row],[Campo]]),'2. Status Detalhe Campos FY24'!A:J,9,FALSE)</f>
        <v>0</v>
      </c>
    </row>
    <row r="1409" spans="2:24" ht="17.850000000000001" hidden="1" customHeight="1">
      <c r="B1409" s="38" t="s">
        <v>26</v>
      </c>
      <c r="C1409" s="38" t="s">
        <v>26</v>
      </c>
      <c r="D1409" s="12" t="s">
        <v>399</v>
      </c>
      <c r="E1409" s="111" t="s">
        <v>38</v>
      </c>
      <c r="F1409" s="2" t="s">
        <v>379</v>
      </c>
      <c r="G1409" s="12" t="s">
        <v>400</v>
      </c>
      <c r="H1409" s="58" t="str">
        <f>Table1[[#This Row],[Tabela]]&amp;Table1[[#This Row],[Campo]]</f>
        <v>lt002_instrumentinstrmnt_id</v>
      </c>
      <c r="I1409" s="2" t="s">
        <v>612</v>
      </c>
      <c r="J1409" s="44">
        <f>VLOOKUP(Table1[[#This Row],[Status]],Auxiliar!$B$16:$C$24,2,0)</f>
        <v>1</v>
      </c>
      <c r="K1409" s="20" t="s">
        <v>1176</v>
      </c>
      <c r="L1409" s="45" t="s">
        <v>1177</v>
      </c>
      <c r="M1409" s="20" t="s">
        <v>1178</v>
      </c>
      <c r="N1409" s="47">
        <v>45506</v>
      </c>
      <c r="O1409" s="112">
        <v>0.1</v>
      </c>
      <c r="P1409" s="2"/>
      <c r="Q1409" s="151"/>
      <c r="R1409" s="151"/>
      <c r="S1409" s="151"/>
      <c r="T1409" s="151"/>
      <c r="U1409" s="151"/>
      <c r="V1409" s="151"/>
      <c r="W1409" s="2">
        <f>VLOOKUP(Table1[[#This Row],[Status]],Auxiliar!$B$16:$D$24,3,0)*Table1[[#This Row],[Estimação (horas)]]</f>
        <v>0.1</v>
      </c>
      <c r="X1409" s="166">
        <f>+VLOOKUP(CONCATENATE(Table1[[#This Row],[Tabela]],Table1[[#This Row],[Campo]]),'2. Status Detalhe Campos FY24'!A:J,9,FALSE)</f>
        <v>0</v>
      </c>
    </row>
    <row r="1410" spans="2:24" ht="17.850000000000001" hidden="1" customHeight="1">
      <c r="B1410" s="38" t="s">
        <v>26</v>
      </c>
      <c r="C1410" s="38" t="s">
        <v>26</v>
      </c>
      <c r="D1410" s="12" t="s">
        <v>399</v>
      </c>
      <c r="E1410" s="111" t="s">
        <v>38</v>
      </c>
      <c r="F1410" s="2" t="s">
        <v>379</v>
      </c>
      <c r="G1410" s="12" t="s">
        <v>401</v>
      </c>
      <c r="H1410" s="58" t="str">
        <f>Table1[[#This Row],[Tabela]]&amp;Table1[[#This Row],[Campo]]</f>
        <v>lt002_instrumentdt_incptn</v>
      </c>
      <c r="I1410" s="2" t="s">
        <v>612</v>
      </c>
      <c r="J1410" s="44">
        <f>VLOOKUP(Table1[[#This Row],[Status]],Auxiliar!$B$16:$C$24,2,0)</f>
        <v>1</v>
      </c>
      <c r="K1410" s="20" t="s">
        <v>1176</v>
      </c>
      <c r="L1410" s="45" t="s">
        <v>1177</v>
      </c>
      <c r="M1410" s="20" t="s">
        <v>1178</v>
      </c>
      <c r="N1410" s="47">
        <v>45506</v>
      </c>
      <c r="O1410" s="112">
        <v>0.1</v>
      </c>
      <c r="P1410" s="2"/>
      <c r="Q1410" s="151"/>
      <c r="R1410" s="151"/>
      <c r="S1410" s="151"/>
      <c r="T1410" s="151"/>
      <c r="U1410" s="151"/>
      <c r="V1410" s="151"/>
      <c r="W1410" s="2">
        <f>VLOOKUP(Table1[[#This Row],[Status]],Auxiliar!$B$16:$D$24,3,0)*Table1[[#This Row],[Estimação (horas)]]</f>
        <v>0.1</v>
      </c>
      <c r="X1410" s="166">
        <f>+VLOOKUP(CONCATENATE(Table1[[#This Row],[Tabela]],Table1[[#This Row],[Campo]]),'2. Status Detalhe Campos FY24'!A:J,9,FALSE)</f>
        <v>0</v>
      </c>
    </row>
    <row r="1411" spans="2:24" ht="17.850000000000001" hidden="1" customHeight="1">
      <c r="B1411" s="38" t="s">
        <v>26</v>
      </c>
      <c r="C1411" s="38" t="s">
        <v>26</v>
      </c>
      <c r="D1411" s="12" t="s">
        <v>399</v>
      </c>
      <c r="E1411" s="111" t="s">
        <v>38</v>
      </c>
      <c r="F1411" s="2" t="s">
        <v>379</v>
      </c>
      <c r="G1411" s="12" t="s">
        <v>402</v>
      </c>
      <c r="H1411" s="58" t="str">
        <f>Table1[[#This Row],[Tabela]]&amp;Table1[[#This Row],[Campo]]</f>
        <v>lt002_instrumentdflt_stts_instrmnt</v>
      </c>
      <c r="I1411" s="2" t="s">
        <v>612</v>
      </c>
      <c r="J1411" s="44">
        <f>VLOOKUP(Table1[[#This Row],[Status]],Auxiliar!$B$16:$C$24,2,0)</f>
        <v>1</v>
      </c>
      <c r="K1411" s="20" t="s">
        <v>1176</v>
      </c>
      <c r="L1411" s="45" t="s">
        <v>1177</v>
      </c>
      <c r="M1411" s="20" t="s">
        <v>1178</v>
      </c>
      <c r="N1411" s="47">
        <v>45509</v>
      </c>
      <c r="O1411" s="112">
        <v>0.1</v>
      </c>
      <c r="P1411" s="2"/>
      <c r="Q1411" s="151"/>
      <c r="R1411" s="151"/>
      <c r="S1411" s="151"/>
      <c r="T1411" s="151"/>
      <c r="U1411" s="151"/>
      <c r="V1411" s="151"/>
      <c r="W1411" s="2">
        <f>VLOOKUP(Table1[[#This Row],[Status]],Auxiliar!$B$16:$D$24,3,0)*Table1[[#This Row],[Estimação (horas)]]</f>
        <v>0.1</v>
      </c>
      <c r="X1411" s="166">
        <f>+VLOOKUP(CONCATENATE(Table1[[#This Row],[Tabela]],Table1[[#This Row],[Campo]]),'2. Status Detalhe Campos FY24'!A:J,9,FALSE)</f>
        <v>0</v>
      </c>
    </row>
    <row r="1412" spans="2:24" ht="17.850000000000001" hidden="1" customHeight="1">
      <c r="B1412" s="38" t="s">
        <v>26</v>
      </c>
      <c r="C1412" s="38" t="s">
        <v>26</v>
      </c>
      <c r="D1412" s="12" t="s">
        <v>399</v>
      </c>
      <c r="E1412" s="111" t="s">
        <v>38</v>
      </c>
      <c r="F1412" s="2" t="s">
        <v>379</v>
      </c>
      <c r="G1412" s="12" t="s">
        <v>403</v>
      </c>
      <c r="H1412" s="58" t="str">
        <f>Table1[[#This Row],[Tabela]]&amp;Table1[[#This Row],[Campo]]</f>
        <v>lt002_instrumentimprmnt_stts</v>
      </c>
      <c r="I1412" s="2" t="s">
        <v>612</v>
      </c>
      <c r="J1412" s="44">
        <f>VLOOKUP(Table1[[#This Row],[Status]],Auxiliar!$B$16:$C$24,2,0)</f>
        <v>1</v>
      </c>
      <c r="K1412" s="20" t="s">
        <v>1176</v>
      </c>
      <c r="L1412" s="45" t="s">
        <v>1177</v>
      </c>
      <c r="M1412" s="20" t="s">
        <v>1178</v>
      </c>
      <c r="N1412" s="47">
        <v>45506</v>
      </c>
      <c r="O1412" s="112">
        <v>0.1</v>
      </c>
      <c r="P1412" s="2"/>
      <c r="Q1412" s="151"/>
      <c r="R1412" s="151"/>
      <c r="S1412" s="151"/>
      <c r="T1412" s="151"/>
      <c r="U1412" s="151"/>
      <c r="V1412" s="151"/>
      <c r="W1412" s="2">
        <f>VLOOKUP(Table1[[#This Row],[Status]],Auxiliar!$B$16:$D$24,3,0)*Table1[[#This Row],[Estimação (horas)]]</f>
        <v>0.1</v>
      </c>
      <c r="X1412" s="166">
        <f>+VLOOKUP(CONCATENATE(Table1[[#This Row],[Tabela]],Table1[[#This Row],[Campo]]),'2. Status Detalhe Campos FY24'!A:J,9,FALSE)</f>
        <v>0</v>
      </c>
    </row>
    <row r="1413" spans="2:24" ht="17.850000000000001" hidden="1" customHeight="1">
      <c r="B1413" s="38" t="s">
        <v>26</v>
      </c>
      <c r="C1413" s="38" t="s">
        <v>26</v>
      </c>
      <c r="D1413" s="12" t="s">
        <v>399</v>
      </c>
      <c r="E1413" s="111" t="s">
        <v>38</v>
      </c>
      <c r="F1413" s="2" t="s">
        <v>379</v>
      </c>
      <c r="G1413" s="12" t="s">
        <v>404</v>
      </c>
      <c r="H1413" s="58" t="str">
        <f>Table1[[#This Row],[Tabela]]&amp;Table1[[#This Row],[Campo]]</f>
        <v>lt002_instrumentprfrmng_stts</v>
      </c>
      <c r="I1413" s="2" t="s">
        <v>612</v>
      </c>
      <c r="J1413" s="44">
        <f>VLOOKUP(Table1[[#This Row],[Status]],Auxiliar!$B$16:$C$24,2,0)</f>
        <v>1</v>
      </c>
      <c r="K1413" s="20" t="s">
        <v>1176</v>
      </c>
      <c r="L1413" s="45" t="s">
        <v>1177</v>
      </c>
      <c r="M1413" s="20" t="s">
        <v>1178</v>
      </c>
      <c r="N1413" s="47">
        <v>45506</v>
      </c>
      <c r="O1413" s="112">
        <v>0.1</v>
      </c>
      <c r="P1413" s="2"/>
      <c r="Q1413" s="151"/>
      <c r="R1413" s="151"/>
      <c r="S1413" s="151"/>
      <c r="T1413" s="151"/>
      <c r="U1413" s="151"/>
      <c r="V1413" s="151"/>
      <c r="W1413" s="2">
        <f>VLOOKUP(Table1[[#This Row],[Status]],Auxiliar!$B$16:$D$24,3,0)*Table1[[#This Row],[Estimação (horas)]]</f>
        <v>0.1</v>
      </c>
      <c r="X1413" s="166">
        <f>+VLOOKUP(CONCATENATE(Table1[[#This Row],[Tabela]],Table1[[#This Row],[Campo]]),'2. Status Detalhe Campos FY24'!A:J,9,FALSE)</f>
        <v>0</v>
      </c>
    </row>
    <row r="1414" spans="2:24" ht="17.850000000000001" hidden="1" customHeight="1">
      <c r="B1414" s="38" t="s">
        <v>26</v>
      </c>
      <c r="C1414" s="38" t="s">
        <v>26</v>
      </c>
      <c r="D1414" s="12" t="s">
        <v>399</v>
      </c>
      <c r="E1414" s="111" t="s">
        <v>38</v>
      </c>
      <c r="F1414" s="2" t="s">
        <v>379</v>
      </c>
      <c r="G1414" s="12" t="s">
        <v>405</v>
      </c>
      <c r="H1414" s="58" t="str">
        <f>Table1[[#This Row],[Tabela]]&amp;Table1[[#This Row],[Campo]]</f>
        <v>lt002_instrumentprjct_fnnc_ln</v>
      </c>
      <c r="I1414" s="2" t="s">
        <v>612</v>
      </c>
      <c r="J1414" s="44">
        <f>VLOOKUP(Table1[[#This Row],[Status]],Auxiliar!$B$16:$C$24,2,0)</f>
        <v>1</v>
      </c>
      <c r="K1414" s="20" t="s">
        <v>1176</v>
      </c>
      <c r="L1414" s="45" t="s">
        <v>1177</v>
      </c>
      <c r="M1414" s="20" t="s">
        <v>1178</v>
      </c>
      <c r="N1414" s="47">
        <v>45509</v>
      </c>
      <c r="O1414" s="112">
        <v>0.1</v>
      </c>
      <c r="P1414" s="2"/>
      <c r="Q1414" s="151"/>
      <c r="R1414" s="151"/>
      <c r="S1414" s="151"/>
      <c r="T1414" s="151"/>
      <c r="U1414" s="151"/>
      <c r="V1414" s="151"/>
      <c r="W1414" s="2">
        <f>VLOOKUP(Table1[[#This Row],[Status]],Auxiliar!$B$16:$D$24,3,0)*Table1[[#This Row],[Estimação (horas)]]</f>
        <v>0.1</v>
      </c>
      <c r="X1414" s="166">
        <f>+VLOOKUP(CONCATENATE(Table1[[#This Row],[Tabela]],Table1[[#This Row],[Campo]]),'2. Status Detalhe Campos FY24'!A:J,9,FALSE)</f>
        <v>0</v>
      </c>
    </row>
    <row r="1415" spans="2:24" ht="17.850000000000001" hidden="1" customHeight="1">
      <c r="B1415" s="38" t="s">
        <v>26</v>
      </c>
      <c r="C1415" s="38" t="s">
        <v>26</v>
      </c>
      <c r="D1415" s="12" t="s">
        <v>399</v>
      </c>
      <c r="E1415" s="111" t="s">
        <v>38</v>
      </c>
      <c r="F1415" s="2" t="s">
        <v>379</v>
      </c>
      <c r="G1415" s="12" t="s">
        <v>406</v>
      </c>
      <c r="H1415" s="58" t="str">
        <f>Table1[[#This Row],[Tabela]]&amp;Table1[[#This Row],[Campo]]</f>
        <v>lt002_instrumenttyp_instrmnt</v>
      </c>
      <c r="I1415" s="2" t="s">
        <v>612</v>
      </c>
      <c r="J1415" s="44">
        <f>VLOOKUP(Table1[[#This Row],[Status]],Auxiliar!$B$16:$C$24,2,0)</f>
        <v>1</v>
      </c>
      <c r="K1415" s="20" t="s">
        <v>1176</v>
      </c>
      <c r="L1415" s="45" t="s">
        <v>1177</v>
      </c>
      <c r="M1415" s="20" t="s">
        <v>1178</v>
      </c>
      <c r="N1415" s="47">
        <v>45506</v>
      </c>
      <c r="O1415" s="112">
        <v>0.1</v>
      </c>
      <c r="P1415" s="2"/>
      <c r="Q1415" s="151"/>
      <c r="R1415" s="151"/>
      <c r="S1415" s="151"/>
      <c r="T1415" s="151"/>
      <c r="U1415" s="151"/>
      <c r="V1415" s="151"/>
      <c r="W1415" s="2">
        <f>VLOOKUP(Table1[[#This Row],[Status]],Auxiliar!$B$16:$D$24,3,0)*Table1[[#This Row],[Estimação (horas)]]</f>
        <v>0.1</v>
      </c>
      <c r="X1415" s="166">
        <f>+VLOOKUP(CONCATENATE(Table1[[#This Row],[Tabela]],Table1[[#This Row],[Campo]]),'2. Status Detalhe Campos FY24'!A:J,9,FALSE)</f>
        <v>0</v>
      </c>
    </row>
    <row r="1416" spans="2:24" ht="17.850000000000001" hidden="1" customHeight="1">
      <c r="B1416" s="38" t="s">
        <v>26</v>
      </c>
      <c r="C1416" s="38" t="s">
        <v>26</v>
      </c>
      <c r="D1416" s="12" t="s">
        <v>399</v>
      </c>
      <c r="E1416" s="111" t="s">
        <v>38</v>
      </c>
      <c r="F1416" s="2" t="s">
        <v>379</v>
      </c>
      <c r="G1416" s="12" t="s">
        <v>407</v>
      </c>
      <c r="H1416" s="58" t="str">
        <f>Table1[[#This Row],[Tabela]]&amp;Table1[[#This Row],[Campo]]</f>
        <v>lt002_instrumentgrss_crryng_amnt_instrmnt</v>
      </c>
      <c r="I1416" s="2" t="s">
        <v>612</v>
      </c>
      <c r="J1416" s="44">
        <f>VLOOKUP(Table1[[#This Row],[Status]],Auxiliar!$B$16:$C$24,2,0)</f>
        <v>1</v>
      </c>
      <c r="K1416" s="20" t="s">
        <v>1176</v>
      </c>
      <c r="L1416" s="45" t="s">
        <v>1177</v>
      </c>
      <c r="M1416" s="20" t="s">
        <v>1178</v>
      </c>
      <c r="N1416" s="47">
        <v>45506</v>
      </c>
      <c r="O1416" s="112">
        <v>0.1</v>
      </c>
      <c r="P1416" s="2"/>
      <c r="Q1416" s="151"/>
      <c r="R1416" s="151"/>
      <c r="S1416" s="151"/>
      <c r="T1416" s="151"/>
      <c r="U1416" s="151">
        <v>45631</v>
      </c>
      <c r="V1416" s="151">
        <v>45631</v>
      </c>
      <c r="W1416" s="2">
        <f>VLOOKUP(Table1[[#This Row],[Status]],Auxiliar!$B$16:$D$24,3,0)*Table1[[#This Row],[Estimação (horas)]]</f>
        <v>0.1</v>
      </c>
      <c r="X1416" s="166">
        <f>+VLOOKUP(CONCATENATE(Table1[[#This Row],[Tabela]],Table1[[#This Row],[Campo]]),'2. Status Detalhe Campos FY24'!A:J,9,FALSE)</f>
        <v>0</v>
      </c>
    </row>
    <row r="1417" spans="2:24" ht="17.850000000000001" hidden="1" customHeight="1">
      <c r="B1417" s="38" t="s">
        <v>26</v>
      </c>
      <c r="C1417" s="38" t="s">
        <v>26</v>
      </c>
      <c r="D1417" s="12" t="s">
        <v>399</v>
      </c>
      <c r="E1417" s="111" t="s">
        <v>38</v>
      </c>
      <c r="F1417" s="2" t="s">
        <v>379</v>
      </c>
      <c r="G1417" s="12" t="s">
        <v>408</v>
      </c>
      <c r="H1417" s="58" t="str">
        <f>Table1[[#This Row],[Tabela]]&amp;Table1[[#This Row],[Campo]]</f>
        <v>lt002_instrumentaccmltd_chngs_fv_cr_instrmnt</v>
      </c>
      <c r="I1417" s="2" t="s">
        <v>612</v>
      </c>
      <c r="J1417" s="44">
        <f>VLOOKUP(Table1[[#This Row],[Status]],Auxiliar!$B$16:$C$24,2,0)</f>
        <v>1</v>
      </c>
      <c r="K1417" s="20" t="s">
        <v>1176</v>
      </c>
      <c r="L1417" s="45" t="s">
        <v>1177</v>
      </c>
      <c r="M1417" s="20" t="s">
        <v>1178</v>
      </c>
      <c r="N1417" s="47">
        <v>45506</v>
      </c>
      <c r="O1417" s="112">
        <v>0.1</v>
      </c>
      <c r="P1417" s="2"/>
      <c r="Q1417" s="151"/>
      <c r="R1417" s="151"/>
      <c r="S1417" s="151"/>
      <c r="T1417" s="151"/>
      <c r="U1417" s="151"/>
      <c r="V1417" s="151"/>
      <c r="W1417" s="2">
        <f>VLOOKUP(Table1[[#This Row],[Status]],Auxiliar!$B$16:$D$24,3,0)*Table1[[#This Row],[Estimação (horas)]]</f>
        <v>0.1</v>
      </c>
      <c r="X1417" s="166">
        <f>+VLOOKUP(CONCATENATE(Table1[[#This Row],[Tabela]],Table1[[#This Row],[Campo]]),'2. Status Detalhe Campos FY24'!A:J,9,FALSE)</f>
        <v>0</v>
      </c>
    </row>
    <row r="1418" spans="2:24" ht="17.850000000000001" hidden="1" customHeight="1">
      <c r="B1418" s="38" t="s">
        <v>26</v>
      </c>
      <c r="C1418" s="38" t="s">
        <v>26</v>
      </c>
      <c r="D1418" s="12" t="s">
        <v>399</v>
      </c>
      <c r="E1418" s="111" t="s">
        <v>38</v>
      </c>
      <c r="F1418" s="2" t="s">
        <v>379</v>
      </c>
      <c r="G1418" s="12" t="s">
        <v>409</v>
      </c>
      <c r="H1418" s="58" t="str">
        <f>Table1[[#This Row],[Tabela]]&amp;Table1[[#This Row],[Campo]]</f>
        <v>lt002_instrumentaccntng_clssfctn</v>
      </c>
      <c r="I1418" s="2" t="s">
        <v>612</v>
      </c>
      <c r="J1418" s="44">
        <f>VLOOKUP(Table1[[#This Row],[Status]],Auxiliar!$B$16:$C$24,2,0)</f>
        <v>1</v>
      </c>
      <c r="K1418" s="20" t="s">
        <v>1176</v>
      </c>
      <c r="L1418" s="45" t="s">
        <v>1177</v>
      </c>
      <c r="M1418" s="20" t="s">
        <v>1178</v>
      </c>
      <c r="N1418" s="47">
        <v>45506</v>
      </c>
      <c r="O1418" s="112">
        <v>0.1</v>
      </c>
      <c r="P1418" s="2"/>
      <c r="Q1418" s="151"/>
      <c r="R1418" s="151"/>
      <c r="S1418" s="151"/>
      <c r="T1418" s="151"/>
      <c r="U1418" s="151"/>
      <c r="V1418" s="151"/>
      <c r="W1418" s="2">
        <f>VLOOKUP(Table1[[#This Row],[Status]],Auxiliar!$B$16:$D$24,3,0)*Table1[[#This Row],[Estimação (horas)]]</f>
        <v>0.1</v>
      </c>
      <c r="X1418" s="166">
        <f>+VLOOKUP(CONCATENATE(Table1[[#This Row],[Tabela]],Table1[[#This Row],[Campo]]),'2. Status Detalhe Campos FY24'!A:J,9,FALSE)</f>
        <v>0</v>
      </c>
    </row>
    <row r="1419" spans="2:24" ht="17.850000000000001" hidden="1" customHeight="1">
      <c r="B1419" s="38" t="s">
        <v>26</v>
      </c>
      <c r="C1419" s="38" t="s">
        <v>26</v>
      </c>
      <c r="D1419" s="12" t="s">
        <v>399</v>
      </c>
      <c r="E1419" s="111" t="s">
        <v>38</v>
      </c>
      <c r="F1419" s="2" t="s">
        <v>379</v>
      </c>
      <c r="G1419" s="12" t="s">
        <v>410</v>
      </c>
      <c r="H1419" s="58" t="str">
        <f>Table1[[#This Row],[Tabela]]&amp;Table1[[#This Row],[Campo]]</f>
        <v>lt002_instrumentdt_lgl_fnl_mtrty</v>
      </c>
      <c r="I1419" s="2" t="s">
        <v>612</v>
      </c>
      <c r="J1419" s="44">
        <f>VLOOKUP(Table1[[#This Row],[Status]],Auxiliar!$B$16:$C$24,2,0)</f>
        <v>1</v>
      </c>
      <c r="K1419" s="20" t="s">
        <v>1176</v>
      </c>
      <c r="L1419" s="45" t="s">
        <v>1177</v>
      </c>
      <c r="M1419" s="20" t="s">
        <v>1178</v>
      </c>
      <c r="N1419" s="47">
        <v>45506</v>
      </c>
      <c r="O1419" s="112">
        <v>0.1</v>
      </c>
      <c r="P1419" s="2"/>
      <c r="Q1419" s="151"/>
      <c r="R1419" s="151"/>
      <c r="S1419" s="151"/>
      <c r="T1419" s="151"/>
      <c r="U1419" s="151"/>
      <c r="V1419" s="151"/>
      <c r="W1419" s="2">
        <f>VLOOKUP(Table1[[#This Row],[Status]],Auxiliar!$B$16:$D$24,3,0)*Table1[[#This Row],[Estimação (horas)]]</f>
        <v>0.1</v>
      </c>
      <c r="X1419" s="166">
        <f>+VLOOKUP(CONCATENATE(Table1[[#This Row],[Tabela]],Table1[[#This Row],[Campo]]),'2. Status Detalhe Campos FY24'!A:J,9,FALSE)</f>
        <v>0</v>
      </c>
    </row>
    <row r="1420" spans="2:24" ht="17.850000000000001" hidden="1" customHeight="1">
      <c r="B1420" s="38" t="s">
        <v>26</v>
      </c>
      <c r="C1420" s="38" t="s">
        <v>26</v>
      </c>
      <c r="D1420" s="12" t="s">
        <v>399</v>
      </c>
      <c r="E1420" s="111" t="s">
        <v>38</v>
      </c>
      <c r="F1420" s="2" t="s">
        <v>379</v>
      </c>
      <c r="G1420" s="12" t="s">
        <v>411</v>
      </c>
      <c r="H1420" s="58" t="str">
        <f>Table1[[#This Row],[Tabela]]&amp;Table1[[#This Row],[Campo]]</f>
        <v>lt002_instrumentaccmltd_imprmnt_instrmnt</v>
      </c>
      <c r="I1420" s="2" t="s">
        <v>612</v>
      </c>
      <c r="J1420" s="44">
        <f>VLOOKUP(Table1[[#This Row],[Status]],Auxiliar!$B$16:$C$24,2,0)</f>
        <v>1</v>
      </c>
      <c r="K1420" s="20" t="s">
        <v>1176</v>
      </c>
      <c r="L1420" s="45" t="s">
        <v>1177</v>
      </c>
      <c r="M1420" s="20" t="s">
        <v>1178</v>
      </c>
      <c r="N1420" s="47">
        <v>45506</v>
      </c>
      <c r="O1420" s="112">
        <v>0.1</v>
      </c>
      <c r="P1420" s="2"/>
      <c r="Q1420" s="151"/>
      <c r="R1420" s="151"/>
      <c r="S1420" s="151"/>
      <c r="T1420" s="151"/>
      <c r="U1420" s="151"/>
      <c r="V1420" s="151"/>
      <c r="W1420" s="2">
        <f>VLOOKUP(Table1[[#This Row],[Status]],Auxiliar!$B$16:$D$24,3,0)*Table1[[#This Row],[Estimação (horas)]]</f>
        <v>0.1</v>
      </c>
      <c r="X1420" s="166">
        <f>+VLOOKUP(CONCATENATE(Table1[[#This Row],[Tabela]],Table1[[#This Row],[Campo]]),'2. Status Detalhe Campos FY24'!A:J,9,FALSE)</f>
        <v>0</v>
      </c>
    </row>
    <row r="1421" spans="2:24" ht="17.850000000000001" hidden="1" customHeight="1">
      <c r="B1421" s="38" t="s">
        <v>26</v>
      </c>
      <c r="C1421" s="38" t="s">
        <v>26</v>
      </c>
      <c r="D1421" s="12" t="s">
        <v>399</v>
      </c>
      <c r="E1421" s="111" t="s">
        <v>38</v>
      </c>
      <c r="F1421" s="2" t="s">
        <v>379</v>
      </c>
      <c r="G1421" s="12" t="s">
        <v>412</v>
      </c>
      <c r="H1421" s="58" t="str">
        <f>Table1[[#This Row],[Tabela]]&amp;Table1[[#This Row],[Campo]]</f>
        <v>lt002_instrumentissr_cntry</v>
      </c>
      <c r="I1421" s="2" t="s">
        <v>612</v>
      </c>
      <c r="J1421" s="44">
        <f>VLOOKUP(Table1[[#This Row],[Status]],Auxiliar!$B$16:$C$24,2,0)</f>
        <v>1</v>
      </c>
      <c r="K1421" s="20" t="s">
        <v>1176</v>
      </c>
      <c r="L1421" s="45" t="s">
        <v>1177</v>
      </c>
      <c r="M1421" s="20" t="s">
        <v>1178</v>
      </c>
      <c r="N1421" s="47">
        <v>45506</v>
      </c>
      <c r="O1421" s="112">
        <v>0.1</v>
      </c>
      <c r="P1421" s="2"/>
      <c r="Q1421" s="151"/>
      <c r="R1421" s="151"/>
      <c r="S1421" s="151"/>
      <c r="T1421" s="151"/>
      <c r="U1421" s="151"/>
      <c r="V1421" s="151"/>
      <c r="W1421" s="2">
        <f>VLOOKUP(Table1[[#This Row],[Status]],Auxiliar!$B$16:$D$24,3,0)*Table1[[#This Row],[Estimação (horas)]]</f>
        <v>0.1</v>
      </c>
      <c r="X1421" s="166">
        <f>+VLOOKUP(CONCATENATE(Table1[[#This Row],[Tabela]],Table1[[#This Row],[Campo]]),'2. Status Detalhe Campos FY24'!A:J,9,FALSE)</f>
        <v>0</v>
      </c>
    </row>
    <row r="1422" spans="2:24" ht="17.850000000000001" hidden="1" customHeight="1">
      <c r="B1422" s="38" t="s">
        <v>26</v>
      </c>
      <c r="C1422" s="38" t="s">
        <v>26</v>
      </c>
      <c r="D1422" s="12" t="s">
        <v>399</v>
      </c>
      <c r="E1422" s="111" t="s">
        <v>38</v>
      </c>
      <c r="F1422" s="2" t="s">
        <v>379</v>
      </c>
      <c r="G1422" s="12" t="s">
        <v>413</v>
      </c>
      <c r="H1422" s="58" t="str">
        <f>Table1[[#This Row],[Tabela]]&amp;Table1[[#This Row],[Campo]]</f>
        <v>lt002_instrumentissr_nace_sctr</v>
      </c>
      <c r="I1422" s="2" t="s">
        <v>612</v>
      </c>
      <c r="J1422" s="44">
        <f>VLOOKUP(Table1[[#This Row],[Status]],Auxiliar!$B$16:$C$24,2,0)</f>
        <v>1</v>
      </c>
      <c r="K1422" s="20" t="s">
        <v>1176</v>
      </c>
      <c r="L1422" s="45" t="s">
        <v>1177</v>
      </c>
      <c r="M1422" s="20" t="s">
        <v>1178</v>
      </c>
      <c r="N1422" s="47">
        <v>45506</v>
      </c>
      <c r="O1422" s="112">
        <v>0.1</v>
      </c>
      <c r="P1422" s="2"/>
      <c r="Q1422" s="151"/>
      <c r="R1422" s="151"/>
      <c r="S1422" s="151"/>
      <c r="T1422" s="151"/>
      <c r="U1422" s="151"/>
      <c r="V1422" s="151"/>
      <c r="W1422" s="2">
        <f>VLOOKUP(Table1[[#This Row],[Status]],Auxiliar!$B$16:$D$24,3,0)*Table1[[#This Row],[Estimação (horas)]]</f>
        <v>0.1</v>
      </c>
      <c r="X1422" s="166">
        <f>+VLOOKUP(CONCATENATE(Table1[[#This Row],[Tabela]],Table1[[#This Row],[Campo]]),'2. Status Detalhe Campos FY24'!A:J,9,FALSE)</f>
        <v>0</v>
      </c>
    </row>
    <row r="1423" spans="2:24" ht="17.850000000000001" hidden="1" customHeight="1">
      <c r="B1423" s="38" t="s">
        <v>26</v>
      </c>
      <c r="C1423" s="38" t="s">
        <v>26</v>
      </c>
      <c r="D1423" s="12" t="s">
        <v>399</v>
      </c>
      <c r="E1423" s="111" t="s">
        <v>38</v>
      </c>
      <c r="F1423" s="2" t="s">
        <v>379</v>
      </c>
      <c r="G1423" s="12" t="s">
        <v>414</v>
      </c>
      <c r="H1423" s="58" t="str">
        <f>Table1[[#This Row],[Tabela]]&amp;Table1[[#This Row],[Campo]]</f>
        <v>lt002_instrumentprmry_asst_clssf</v>
      </c>
      <c r="I1423" s="2" t="s">
        <v>612</v>
      </c>
      <c r="J1423" s="44">
        <f>VLOOKUP(Table1[[#This Row],[Status]],Auxiliar!$B$16:$C$24,2,0)</f>
        <v>1</v>
      </c>
      <c r="K1423" s="20" t="s">
        <v>1176</v>
      </c>
      <c r="L1423" s="45" t="s">
        <v>1177</v>
      </c>
      <c r="M1423" s="20" t="s">
        <v>1178</v>
      </c>
      <c r="N1423" s="47">
        <v>45506</v>
      </c>
      <c r="O1423" s="112">
        <v>0.1</v>
      </c>
      <c r="P1423" s="2"/>
      <c r="Q1423" s="151"/>
      <c r="R1423" s="151"/>
      <c r="S1423" s="151"/>
      <c r="T1423" s="151"/>
      <c r="U1423" s="151"/>
      <c r="V1423" s="151"/>
      <c r="W1423" s="2">
        <f>VLOOKUP(Table1[[#This Row],[Status]],Auxiliar!$B$16:$D$24,3,0)*Table1[[#This Row],[Estimação (horas)]]</f>
        <v>0.1</v>
      </c>
      <c r="X1423" s="166">
        <f>+VLOOKUP(CONCATENATE(Table1[[#This Row],[Tabela]],Table1[[#This Row],[Campo]]),'2. Status Detalhe Campos FY24'!A:J,9,FALSE)</f>
        <v>0</v>
      </c>
    </row>
    <row r="1424" spans="2:24" ht="17.850000000000001" hidden="1" customHeight="1">
      <c r="B1424" s="38" t="s">
        <v>26</v>
      </c>
      <c r="C1424" s="38" t="s">
        <v>26</v>
      </c>
      <c r="D1424" s="12" t="s">
        <v>399</v>
      </c>
      <c r="E1424" s="111" t="s">
        <v>38</v>
      </c>
      <c r="F1424" s="2" t="s">
        <v>379</v>
      </c>
      <c r="G1424" s="12" t="s">
        <v>415</v>
      </c>
      <c r="H1424" s="58" t="str">
        <f>Table1[[#This Row],[Tabela]]&amp;Table1[[#This Row],[Campo]]</f>
        <v>lt002_instrumentsubportfolio_id</v>
      </c>
      <c r="I1424" s="2" t="s">
        <v>612</v>
      </c>
      <c r="J1424" s="44">
        <f>VLOOKUP(Table1[[#This Row],[Status]],Auxiliar!$B$16:$C$24,2,0)</f>
        <v>1</v>
      </c>
      <c r="K1424" s="20" t="s">
        <v>1176</v>
      </c>
      <c r="L1424" s="45" t="s">
        <v>1177</v>
      </c>
      <c r="M1424" s="20" t="s">
        <v>1178</v>
      </c>
      <c r="N1424" s="47">
        <v>45506</v>
      </c>
      <c r="O1424" s="112">
        <v>0.1</v>
      </c>
      <c r="P1424" s="2"/>
      <c r="Q1424" s="151"/>
      <c r="R1424" s="151"/>
      <c r="S1424" s="151"/>
      <c r="T1424" s="151"/>
      <c r="U1424" s="151"/>
      <c r="V1424" s="151"/>
      <c r="W1424" s="2">
        <f>VLOOKUP(Table1[[#This Row],[Status]],Auxiliar!$B$16:$D$24,3,0)*Table1[[#This Row],[Estimação (horas)]]</f>
        <v>0.1</v>
      </c>
      <c r="X1424" s="166">
        <f>+VLOOKUP(CONCATENATE(Table1[[#This Row],[Tabela]],Table1[[#This Row],[Campo]]),'2. Status Detalhe Campos FY24'!A:J,9,FALSE)</f>
        <v>0</v>
      </c>
    </row>
    <row r="1425" spans="2:24" ht="17.850000000000001" hidden="1" customHeight="1">
      <c r="B1425" s="38" t="s">
        <v>26</v>
      </c>
      <c r="C1425" s="38" t="s">
        <v>26</v>
      </c>
      <c r="D1425" s="12" t="s">
        <v>399</v>
      </c>
      <c r="E1425" s="111" t="s">
        <v>38</v>
      </c>
      <c r="F1425" s="2" t="s">
        <v>379</v>
      </c>
      <c r="G1425" s="12" t="s">
        <v>416</v>
      </c>
      <c r="H1425" s="58" t="str">
        <f>Table1[[#This Row],[Tabela]]&amp;Table1[[#This Row],[Campo]]</f>
        <v>lt002_instrumentcod_soc</v>
      </c>
      <c r="I1425" s="2" t="s">
        <v>612</v>
      </c>
      <c r="J1425" s="44">
        <f>VLOOKUP(Table1[[#This Row],[Status]],Auxiliar!$B$16:$C$24,2,0)</f>
        <v>1</v>
      </c>
      <c r="K1425" s="20" t="s">
        <v>1176</v>
      </c>
      <c r="L1425" s="45" t="s">
        <v>1177</v>
      </c>
      <c r="M1425" s="20" t="s">
        <v>1178</v>
      </c>
      <c r="N1425" s="47">
        <v>45506</v>
      </c>
      <c r="O1425" s="112">
        <v>0.1</v>
      </c>
      <c r="P1425" s="2"/>
      <c r="Q1425" s="151"/>
      <c r="R1425" s="151"/>
      <c r="S1425" s="151"/>
      <c r="T1425" s="151"/>
      <c r="U1425" s="151"/>
      <c r="V1425" s="151"/>
      <c r="W1425" s="2">
        <f>VLOOKUP(Table1[[#This Row],[Status]],Auxiliar!$B$16:$D$24,3,0)*Table1[[#This Row],[Estimação (horas)]]</f>
        <v>0.1</v>
      </c>
      <c r="X1425" s="166">
        <f>+VLOOKUP(CONCATENATE(Table1[[#This Row],[Tabela]],Table1[[#This Row],[Campo]]),'2. Status Detalhe Campos FY24'!A:J,9,FALSE)</f>
        <v>0</v>
      </c>
    </row>
    <row r="1426" spans="2:24" ht="17.850000000000001" hidden="1" customHeight="1">
      <c r="B1426" s="38" t="s">
        <v>26</v>
      </c>
      <c r="C1426" s="38" t="s">
        <v>26</v>
      </c>
      <c r="D1426" s="19" t="s">
        <v>399</v>
      </c>
      <c r="E1426" s="111" t="s">
        <v>38</v>
      </c>
      <c r="F1426" s="31" t="s">
        <v>379</v>
      </c>
      <c r="G1426" s="19" t="s">
        <v>417</v>
      </c>
      <c r="H1426" s="58" t="str">
        <f>Table1[[#This Row],[Tabela]]&amp;Table1[[#This Row],[Campo]]</f>
        <v>lt002_instrumentlcl_instmrnt_id</v>
      </c>
      <c r="I1426" s="2" t="s">
        <v>612</v>
      </c>
      <c r="J1426" s="44">
        <f>VLOOKUP(Table1[[#This Row],[Status]],Auxiliar!$B$16:$C$24,2,0)</f>
        <v>1</v>
      </c>
      <c r="K1426" s="20" t="s">
        <v>1176</v>
      </c>
      <c r="L1426" s="45" t="s">
        <v>1177</v>
      </c>
      <c r="M1426" s="20" t="s">
        <v>1178</v>
      </c>
      <c r="N1426" s="47">
        <v>45510</v>
      </c>
      <c r="O1426" s="112">
        <v>0.1</v>
      </c>
      <c r="P1426" s="31"/>
      <c r="Q1426" s="151"/>
      <c r="R1426" s="151"/>
      <c r="S1426" s="151"/>
      <c r="T1426" s="151"/>
      <c r="U1426" s="151"/>
      <c r="V1426" s="151"/>
      <c r="W1426" s="2">
        <f>VLOOKUP(Table1[[#This Row],[Status]],Auxiliar!$B$16:$D$24,3,0)*Table1[[#This Row],[Estimação (horas)]]</f>
        <v>0.1</v>
      </c>
      <c r="X1426" s="166">
        <f>+VLOOKUP(CONCATENATE(Table1[[#This Row],[Tabela]],Table1[[#This Row],[Campo]]),'2. Status Detalhe Campos FY24'!A:J,9,FALSE)</f>
        <v>0</v>
      </c>
    </row>
    <row r="1427" spans="2:24" ht="17.850000000000001" hidden="1" customHeight="1">
      <c r="B1427" s="38" t="s">
        <v>26</v>
      </c>
      <c r="C1427" s="38" t="s">
        <v>26</v>
      </c>
      <c r="D1427" s="19"/>
      <c r="E1427" s="111"/>
      <c r="F1427" s="39" t="s">
        <v>1865</v>
      </c>
      <c r="G1427" s="358" t="s">
        <v>1298</v>
      </c>
      <c r="H1427" s="58" t="str">
        <f>Table1[[#This Row],[Tabela]]&amp;Table1[[#This Row],[Campo]]</f>
        <v>lt007_instr_activityCOD_SOC</v>
      </c>
      <c r="I1427" s="2" t="s">
        <v>2325</v>
      </c>
      <c r="J1427" s="44">
        <f>VLOOKUP(Table1[[#This Row],[Status]],Auxiliar!$B$16:$C$24,2,0)</f>
        <v>7</v>
      </c>
      <c r="K1427" s="20"/>
      <c r="L1427" s="45"/>
      <c r="M1427" s="20"/>
      <c r="N1427" s="47"/>
      <c r="O1427" s="112" t="e">
        <f>INDEX(Auxiliar!$D$5:$F$11,MATCH(Table1[[#This Row],[Tipologia_Testes]],Auxiliar!$B$5:$B$11,0),MATCH(Table1[[#This Row],[Complexidade]],Auxiliar!$D$4:$F$4,0))</f>
        <v>#N/A</v>
      </c>
      <c r="P1427" s="31"/>
      <c r="Q1427" s="151"/>
      <c r="R1427" s="151"/>
      <c r="S1427" s="151"/>
      <c r="T1427" s="151"/>
      <c r="U1427" s="151"/>
      <c r="V1427" s="151"/>
      <c r="W1427" s="2" t="e">
        <f>VLOOKUP(Table1[[#This Row],[Status]],Auxiliar!$B$16:$D$24,3,0)*Table1[[#This Row],[Estimação (horas)]]</f>
        <v>#N/A</v>
      </c>
      <c r="X1427" s="166">
        <f>+VLOOKUP(CONCATENATE(Table1[[#This Row],[Tabela]],Table1[[#This Row],[Campo]]),'2. Status Detalhe Campos FY24'!A:J,9,FALSE)</f>
        <v>0</v>
      </c>
    </row>
    <row r="1428" spans="2:24" ht="17.850000000000001" hidden="1" customHeight="1">
      <c r="B1428" s="38" t="s">
        <v>26</v>
      </c>
      <c r="C1428" s="38" t="s">
        <v>26</v>
      </c>
      <c r="D1428" s="19"/>
      <c r="E1428" s="111"/>
      <c r="F1428" s="39" t="s">
        <v>1865</v>
      </c>
      <c r="G1428" s="358" t="s">
        <v>1303</v>
      </c>
      <c r="H1428" s="58" t="str">
        <f>Table1[[#This Row],[Tabela]]&amp;Table1[[#This Row],[Campo]]</f>
        <v>lt007_instr_activityDT_RFRNC</v>
      </c>
      <c r="I1428" s="2" t="s">
        <v>2325</v>
      </c>
      <c r="J1428" s="44">
        <f>VLOOKUP(Table1[[#This Row],[Status]],Auxiliar!$B$16:$C$24,2,0)</f>
        <v>7</v>
      </c>
      <c r="K1428" s="20"/>
      <c r="L1428" s="45"/>
      <c r="M1428" s="20"/>
      <c r="N1428" s="47">
        <v>45695</v>
      </c>
      <c r="O1428" s="112" t="e">
        <f>INDEX(Auxiliar!$D$5:$F$11,MATCH(Table1[[#This Row],[Tipologia_Testes]],Auxiliar!$B$5:$B$11,0),MATCH(Table1[[#This Row],[Complexidade]],Auxiliar!$D$4:$F$4,0))</f>
        <v>#N/A</v>
      </c>
      <c r="P1428" s="31"/>
      <c r="Q1428" s="151"/>
      <c r="R1428" s="151"/>
      <c r="S1428" s="151"/>
      <c r="T1428" s="151"/>
      <c r="U1428" s="151"/>
      <c r="V1428" s="151"/>
      <c r="W1428" s="2" t="e">
        <f>VLOOKUP(Table1[[#This Row],[Status]],Auxiliar!$B$16:$D$24,3,0)*Table1[[#This Row],[Estimação (horas)]]</f>
        <v>#N/A</v>
      </c>
      <c r="X1428" s="166">
        <f>+VLOOKUP(CONCATENATE(Table1[[#This Row],[Tabela]],Table1[[#This Row],[Campo]]),'2. Status Detalhe Campos FY24'!A:J,9,FALSE)</f>
        <v>0</v>
      </c>
    </row>
    <row r="1429" spans="2:24" ht="17.850000000000001" hidden="1" customHeight="1">
      <c r="B1429" s="38" t="s">
        <v>26</v>
      </c>
      <c r="C1429" s="38" t="s">
        <v>26</v>
      </c>
      <c r="D1429" s="19"/>
      <c r="E1429" s="111"/>
      <c r="F1429" s="39" t="s">
        <v>1865</v>
      </c>
      <c r="G1429" s="358" t="s">
        <v>1312</v>
      </c>
      <c r="H1429" s="58" t="str">
        <f>Table1[[#This Row],[Tabela]]&amp;Table1[[#This Row],[Campo]]</f>
        <v>lt007_instr_activityINSTRMNT_ID</v>
      </c>
      <c r="I1429" s="2" t="s">
        <v>2325</v>
      </c>
      <c r="J1429" s="44">
        <f>VLOOKUP(Table1[[#This Row],[Status]],Auxiliar!$B$16:$C$24,2,0)</f>
        <v>7</v>
      </c>
      <c r="K1429" s="20"/>
      <c r="L1429" s="45"/>
      <c r="M1429" s="20"/>
      <c r="N1429" s="47"/>
      <c r="O1429" s="112" t="e">
        <f>INDEX(Auxiliar!$D$5:$F$11,MATCH(Table1[[#This Row],[Tipologia_Testes]],Auxiliar!$B$5:$B$11,0),MATCH(Table1[[#This Row],[Complexidade]],Auxiliar!$D$4:$F$4,0))</f>
        <v>#N/A</v>
      </c>
      <c r="P1429" s="31"/>
      <c r="Q1429" s="151"/>
      <c r="R1429" s="151"/>
      <c r="S1429" s="151"/>
      <c r="T1429" s="151"/>
      <c r="U1429" s="151"/>
      <c r="V1429" s="151"/>
      <c r="W1429" s="2" t="e">
        <f>VLOOKUP(Table1[[#This Row],[Status]],Auxiliar!$B$16:$D$24,3,0)*Table1[[#This Row],[Estimação (horas)]]</f>
        <v>#N/A</v>
      </c>
      <c r="X1429" s="166">
        <f>+VLOOKUP(CONCATENATE(Table1[[#This Row],[Tabela]],Table1[[#This Row],[Campo]]),'2. Status Detalhe Campos FY24'!A:J,9,FALSE)</f>
        <v>0</v>
      </c>
    </row>
    <row r="1430" spans="2:24" ht="17.850000000000001" hidden="1" customHeight="1">
      <c r="B1430" s="38" t="s">
        <v>26</v>
      </c>
      <c r="C1430" s="38" t="s">
        <v>26</v>
      </c>
      <c r="D1430" s="19"/>
      <c r="E1430" s="111"/>
      <c r="F1430" s="39" t="s">
        <v>1865</v>
      </c>
      <c r="G1430" s="358" t="s">
        <v>2297</v>
      </c>
      <c r="H1430" s="58" t="str">
        <f>Table1[[#This Row],[Tabela]]&amp;Table1[[#This Row],[Campo]]</f>
        <v>lt007_instr_activityPRCNTG_ACTVTY</v>
      </c>
      <c r="I1430" s="2" t="s">
        <v>2325</v>
      </c>
      <c r="J1430" s="44">
        <f>VLOOKUP(Table1[[#This Row],[Status]],Auxiliar!$B$16:$C$24,2,0)</f>
        <v>7</v>
      </c>
      <c r="K1430" s="20"/>
      <c r="L1430" s="45"/>
      <c r="M1430" s="20"/>
      <c r="N1430" s="47"/>
      <c r="O1430" s="112" t="e">
        <f>INDEX(Auxiliar!$D$5:$F$11,MATCH(Table1[[#This Row],[Tipologia_Testes]],Auxiliar!$B$5:$B$11,0),MATCH(Table1[[#This Row],[Complexidade]],Auxiliar!$D$4:$F$4,0))</f>
        <v>#N/A</v>
      </c>
      <c r="P1430" s="31"/>
      <c r="Q1430" s="151"/>
      <c r="R1430" s="151"/>
      <c r="S1430" s="151"/>
      <c r="T1430" s="151"/>
      <c r="U1430" s="151"/>
      <c r="V1430" s="151"/>
      <c r="W1430" s="2" t="e">
        <f>VLOOKUP(Table1[[#This Row],[Status]],Auxiliar!$B$16:$D$24,3,0)*Table1[[#This Row],[Estimação (horas)]]</f>
        <v>#N/A</v>
      </c>
      <c r="X1430" s="166">
        <f>+VLOOKUP(CONCATENATE(Table1[[#This Row],[Tabela]],Table1[[#This Row],[Campo]]),'2. Status Detalhe Campos FY24'!A:J,9,FALSE)</f>
        <v>0</v>
      </c>
    </row>
    <row r="1431" spans="2:24" ht="17.850000000000001" hidden="1" customHeight="1">
      <c r="B1431" s="38" t="s">
        <v>26</v>
      </c>
      <c r="C1431" s="38" t="s">
        <v>26</v>
      </c>
      <c r="D1431" s="19"/>
      <c r="E1431" s="111"/>
      <c r="F1431" s="39" t="s">
        <v>1865</v>
      </c>
      <c r="G1431" s="358" t="s">
        <v>2298</v>
      </c>
      <c r="H1431" s="58" t="str">
        <f>Table1[[#This Row],[Tabela]]&amp;Table1[[#This Row],[Campo]]</f>
        <v>lt007_instr_activityFLG_SBSTNTL_CNTRBTN</v>
      </c>
      <c r="I1431" s="2" t="s">
        <v>2325</v>
      </c>
      <c r="J1431" s="44">
        <f>VLOOKUP(Table1[[#This Row],[Status]],Auxiliar!$B$16:$C$24,2,0)</f>
        <v>7</v>
      </c>
      <c r="K1431" s="20"/>
      <c r="L1431" s="45"/>
      <c r="M1431" s="20"/>
      <c r="N1431" s="47"/>
      <c r="O1431" s="112" t="e">
        <f>INDEX(Auxiliar!$D$5:$F$11,MATCH(Table1[[#This Row],[Tipologia_Testes]],Auxiliar!$B$5:$B$11,0),MATCH(Table1[[#This Row],[Complexidade]],Auxiliar!$D$4:$F$4,0))</f>
        <v>#N/A</v>
      </c>
      <c r="P1431" s="31"/>
      <c r="Q1431" s="151"/>
      <c r="R1431" s="151"/>
      <c r="S1431" s="151"/>
      <c r="T1431" s="151"/>
      <c r="U1431" s="151"/>
      <c r="V1431" s="151"/>
      <c r="W1431" s="2" t="e">
        <f>VLOOKUP(Table1[[#This Row],[Status]],Auxiliar!$B$16:$D$24,3,0)*Table1[[#This Row],[Estimação (horas)]]</f>
        <v>#N/A</v>
      </c>
      <c r="X1431" s="166">
        <f>+VLOOKUP(CONCATENATE(Table1[[#This Row],[Tabela]],Table1[[#This Row],[Campo]]),'2. Status Detalhe Campos FY24'!A:J,9,FALSE)</f>
        <v>0</v>
      </c>
    </row>
    <row r="1432" spans="2:24" ht="17.850000000000001" hidden="1" customHeight="1">
      <c r="B1432" s="38" t="s">
        <v>26</v>
      </c>
      <c r="C1432" s="38" t="s">
        <v>26</v>
      </c>
      <c r="D1432" s="19"/>
      <c r="E1432" s="111"/>
      <c r="F1432" s="39" t="s">
        <v>1865</v>
      </c>
      <c r="G1432" s="358" t="s">
        <v>2299</v>
      </c>
      <c r="H1432" s="58" t="str">
        <f>Table1[[#This Row],[Tabela]]&amp;Table1[[#This Row],[Campo]]</f>
        <v>lt007_instr_activityFLG_DNSH_CMPLNC</v>
      </c>
      <c r="I1432" s="2" t="s">
        <v>2325</v>
      </c>
      <c r="J1432" s="44">
        <f>VLOOKUP(Table1[[#This Row],[Status]],Auxiliar!$B$16:$C$24,2,0)</f>
        <v>7</v>
      </c>
      <c r="K1432" s="20"/>
      <c r="L1432" s="45"/>
      <c r="M1432" s="20"/>
      <c r="N1432" s="47">
        <v>45695</v>
      </c>
      <c r="O1432" s="112" t="e">
        <f>INDEX(Auxiliar!$D$5:$F$11,MATCH(Table1[[#This Row],[Tipologia_Testes]],Auxiliar!$B$5:$B$11,0),MATCH(Table1[[#This Row],[Complexidade]],Auxiliar!$D$4:$F$4,0))</f>
        <v>#N/A</v>
      </c>
      <c r="P1432" s="31"/>
      <c r="Q1432" s="151"/>
      <c r="R1432" s="151"/>
      <c r="S1432" s="151"/>
      <c r="T1432" s="151"/>
      <c r="U1432" s="151"/>
      <c r="V1432" s="151"/>
      <c r="W1432" s="2" t="e">
        <f>VLOOKUP(Table1[[#This Row],[Status]],Auxiliar!$B$16:$D$24,3,0)*Table1[[#This Row],[Estimação (horas)]]</f>
        <v>#N/A</v>
      </c>
      <c r="X1432" s="166">
        <f>+VLOOKUP(CONCATENATE(Table1[[#This Row],[Tabela]],Table1[[#This Row],[Campo]]),'2. Status Detalhe Campos FY24'!A:J,9,FALSE)</f>
        <v>0</v>
      </c>
    </row>
    <row r="1433" spans="2:24" ht="17.850000000000001" hidden="1" customHeight="1">
      <c r="B1433" s="38" t="s">
        <v>26</v>
      </c>
      <c r="C1433" s="38" t="s">
        <v>26</v>
      </c>
      <c r="D1433" s="19"/>
      <c r="E1433" s="111"/>
      <c r="F1433" s="39" t="s">
        <v>1865</v>
      </c>
      <c r="G1433" s="358" t="s">
        <v>2300</v>
      </c>
      <c r="H1433" s="58" t="str">
        <f>Table1[[#This Row],[Tabela]]&amp;Table1[[#This Row],[Campo]]</f>
        <v>lt007_instr_activityDNSH_DTL</v>
      </c>
      <c r="I1433" s="2" t="s">
        <v>2325</v>
      </c>
      <c r="J1433" s="44">
        <f>VLOOKUP(Table1[[#This Row],[Status]],Auxiliar!$B$16:$C$24,2,0)</f>
        <v>7</v>
      </c>
      <c r="K1433" s="20"/>
      <c r="L1433" s="45"/>
      <c r="M1433" s="20"/>
      <c r="N1433" s="47">
        <v>45695</v>
      </c>
      <c r="O1433" s="112" t="e">
        <f>INDEX(Auxiliar!$D$5:$F$11,MATCH(Table1[[#This Row],[Tipologia_Testes]],Auxiliar!$B$5:$B$11,0),MATCH(Table1[[#This Row],[Complexidade]],Auxiliar!$D$4:$F$4,0))</f>
        <v>#N/A</v>
      </c>
      <c r="P1433" s="31"/>
      <c r="Q1433" s="151"/>
      <c r="R1433" s="151"/>
      <c r="S1433" s="151"/>
      <c r="T1433" s="151"/>
      <c r="U1433" s="151"/>
      <c r="V1433" s="151"/>
      <c r="W1433" s="2" t="e">
        <f>VLOOKUP(Table1[[#This Row],[Status]],Auxiliar!$B$16:$D$24,3,0)*Table1[[#This Row],[Estimação (horas)]]</f>
        <v>#N/A</v>
      </c>
      <c r="X1433" s="166">
        <f>+VLOOKUP(CONCATENATE(Table1[[#This Row],[Tabela]],Table1[[#This Row],[Campo]]),'2. Status Detalhe Campos FY24'!A:J,9,FALSE)</f>
        <v>0</v>
      </c>
    </row>
    <row r="1434" spans="2:24" ht="17.850000000000001" hidden="1" customHeight="1">
      <c r="B1434" s="38" t="s">
        <v>26</v>
      </c>
      <c r="C1434" s="38" t="s">
        <v>26</v>
      </c>
      <c r="D1434" s="12" t="s">
        <v>31</v>
      </c>
      <c r="E1434" s="111" t="s">
        <v>38</v>
      </c>
      <c r="F1434" s="2" t="s">
        <v>1865</v>
      </c>
      <c r="G1434" s="12" t="s">
        <v>418</v>
      </c>
      <c r="H1434" s="58" t="str">
        <f>Table1[[#This Row],[Tabela]]&amp;Table1[[#This Row],[Campo]]</f>
        <v>lt007_instr_activitysstnbl_indctr</v>
      </c>
      <c r="I1434" s="2" t="s">
        <v>614</v>
      </c>
      <c r="J1434" s="44">
        <f>VLOOKUP(Table1[[#This Row],[Status]],Auxiliar!$B$16:$C$24,2,0)</f>
        <v>5</v>
      </c>
      <c r="K1434" s="20" t="s">
        <v>1176</v>
      </c>
      <c r="L1434" s="45" t="s">
        <v>1177</v>
      </c>
      <c r="M1434" s="20" t="s">
        <v>1178</v>
      </c>
      <c r="N1434" s="47">
        <v>45649</v>
      </c>
      <c r="O1434" s="112">
        <v>0.1</v>
      </c>
      <c r="P1434" s="42"/>
      <c r="Q1434" s="151"/>
      <c r="R1434" s="151"/>
      <c r="S1434" s="151"/>
      <c r="T1434" s="151"/>
      <c r="U1434" s="151">
        <v>45624</v>
      </c>
      <c r="V1434" s="151">
        <v>45624</v>
      </c>
      <c r="W1434" s="2">
        <f>VLOOKUP(Table1[[#This Row],[Status]],Auxiliar!$B$16:$D$24,3,0)*Table1[[#This Row],[Estimação (horas)]]</f>
        <v>2.5000000000000001E-2</v>
      </c>
      <c r="X1434" s="166">
        <f>+VLOOKUP(CONCATENATE(Table1[[#This Row],[Tabela]],Table1[[#This Row],[Campo]]),'2. Status Detalhe Campos FY24'!A:J,9,FALSE)</f>
        <v>0</v>
      </c>
    </row>
    <row r="1435" spans="2:24" ht="17.850000000000001" hidden="1" customHeight="1">
      <c r="B1435" s="38" t="s">
        <v>26</v>
      </c>
      <c r="C1435" s="38" t="s">
        <v>26</v>
      </c>
      <c r="D1435" s="12" t="s">
        <v>31</v>
      </c>
      <c r="E1435" s="111" t="s">
        <v>38</v>
      </c>
      <c r="F1435" s="2" t="s">
        <v>1865</v>
      </c>
      <c r="G1435" s="12" t="s">
        <v>419</v>
      </c>
      <c r="H1435" s="58" t="str">
        <f>Table1[[#This Row],[Tabela]]&amp;Table1[[#This Row],[Campo]]</f>
        <v>lt007_instr_activitysstnbl_ctgry</v>
      </c>
      <c r="I1435" s="2" t="s">
        <v>2325</v>
      </c>
      <c r="J1435" s="44">
        <f>VLOOKUP(Table1[[#This Row],[Status]],Auxiliar!$B$16:$C$24,2,0)</f>
        <v>7</v>
      </c>
      <c r="K1435" s="20" t="s">
        <v>1176</v>
      </c>
      <c r="L1435" s="45" t="s">
        <v>1177</v>
      </c>
      <c r="M1435" s="20" t="s">
        <v>1178</v>
      </c>
      <c r="N1435" s="47">
        <v>45625</v>
      </c>
      <c r="O1435" s="112">
        <v>0.1</v>
      </c>
      <c r="P1435" s="42"/>
      <c r="Q1435" s="151"/>
      <c r="R1435" s="151">
        <v>45593</v>
      </c>
      <c r="S1435" s="151"/>
      <c r="T1435" s="151">
        <v>45593</v>
      </c>
      <c r="U1435" s="151">
        <v>45624</v>
      </c>
      <c r="V1435" s="151">
        <v>45624</v>
      </c>
      <c r="W1435" s="2">
        <f>VLOOKUP(Table1[[#This Row],[Status]],Auxiliar!$B$16:$D$24,3,0)*Table1[[#This Row],[Estimação (horas)]]</f>
        <v>2.5000000000000001E-2</v>
      </c>
      <c r="X1435" s="166">
        <f>+VLOOKUP(CONCATENATE(Table1[[#This Row],[Tabela]],Table1[[#This Row],[Campo]]),'2. Status Detalhe Campos FY24'!A:J,9,FALSE)</f>
        <v>0</v>
      </c>
    </row>
    <row r="1436" spans="2:24" ht="17.850000000000001" hidden="1" customHeight="1">
      <c r="B1436" s="38" t="s">
        <v>26</v>
      </c>
      <c r="C1436" s="38" t="s">
        <v>26</v>
      </c>
      <c r="D1436" s="12" t="s">
        <v>31</v>
      </c>
      <c r="E1436" s="111" t="s">
        <v>38</v>
      </c>
      <c r="F1436" s="2" t="s">
        <v>379</v>
      </c>
      <c r="G1436" s="12" t="s">
        <v>420</v>
      </c>
      <c r="H1436" s="58" t="str">
        <f>Table1[[#This Row],[Tabela]]&amp;Table1[[#This Row],[Campo]]</f>
        <v>lt002_instrumentgrss_intrst_incm</v>
      </c>
      <c r="I1436" s="2" t="s">
        <v>2324</v>
      </c>
      <c r="J1436" s="44">
        <f>VLOOKUP(Table1[[#This Row],[Status]],Auxiliar!$B$16:$C$24,2,0)</f>
        <v>3</v>
      </c>
      <c r="K1436" s="20" t="s">
        <v>1176</v>
      </c>
      <c r="L1436" s="45" t="s">
        <v>1177</v>
      </c>
      <c r="M1436" s="20" t="s">
        <v>1178</v>
      </c>
      <c r="N1436" s="47">
        <v>45632</v>
      </c>
      <c r="O1436" s="112">
        <v>0.1</v>
      </c>
      <c r="P1436" s="2"/>
      <c r="Q1436" s="151"/>
      <c r="R1436" s="151"/>
      <c r="S1436" s="151"/>
      <c r="T1436" s="151">
        <v>45618</v>
      </c>
      <c r="U1436" s="151">
        <v>45631</v>
      </c>
      <c r="V1436" s="151">
        <v>45631</v>
      </c>
      <c r="W1436" s="2">
        <f>VLOOKUP(Table1[[#This Row],[Status]],Auxiliar!$B$16:$D$24,3,0)*Table1[[#This Row],[Estimação (horas)]]</f>
        <v>0.05</v>
      </c>
      <c r="X1436" s="166">
        <f>+VLOOKUP(CONCATENATE(Table1[[#This Row],[Tabela]],Table1[[#This Row],[Campo]]),'2. Status Detalhe Campos FY24'!A:J,9,FALSE)</f>
        <v>0</v>
      </c>
    </row>
    <row r="1437" spans="2:24" ht="17.850000000000001" hidden="1" customHeight="1">
      <c r="B1437" s="38" t="s">
        <v>26</v>
      </c>
      <c r="C1437" s="38" t="s">
        <v>26</v>
      </c>
      <c r="D1437" s="12" t="s">
        <v>31</v>
      </c>
      <c r="E1437" s="111" t="s">
        <v>38</v>
      </c>
      <c r="F1437" s="2" t="s">
        <v>379</v>
      </c>
      <c r="G1437" s="12" t="s">
        <v>421</v>
      </c>
      <c r="H1437" s="58" t="str">
        <f>Table1[[#This Row],[Tabela]]&amp;Table1[[#This Row],[Campo]]</f>
        <v>lt002_instrumentgrss_cmmssn_incm</v>
      </c>
      <c r="I1437" s="2" t="s">
        <v>2324</v>
      </c>
      <c r="J1437" s="44">
        <f>VLOOKUP(Table1[[#This Row],[Status]],Auxiliar!$B$16:$C$24,2,0)</f>
        <v>3</v>
      </c>
      <c r="K1437" s="20" t="s">
        <v>1176</v>
      </c>
      <c r="L1437" s="45" t="s">
        <v>1177</v>
      </c>
      <c r="M1437" s="20" t="s">
        <v>1178</v>
      </c>
      <c r="N1437" s="47">
        <v>45632</v>
      </c>
      <c r="O1437" s="112">
        <v>0.1</v>
      </c>
      <c r="P1437" s="2"/>
      <c r="Q1437" s="151"/>
      <c r="R1437" s="151"/>
      <c r="S1437" s="151"/>
      <c r="T1437" s="151">
        <v>45618</v>
      </c>
      <c r="U1437" s="151">
        <v>45631</v>
      </c>
      <c r="V1437" s="151">
        <v>45631</v>
      </c>
      <c r="W1437" s="2">
        <f>VLOOKUP(Table1[[#This Row],[Status]],Auxiliar!$B$16:$D$24,3,0)*Table1[[#This Row],[Estimação (horas)]]</f>
        <v>0.05</v>
      </c>
      <c r="X1437" s="166">
        <f>+VLOOKUP(CONCATENATE(Table1[[#This Row],[Tabela]],Table1[[#This Row],[Campo]]),'2. Status Detalhe Campos FY24'!A:J,9,FALSE)</f>
        <v>0</v>
      </c>
    </row>
    <row r="1438" spans="2:24" ht="17.850000000000001" hidden="1" customHeight="1">
      <c r="B1438" s="38" t="s">
        <v>26</v>
      </c>
      <c r="C1438" s="38" t="s">
        <v>26</v>
      </c>
      <c r="D1438" s="12" t="s">
        <v>31</v>
      </c>
      <c r="E1438" s="111" t="s">
        <v>38</v>
      </c>
      <c r="F1438" s="2" t="s">
        <v>379</v>
      </c>
      <c r="G1438" s="12" t="s">
        <v>422</v>
      </c>
      <c r="H1438" s="58" t="str">
        <f>Table1[[#This Row],[Tabela]]&amp;Table1[[#This Row],[Campo]]</f>
        <v>lt002_instrumentgrss_cmmssn_incm_off_blnc</v>
      </c>
      <c r="I1438" s="2" t="s">
        <v>2324</v>
      </c>
      <c r="J1438" s="44">
        <f>VLOOKUP(Table1[[#This Row],[Status]],Auxiliar!$B$16:$C$24,2,0)</f>
        <v>3</v>
      </c>
      <c r="K1438" s="20" t="s">
        <v>1176</v>
      </c>
      <c r="L1438" s="45" t="s">
        <v>1177</v>
      </c>
      <c r="M1438" s="20" t="s">
        <v>1178</v>
      </c>
      <c r="N1438" s="47">
        <v>45632</v>
      </c>
      <c r="O1438" s="112">
        <v>0.1</v>
      </c>
      <c r="P1438" s="2"/>
      <c r="Q1438" s="151"/>
      <c r="R1438" s="151"/>
      <c r="S1438" s="151"/>
      <c r="T1438" s="151">
        <v>45618</v>
      </c>
      <c r="U1438" s="151">
        <v>45631</v>
      </c>
      <c r="V1438" s="151">
        <v>45631</v>
      </c>
      <c r="W1438" s="2">
        <f>VLOOKUP(Table1[[#This Row],[Status]],Auxiliar!$B$16:$D$24,3,0)*Table1[[#This Row],[Estimação (horas)]]</f>
        <v>0.05</v>
      </c>
      <c r="X1438" s="166">
        <f>+VLOOKUP(CONCATENATE(Table1[[#This Row],[Tabela]],Table1[[#This Row],[Campo]]),'2. Status Detalhe Campos FY24'!A:J,9,FALSE)</f>
        <v>0</v>
      </c>
    </row>
    <row r="1439" spans="2:24" ht="17.850000000000001" hidden="1" customHeight="1">
      <c r="B1439" s="38" t="s">
        <v>26</v>
      </c>
      <c r="C1439" s="38" t="s">
        <v>26</v>
      </c>
      <c r="D1439" s="12" t="s">
        <v>399</v>
      </c>
      <c r="E1439" s="111" t="s">
        <v>38</v>
      </c>
      <c r="F1439" s="2" t="s">
        <v>379</v>
      </c>
      <c r="G1439" s="12" t="s">
        <v>423</v>
      </c>
      <c r="H1439" s="58" t="str">
        <f>Table1[[#This Row],[Tabela]]&amp;Table1[[#This Row],[Campo]]</f>
        <v>lt002_instrumentidcmb</v>
      </c>
      <c r="I1439" s="2" t="s">
        <v>612</v>
      </c>
      <c r="J1439" s="44">
        <f>VLOOKUP(Table1[[#This Row],[Status]],Auxiliar!$B$16:$C$24,2,0)</f>
        <v>1</v>
      </c>
      <c r="K1439" s="20" t="s">
        <v>1176</v>
      </c>
      <c r="L1439" s="45" t="s">
        <v>1177</v>
      </c>
      <c r="M1439" s="20" t="s">
        <v>1178</v>
      </c>
      <c r="N1439" s="47">
        <v>45506</v>
      </c>
      <c r="O1439" s="112">
        <v>0.1</v>
      </c>
      <c r="P1439" s="2"/>
      <c r="Q1439" s="151"/>
      <c r="R1439" s="151"/>
      <c r="S1439" s="151"/>
      <c r="T1439" s="151"/>
      <c r="U1439" s="151"/>
      <c r="V1439" s="151"/>
      <c r="W1439" s="2">
        <f>VLOOKUP(Table1[[#This Row],[Status]],Auxiliar!$B$16:$D$24,3,0)*Table1[[#This Row],[Estimação (horas)]]</f>
        <v>0.1</v>
      </c>
      <c r="X1439" s="166">
        <f>+VLOOKUP(CONCATENATE(Table1[[#This Row],[Tabela]],Table1[[#This Row],[Campo]]),'2. Status Detalhe Campos FY24'!A:J,9,FALSE)</f>
        <v>0</v>
      </c>
    </row>
    <row r="1440" spans="2:24" ht="17.850000000000001" hidden="1" customHeight="1">
      <c r="B1440" s="38" t="s">
        <v>26</v>
      </c>
      <c r="C1440" s="38" t="s">
        <v>26</v>
      </c>
      <c r="D1440" s="12" t="s">
        <v>399</v>
      </c>
      <c r="E1440" s="111" t="s">
        <v>38</v>
      </c>
      <c r="F1440" s="2" t="s">
        <v>335</v>
      </c>
      <c r="G1440" s="12" t="s">
        <v>424</v>
      </c>
      <c r="H1440" s="58" t="str">
        <f>Table1[[#This Row],[Tabela]]&amp;Table1[[#This Row],[Campo]]</f>
        <v>lt003_entitycntry</v>
      </c>
      <c r="I1440" s="2" t="s">
        <v>612</v>
      </c>
      <c r="J1440" s="44">
        <f>VLOOKUP(Table1[[#This Row],[Status]],Auxiliar!$B$16:$C$24,2,0)</f>
        <v>1</v>
      </c>
      <c r="K1440" s="20" t="s">
        <v>1176</v>
      </c>
      <c r="L1440" s="45" t="s">
        <v>1177</v>
      </c>
      <c r="M1440" s="20" t="s">
        <v>1178</v>
      </c>
      <c r="N1440" s="47">
        <v>45505</v>
      </c>
      <c r="O1440" s="112">
        <v>0.1</v>
      </c>
      <c r="P1440" s="2"/>
      <c r="Q1440" s="151"/>
      <c r="R1440" s="151"/>
      <c r="S1440" s="151"/>
      <c r="T1440" s="151"/>
      <c r="U1440" s="151"/>
      <c r="V1440" s="151"/>
      <c r="W1440" s="2">
        <f>VLOOKUP(Table1[[#This Row],[Status]],Auxiliar!$B$16:$D$24,3,0)*Table1[[#This Row],[Estimação (horas)]]</f>
        <v>0.1</v>
      </c>
      <c r="X1440" s="166">
        <f>+VLOOKUP(CONCATENATE(Table1[[#This Row],[Tabela]],Table1[[#This Row],[Campo]]),'2. Status Detalhe Campos FY24'!A:J,9,FALSE)</f>
        <v>0</v>
      </c>
    </row>
    <row r="1441" spans="2:24" ht="17.850000000000001" hidden="1" customHeight="1">
      <c r="B1441" s="38" t="s">
        <v>26</v>
      </c>
      <c r="C1441" s="38" t="s">
        <v>26</v>
      </c>
      <c r="D1441" s="12" t="s">
        <v>399</v>
      </c>
      <c r="E1441" s="111" t="s">
        <v>38</v>
      </c>
      <c r="F1441" s="2" t="s">
        <v>335</v>
      </c>
      <c r="G1441" s="12" t="s">
        <v>398</v>
      </c>
      <c r="H1441" s="58" t="str">
        <f>Table1[[#This Row],[Tabela]]&amp;Table1[[#This Row],[Campo]]</f>
        <v>lt003_entitydt_rfrnc</v>
      </c>
      <c r="I1441" s="2" t="s">
        <v>612</v>
      </c>
      <c r="J1441" s="44">
        <f>VLOOKUP(Table1[[#This Row],[Status]],Auxiliar!$B$16:$C$24,2,0)</f>
        <v>1</v>
      </c>
      <c r="K1441" s="20" t="s">
        <v>1176</v>
      </c>
      <c r="L1441" s="45" t="s">
        <v>1177</v>
      </c>
      <c r="M1441" s="20" t="s">
        <v>1178</v>
      </c>
      <c r="N1441" s="47">
        <v>45506</v>
      </c>
      <c r="O1441" s="112">
        <v>0.1</v>
      </c>
      <c r="P1441" s="2"/>
      <c r="Q1441" s="151"/>
      <c r="R1441" s="151"/>
      <c r="S1441" s="151"/>
      <c r="T1441" s="151"/>
      <c r="U1441" s="151"/>
      <c r="V1441" s="151"/>
      <c r="W1441" s="2">
        <f>VLOOKUP(Table1[[#This Row],[Status]],Auxiliar!$B$16:$D$24,3,0)*Table1[[#This Row],[Estimação (horas)]]</f>
        <v>0.1</v>
      </c>
      <c r="X1441" s="166">
        <f>+VLOOKUP(CONCATENATE(Table1[[#This Row],[Tabela]],Table1[[#This Row],[Campo]]),'2. Status Detalhe Campos FY24'!A:J,9,FALSE)</f>
        <v>0</v>
      </c>
    </row>
    <row r="1442" spans="2:24" ht="17.850000000000001" hidden="1" customHeight="1">
      <c r="B1442" s="38" t="s">
        <v>26</v>
      </c>
      <c r="C1442" s="38" t="s">
        <v>26</v>
      </c>
      <c r="D1442" s="12" t="s">
        <v>399</v>
      </c>
      <c r="E1442" s="111" t="s">
        <v>38</v>
      </c>
      <c r="F1442" s="2" t="s">
        <v>335</v>
      </c>
      <c r="G1442" s="12" t="s">
        <v>425</v>
      </c>
      <c r="H1442" s="58" t="str">
        <f>Table1[[#This Row],[Tabela]]&amp;Table1[[#This Row],[Campo]]</f>
        <v>lt003_entityentty_id</v>
      </c>
      <c r="I1442" s="2" t="s">
        <v>612</v>
      </c>
      <c r="J1442" s="44">
        <f>VLOOKUP(Table1[[#This Row],[Status]],Auxiliar!$B$16:$C$24,2,0)</f>
        <v>1</v>
      </c>
      <c r="K1442" s="20" t="s">
        <v>1176</v>
      </c>
      <c r="L1442" s="45" t="s">
        <v>1177</v>
      </c>
      <c r="M1442" s="20" t="s">
        <v>1178</v>
      </c>
      <c r="N1442" s="47">
        <v>45506</v>
      </c>
      <c r="O1442" s="112">
        <v>0.1</v>
      </c>
      <c r="P1442" s="2"/>
      <c r="Q1442" s="151"/>
      <c r="R1442" s="151"/>
      <c r="S1442" s="151"/>
      <c r="T1442" s="151"/>
      <c r="U1442" s="151"/>
      <c r="V1442" s="151"/>
      <c r="W1442" s="2">
        <f>VLOOKUP(Table1[[#This Row],[Status]],Auxiliar!$B$16:$D$24,3,0)*Table1[[#This Row],[Estimação (horas)]]</f>
        <v>0.1</v>
      </c>
      <c r="X1442" s="166">
        <f>+VLOOKUP(CONCATENATE(Table1[[#This Row],[Tabela]],Table1[[#This Row],[Campo]]),'2. Status Detalhe Campos FY24'!A:J,9,FALSE)</f>
        <v>0</v>
      </c>
    </row>
    <row r="1443" spans="2:24" ht="17.850000000000001" hidden="1" customHeight="1">
      <c r="B1443" s="38" t="s">
        <v>26</v>
      </c>
      <c r="C1443" s="38" t="s">
        <v>26</v>
      </c>
      <c r="D1443" s="12" t="s">
        <v>399</v>
      </c>
      <c r="E1443" s="111" t="s">
        <v>38</v>
      </c>
      <c r="F1443" s="2" t="s">
        <v>335</v>
      </c>
      <c r="G1443" s="12" t="s">
        <v>426</v>
      </c>
      <c r="H1443" s="58" t="str">
        <f>Table1[[#This Row],[Tabela]]&amp;Table1[[#This Row],[Campo]]</f>
        <v>lt003_entitylei</v>
      </c>
      <c r="I1443" s="2" t="s">
        <v>612</v>
      </c>
      <c r="J1443" s="44">
        <f>VLOOKUP(Table1[[#This Row],[Status]],Auxiliar!$B$16:$C$24,2,0)</f>
        <v>1</v>
      </c>
      <c r="K1443" s="20" t="s">
        <v>1176</v>
      </c>
      <c r="L1443" s="45" t="s">
        <v>1177</v>
      </c>
      <c r="M1443" s="20" t="s">
        <v>1178</v>
      </c>
      <c r="N1443" s="47">
        <v>45509</v>
      </c>
      <c r="O1443" s="112">
        <v>0.1</v>
      </c>
      <c r="P1443" s="2" t="s">
        <v>1283</v>
      </c>
      <c r="Q1443" s="151"/>
      <c r="R1443" s="151"/>
      <c r="S1443" s="151"/>
      <c r="T1443" s="151"/>
      <c r="U1443" s="151"/>
      <c r="V1443" s="151"/>
      <c r="W1443" s="2">
        <f>VLOOKUP(Table1[[#This Row],[Status]],Auxiliar!$B$16:$D$24,3,0)*Table1[[#This Row],[Estimação (horas)]]</f>
        <v>0.1</v>
      </c>
      <c r="X1443" s="166">
        <f>+VLOOKUP(CONCATENATE(Table1[[#This Row],[Tabela]],Table1[[#This Row],[Campo]]),'2. Status Detalhe Campos FY24'!A:J,9,FALSE)</f>
        <v>0</v>
      </c>
    </row>
    <row r="1444" spans="2:24" ht="17.850000000000001" hidden="1" customHeight="1">
      <c r="B1444" s="38" t="s">
        <v>26</v>
      </c>
      <c r="C1444" s="38" t="s">
        <v>26</v>
      </c>
      <c r="D1444" s="12" t="s">
        <v>399</v>
      </c>
      <c r="E1444" s="111" t="s">
        <v>38</v>
      </c>
      <c r="F1444" s="2" t="s">
        <v>335</v>
      </c>
      <c r="G1444" s="12" t="s">
        <v>427</v>
      </c>
      <c r="H1444" s="58" t="str">
        <f>Table1[[#This Row],[Tabela]]&amp;Table1[[#This Row],[Campo]]</f>
        <v>lt003_entityecnmc_actvty</v>
      </c>
      <c r="I1444" s="2" t="s">
        <v>612</v>
      </c>
      <c r="J1444" s="44">
        <f>VLOOKUP(Table1[[#This Row],[Status]],Auxiliar!$B$16:$C$24,2,0)</f>
        <v>1</v>
      </c>
      <c r="K1444" s="20" t="s">
        <v>1176</v>
      </c>
      <c r="L1444" s="45" t="s">
        <v>1177</v>
      </c>
      <c r="M1444" s="20" t="s">
        <v>1178</v>
      </c>
      <c r="N1444" s="47">
        <v>45509</v>
      </c>
      <c r="O1444" s="112">
        <v>0.1</v>
      </c>
      <c r="P1444" s="2" t="s">
        <v>1283</v>
      </c>
      <c r="Q1444" s="151"/>
      <c r="R1444" s="151"/>
      <c r="S1444" s="151"/>
      <c r="T1444" s="151"/>
      <c r="U1444" s="151"/>
      <c r="V1444" s="151"/>
      <c r="W1444" s="2">
        <f>VLOOKUP(Table1[[#This Row],[Status]],Auxiliar!$B$16:$D$24,3,0)*Table1[[#This Row],[Estimação (horas)]]</f>
        <v>0.1</v>
      </c>
      <c r="X1444" s="166">
        <f>+VLOOKUP(CONCATENATE(Table1[[#This Row],[Tabela]],Table1[[#This Row],[Campo]]),'2. Status Detalhe Campos FY24'!A:J,9,FALSE)</f>
        <v>0</v>
      </c>
    </row>
    <row r="1445" spans="2:24" ht="17.850000000000001" hidden="1" customHeight="1">
      <c r="B1445" s="38" t="s">
        <v>26</v>
      </c>
      <c r="C1445" s="38" t="s">
        <v>26</v>
      </c>
      <c r="D1445" s="12" t="s">
        <v>399</v>
      </c>
      <c r="E1445" s="111" t="s">
        <v>38</v>
      </c>
      <c r="F1445" s="2" t="s">
        <v>335</v>
      </c>
      <c r="G1445" s="12" t="s">
        <v>428</v>
      </c>
      <c r="H1445" s="58" t="str">
        <f>Table1[[#This Row],[Tabela]]&amp;Table1[[#This Row],[Campo]]</f>
        <v>lt003_entitygrp_eqty</v>
      </c>
      <c r="I1445" s="2" t="s">
        <v>612</v>
      </c>
      <c r="J1445" s="44">
        <f>VLOOKUP(Table1[[#This Row],[Status]],Auxiliar!$B$16:$C$24,2,0)</f>
        <v>1</v>
      </c>
      <c r="K1445" s="20" t="s">
        <v>1176</v>
      </c>
      <c r="L1445" s="45" t="s">
        <v>1177</v>
      </c>
      <c r="M1445" s="20" t="s">
        <v>1178</v>
      </c>
      <c r="N1445" s="47">
        <v>45509</v>
      </c>
      <c r="O1445" s="112">
        <v>0.1</v>
      </c>
      <c r="P1445" s="2" t="s">
        <v>1283</v>
      </c>
      <c r="Q1445" s="151"/>
      <c r="R1445" s="151"/>
      <c r="S1445" s="151"/>
      <c r="T1445" s="151"/>
      <c r="U1445" s="151"/>
      <c r="V1445" s="151"/>
      <c r="W1445" s="2">
        <f>VLOOKUP(Table1[[#This Row],[Status]],Auxiliar!$B$16:$D$24,3,0)*Table1[[#This Row],[Estimação (horas)]]</f>
        <v>0.1</v>
      </c>
      <c r="X1445" s="166">
        <f>+VLOOKUP(CONCATENATE(Table1[[#This Row],[Tabela]],Table1[[#This Row],[Campo]]),'2. Status Detalhe Campos FY24'!A:J,9,FALSE)</f>
        <v>0</v>
      </c>
    </row>
    <row r="1446" spans="2:24" ht="17.850000000000001" hidden="1" customHeight="1">
      <c r="B1446" s="38" t="s">
        <v>26</v>
      </c>
      <c r="C1446" s="38" t="s">
        <v>26</v>
      </c>
      <c r="D1446" s="12" t="s">
        <v>399</v>
      </c>
      <c r="E1446" s="111" t="s">
        <v>38</v>
      </c>
      <c r="F1446" s="2" t="s">
        <v>335</v>
      </c>
      <c r="G1446" s="12" t="s">
        <v>429</v>
      </c>
      <c r="H1446" s="58" t="str">
        <f>Table1[[#This Row],[Tabela]]&amp;Table1[[#This Row],[Campo]]</f>
        <v>lt003_entityannl_trnvr_le</v>
      </c>
      <c r="I1446" s="2" t="s">
        <v>612</v>
      </c>
      <c r="J1446" s="44">
        <f>VLOOKUP(Table1[[#This Row],[Status]],Auxiliar!$B$16:$C$24,2,0)</f>
        <v>1</v>
      </c>
      <c r="K1446" s="20" t="s">
        <v>1176</v>
      </c>
      <c r="L1446" s="45" t="s">
        <v>1177</v>
      </c>
      <c r="M1446" s="20" t="s">
        <v>1178</v>
      </c>
      <c r="N1446" s="47">
        <v>45509</v>
      </c>
      <c r="O1446" s="112">
        <v>0.1</v>
      </c>
      <c r="P1446" s="2" t="s">
        <v>1283</v>
      </c>
      <c r="Q1446" s="151"/>
      <c r="R1446" s="151"/>
      <c r="S1446" s="151"/>
      <c r="T1446" s="151"/>
      <c r="U1446" s="151"/>
      <c r="V1446" s="151"/>
      <c r="W1446" s="2">
        <f>VLOOKUP(Table1[[#This Row],[Status]],Auxiliar!$B$16:$D$24,3,0)*Table1[[#This Row],[Estimação (horas)]]</f>
        <v>0.1</v>
      </c>
      <c r="X1446" s="166">
        <f>+VLOOKUP(CONCATENATE(Table1[[#This Row],[Tabela]],Table1[[#This Row],[Campo]]),'2. Status Detalhe Campos FY24'!A:J,9,FALSE)</f>
        <v>0</v>
      </c>
    </row>
    <row r="1447" spans="2:24" ht="17.850000000000001" hidden="1" customHeight="1">
      <c r="B1447" s="38" t="s">
        <v>26</v>
      </c>
      <c r="C1447" s="38" t="s">
        <v>26</v>
      </c>
      <c r="D1447" s="12" t="s">
        <v>399</v>
      </c>
      <c r="E1447" s="111" t="s">
        <v>38</v>
      </c>
      <c r="F1447" s="2" t="s">
        <v>335</v>
      </c>
      <c r="G1447" s="12" t="s">
        <v>430</v>
      </c>
      <c r="H1447" s="58" t="str">
        <f>Table1[[#This Row],[Tabela]]&amp;Table1[[#This Row],[Campo]]</f>
        <v>lt003_entityeqty</v>
      </c>
      <c r="I1447" s="2" t="s">
        <v>612</v>
      </c>
      <c r="J1447" s="44">
        <f>VLOOKUP(Table1[[#This Row],[Status]],Auxiliar!$B$16:$C$24,2,0)</f>
        <v>1</v>
      </c>
      <c r="K1447" s="20" t="s">
        <v>1176</v>
      </c>
      <c r="L1447" s="45" t="s">
        <v>1177</v>
      </c>
      <c r="M1447" s="20" t="s">
        <v>1178</v>
      </c>
      <c r="N1447" s="47">
        <v>45509</v>
      </c>
      <c r="O1447" s="112">
        <v>0.1</v>
      </c>
      <c r="P1447" s="2" t="s">
        <v>1283</v>
      </c>
      <c r="Q1447" s="151"/>
      <c r="R1447" s="151"/>
      <c r="S1447" s="151"/>
      <c r="T1447" s="151"/>
      <c r="U1447" s="151"/>
      <c r="V1447" s="151"/>
      <c r="W1447" s="2">
        <f>VLOOKUP(Table1[[#This Row],[Status]],Auxiliar!$B$16:$D$24,3,0)*Table1[[#This Row],[Estimação (horas)]]</f>
        <v>0.1</v>
      </c>
      <c r="X1447" s="166">
        <f>+VLOOKUP(CONCATENATE(Table1[[#This Row],[Tabela]],Table1[[#This Row],[Campo]]),'2. Status Detalhe Campos FY24'!A:J,9,FALSE)</f>
        <v>0</v>
      </c>
    </row>
    <row r="1448" spans="2:24" ht="17.850000000000001" hidden="1" customHeight="1">
      <c r="B1448" s="38" t="s">
        <v>26</v>
      </c>
      <c r="C1448" s="38" t="s">
        <v>26</v>
      </c>
      <c r="D1448" s="12" t="s">
        <v>399</v>
      </c>
      <c r="E1448" s="111" t="s">
        <v>38</v>
      </c>
      <c r="F1448" s="2" t="s">
        <v>335</v>
      </c>
      <c r="G1448" s="12" t="s">
        <v>431</v>
      </c>
      <c r="H1448" s="58" t="str">
        <f>Table1[[#This Row],[Tabela]]&amp;Table1[[#This Row],[Campo]]</f>
        <v>lt003_entitygrp_ttl_dbt</v>
      </c>
      <c r="I1448" s="2" t="s">
        <v>612</v>
      </c>
      <c r="J1448" s="44">
        <f>VLOOKUP(Table1[[#This Row],[Status]],Auxiliar!$B$16:$C$24,2,0)</f>
        <v>1</v>
      </c>
      <c r="K1448" s="20" t="s">
        <v>1176</v>
      </c>
      <c r="L1448" s="45" t="s">
        <v>1177</v>
      </c>
      <c r="M1448" s="20" t="s">
        <v>1178</v>
      </c>
      <c r="N1448" s="47">
        <v>45509</v>
      </c>
      <c r="O1448" s="112">
        <v>0.1</v>
      </c>
      <c r="P1448" s="2" t="s">
        <v>1283</v>
      </c>
      <c r="Q1448" s="151"/>
      <c r="R1448" s="151"/>
      <c r="S1448" s="151"/>
      <c r="T1448" s="151"/>
      <c r="U1448" s="151"/>
      <c r="V1448" s="151"/>
      <c r="W1448" s="2">
        <f>VLOOKUP(Table1[[#This Row],[Status]],Auxiliar!$B$16:$D$24,3,0)*Table1[[#This Row],[Estimação (horas)]]</f>
        <v>0.1</v>
      </c>
      <c r="X1448" s="166">
        <f>+VLOOKUP(CONCATENATE(Table1[[#This Row],[Tabela]],Table1[[#This Row],[Campo]]),'2. Status Detalhe Campos FY24'!A:J,9,FALSE)</f>
        <v>0</v>
      </c>
    </row>
    <row r="1449" spans="2:24" ht="17.850000000000001" hidden="1" customHeight="1">
      <c r="B1449" s="38" t="s">
        <v>26</v>
      </c>
      <c r="C1449" s="38" t="s">
        <v>26</v>
      </c>
      <c r="D1449" s="12" t="s">
        <v>399</v>
      </c>
      <c r="E1449" s="111" t="s">
        <v>38</v>
      </c>
      <c r="F1449" s="2" t="s">
        <v>335</v>
      </c>
      <c r="G1449" s="12" t="s">
        <v>432</v>
      </c>
      <c r="H1449" s="58" t="str">
        <f>Table1[[#This Row],[Tabela]]&amp;Table1[[#This Row],[Campo]]</f>
        <v>lt003_entityttl_dbt</v>
      </c>
      <c r="I1449" s="2" t="s">
        <v>612</v>
      </c>
      <c r="J1449" s="44">
        <f>VLOOKUP(Table1[[#This Row],[Status]],Auxiliar!$B$16:$C$24,2,0)</f>
        <v>1</v>
      </c>
      <c r="K1449" s="20" t="s">
        <v>1176</v>
      </c>
      <c r="L1449" s="45" t="s">
        <v>1177</v>
      </c>
      <c r="M1449" s="20" t="s">
        <v>1178</v>
      </c>
      <c r="N1449" s="47">
        <v>45509</v>
      </c>
      <c r="O1449" s="112">
        <v>0.1</v>
      </c>
      <c r="P1449" s="2" t="s">
        <v>1283</v>
      </c>
      <c r="Q1449" s="151"/>
      <c r="R1449" s="151"/>
      <c r="S1449" s="151"/>
      <c r="T1449" s="151"/>
      <c r="U1449" s="151"/>
      <c r="V1449" s="151"/>
      <c r="W1449" s="2">
        <f>VLOOKUP(Table1[[#This Row],[Status]],Auxiliar!$B$16:$D$24,3,0)*Table1[[#This Row],[Estimação (horas)]]</f>
        <v>0.1</v>
      </c>
      <c r="X1449" s="166">
        <f>+VLOOKUP(CONCATENATE(Table1[[#This Row],[Tabela]],Table1[[#This Row],[Campo]]),'2. Status Detalhe Campos FY24'!A:J,9,FALSE)</f>
        <v>0</v>
      </c>
    </row>
    <row r="1450" spans="2:24" ht="17.850000000000001" hidden="1" customHeight="1">
      <c r="B1450" s="38" t="s">
        <v>26</v>
      </c>
      <c r="C1450" s="38" t="s">
        <v>26</v>
      </c>
      <c r="D1450" s="19" t="s">
        <v>399</v>
      </c>
      <c r="E1450" s="111" t="s">
        <v>38</v>
      </c>
      <c r="F1450" s="31" t="s">
        <v>335</v>
      </c>
      <c r="G1450" s="19" t="s">
        <v>416</v>
      </c>
      <c r="H1450" s="58" t="str">
        <f>Table1[[#This Row],[Tabela]]&amp;Table1[[#This Row],[Campo]]</f>
        <v>lt003_entitycod_soc</v>
      </c>
      <c r="I1450" s="2" t="s">
        <v>612</v>
      </c>
      <c r="J1450" s="44">
        <f>VLOOKUP(Table1[[#This Row],[Status]],Auxiliar!$B$16:$C$24,2,0)</f>
        <v>1</v>
      </c>
      <c r="K1450" s="20" t="s">
        <v>1176</v>
      </c>
      <c r="L1450" s="45" t="s">
        <v>1177</v>
      </c>
      <c r="M1450" s="20" t="s">
        <v>1178</v>
      </c>
      <c r="N1450" s="47">
        <v>45491</v>
      </c>
      <c r="O1450" s="112">
        <v>0.1</v>
      </c>
      <c r="P1450" s="31"/>
      <c r="Q1450" s="151"/>
      <c r="R1450" s="151"/>
      <c r="S1450" s="151"/>
      <c r="T1450" s="151"/>
      <c r="U1450" s="151"/>
      <c r="V1450" s="151"/>
      <c r="W1450" s="2">
        <f>VLOOKUP(Table1[[#This Row],[Status]],Auxiliar!$B$16:$D$24,3,0)*Table1[[#This Row],[Estimação (horas)]]</f>
        <v>0.1</v>
      </c>
      <c r="X1450" s="166">
        <f>+VLOOKUP(CONCATENATE(Table1[[#This Row],[Tabela]],Table1[[#This Row],[Campo]]),'2. Status Detalhe Campos FY24'!A:J,9,FALSE)</f>
        <v>0</v>
      </c>
    </row>
    <row r="1451" spans="2:24" ht="17.850000000000001" hidden="1" customHeight="1">
      <c r="B1451" s="38" t="s">
        <v>26</v>
      </c>
      <c r="C1451" s="38" t="s">
        <v>26</v>
      </c>
      <c r="D1451" s="19" t="s">
        <v>399</v>
      </c>
      <c r="E1451" s="111" t="s">
        <v>38</v>
      </c>
      <c r="F1451" s="31" t="s">
        <v>335</v>
      </c>
      <c r="G1451" s="358" t="s">
        <v>2197</v>
      </c>
      <c r="H1451" s="58" t="str">
        <f>Table1[[#This Row],[Tabela]]&amp;Table1[[#This Row],[Campo]]</f>
        <v>lt003_entityentty_nm</v>
      </c>
      <c r="I1451" s="2" t="s">
        <v>2325</v>
      </c>
      <c r="J1451" s="44">
        <f>VLOOKUP(Table1[[#This Row],[Status]],Auxiliar!$B$16:$C$24,2,0)</f>
        <v>7</v>
      </c>
      <c r="K1451" s="20" t="s">
        <v>1176</v>
      </c>
      <c r="L1451" s="45" t="s">
        <v>1177</v>
      </c>
      <c r="M1451" s="20" t="s">
        <v>1178</v>
      </c>
      <c r="N1451" s="47">
        <v>45695</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0.25</v>
      </c>
      <c r="X1451" s="166">
        <f>+VLOOKUP(CONCATENATE(Table1[[#This Row],[Tabela]],Table1[[#This Row],[Campo]]),'2. Status Detalhe Campos FY24'!A:J,9,FALSE)</f>
        <v>0</v>
      </c>
    </row>
    <row r="1452" spans="2:24" ht="17.850000000000001" hidden="1" customHeight="1">
      <c r="B1452" s="38" t="s">
        <v>26</v>
      </c>
      <c r="C1452" s="38" t="s">
        <v>26</v>
      </c>
      <c r="D1452" s="19" t="s">
        <v>399</v>
      </c>
      <c r="E1452" s="111" t="s">
        <v>38</v>
      </c>
      <c r="F1452" s="31" t="s">
        <v>335</v>
      </c>
      <c r="G1452" s="358" t="s">
        <v>2198</v>
      </c>
      <c r="H1452" s="58" t="str">
        <f>Table1[[#This Row],[Tabela]]&amp;Table1[[#This Row],[Campo]]</f>
        <v>lt003_entityec_grp_id</v>
      </c>
      <c r="I1452" s="2" t="s">
        <v>2325</v>
      </c>
      <c r="J1452" s="44">
        <f>VLOOKUP(Table1[[#This Row],[Status]],Auxiliar!$B$16:$C$24,2,0)</f>
        <v>7</v>
      </c>
      <c r="K1452" s="20" t="s">
        <v>1176</v>
      </c>
      <c r="L1452" s="45" t="s">
        <v>1177</v>
      </c>
      <c r="M1452" s="20" t="s">
        <v>1178</v>
      </c>
      <c r="N1452" s="47">
        <v>45688</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0.25</v>
      </c>
      <c r="X1452" s="166">
        <f>+VLOOKUP(CONCATENATE(Table1[[#This Row],[Tabela]],Table1[[#This Row],[Campo]]),'2. Status Detalhe Campos FY24'!A:J,9,FALSE)</f>
        <v>0</v>
      </c>
    </row>
    <row r="1453" spans="2:24" ht="17.850000000000001" hidden="1" customHeight="1">
      <c r="B1453" s="38" t="s">
        <v>26</v>
      </c>
      <c r="C1453" s="38" t="s">
        <v>26</v>
      </c>
      <c r="D1453" s="19" t="s">
        <v>399</v>
      </c>
      <c r="E1453" s="111" t="s">
        <v>38</v>
      </c>
      <c r="F1453" s="31" t="s">
        <v>335</v>
      </c>
      <c r="G1453" s="358" t="s">
        <v>2199</v>
      </c>
      <c r="H1453" s="58" t="str">
        <f>Table1[[#This Row],[Tabela]]&amp;Table1[[#This Row],[Campo]]</f>
        <v>lt003_entityec_grp_nm</v>
      </c>
      <c r="I1453" s="2" t="s">
        <v>2325</v>
      </c>
      <c r="J1453" s="44">
        <f>VLOOKUP(Table1[[#This Row],[Status]],Auxiliar!$B$16:$C$24,2,0)</f>
        <v>7</v>
      </c>
      <c r="K1453" s="20" t="s">
        <v>1176</v>
      </c>
      <c r="L1453" s="45" t="s">
        <v>1177</v>
      </c>
      <c r="M1453" s="20" t="s">
        <v>1178</v>
      </c>
      <c r="N1453" s="47">
        <v>45688</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0.25</v>
      </c>
      <c r="X1453" s="166">
        <f>+VLOOKUP(CONCATENATE(Table1[[#This Row],[Tabela]],Table1[[#This Row],[Campo]]),'2. Status Detalhe Campos FY24'!A:J,9,FALSE)</f>
        <v>0</v>
      </c>
    </row>
    <row r="1454" spans="2:24" ht="17.850000000000001" hidden="1" customHeight="1">
      <c r="B1454" s="38" t="s">
        <v>26</v>
      </c>
      <c r="C1454" s="38" t="s">
        <v>26</v>
      </c>
      <c r="D1454" s="19" t="s">
        <v>399</v>
      </c>
      <c r="E1454" s="111" t="s">
        <v>38</v>
      </c>
      <c r="F1454" s="31" t="s">
        <v>335</v>
      </c>
      <c r="G1454" s="358" t="s">
        <v>2200</v>
      </c>
      <c r="H1454" s="58" t="str">
        <f>Table1[[#This Row],[Tabela]]&amp;Table1[[#This Row],[Campo]]</f>
        <v>lt003_entitygrp_ecnmc_actvty</v>
      </c>
      <c r="I1454" s="2" t="s">
        <v>2325</v>
      </c>
      <c r="J1454" s="44">
        <f>VLOOKUP(Table1[[#This Row],[Status]],Auxiliar!$B$16:$C$24,2,0)</f>
        <v>7</v>
      </c>
      <c r="K1454" s="20" t="s">
        <v>1176</v>
      </c>
      <c r="L1454" s="45" t="s">
        <v>1177</v>
      </c>
      <c r="M1454" s="20" t="s">
        <v>1178</v>
      </c>
      <c r="N1454" s="47">
        <v>45688</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0.25</v>
      </c>
      <c r="X1454" s="166">
        <f>+VLOOKUP(CONCATENATE(Table1[[#This Row],[Tabela]],Table1[[#This Row],[Campo]]),'2. Status Detalhe Campos FY24'!A:J,9,FALSE)</f>
        <v>0</v>
      </c>
    </row>
    <row r="1455" spans="2:24" ht="17.850000000000001" hidden="1" customHeight="1">
      <c r="B1455" s="38" t="s">
        <v>26</v>
      </c>
      <c r="C1455" s="38" t="s">
        <v>26</v>
      </c>
      <c r="D1455" s="19" t="s">
        <v>399</v>
      </c>
      <c r="E1455" s="111" t="s">
        <v>38</v>
      </c>
      <c r="F1455" s="31" t="s">
        <v>335</v>
      </c>
      <c r="G1455" s="358" t="s">
        <v>2201</v>
      </c>
      <c r="H1455" s="58" t="str">
        <f>Table1[[#This Row],[Tabela]]&amp;Table1[[#This Row],[Campo]]</f>
        <v>lt003_entitytxnmy_elgbl_capex_w</v>
      </c>
      <c r="I1455" s="2" t="s">
        <v>2325</v>
      </c>
      <c r="J1455" s="44">
        <f>VLOOKUP(Table1[[#This Row],[Status]],Auxiliar!$B$16:$C$24,2,0)</f>
        <v>7</v>
      </c>
      <c r="K1455" s="20" t="s">
        <v>1176</v>
      </c>
      <c r="L1455" s="45" t="s">
        <v>1177</v>
      </c>
      <c r="M1455" s="20" t="s">
        <v>1178</v>
      </c>
      <c r="N1455" s="47">
        <v>45688</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0.25</v>
      </c>
      <c r="X1455" s="166">
        <f>+VLOOKUP(CONCATENATE(Table1[[#This Row],[Tabela]],Table1[[#This Row],[Campo]]),'2. Status Detalhe Campos FY24'!A:J,9,FALSE)</f>
        <v>0</v>
      </c>
    </row>
    <row r="1456" spans="2:24" ht="17.850000000000001" hidden="1" customHeight="1">
      <c r="B1456" s="38" t="s">
        <v>26</v>
      </c>
      <c r="C1456" s="38" t="s">
        <v>26</v>
      </c>
      <c r="D1456" s="19" t="s">
        <v>399</v>
      </c>
      <c r="E1456" s="111" t="s">
        <v>38</v>
      </c>
      <c r="F1456" s="31" t="s">
        <v>335</v>
      </c>
      <c r="G1456" s="358" t="s">
        <v>2202</v>
      </c>
      <c r="H1456" s="58" t="str">
        <f>Table1[[#This Row],[Tabela]]&amp;Table1[[#This Row],[Campo]]</f>
        <v>lt003_entitytxnmy_elgbl_trnvr_w</v>
      </c>
      <c r="I1456" s="2" t="s">
        <v>2325</v>
      </c>
      <c r="J1456" s="44">
        <f>VLOOKUP(Table1[[#This Row],[Status]],Auxiliar!$B$16:$C$24,2,0)</f>
        <v>7</v>
      </c>
      <c r="K1456" s="20" t="s">
        <v>1176</v>
      </c>
      <c r="L1456" s="45" t="s">
        <v>1177</v>
      </c>
      <c r="M1456" s="20" t="s">
        <v>1178</v>
      </c>
      <c r="N1456" s="47">
        <v>45688</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0.25</v>
      </c>
      <c r="X1456" s="166">
        <f>+VLOOKUP(CONCATENATE(Table1[[#This Row],[Tabela]],Table1[[#This Row],[Campo]]),'2. Status Detalhe Campos FY24'!A:J,9,FALSE)</f>
        <v>0</v>
      </c>
    </row>
    <row r="1457" spans="2:24" ht="17.850000000000001" hidden="1" customHeight="1">
      <c r="B1457" s="38" t="s">
        <v>26</v>
      </c>
      <c r="C1457" s="38" t="s">
        <v>26</v>
      </c>
      <c r="D1457" s="19" t="s">
        <v>399</v>
      </c>
      <c r="E1457" s="111" t="s">
        <v>38</v>
      </c>
      <c r="F1457" s="31" t="s">
        <v>335</v>
      </c>
      <c r="G1457" s="358" t="s">
        <v>2203</v>
      </c>
      <c r="H1457" s="58" t="str">
        <f>Table1[[#This Row],[Tabela]]&amp;Table1[[#This Row],[Campo]]</f>
        <v>lt003_entitytxnmy_elgbl_capex_p</v>
      </c>
      <c r="I1457" s="2" t="s">
        <v>2325</v>
      </c>
      <c r="J1457" s="44">
        <f>VLOOKUP(Table1[[#This Row],[Status]],Auxiliar!$B$16:$C$24,2,0)</f>
        <v>7</v>
      </c>
      <c r="K1457" s="20" t="s">
        <v>1176</v>
      </c>
      <c r="L1457" s="45" t="s">
        <v>1177</v>
      </c>
      <c r="M1457" s="20" t="s">
        <v>1178</v>
      </c>
      <c r="N1457" s="47">
        <v>45688</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0.25</v>
      </c>
      <c r="X1457" s="166">
        <f>+VLOOKUP(CONCATENATE(Table1[[#This Row],[Tabela]],Table1[[#This Row],[Campo]]),'2. Status Detalhe Campos FY24'!A:J,9,FALSE)</f>
        <v>0</v>
      </c>
    </row>
    <row r="1458" spans="2:24" ht="17.850000000000001" hidden="1" customHeight="1">
      <c r="B1458" s="38" t="s">
        <v>26</v>
      </c>
      <c r="C1458" s="38" t="s">
        <v>26</v>
      </c>
      <c r="D1458" s="19" t="s">
        <v>399</v>
      </c>
      <c r="E1458" s="111" t="s">
        <v>38</v>
      </c>
      <c r="F1458" s="31" t="s">
        <v>335</v>
      </c>
      <c r="G1458" s="358" t="s">
        <v>2204</v>
      </c>
      <c r="H1458" s="58" t="str">
        <f>Table1[[#This Row],[Tabela]]&amp;Table1[[#This Row],[Campo]]</f>
        <v>lt003_entitytxnmy_elgbl_trnvr_p</v>
      </c>
      <c r="I1458" s="2" t="s">
        <v>2325</v>
      </c>
      <c r="J1458" s="44">
        <f>VLOOKUP(Table1[[#This Row],[Status]],Auxiliar!$B$16:$C$24,2,0)</f>
        <v>7</v>
      </c>
      <c r="K1458" s="20" t="s">
        <v>1176</v>
      </c>
      <c r="L1458" s="45" t="s">
        <v>1177</v>
      </c>
      <c r="M1458" s="20" t="s">
        <v>1178</v>
      </c>
      <c r="N1458" s="47">
        <v>45688</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0.25</v>
      </c>
      <c r="X1458" s="166">
        <f>+VLOOKUP(CONCATENATE(Table1[[#This Row],[Tabela]],Table1[[#This Row],[Campo]]),'2. Status Detalhe Campos FY24'!A:J,9,FALSE)</f>
        <v>0</v>
      </c>
    </row>
    <row r="1459" spans="2:24" ht="17.850000000000001" hidden="1" customHeight="1">
      <c r="B1459" s="38" t="s">
        <v>26</v>
      </c>
      <c r="C1459" s="38" t="s">
        <v>26</v>
      </c>
      <c r="D1459" s="19" t="s">
        <v>399</v>
      </c>
      <c r="E1459" s="111" t="s">
        <v>38</v>
      </c>
      <c r="F1459" s="31" t="s">
        <v>335</v>
      </c>
      <c r="G1459" s="358" t="s">
        <v>2205</v>
      </c>
      <c r="H1459" s="58" t="str">
        <f>Table1[[#This Row],[Tabela]]&amp;Table1[[#This Row],[Campo]]</f>
        <v>lt003_entitytxnmy_elgbl_capex_b</v>
      </c>
      <c r="I1459" s="2" t="s">
        <v>2325</v>
      </c>
      <c r="J1459" s="44">
        <f>VLOOKUP(Table1[[#This Row],[Status]],Auxiliar!$B$16:$C$24,2,0)</f>
        <v>7</v>
      </c>
      <c r="K1459" s="20" t="s">
        <v>1176</v>
      </c>
      <c r="L1459" s="45" t="s">
        <v>1177</v>
      </c>
      <c r="M1459" s="20" t="s">
        <v>1178</v>
      </c>
      <c r="N1459" s="47">
        <v>45688</v>
      </c>
      <c r="O1459" s="112">
        <f>INDEX(Auxiliar!$D$5:$F$11,MATCH(Table1[[#This Row],[Tipologia_Testes]],Auxiliar!$B$5:$B$11,0),MATCH(Table1[[#This Row],[Complexidade]],Auxiliar!$D$4:$F$4,0))</f>
        <v>1</v>
      </c>
      <c r="P1459" s="31"/>
      <c r="Q1459" s="151"/>
      <c r="R1459" s="151"/>
      <c r="S1459" s="151"/>
      <c r="T1459" s="151"/>
      <c r="U1459" s="151"/>
      <c r="V1459" s="151"/>
      <c r="W1459" s="2">
        <f>VLOOKUP(Table1[[#This Row],[Status]],Auxiliar!$B$16:$D$24,3,0)*Table1[[#This Row],[Estimação (horas)]]</f>
        <v>0.25</v>
      </c>
      <c r="X1459" s="166">
        <f>+VLOOKUP(CONCATENATE(Table1[[#This Row],[Tabela]],Table1[[#This Row],[Campo]]),'2. Status Detalhe Campos FY24'!A:J,9,FALSE)</f>
        <v>0</v>
      </c>
    </row>
    <row r="1460" spans="2:24" ht="17.850000000000001" hidden="1" customHeight="1">
      <c r="B1460" s="38" t="s">
        <v>26</v>
      </c>
      <c r="C1460" s="38" t="s">
        <v>26</v>
      </c>
      <c r="D1460" s="19" t="s">
        <v>399</v>
      </c>
      <c r="E1460" s="111" t="s">
        <v>38</v>
      </c>
      <c r="F1460" s="31" t="s">
        <v>335</v>
      </c>
      <c r="G1460" s="358" t="s">
        <v>2206</v>
      </c>
      <c r="H1460" s="58" t="str">
        <f>Table1[[#This Row],[Tabela]]&amp;Table1[[#This Row],[Campo]]</f>
        <v>lt003_entitytxnmy_elgbl_trnvr_b</v>
      </c>
      <c r="I1460" s="2" t="s">
        <v>2325</v>
      </c>
      <c r="J1460" s="44">
        <f>VLOOKUP(Table1[[#This Row],[Status]],Auxiliar!$B$16:$C$24,2,0)</f>
        <v>7</v>
      </c>
      <c r="K1460" s="20" t="s">
        <v>1176</v>
      </c>
      <c r="L1460" s="45" t="s">
        <v>1177</v>
      </c>
      <c r="M1460" s="20" t="s">
        <v>1178</v>
      </c>
      <c r="N1460" s="47">
        <v>45688</v>
      </c>
      <c r="O1460" s="112">
        <f>INDEX(Auxiliar!$D$5:$F$11,MATCH(Table1[[#This Row],[Tipologia_Testes]],Auxiliar!$B$5:$B$11,0),MATCH(Table1[[#This Row],[Complexidade]],Auxiliar!$D$4:$F$4,0))</f>
        <v>1</v>
      </c>
      <c r="P1460" s="31"/>
      <c r="Q1460" s="151"/>
      <c r="R1460" s="151"/>
      <c r="S1460" s="151"/>
      <c r="T1460" s="151"/>
      <c r="U1460" s="151"/>
      <c r="V1460" s="151"/>
      <c r="W1460" s="2">
        <f>VLOOKUP(Table1[[#This Row],[Status]],Auxiliar!$B$16:$D$24,3,0)*Table1[[#This Row],[Estimação (horas)]]</f>
        <v>0.25</v>
      </c>
      <c r="X1460" s="166">
        <f>+VLOOKUP(CONCATENATE(Table1[[#This Row],[Tabela]],Table1[[#This Row],[Campo]]),'2. Status Detalhe Campos FY24'!A:J,9,FALSE)</f>
        <v>0</v>
      </c>
    </row>
    <row r="1461" spans="2:24" ht="17.850000000000001" hidden="1" customHeight="1">
      <c r="B1461" s="38" t="s">
        <v>26</v>
      </c>
      <c r="C1461" s="38" t="s">
        <v>26</v>
      </c>
      <c r="D1461" s="19" t="s">
        <v>399</v>
      </c>
      <c r="E1461" s="111" t="s">
        <v>38</v>
      </c>
      <c r="F1461" s="31" t="s">
        <v>335</v>
      </c>
      <c r="G1461" s="358" t="s">
        <v>2207</v>
      </c>
      <c r="H1461" s="58" t="str">
        <f>Table1[[#This Row],[Tabela]]&amp;Table1[[#This Row],[Campo]]</f>
        <v>lt003_entitytxnmy_elgbl_capex_ce</v>
      </c>
      <c r="I1461" s="2" t="s">
        <v>2325</v>
      </c>
      <c r="J1461" s="44">
        <f>VLOOKUP(Table1[[#This Row],[Status]],Auxiliar!$B$16:$C$24,2,0)</f>
        <v>7</v>
      </c>
      <c r="K1461" s="20" t="s">
        <v>1176</v>
      </c>
      <c r="L1461" s="45" t="s">
        <v>1177</v>
      </c>
      <c r="M1461" s="20" t="s">
        <v>1178</v>
      </c>
      <c r="N1461" s="47">
        <v>45688</v>
      </c>
      <c r="O1461" s="112">
        <f>INDEX(Auxiliar!$D$5:$F$11,MATCH(Table1[[#This Row],[Tipologia_Testes]],Auxiliar!$B$5:$B$11,0),MATCH(Table1[[#This Row],[Complexidade]],Auxiliar!$D$4:$F$4,0))</f>
        <v>1</v>
      </c>
      <c r="P1461" s="31"/>
      <c r="Q1461" s="151"/>
      <c r="R1461" s="151"/>
      <c r="S1461" s="151"/>
      <c r="T1461" s="151"/>
      <c r="U1461" s="151"/>
      <c r="V1461" s="151"/>
      <c r="W1461" s="2">
        <f>VLOOKUP(Table1[[#This Row],[Status]],Auxiliar!$B$16:$D$24,3,0)*Table1[[#This Row],[Estimação (horas)]]</f>
        <v>0.25</v>
      </c>
      <c r="X1461" s="166">
        <f>+VLOOKUP(CONCATENATE(Table1[[#This Row],[Tabela]],Table1[[#This Row],[Campo]]),'2. Status Detalhe Campos FY24'!A:J,9,FALSE)</f>
        <v>0</v>
      </c>
    </row>
    <row r="1462" spans="2:24" ht="17.850000000000001" hidden="1" customHeight="1">
      <c r="B1462" s="38" t="s">
        <v>26</v>
      </c>
      <c r="C1462" s="38" t="s">
        <v>26</v>
      </c>
      <c r="D1462" s="19" t="s">
        <v>399</v>
      </c>
      <c r="E1462" s="111" t="s">
        <v>38</v>
      </c>
      <c r="F1462" s="31" t="s">
        <v>335</v>
      </c>
      <c r="G1462" s="358" t="s">
        <v>2208</v>
      </c>
      <c r="H1462" s="58" t="str">
        <f>Table1[[#This Row],[Tabela]]&amp;Table1[[#This Row],[Campo]]</f>
        <v>lt003_entitytxnmy_elgbl_trnvr_ce</v>
      </c>
      <c r="I1462" s="2" t="s">
        <v>2325</v>
      </c>
      <c r="J1462" s="44">
        <f>VLOOKUP(Table1[[#This Row],[Status]],Auxiliar!$B$16:$C$24,2,0)</f>
        <v>7</v>
      </c>
      <c r="K1462" s="20" t="s">
        <v>1176</v>
      </c>
      <c r="L1462" s="45" t="s">
        <v>1177</v>
      </c>
      <c r="M1462" s="20" t="s">
        <v>1178</v>
      </c>
      <c r="N1462" s="47">
        <v>45688</v>
      </c>
      <c r="O1462" s="112">
        <f>INDEX(Auxiliar!$D$5:$F$11,MATCH(Table1[[#This Row],[Tipologia_Testes]],Auxiliar!$B$5:$B$11,0),MATCH(Table1[[#This Row],[Complexidade]],Auxiliar!$D$4:$F$4,0))</f>
        <v>1</v>
      </c>
      <c r="P1462" s="31"/>
      <c r="Q1462" s="151"/>
      <c r="R1462" s="151"/>
      <c r="S1462" s="151"/>
      <c r="T1462" s="151"/>
      <c r="U1462" s="151"/>
      <c r="V1462" s="151"/>
      <c r="W1462" s="2">
        <f>VLOOKUP(Table1[[#This Row],[Status]],Auxiliar!$B$16:$D$24,3,0)*Table1[[#This Row],[Estimação (horas)]]</f>
        <v>0.25</v>
      </c>
      <c r="X1462" s="166">
        <f>+VLOOKUP(CONCATENATE(Table1[[#This Row],[Tabela]],Table1[[#This Row],[Campo]]),'2. Status Detalhe Campos FY24'!A:J,9,FALSE)</f>
        <v>0</v>
      </c>
    </row>
    <row r="1463" spans="2:24" ht="17.850000000000001" hidden="1" customHeight="1">
      <c r="B1463" s="38" t="s">
        <v>26</v>
      </c>
      <c r="C1463" s="38" t="s">
        <v>26</v>
      </c>
      <c r="D1463" s="19" t="s">
        <v>399</v>
      </c>
      <c r="E1463" s="111" t="s">
        <v>38</v>
      </c>
      <c r="F1463" s="31" t="s">
        <v>335</v>
      </c>
      <c r="G1463" s="358" t="s">
        <v>2209</v>
      </c>
      <c r="H1463" s="58" t="str">
        <f>Table1[[#This Row],[Tabela]]&amp;Table1[[#This Row],[Campo]]</f>
        <v>lt003_entitypure_capex_p</v>
      </c>
      <c r="I1463" s="2" t="s">
        <v>2325</v>
      </c>
      <c r="J1463" s="44">
        <f>VLOOKUP(Table1[[#This Row],[Status]],Auxiliar!$B$16:$C$24,2,0)</f>
        <v>7</v>
      </c>
      <c r="K1463" s="20" t="s">
        <v>1176</v>
      </c>
      <c r="L1463" s="45" t="s">
        <v>1177</v>
      </c>
      <c r="M1463" s="20" t="s">
        <v>1178</v>
      </c>
      <c r="N1463" s="47">
        <v>45688</v>
      </c>
      <c r="O1463" s="112">
        <f>INDEX(Auxiliar!$D$5:$F$11,MATCH(Table1[[#This Row],[Tipologia_Testes]],Auxiliar!$B$5:$B$11,0),MATCH(Table1[[#This Row],[Complexidade]],Auxiliar!$D$4:$F$4,0))</f>
        <v>1</v>
      </c>
      <c r="P1463" s="31"/>
      <c r="Q1463" s="151"/>
      <c r="R1463" s="151"/>
      <c r="S1463" s="151"/>
      <c r="T1463" s="151"/>
      <c r="U1463" s="151"/>
      <c r="V1463" s="151"/>
      <c r="W1463" s="2">
        <f>VLOOKUP(Table1[[#This Row],[Status]],Auxiliar!$B$16:$D$24,3,0)*Table1[[#This Row],[Estimação (horas)]]</f>
        <v>0.25</v>
      </c>
      <c r="X1463" s="166">
        <f>+VLOOKUP(CONCATENATE(Table1[[#This Row],[Tabela]],Table1[[#This Row],[Campo]]),'2. Status Detalhe Campos FY24'!A:J,9,FALSE)</f>
        <v>0</v>
      </c>
    </row>
    <row r="1464" spans="2:24" ht="17.850000000000001" hidden="1" customHeight="1">
      <c r="B1464" s="38" t="s">
        <v>26</v>
      </c>
      <c r="C1464" s="38" t="s">
        <v>26</v>
      </c>
      <c r="D1464" s="19" t="s">
        <v>399</v>
      </c>
      <c r="E1464" s="111" t="s">
        <v>38</v>
      </c>
      <c r="F1464" s="31" t="s">
        <v>335</v>
      </c>
      <c r="G1464" s="358" t="s">
        <v>2210</v>
      </c>
      <c r="H1464" s="58" t="str">
        <f>Table1[[#This Row],[Tabela]]&amp;Table1[[#This Row],[Campo]]</f>
        <v>lt003_entitypure_trnvr_p</v>
      </c>
      <c r="I1464" s="2" t="s">
        <v>2325</v>
      </c>
      <c r="J1464" s="44">
        <f>VLOOKUP(Table1[[#This Row],[Status]],Auxiliar!$B$16:$C$24,2,0)</f>
        <v>7</v>
      </c>
      <c r="K1464" s="20" t="s">
        <v>1176</v>
      </c>
      <c r="L1464" s="45" t="s">
        <v>1177</v>
      </c>
      <c r="M1464" s="20" t="s">
        <v>1178</v>
      </c>
      <c r="N1464" s="47">
        <v>45688</v>
      </c>
      <c r="O1464" s="112">
        <f>INDEX(Auxiliar!$D$5:$F$11,MATCH(Table1[[#This Row],[Tipologia_Testes]],Auxiliar!$B$5:$B$11,0),MATCH(Table1[[#This Row],[Complexidade]],Auxiliar!$D$4:$F$4,0))</f>
        <v>1</v>
      </c>
      <c r="P1464" s="31"/>
      <c r="Q1464" s="151"/>
      <c r="R1464" s="151"/>
      <c r="S1464" s="151"/>
      <c r="T1464" s="151"/>
      <c r="U1464" s="151"/>
      <c r="V1464" s="151"/>
      <c r="W1464" s="2">
        <f>VLOOKUP(Table1[[#This Row],[Status]],Auxiliar!$B$16:$D$24,3,0)*Table1[[#This Row],[Estimação (horas)]]</f>
        <v>0.25</v>
      </c>
      <c r="X1464" s="166">
        <f>+VLOOKUP(CONCATENATE(Table1[[#This Row],[Tabela]],Table1[[#This Row],[Campo]]),'2. Status Detalhe Campos FY24'!A:J,9,FALSE)</f>
        <v>0</v>
      </c>
    </row>
    <row r="1465" spans="2:24" ht="17.850000000000001" hidden="1" customHeight="1">
      <c r="B1465" s="38" t="s">
        <v>26</v>
      </c>
      <c r="C1465" s="38" t="s">
        <v>26</v>
      </c>
      <c r="D1465" s="19" t="s">
        <v>399</v>
      </c>
      <c r="E1465" s="111" t="s">
        <v>38</v>
      </c>
      <c r="F1465" s="31" t="s">
        <v>335</v>
      </c>
      <c r="G1465" s="358" t="s">
        <v>2211</v>
      </c>
      <c r="H1465" s="58" t="str">
        <f>Table1[[#This Row],[Tabela]]&amp;Table1[[#This Row],[Campo]]</f>
        <v>lt003_entitypure_capex_b</v>
      </c>
      <c r="I1465" s="2" t="s">
        <v>2325</v>
      </c>
      <c r="J1465" s="44">
        <f>VLOOKUP(Table1[[#This Row],[Status]],Auxiliar!$B$16:$C$24,2,0)</f>
        <v>7</v>
      </c>
      <c r="K1465" s="20" t="s">
        <v>1176</v>
      </c>
      <c r="L1465" s="45" t="s">
        <v>1177</v>
      </c>
      <c r="M1465" s="20" t="s">
        <v>1178</v>
      </c>
      <c r="N1465" s="47">
        <v>45688</v>
      </c>
      <c r="O1465" s="112">
        <f>INDEX(Auxiliar!$D$5:$F$11,MATCH(Table1[[#This Row],[Tipologia_Testes]],Auxiliar!$B$5:$B$11,0),MATCH(Table1[[#This Row],[Complexidade]],Auxiliar!$D$4:$F$4,0))</f>
        <v>1</v>
      </c>
      <c r="P1465" s="31"/>
      <c r="Q1465" s="151"/>
      <c r="R1465" s="151"/>
      <c r="S1465" s="151"/>
      <c r="T1465" s="151"/>
      <c r="U1465" s="151"/>
      <c r="V1465" s="151"/>
      <c r="W1465" s="2">
        <f>VLOOKUP(Table1[[#This Row],[Status]],Auxiliar!$B$16:$D$24,3,0)*Table1[[#This Row],[Estimação (horas)]]</f>
        <v>0.25</v>
      </c>
      <c r="X1465" s="166">
        <f>+VLOOKUP(CONCATENATE(Table1[[#This Row],[Tabela]],Table1[[#This Row],[Campo]]),'2. Status Detalhe Campos FY24'!A:J,9,FALSE)</f>
        <v>0</v>
      </c>
    </row>
    <row r="1466" spans="2:24" ht="17.850000000000001" hidden="1" customHeight="1">
      <c r="B1466" s="38" t="s">
        <v>26</v>
      </c>
      <c r="C1466" s="38" t="s">
        <v>26</v>
      </c>
      <c r="D1466" s="19" t="s">
        <v>399</v>
      </c>
      <c r="E1466" s="111" t="s">
        <v>38</v>
      </c>
      <c r="F1466" s="31" t="s">
        <v>335</v>
      </c>
      <c r="G1466" s="358" t="s">
        <v>2212</v>
      </c>
      <c r="H1466" s="58" t="str">
        <f>Table1[[#This Row],[Tabela]]&amp;Table1[[#This Row],[Campo]]</f>
        <v>lt003_entitypure_trnvr_b</v>
      </c>
      <c r="I1466" s="2" t="s">
        <v>2325</v>
      </c>
      <c r="J1466" s="44">
        <f>VLOOKUP(Table1[[#This Row],[Status]],Auxiliar!$B$16:$C$24,2,0)</f>
        <v>7</v>
      </c>
      <c r="K1466" s="20" t="s">
        <v>1176</v>
      </c>
      <c r="L1466" s="45" t="s">
        <v>1177</v>
      </c>
      <c r="M1466" s="20" t="s">
        <v>1178</v>
      </c>
      <c r="N1466" s="47">
        <v>45688</v>
      </c>
      <c r="O1466" s="112">
        <f>INDEX(Auxiliar!$D$5:$F$11,MATCH(Table1[[#This Row],[Tipologia_Testes]],Auxiliar!$B$5:$B$11,0),MATCH(Table1[[#This Row],[Complexidade]],Auxiliar!$D$4:$F$4,0))</f>
        <v>1</v>
      </c>
      <c r="P1466" s="31"/>
      <c r="Q1466" s="151"/>
      <c r="R1466" s="151"/>
      <c r="S1466" s="151"/>
      <c r="T1466" s="151"/>
      <c r="U1466" s="151"/>
      <c r="V1466" s="151"/>
      <c r="W1466" s="2">
        <f>VLOOKUP(Table1[[#This Row],[Status]],Auxiliar!$B$16:$D$24,3,0)*Table1[[#This Row],[Estimação (horas)]]</f>
        <v>0.25</v>
      </c>
      <c r="X1466" s="166">
        <f>+VLOOKUP(CONCATENATE(Table1[[#This Row],[Tabela]],Table1[[#This Row],[Campo]]),'2. Status Detalhe Campos FY24'!A:J,9,FALSE)</f>
        <v>0</v>
      </c>
    </row>
    <row r="1467" spans="2:24" ht="17.850000000000001" hidden="1" customHeight="1">
      <c r="B1467" s="38" t="s">
        <v>26</v>
      </c>
      <c r="C1467" s="38" t="s">
        <v>26</v>
      </c>
      <c r="D1467" s="19" t="s">
        <v>399</v>
      </c>
      <c r="E1467" s="111" t="s">
        <v>38</v>
      </c>
      <c r="F1467" s="31" t="s">
        <v>335</v>
      </c>
      <c r="G1467" s="358" t="s">
        <v>2213</v>
      </c>
      <c r="H1467" s="58" t="str">
        <f>Table1[[#This Row],[Tabela]]&amp;Table1[[#This Row],[Campo]]</f>
        <v>lt003_entitypure_capex_w</v>
      </c>
      <c r="I1467" s="2" t="s">
        <v>2325</v>
      </c>
      <c r="J1467" s="44">
        <f>VLOOKUP(Table1[[#This Row],[Status]],Auxiliar!$B$16:$C$24,2,0)</f>
        <v>7</v>
      </c>
      <c r="K1467" s="20" t="s">
        <v>1176</v>
      </c>
      <c r="L1467" s="45" t="s">
        <v>1177</v>
      </c>
      <c r="M1467" s="20" t="s">
        <v>1178</v>
      </c>
      <c r="N1467" s="47">
        <v>45688</v>
      </c>
      <c r="O1467" s="112">
        <f>INDEX(Auxiliar!$D$5:$F$11,MATCH(Table1[[#This Row],[Tipologia_Testes]],Auxiliar!$B$5:$B$11,0),MATCH(Table1[[#This Row],[Complexidade]],Auxiliar!$D$4:$F$4,0))</f>
        <v>1</v>
      </c>
      <c r="P1467" s="31"/>
      <c r="Q1467" s="151"/>
      <c r="R1467" s="151"/>
      <c r="S1467" s="151"/>
      <c r="T1467" s="151"/>
      <c r="U1467" s="151"/>
      <c r="V1467" s="151"/>
      <c r="W1467" s="2">
        <f>VLOOKUP(Table1[[#This Row],[Status]],Auxiliar!$B$16:$D$24,3,0)*Table1[[#This Row],[Estimação (horas)]]</f>
        <v>0.25</v>
      </c>
      <c r="X1467" s="166">
        <f>+VLOOKUP(CONCATENATE(Table1[[#This Row],[Tabela]],Table1[[#This Row],[Campo]]),'2. Status Detalhe Campos FY24'!A:J,9,FALSE)</f>
        <v>0</v>
      </c>
    </row>
    <row r="1468" spans="2:24" ht="17.850000000000001" hidden="1" customHeight="1">
      <c r="B1468" s="38" t="s">
        <v>26</v>
      </c>
      <c r="C1468" s="38" t="s">
        <v>26</v>
      </c>
      <c r="D1468" s="19" t="s">
        <v>399</v>
      </c>
      <c r="E1468" s="111" t="s">
        <v>38</v>
      </c>
      <c r="F1468" s="31" t="s">
        <v>335</v>
      </c>
      <c r="G1468" s="358" t="s">
        <v>2214</v>
      </c>
      <c r="H1468" s="58" t="str">
        <f>Table1[[#This Row],[Tabela]]&amp;Table1[[#This Row],[Campo]]</f>
        <v>lt003_entitypure_trnvr_w</v>
      </c>
      <c r="I1468" s="2" t="s">
        <v>2325</v>
      </c>
      <c r="J1468" s="44">
        <f>VLOOKUP(Table1[[#This Row],[Status]],Auxiliar!$B$16:$C$24,2,0)</f>
        <v>7</v>
      </c>
      <c r="K1468" s="20" t="s">
        <v>1176</v>
      </c>
      <c r="L1468" s="45" t="s">
        <v>1177</v>
      </c>
      <c r="M1468" s="20" t="s">
        <v>1178</v>
      </c>
      <c r="N1468" s="47">
        <v>45688</v>
      </c>
      <c r="O1468" s="112">
        <f>INDEX(Auxiliar!$D$5:$F$11,MATCH(Table1[[#This Row],[Tipologia_Testes]],Auxiliar!$B$5:$B$11,0),MATCH(Table1[[#This Row],[Complexidade]],Auxiliar!$D$4:$F$4,0))</f>
        <v>1</v>
      </c>
      <c r="P1468" s="31"/>
      <c r="Q1468" s="151"/>
      <c r="R1468" s="151"/>
      <c r="S1468" s="151"/>
      <c r="T1468" s="151"/>
      <c r="U1468" s="151"/>
      <c r="V1468" s="151"/>
      <c r="W1468" s="2">
        <f>VLOOKUP(Table1[[#This Row],[Status]],Auxiliar!$B$16:$D$24,3,0)*Table1[[#This Row],[Estimação (horas)]]</f>
        <v>0.25</v>
      </c>
      <c r="X1468" s="166">
        <f>+VLOOKUP(CONCATENATE(Table1[[#This Row],[Tabela]],Table1[[#This Row],[Campo]]),'2. Status Detalhe Campos FY24'!A:J,9,FALSE)</f>
        <v>0</v>
      </c>
    </row>
    <row r="1469" spans="2:24" ht="17.850000000000001" hidden="1" customHeight="1">
      <c r="B1469" s="38" t="s">
        <v>26</v>
      </c>
      <c r="C1469" s="38" t="s">
        <v>26</v>
      </c>
      <c r="D1469" s="19" t="s">
        <v>399</v>
      </c>
      <c r="E1469" s="111" t="s">
        <v>38</v>
      </c>
      <c r="F1469" s="31" t="s">
        <v>335</v>
      </c>
      <c r="G1469" s="358" t="s">
        <v>2215</v>
      </c>
      <c r="H1469" s="58" t="str">
        <f>Table1[[#This Row],[Tabela]]&amp;Table1[[#This Row],[Campo]]</f>
        <v>lt003_entitypure_capex_ce</v>
      </c>
      <c r="I1469" s="2" t="s">
        <v>2325</v>
      </c>
      <c r="J1469" s="44">
        <f>VLOOKUP(Table1[[#This Row],[Status]],Auxiliar!$B$16:$C$24,2,0)</f>
        <v>7</v>
      </c>
      <c r="K1469" s="20" t="s">
        <v>1176</v>
      </c>
      <c r="L1469" s="45" t="s">
        <v>1177</v>
      </c>
      <c r="M1469" s="20" t="s">
        <v>1178</v>
      </c>
      <c r="N1469" s="47">
        <v>45688</v>
      </c>
      <c r="O1469" s="112">
        <f>INDEX(Auxiliar!$D$5:$F$11,MATCH(Table1[[#This Row],[Tipologia_Testes]],Auxiliar!$B$5:$B$11,0),MATCH(Table1[[#This Row],[Complexidade]],Auxiliar!$D$4:$F$4,0))</f>
        <v>1</v>
      </c>
      <c r="P1469" s="31"/>
      <c r="Q1469" s="151"/>
      <c r="R1469" s="151"/>
      <c r="S1469" s="151"/>
      <c r="T1469" s="151"/>
      <c r="U1469" s="151"/>
      <c r="V1469" s="151"/>
      <c r="W1469" s="2">
        <f>VLOOKUP(Table1[[#This Row],[Status]],Auxiliar!$B$16:$D$24,3,0)*Table1[[#This Row],[Estimação (horas)]]</f>
        <v>0.25</v>
      </c>
      <c r="X1469" s="166">
        <f>+VLOOKUP(CONCATENATE(Table1[[#This Row],[Tabela]],Table1[[#This Row],[Campo]]),'2. Status Detalhe Campos FY24'!A:J,9,FALSE)</f>
        <v>0</v>
      </c>
    </row>
    <row r="1470" spans="2:24" ht="17.850000000000001" hidden="1" customHeight="1">
      <c r="B1470" s="38" t="s">
        <v>26</v>
      </c>
      <c r="C1470" s="38" t="s">
        <v>26</v>
      </c>
      <c r="D1470" s="19" t="s">
        <v>399</v>
      </c>
      <c r="E1470" s="111" t="s">
        <v>38</v>
      </c>
      <c r="F1470" s="31" t="s">
        <v>335</v>
      </c>
      <c r="G1470" s="358" t="s">
        <v>2216</v>
      </c>
      <c r="H1470" s="58" t="str">
        <f>Table1[[#This Row],[Tabela]]&amp;Table1[[#This Row],[Campo]]</f>
        <v>lt003_entitypure_trnvr_ce</v>
      </c>
      <c r="I1470" s="2" t="s">
        <v>2325</v>
      </c>
      <c r="J1470" s="44">
        <f>VLOOKUP(Table1[[#This Row],[Status]],Auxiliar!$B$16:$C$24,2,0)</f>
        <v>7</v>
      </c>
      <c r="K1470" s="20" t="s">
        <v>1176</v>
      </c>
      <c r="L1470" s="45" t="s">
        <v>1177</v>
      </c>
      <c r="M1470" s="20" t="s">
        <v>1178</v>
      </c>
      <c r="N1470" s="47">
        <v>45688</v>
      </c>
      <c r="O1470" s="112">
        <f>INDEX(Auxiliar!$D$5:$F$11,MATCH(Table1[[#This Row],[Tipologia_Testes]],Auxiliar!$B$5:$B$11,0),MATCH(Table1[[#This Row],[Complexidade]],Auxiliar!$D$4:$F$4,0))</f>
        <v>1</v>
      </c>
      <c r="P1470" s="31"/>
      <c r="Q1470" s="151"/>
      <c r="R1470" s="151"/>
      <c r="S1470" s="151"/>
      <c r="T1470" s="151"/>
      <c r="U1470" s="151"/>
      <c r="V1470" s="151"/>
      <c r="W1470" s="2">
        <f>VLOOKUP(Table1[[#This Row],[Status]],Auxiliar!$B$16:$D$24,3,0)*Table1[[#This Row],[Estimação (horas)]]</f>
        <v>0.25</v>
      </c>
      <c r="X1470" s="166">
        <f>+VLOOKUP(CONCATENATE(Table1[[#This Row],[Tabela]],Table1[[#This Row],[Campo]]),'2. Status Detalhe Campos FY24'!A:J,9,FALSE)</f>
        <v>0</v>
      </c>
    </row>
    <row r="1471" spans="2:24" ht="17.850000000000001" hidden="1" customHeight="1">
      <c r="B1471" s="38" t="s">
        <v>26</v>
      </c>
      <c r="C1471" s="38" t="s">
        <v>26</v>
      </c>
      <c r="D1471" s="19" t="s">
        <v>399</v>
      </c>
      <c r="E1471" s="111" t="s">
        <v>38</v>
      </c>
      <c r="F1471" s="31" t="s">
        <v>335</v>
      </c>
      <c r="G1471" s="358" t="s">
        <v>2217</v>
      </c>
      <c r="H1471" s="58" t="str">
        <f>Table1[[#This Row],[Tabela]]&amp;Table1[[#This Row],[Campo]]</f>
        <v>lt003_entityenblng_capex_w</v>
      </c>
      <c r="I1471" s="2" t="s">
        <v>2325</v>
      </c>
      <c r="J1471" s="44">
        <f>VLOOKUP(Table1[[#This Row],[Status]],Auxiliar!$B$16:$C$24,2,0)</f>
        <v>7</v>
      </c>
      <c r="K1471" s="20" t="s">
        <v>1176</v>
      </c>
      <c r="L1471" s="45" t="s">
        <v>1177</v>
      </c>
      <c r="M1471" s="20" t="s">
        <v>1178</v>
      </c>
      <c r="N1471" s="47">
        <v>45688</v>
      </c>
      <c r="O1471" s="112">
        <f>INDEX(Auxiliar!$D$5:$F$11,MATCH(Table1[[#This Row],[Tipologia_Testes]],Auxiliar!$B$5:$B$11,0),MATCH(Table1[[#This Row],[Complexidade]],Auxiliar!$D$4:$F$4,0))</f>
        <v>1</v>
      </c>
      <c r="P1471" s="31"/>
      <c r="Q1471" s="151"/>
      <c r="R1471" s="151"/>
      <c r="S1471" s="151"/>
      <c r="T1471" s="151"/>
      <c r="U1471" s="151"/>
      <c r="V1471" s="151"/>
      <c r="W1471" s="2">
        <f>VLOOKUP(Table1[[#This Row],[Status]],Auxiliar!$B$16:$D$24,3,0)*Table1[[#This Row],[Estimação (horas)]]</f>
        <v>0.25</v>
      </c>
      <c r="X1471" s="166">
        <f>+VLOOKUP(CONCATENATE(Table1[[#This Row],[Tabela]],Table1[[#This Row],[Campo]]),'2. Status Detalhe Campos FY24'!A:J,9,FALSE)</f>
        <v>0</v>
      </c>
    </row>
    <row r="1472" spans="2:24" ht="17.850000000000001" hidden="1" customHeight="1">
      <c r="B1472" s="38" t="s">
        <v>26</v>
      </c>
      <c r="C1472" s="38" t="s">
        <v>26</v>
      </c>
      <c r="D1472" s="19" t="s">
        <v>399</v>
      </c>
      <c r="E1472" s="111" t="s">
        <v>38</v>
      </c>
      <c r="F1472" s="31" t="s">
        <v>335</v>
      </c>
      <c r="G1472" s="358" t="s">
        <v>2218</v>
      </c>
      <c r="H1472" s="58" t="str">
        <f>Table1[[#This Row],[Tabela]]&amp;Table1[[#This Row],[Campo]]</f>
        <v>lt003_entityenblng_trnvr_w</v>
      </c>
      <c r="I1472" s="2" t="s">
        <v>2325</v>
      </c>
      <c r="J1472" s="44">
        <f>VLOOKUP(Table1[[#This Row],[Status]],Auxiliar!$B$16:$C$24,2,0)</f>
        <v>7</v>
      </c>
      <c r="K1472" s="20" t="s">
        <v>1176</v>
      </c>
      <c r="L1472" s="45" t="s">
        <v>1177</v>
      </c>
      <c r="M1472" s="20" t="s">
        <v>1178</v>
      </c>
      <c r="N1472" s="47">
        <v>45688</v>
      </c>
      <c r="O1472" s="112">
        <f>INDEX(Auxiliar!$D$5:$F$11,MATCH(Table1[[#This Row],[Tipologia_Testes]],Auxiliar!$B$5:$B$11,0),MATCH(Table1[[#This Row],[Complexidade]],Auxiliar!$D$4:$F$4,0))</f>
        <v>1</v>
      </c>
      <c r="P1472" s="31"/>
      <c r="Q1472" s="151"/>
      <c r="R1472" s="151"/>
      <c r="S1472" s="151"/>
      <c r="T1472" s="151"/>
      <c r="U1472" s="151"/>
      <c r="V1472" s="151"/>
      <c r="W1472" s="2">
        <f>VLOOKUP(Table1[[#This Row],[Status]],Auxiliar!$B$16:$D$24,3,0)*Table1[[#This Row],[Estimação (horas)]]</f>
        <v>0.25</v>
      </c>
      <c r="X1472" s="166">
        <f>+VLOOKUP(CONCATENATE(Table1[[#This Row],[Tabela]],Table1[[#This Row],[Campo]]),'2. Status Detalhe Campos FY24'!A:J,9,FALSE)</f>
        <v>0</v>
      </c>
    </row>
    <row r="1473" spans="2:24" ht="17.850000000000001" hidden="1" customHeight="1">
      <c r="B1473" s="38" t="s">
        <v>26</v>
      </c>
      <c r="C1473" s="38" t="s">
        <v>26</v>
      </c>
      <c r="D1473" s="19" t="s">
        <v>399</v>
      </c>
      <c r="E1473" s="111" t="s">
        <v>38</v>
      </c>
      <c r="F1473" s="31" t="s">
        <v>335</v>
      </c>
      <c r="G1473" s="358" t="s">
        <v>2219</v>
      </c>
      <c r="H1473" s="58" t="str">
        <f>Table1[[#This Row],[Tabela]]&amp;Table1[[#This Row],[Campo]]</f>
        <v>lt003_entityenblng_capex_ce</v>
      </c>
      <c r="I1473" s="2" t="s">
        <v>2325</v>
      </c>
      <c r="J1473" s="44">
        <f>VLOOKUP(Table1[[#This Row],[Status]],Auxiliar!$B$16:$C$24,2,0)</f>
        <v>7</v>
      </c>
      <c r="K1473" s="20" t="s">
        <v>1176</v>
      </c>
      <c r="L1473" s="45" t="s">
        <v>1177</v>
      </c>
      <c r="M1473" s="20" t="s">
        <v>1178</v>
      </c>
      <c r="N1473" s="47">
        <v>45688</v>
      </c>
      <c r="O1473" s="112">
        <f>INDEX(Auxiliar!$D$5:$F$11,MATCH(Table1[[#This Row],[Tipologia_Testes]],Auxiliar!$B$5:$B$11,0),MATCH(Table1[[#This Row],[Complexidade]],Auxiliar!$D$4:$F$4,0))</f>
        <v>1</v>
      </c>
      <c r="P1473" s="31"/>
      <c r="Q1473" s="151"/>
      <c r="R1473" s="151"/>
      <c r="S1473" s="151"/>
      <c r="T1473" s="151"/>
      <c r="U1473" s="151"/>
      <c r="V1473" s="151"/>
      <c r="W1473" s="2">
        <f>VLOOKUP(Table1[[#This Row],[Status]],Auxiliar!$B$16:$D$24,3,0)*Table1[[#This Row],[Estimação (horas)]]</f>
        <v>0.25</v>
      </c>
      <c r="X1473" s="166">
        <f>+VLOOKUP(CONCATENATE(Table1[[#This Row],[Tabela]],Table1[[#This Row],[Campo]]),'2. Status Detalhe Campos FY24'!A:J,9,FALSE)</f>
        <v>0</v>
      </c>
    </row>
    <row r="1474" spans="2:24" ht="17.850000000000001" hidden="1" customHeight="1">
      <c r="B1474" s="38" t="s">
        <v>26</v>
      </c>
      <c r="C1474" s="38" t="s">
        <v>26</v>
      </c>
      <c r="D1474" s="19" t="s">
        <v>399</v>
      </c>
      <c r="E1474" s="111" t="s">
        <v>38</v>
      </c>
      <c r="F1474" s="31" t="s">
        <v>335</v>
      </c>
      <c r="G1474" s="358" t="s">
        <v>2220</v>
      </c>
      <c r="H1474" s="58" t="str">
        <f>Table1[[#This Row],[Tabela]]&amp;Table1[[#This Row],[Campo]]</f>
        <v>lt003_entityenblng_trnvr_ce</v>
      </c>
      <c r="I1474" s="2" t="s">
        <v>2325</v>
      </c>
      <c r="J1474" s="44">
        <f>VLOOKUP(Table1[[#This Row],[Status]],Auxiliar!$B$16:$C$24,2,0)</f>
        <v>7</v>
      </c>
      <c r="K1474" s="20" t="s">
        <v>1176</v>
      </c>
      <c r="L1474" s="45" t="s">
        <v>1177</v>
      </c>
      <c r="M1474" s="20" t="s">
        <v>1178</v>
      </c>
      <c r="N1474" s="47">
        <v>45688</v>
      </c>
      <c r="O1474" s="112">
        <f>INDEX(Auxiliar!$D$5:$F$11,MATCH(Table1[[#This Row],[Tipologia_Testes]],Auxiliar!$B$5:$B$11,0),MATCH(Table1[[#This Row],[Complexidade]],Auxiliar!$D$4:$F$4,0))</f>
        <v>1</v>
      </c>
      <c r="P1474" s="31"/>
      <c r="Q1474" s="151"/>
      <c r="R1474" s="151"/>
      <c r="S1474" s="151"/>
      <c r="T1474" s="151"/>
      <c r="U1474" s="151"/>
      <c r="V1474" s="151"/>
      <c r="W1474" s="2">
        <f>VLOOKUP(Table1[[#This Row],[Status]],Auxiliar!$B$16:$D$24,3,0)*Table1[[#This Row],[Estimação (horas)]]</f>
        <v>0.25</v>
      </c>
      <c r="X1474" s="166">
        <f>+VLOOKUP(CONCATENATE(Table1[[#This Row],[Tabela]],Table1[[#This Row],[Campo]]),'2. Status Detalhe Campos FY24'!A:J,9,FALSE)</f>
        <v>0</v>
      </c>
    </row>
    <row r="1475" spans="2:24" ht="17.850000000000001" hidden="1" customHeight="1">
      <c r="B1475" s="38" t="s">
        <v>26</v>
      </c>
      <c r="C1475" s="38" t="s">
        <v>26</v>
      </c>
      <c r="D1475" s="337" t="s">
        <v>1275</v>
      </c>
      <c r="E1475" s="111" t="s">
        <v>1277</v>
      </c>
      <c r="F1475" s="39" t="s">
        <v>368</v>
      </c>
      <c r="G1475" s="341" t="s">
        <v>374</v>
      </c>
      <c r="H1475" s="342" t="str">
        <f>Table1[[#This Row],[Tabela]]&amp;Table1[[#This Row],[Campo]]</f>
        <v>lt004_protectionemssns_scp2_prtctn</v>
      </c>
      <c r="I1475" s="2" t="s">
        <v>612</v>
      </c>
      <c r="J1475" s="44">
        <f>VLOOKUP(Table1[[#This Row],[Status]],Auxiliar!$B$16:$C$24,2,0)</f>
        <v>1</v>
      </c>
      <c r="K1475" s="45" t="s">
        <v>1171</v>
      </c>
      <c r="L1475" s="45" t="s">
        <v>1177</v>
      </c>
      <c r="M1475" s="20" t="s">
        <v>1178</v>
      </c>
      <c r="N1475" s="47">
        <v>45667</v>
      </c>
      <c r="O1475" s="20">
        <f>INDEX(Auxiliar!$D$5:$F$13,MATCH(Table1[[#This Row],[Tipologia_Testes]],Auxiliar!$B$5:$B$13,0),MATCH(Table1[[#This Row],[Complexidade]],Auxiliar!$D$4:$F$4,0))</f>
        <v>2</v>
      </c>
      <c r="P1475" s="42" t="s">
        <v>1262</v>
      </c>
      <c r="Q1475" s="151"/>
      <c r="R1475" s="151">
        <v>45622</v>
      </c>
      <c r="S1475" s="151"/>
      <c r="T1475" s="151"/>
      <c r="U1475" s="151">
        <v>45631</v>
      </c>
      <c r="V1475" s="151">
        <v>45631</v>
      </c>
      <c r="W1475" s="2">
        <f>VLOOKUP(Table1[[#This Row],[Status]],Auxiliar!$B$16:$D$24,3,0)*Table1[[#This Row],[Estimação (horas)]]</f>
        <v>2</v>
      </c>
      <c r="X1475" s="166">
        <f>+VLOOKUP(CONCATENATE(Table1[[#This Row],[Tabela]],Table1[[#This Row],[Campo]]),'2. Status Detalhe Campos FY24'!A:J,9,FALSE)</f>
        <v>0</v>
      </c>
    </row>
    <row r="1476" spans="2:24" ht="17.850000000000001" hidden="1" customHeight="1">
      <c r="B1476" s="38" t="s">
        <v>26</v>
      </c>
      <c r="C1476" s="38" t="s">
        <v>26</v>
      </c>
      <c r="D1476" s="40" t="s">
        <v>1275</v>
      </c>
      <c r="E1476" s="46" t="s">
        <v>1277</v>
      </c>
      <c r="F1476" s="42" t="s">
        <v>368</v>
      </c>
      <c r="G1476" s="40" t="s">
        <v>374</v>
      </c>
      <c r="H1476" s="58" t="str">
        <f>Table1[[#This Row],[Tabela]]&amp;Table1[[#This Row],[Campo]]</f>
        <v>lt004_protectionemssns_scp2_prtctn</v>
      </c>
      <c r="I1476" s="2" t="s">
        <v>612</v>
      </c>
      <c r="J1476" s="44">
        <f>VLOOKUP(Table1[[#This Row],[Status]],Auxiliar!$B$16:$C$24,2,0)</f>
        <v>1</v>
      </c>
      <c r="K1476" s="45" t="s">
        <v>1172</v>
      </c>
      <c r="L1476" s="45" t="s">
        <v>1177</v>
      </c>
      <c r="M1476" s="20" t="s">
        <v>1178</v>
      </c>
      <c r="N1476" s="47">
        <v>45667</v>
      </c>
      <c r="O1476" s="20">
        <f>INDEX(Auxiliar!$D$5:$F$13,MATCH(Table1[[#This Row],[Tipologia_Testes]],Auxiliar!$B$5:$B$13,0),MATCH(Table1[[#This Row],[Complexidade]],Auxiliar!$D$4:$F$4,0))</f>
        <v>2</v>
      </c>
      <c r="P1476" s="42" t="s">
        <v>1262</v>
      </c>
      <c r="Q1476" s="151"/>
      <c r="R1476" s="151">
        <v>45622</v>
      </c>
      <c r="S1476" s="151"/>
      <c r="T1476" s="151"/>
      <c r="U1476" s="151">
        <v>45631</v>
      </c>
      <c r="V1476" s="151">
        <v>45631</v>
      </c>
      <c r="W1476" s="2">
        <f>VLOOKUP(Table1[[#This Row],[Status]],Auxiliar!$B$16:$D$24,3,0)*Table1[[#This Row],[Estimação (horas)]]</f>
        <v>2</v>
      </c>
      <c r="X1476" s="166">
        <f>+VLOOKUP(CONCATENATE(Table1[[#This Row],[Tabela]],Table1[[#This Row],[Campo]]),'2. Status Detalhe Campos FY24'!A:J,9,FALSE)</f>
        <v>0</v>
      </c>
    </row>
    <row r="1477" spans="2:24" ht="17.850000000000001" hidden="1" customHeight="1">
      <c r="B1477" s="38" t="s">
        <v>26</v>
      </c>
      <c r="C1477" s="38" t="s">
        <v>26</v>
      </c>
      <c r="D1477" s="40" t="s">
        <v>1275</v>
      </c>
      <c r="E1477" s="46" t="s">
        <v>1277</v>
      </c>
      <c r="F1477" s="42" t="s">
        <v>368</v>
      </c>
      <c r="G1477" s="40" t="s">
        <v>374</v>
      </c>
      <c r="H1477" s="58" t="str">
        <f>Table1[[#This Row],[Tabela]]&amp;Table1[[#This Row],[Campo]]</f>
        <v>lt004_protectionemssns_scp2_prtctn</v>
      </c>
      <c r="I1477" s="2" t="s">
        <v>612</v>
      </c>
      <c r="J1477" s="44">
        <f>VLOOKUP(Table1[[#This Row],[Status]],Auxiliar!$B$16:$C$24,2,0)</f>
        <v>1</v>
      </c>
      <c r="K1477" s="45" t="s">
        <v>1174</v>
      </c>
      <c r="L1477" s="45" t="s">
        <v>1177</v>
      </c>
      <c r="M1477" s="20" t="s">
        <v>1178</v>
      </c>
      <c r="N1477" s="47">
        <v>45667</v>
      </c>
      <c r="O1477" s="20">
        <f>INDEX(Auxiliar!$D$5:$F$13,MATCH(Table1[[#This Row],[Tipologia_Testes]],Auxiliar!$B$5:$B$13,0),MATCH(Table1[[#This Row],[Complexidade]],Auxiliar!$D$4:$F$4,0))</f>
        <v>0.1</v>
      </c>
      <c r="P1477" s="42" t="s">
        <v>1262</v>
      </c>
      <c r="Q1477" s="151"/>
      <c r="R1477" s="151">
        <v>45622</v>
      </c>
      <c r="S1477" s="151"/>
      <c r="T1477" s="151"/>
      <c r="U1477" s="151">
        <v>45631</v>
      </c>
      <c r="V1477" s="151">
        <v>45631</v>
      </c>
      <c r="W1477" s="2">
        <f>VLOOKUP(Table1[[#This Row],[Status]],Auxiliar!$B$16:$D$24,3,0)*Table1[[#This Row],[Estimação (horas)]]</f>
        <v>0.1</v>
      </c>
      <c r="X1477" s="166">
        <f>+VLOOKUP(CONCATENATE(Table1[[#This Row],[Tabela]],Table1[[#This Row],[Campo]]),'2. Status Detalhe Campos FY24'!A:J,9,FALSE)</f>
        <v>0</v>
      </c>
    </row>
    <row r="1478" spans="2:24" ht="17.850000000000001" hidden="1" customHeight="1">
      <c r="B1478" s="38" t="s">
        <v>26</v>
      </c>
      <c r="C1478" s="38" t="s">
        <v>26</v>
      </c>
      <c r="D1478" s="337" t="s">
        <v>1275</v>
      </c>
      <c r="E1478" s="111" t="s">
        <v>1276</v>
      </c>
      <c r="F1478" s="39" t="s">
        <v>368</v>
      </c>
      <c r="G1478" s="341" t="s">
        <v>373</v>
      </c>
      <c r="H1478" s="342" t="str">
        <f>Table1[[#This Row],[Tabela]]&amp;Table1[[#This Row],[Campo]]</f>
        <v>lt004_protectionemssns_scp1_prtctn</v>
      </c>
      <c r="I1478" s="2" t="s">
        <v>612</v>
      </c>
      <c r="J1478" s="44">
        <f>VLOOKUP(Table1[[#This Row],[Status]],Auxiliar!$B$16:$C$24,2,0)</f>
        <v>1</v>
      </c>
      <c r="K1478" s="45" t="s">
        <v>1171</v>
      </c>
      <c r="L1478" s="45" t="s">
        <v>1177</v>
      </c>
      <c r="M1478" s="20" t="s">
        <v>1178</v>
      </c>
      <c r="N1478" s="47">
        <v>45667</v>
      </c>
      <c r="O1478" s="20">
        <f>INDEX(Auxiliar!$D$5:$F$13,MATCH(Table1[[#This Row],[Tipologia_Testes]],Auxiliar!$B$5:$B$13,0),MATCH(Table1[[#This Row],[Complexidade]],Auxiliar!$D$4:$F$4,0))</f>
        <v>2</v>
      </c>
      <c r="P1478" s="42" t="s">
        <v>1262</v>
      </c>
      <c r="Q1478" s="42"/>
      <c r="R1478" s="151">
        <v>45622</v>
      </c>
      <c r="S1478" s="151"/>
      <c r="T1478" s="151"/>
      <c r="U1478" s="151">
        <v>45631</v>
      </c>
      <c r="V1478" s="151">
        <v>45631</v>
      </c>
      <c r="W1478" s="2">
        <f>VLOOKUP(Table1[[#This Row],[Status]],Auxiliar!$B$16:$D$24,3,0)*Table1[[#This Row],[Estimação (horas)]]</f>
        <v>2</v>
      </c>
      <c r="X1478" s="166">
        <f>+VLOOKUP(CONCATENATE(Table1[[#This Row],[Tabela]],Table1[[#This Row],[Campo]]),'2. Status Detalhe Campos FY24'!A:J,9,FALSE)</f>
        <v>0</v>
      </c>
    </row>
    <row r="1479" spans="2:24" ht="17.850000000000001" hidden="1" customHeight="1">
      <c r="B1479" s="38" t="s">
        <v>26</v>
      </c>
      <c r="C1479" s="38" t="s">
        <v>26</v>
      </c>
      <c r="D1479" s="40" t="s">
        <v>1275</v>
      </c>
      <c r="E1479" s="46" t="s">
        <v>1276</v>
      </c>
      <c r="F1479" s="42" t="s">
        <v>368</v>
      </c>
      <c r="G1479" s="40" t="s">
        <v>373</v>
      </c>
      <c r="H1479" s="58" t="str">
        <f>Table1[[#This Row],[Tabela]]&amp;Table1[[#This Row],[Campo]]</f>
        <v>lt004_protectionemssns_scp1_prtctn</v>
      </c>
      <c r="I1479" s="2" t="s">
        <v>612</v>
      </c>
      <c r="J1479" s="44">
        <f>VLOOKUP(Table1[[#This Row],[Status]],Auxiliar!$B$16:$C$24,2,0)</f>
        <v>1</v>
      </c>
      <c r="K1479" s="45" t="s">
        <v>1172</v>
      </c>
      <c r="L1479" s="45" t="s">
        <v>1177</v>
      </c>
      <c r="M1479" s="20" t="s">
        <v>1178</v>
      </c>
      <c r="N1479" s="47">
        <v>45667</v>
      </c>
      <c r="O1479" s="20">
        <f>INDEX(Auxiliar!$D$5:$F$13,MATCH(Table1[[#This Row],[Tipologia_Testes]],Auxiliar!$B$5:$B$13,0),MATCH(Table1[[#This Row],[Complexidade]],Auxiliar!$D$4:$F$4,0))</f>
        <v>2</v>
      </c>
      <c r="P1479" s="42" t="s">
        <v>1262</v>
      </c>
      <c r="Q1479" s="42"/>
      <c r="R1479" s="151">
        <v>45622</v>
      </c>
      <c r="S1479" s="151"/>
      <c r="T1479" s="151"/>
      <c r="U1479" s="151">
        <v>45631</v>
      </c>
      <c r="V1479" s="151">
        <v>45631</v>
      </c>
      <c r="W1479" s="2">
        <f>VLOOKUP(Table1[[#This Row],[Status]],Auxiliar!$B$16:$D$24,3,0)*Table1[[#This Row],[Estimação (horas)]]</f>
        <v>2</v>
      </c>
      <c r="X1479" s="166">
        <f>+VLOOKUP(CONCATENATE(Table1[[#This Row],[Tabela]],Table1[[#This Row],[Campo]]),'2. Status Detalhe Campos FY24'!A:J,9,FALSE)</f>
        <v>0</v>
      </c>
    </row>
    <row r="1480" spans="2:24" ht="17.850000000000001" hidden="1" customHeight="1">
      <c r="B1480" s="38" t="s">
        <v>26</v>
      </c>
      <c r="C1480" s="38" t="s">
        <v>26</v>
      </c>
      <c r="D1480" s="40" t="s">
        <v>1275</v>
      </c>
      <c r="E1480" s="46" t="s">
        <v>1276</v>
      </c>
      <c r="F1480" s="42" t="s">
        <v>368</v>
      </c>
      <c r="G1480" s="40" t="s">
        <v>373</v>
      </c>
      <c r="H1480" s="58" t="str">
        <f>Table1[[#This Row],[Tabela]]&amp;Table1[[#This Row],[Campo]]</f>
        <v>lt004_protectionemssns_scp1_prtctn</v>
      </c>
      <c r="I1480" s="2" t="s">
        <v>612</v>
      </c>
      <c r="J1480" s="44">
        <f>VLOOKUP(Table1[[#This Row],[Status]],Auxiliar!$B$16:$C$24,2,0)</f>
        <v>1</v>
      </c>
      <c r="K1480" s="45" t="s">
        <v>1174</v>
      </c>
      <c r="L1480" s="45" t="s">
        <v>1177</v>
      </c>
      <c r="M1480" s="20" t="s">
        <v>1178</v>
      </c>
      <c r="N1480" s="47">
        <v>45667</v>
      </c>
      <c r="O1480" s="20">
        <f>INDEX(Auxiliar!$D$5:$F$13,MATCH(Table1[[#This Row],[Tipologia_Testes]],Auxiliar!$B$5:$B$13,0),MATCH(Table1[[#This Row],[Complexidade]],Auxiliar!$D$4:$F$4,0))</f>
        <v>0.1</v>
      </c>
      <c r="P1480" s="42" t="s">
        <v>1262</v>
      </c>
      <c r="Q1480" s="42"/>
      <c r="R1480" s="151">
        <v>45622</v>
      </c>
      <c r="S1480" s="151"/>
      <c r="T1480" s="151"/>
      <c r="U1480" s="151">
        <v>45631</v>
      </c>
      <c r="V1480" s="151">
        <v>45631</v>
      </c>
      <c r="W1480" s="2">
        <f>VLOOKUP(Table1[[#This Row],[Status]],Auxiliar!$B$16:$D$24,3,0)*Table1[[#This Row],[Estimação (horas)]]</f>
        <v>0.1</v>
      </c>
      <c r="X1480" s="166">
        <f>+VLOOKUP(CONCATENATE(Table1[[#This Row],[Tabela]],Table1[[#This Row],[Campo]]),'2. Status Detalhe Campos FY24'!A:J,9,FALSE)</f>
        <v>0</v>
      </c>
    </row>
    <row r="1481" spans="2:24" ht="17.850000000000001" hidden="1" customHeight="1">
      <c r="B1481" s="38" t="s">
        <v>26</v>
      </c>
      <c r="C1481" s="38" t="s">
        <v>26</v>
      </c>
      <c r="D1481" s="40"/>
      <c r="E1481" s="46"/>
      <c r="F1481" s="42" t="s">
        <v>368</v>
      </c>
      <c r="G1481" s="360" t="s">
        <v>2249</v>
      </c>
      <c r="H1481" s="58" t="str">
        <f>Table1[[#This Row],[Tabela]]&amp;Table1[[#This Row],[Campo]]</f>
        <v>lt004_protectionRL_ESTT_ADDRSS</v>
      </c>
      <c r="I1481" s="2" t="s">
        <v>2325</v>
      </c>
      <c r="J1481" s="44">
        <f>VLOOKUP(Table1[[#This Row],[Status]],Auxiliar!$B$16:$C$24,2,0)</f>
        <v>7</v>
      </c>
      <c r="K1481" s="45"/>
      <c r="L1481" s="45"/>
      <c r="M1481" s="20"/>
      <c r="N1481" s="47"/>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66">
        <f>+VLOOKUP(CONCATENATE(Table1[[#This Row],[Tabela]],Table1[[#This Row],[Campo]]),'2. Status Detalhe Campos FY24'!A:J,9,FALSE)</f>
        <v>0</v>
      </c>
    </row>
    <row r="1482" spans="2:24" ht="17.850000000000001" hidden="1" customHeight="1">
      <c r="B1482" s="38" t="s">
        <v>26</v>
      </c>
      <c r="C1482" s="38" t="s">
        <v>26</v>
      </c>
      <c r="D1482" s="40"/>
      <c r="E1482" s="46"/>
      <c r="F1482" s="42" t="s">
        <v>368</v>
      </c>
      <c r="G1482" s="360" t="s">
        <v>2250</v>
      </c>
      <c r="H1482" s="58" t="str">
        <f>Table1[[#This Row],[Tabela]]&amp;Table1[[#This Row],[Campo]]</f>
        <v>lt004_protectionRL_ESTT_CLLTRL_LCTN_INT</v>
      </c>
      <c r="I1482" s="2" t="s">
        <v>2325</v>
      </c>
      <c r="J1482" s="44">
        <f>VLOOKUP(Table1[[#This Row],[Status]],Auxiliar!$B$16:$C$24,2,0)</f>
        <v>7</v>
      </c>
      <c r="K1482" s="45"/>
      <c r="L1482" s="45"/>
      <c r="M1482" s="20"/>
      <c r="N1482" s="47"/>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66">
        <f>+VLOOKUP(CONCATENATE(Table1[[#This Row],[Tabela]],Table1[[#This Row],[Campo]]),'2. Status Detalhe Campos FY24'!A:J,9,FALSE)</f>
        <v>0</v>
      </c>
    </row>
    <row r="1483" spans="2:24" ht="17.850000000000001" hidden="1" customHeight="1">
      <c r="B1483" s="38" t="s">
        <v>26</v>
      </c>
      <c r="C1483" s="38" t="s">
        <v>26</v>
      </c>
      <c r="D1483" s="40"/>
      <c r="E1483" s="46"/>
      <c r="F1483" s="42" t="s">
        <v>368</v>
      </c>
      <c r="G1483" s="360" t="s">
        <v>2251</v>
      </c>
      <c r="H1483" s="58" t="str">
        <f>Table1[[#This Row],[Tabela]]&amp;Table1[[#This Row],[Campo]]</f>
        <v>lt004_protectionRL_ESTT_CTY</v>
      </c>
      <c r="I1483" s="2" t="s">
        <v>2325</v>
      </c>
      <c r="J1483" s="44">
        <f>VLOOKUP(Table1[[#This Row],[Status]],Auxiliar!$B$16:$C$24,2,0)</f>
        <v>7</v>
      </c>
      <c r="K1483" s="45"/>
      <c r="L1483" s="45"/>
      <c r="M1483" s="20"/>
      <c r="N1483" s="47">
        <v>45695</v>
      </c>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66">
        <f>+VLOOKUP(CONCATENATE(Table1[[#This Row],[Tabela]],Table1[[#This Row],[Campo]]),'2. Status Detalhe Campos FY24'!A:J,9,FALSE)</f>
        <v>0</v>
      </c>
    </row>
    <row r="1484" spans="2:24" ht="17.850000000000001" hidden="1" customHeight="1">
      <c r="B1484" s="38" t="s">
        <v>26</v>
      </c>
      <c r="C1484" s="38" t="s">
        <v>26</v>
      </c>
      <c r="D1484" s="40"/>
      <c r="E1484" s="46"/>
      <c r="F1484" s="42" t="s">
        <v>368</v>
      </c>
      <c r="G1484" s="360" t="s">
        <v>2252</v>
      </c>
      <c r="H1484" s="58" t="str">
        <f>Table1[[#This Row],[Tabela]]&amp;Table1[[#This Row],[Campo]]</f>
        <v>lt004_protectionTYP_EMSSNS_LBL</v>
      </c>
      <c r="I1484" s="2" t="s">
        <v>2325</v>
      </c>
      <c r="J1484" s="44">
        <f>VLOOKUP(Table1[[#This Row],[Status]],Auxiliar!$B$16:$C$24,2,0)</f>
        <v>7</v>
      </c>
      <c r="K1484" s="45"/>
      <c r="L1484" s="45"/>
      <c r="M1484" s="20"/>
      <c r="N1484" s="47">
        <v>45695</v>
      </c>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66">
        <f>+VLOOKUP(CONCATENATE(Table1[[#This Row],[Tabela]],Table1[[#This Row],[Campo]]),'2. Status Detalhe Campos FY24'!A:J,9,FALSE)</f>
        <v>0</v>
      </c>
    </row>
    <row r="1485" spans="2:24" ht="17.850000000000001" hidden="1" customHeight="1">
      <c r="B1485" s="38" t="s">
        <v>26</v>
      </c>
      <c r="C1485" s="38" t="s">
        <v>26</v>
      </c>
      <c r="D1485" s="40"/>
      <c r="E1485" s="46"/>
      <c r="F1485" s="42" t="s">
        <v>368</v>
      </c>
      <c r="G1485" s="360" t="s">
        <v>2253</v>
      </c>
      <c r="H1485" s="58" t="str">
        <f>Table1[[#This Row],[Tabela]]&amp;Table1[[#This Row],[Campo]]</f>
        <v>lt004_protectionEPC_EMSSNS_LBL</v>
      </c>
      <c r="I1485" s="2" t="s">
        <v>614</v>
      </c>
      <c r="J1485" s="44">
        <f>VLOOKUP(Table1[[#This Row],[Status]],Auxiliar!$B$16:$C$24,2,0)</f>
        <v>5</v>
      </c>
      <c r="K1485" s="45"/>
      <c r="L1485" s="45"/>
      <c r="M1485" s="20"/>
      <c r="N1485" s="47"/>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66">
        <f>+VLOOKUP(CONCATENATE(Table1[[#This Row],[Tabela]],Table1[[#This Row],[Campo]]),'2. Status Detalhe Campos FY24'!A:J,9,FALSE)</f>
        <v>0</v>
      </c>
    </row>
    <row r="1486" spans="2:24" ht="17.850000000000001" hidden="1" customHeight="1">
      <c r="B1486" s="38" t="s">
        <v>26</v>
      </c>
      <c r="C1486" s="38" t="s">
        <v>26</v>
      </c>
      <c r="D1486" s="40"/>
      <c r="E1486" s="46"/>
      <c r="F1486" s="42" t="s">
        <v>368</v>
      </c>
      <c r="G1486" s="360" t="s">
        <v>2254</v>
      </c>
      <c r="H1486" s="58" t="str">
        <f>Table1[[#This Row],[Tabela]]&amp;Table1[[#This Row],[Campo]]</f>
        <v>lt004_protectionVHCL_EMSSNS_LBL</v>
      </c>
      <c r="I1486" s="2" t="s">
        <v>2325</v>
      </c>
      <c r="J1486" s="44">
        <f>VLOOKUP(Table1[[#This Row],[Status]],Auxiliar!$B$16:$C$24,2,0)</f>
        <v>7</v>
      </c>
      <c r="K1486" s="45"/>
      <c r="L1486" s="45"/>
      <c r="M1486" s="20"/>
      <c r="N1486" s="47">
        <v>45695</v>
      </c>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66">
        <f>+VLOOKUP(CONCATENATE(Table1[[#This Row],[Tabela]],Table1[[#This Row],[Campo]]),'2. Status Detalhe Campos FY24'!A:J,9,FALSE)</f>
        <v>0</v>
      </c>
    </row>
    <row r="1487" spans="2:24" ht="17.850000000000001" hidden="1" customHeight="1">
      <c r="B1487" s="38" t="s">
        <v>26</v>
      </c>
      <c r="C1487" s="38" t="s">
        <v>26</v>
      </c>
      <c r="D1487" s="40"/>
      <c r="E1487" s="46"/>
      <c r="F1487" s="42" t="s">
        <v>368</v>
      </c>
      <c r="G1487" s="360" t="s">
        <v>2255</v>
      </c>
      <c r="H1487" s="58" t="str">
        <f>Table1[[#This Row],[Tabela]]&amp;Table1[[#This Row],[Campo]]</f>
        <v>lt004_protectionTYP_EMSSNS_SCR</v>
      </c>
      <c r="I1487" s="2" t="s">
        <v>614</v>
      </c>
      <c r="J1487" s="44">
        <f>VLOOKUP(Table1[[#This Row],[Status]],Auxiliar!$B$16:$C$24,2,0)</f>
        <v>5</v>
      </c>
      <c r="K1487" s="45"/>
      <c r="L1487" s="45"/>
      <c r="M1487" s="20"/>
      <c r="N1487" s="47"/>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66">
        <f>+VLOOKUP(CONCATENATE(Table1[[#This Row],[Tabela]],Table1[[#This Row],[Campo]]),'2. Status Detalhe Campos FY24'!A:J,9,FALSE)</f>
        <v>0</v>
      </c>
    </row>
    <row r="1488" spans="2:24" ht="17.850000000000001" hidden="1" customHeight="1">
      <c r="B1488" s="38" t="s">
        <v>26</v>
      </c>
      <c r="C1488" s="38" t="s">
        <v>26</v>
      </c>
      <c r="D1488" s="40"/>
      <c r="E1488" s="46"/>
      <c r="F1488" s="42" t="s">
        <v>368</v>
      </c>
      <c r="G1488" s="360" t="s">
        <v>2256</v>
      </c>
      <c r="H1488" s="58" t="str">
        <f>Table1[[#This Row],[Tabela]]&amp;Table1[[#This Row],[Campo]]</f>
        <v>lt004_protectionEPC_EMSSNS_SCR</v>
      </c>
      <c r="I1488" s="2" t="s">
        <v>614</v>
      </c>
      <c r="J1488" s="44">
        <f>VLOOKUP(Table1[[#This Row],[Status]],Auxiliar!$B$16:$C$24,2,0)</f>
        <v>5</v>
      </c>
      <c r="K1488" s="45"/>
      <c r="L1488" s="45"/>
      <c r="M1488" s="20"/>
      <c r="N1488" s="47"/>
      <c r="O1488" s="20" t="e">
        <f>INDEX(Auxiliar!$D$5:$F$11,MATCH(Table1[[#This Row],[Tipologia_Testes]],Auxiliar!$B$5:$B$11,0),MATCH(Table1[[#This Row],[Complexidade]],Auxiliar!$D$4:$F$4,0))</f>
        <v>#N/A</v>
      </c>
      <c r="P1488" s="42"/>
      <c r="Q1488" s="42"/>
      <c r="R1488" s="151"/>
      <c r="S1488" s="151"/>
      <c r="T1488" s="151"/>
      <c r="U1488" s="151"/>
      <c r="V1488" s="151"/>
      <c r="W1488" s="2" t="e">
        <f>VLOOKUP(Table1[[#This Row],[Status]],Auxiliar!$B$16:$D$24,3,0)*Table1[[#This Row],[Estimação (horas)]]</f>
        <v>#N/A</v>
      </c>
      <c r="X1488" s="166">
        <f>+VLOOKUP(CONCATENATE(Table1[[#This Row],[Tabela]],Table1[[#This Row],[Campo]]),'2. Status Detalhe Campos FY24'!A:J,9,FALSE)</f>
        <v>0</v>
      </c>
    </row>
    <row r="1489" spans="2:24" ht="17.850000000000001" hidden="1" customHeight="1">
      <c r="B1489" s="38" t="s">
        <v>26</v>
      </c>
      <c r="C1489" s="38" t="s">
        <v>26</v>
      </c>
      <c r="D1489" s="40"/>
      <c r="E1489" s="46"/>
      <c r="F1489" s="42" t="s">
        <v>368</v>
      </c>
      <c r="G1489" s="360" t="s">
        <v>2257</v>
      </c>
      <c r="H1489" s="58" t="str">
        <f>Table1[[#This Row],[Tabela]]&amp;Table1[[#This Row],[Campo]]</f>
        <v>lt004_protectionVHCL_EMSSNS_SCR</v>
      </c>
      <c r="I1489" s="2" t="s">
        <v>2325</v>
      </c>
      <c r="J1489" s="44">
        <f>VLOOKUP(Table1[[#This Row],[Status]],Auxiliar!$B$16:$C$24,2,0)</f>
        <v>7</v>
      </c>
      <c r="K1489" s="45"/>
      <c r="L1489" s="45"/>
      <c r="M1489" s="20"/>
      <c r="N1489" s="47">
        <v>45695</v>
      </c>
      <c r="O1489" s="20" t="e">
        <f>INDEX(Auxiliar!$D$5:$F$11,MATCH(Table1[[#This Row],[Tipologia_Testes]],Auxiliar!$B$5:$B$11,0),MATCH(Table1[[#This Row],[Complexidade]],Auxiliar!$D$4:$F$4,0))</f>
        <v>#N/A</v>
      </c>
      <c r="P1489" s="42"/>
      <c r="Q1489" s="42"/>
      <c r="R1489" s="151"/>
      <c r="S1489" s="151"/>
      <c r="T1489" s="151"/>
      <c r="U1489" s="151"/>
      <c r="V1489" s="151"/>
      <c r="W1489" s="2" t="e">
        <f>VLOOKUP(Table1[[#This Row],[Status]],Auxiliar!$B$16:$D$24,3,0)*Table1[[#This Row],[Estimação (horas)]]</f>
        <v>#N/A</v>
      </c>
      <c r="X1489" s="166">
        <f>+VLOOKUP(CONCATENATE(Table1[[#This Row],[Tabela]],Table1[[#This Row],[Campo]]),'2. Status Detalhe Campos FY24'!A:J,9,FALSE)</f>
        <v>0</v>
      </c>
    </row>
    <row r="1490" spans="2:24" ht="17.850000000000001" hidden="1" customHeight="1">
      <c r="B1490" s="38" t="s">
        <v>26</v>
      </c>
      <c r="C1490" s="38" t="s">
        <v>26</v>
      </c>
      <c r="D1490" s="40"/>
      <c r="E1490" s="46"/>
      <c r="F1490" s="42" t="s">
        <v>368</v>
      </c>
      <c r="G1490" s="360" t="s">
        <v>2258</v>
      </c>
      <c r="H1490" s="58" t="str">
        <f>Table1[[#This Row],[Tabela]]&amp;Table1[[#This Row],[Campo]]</f>
        <v>lt004_protectionINSRNC_ID</v>
      </c>
      <c r="I1490" s="2" t="s">
        <v>2325</v>
      </c>
      <c r="J1490" s="44">
        <f>VLOOKUP(Table1[[#This Row],[Status]],Auxiliar!$B$16:$C$24,2,0)</f>
        <v>7</v>
      </c>
      <c r="K1490" s="45"/>
      <c r="L1490" s="45"/>
      <c r="M1490" s="20"/>
      <c r="N1490" s="47">
        <v>45695</v>
      </c>
      <c r="O1490" s="20" t="e">
        <f>INDEX(Auxiliar!$D$5:$F$11,MATCH(Table1[[#This Row],[Tipologia_Testes]],Auxiliar!$B$5:$B$11,0),MATCH(Table1[[#This Row],[Complexidade]],Auxiliar!$D$4:$F$4,0))</f>
        <v>#N/A</v>
      </c>
      <c r="P1490" s="42"/>
      <c r="Q1490" s="42"/>
      <c r="R1490" s="151"/>
      <c r="S1490" s="151"/>
      <c r="T1490" s="151"/>
      <c r="U1490" s="151"/>
      <c r="V1490" s="151"/>
      <c r="W1490" s="2" t="e">
        <f>VLOOKUP(Table1[[#This Row],[Status]],Auxiliar!$B$16:$D$24,3,0)*Table1[[#This Row],[Estimação (horas)]]</f>
        <v>#N/A</v>
      </c>
      <c r="X1490" s="166">
        <f>+VLOOKUP(CONCATENATE(Table1[[#This Row],[Tabela]],Table1[[#This Row],[Campo]]),'2. Status Detalhe Campos FY24'!A:J,9,FALSE)</f>
        <v>0</v>
      </c>
    </row>
    <row r="1491" spans="2:24" ht="17.850000000000001" hidden="1" customHeight="1">
      <c r="B1491" s="38" t="s">
        <v>26</v>
      </c>
      <c r="C1491" s="38" t="s">
        <v>26</v>
      </c>
      <c r="D1491" s="40"/>
      <c r="E1491" s="46"/>
      <c r="F1491" s="42" t="s">
        <v>368</v>
      </c>
      <c r="G1491" s="360" t="s">
        <v>2259</v>
      </c>
      <c r="H1491" s="58" t="str">
        <f>Table1[[#This Row],[Tabela]]&amp;Table1[[#This Row],[Campo]]</f>
        <v>lt004_protectionTYP_HZRDS_INSRD</v>
      </c>
      <c r="I1491" s="2" t="s">
        <v>2325</v>
      </c>
      <c r="J1491" s="44">
        <f>VLOOKUP(Table1[[#This Row],[Status]],Auxiliar!$B$16:$C$24,2,0)</f>
        <v>7</v>
      </c>
      <c r="K1491" s="45"/>
      <c r="L1491" s="45"/>
      <c r="M1491" s="20"/>
      <c r="N1491" s="47">
        <v>45695</v>
      </c>
      <c r="O1491" s="20" t="e">
        <f>INDEX(Auxiliar!$D$5:$F$11,MATCH(Table1[[#This Row],[Tipologia_Testes]],Auxiliar!$B$5:$B$11,0),MATCH(Table1[[#This Row],[Complexidade]],Auxiliar!$D$4:$F$4,0))</f>
        <v>#N/A</v>
      </c>
      <c r="P1491" s="42"/>
      <c r="Q1491" s="42"/>
      <c r="R1491" s="151"/>
      <c r="S1491" s="151"/>
      <c r="T1491" s="151"/>
      <c r="U1491" s="151"/>
      <c r="V1491" s="151"/>
      <c r="W1491" s="2" t="e">
        <f>VLOOKUP(Table1[[#This Row],[Status]],Auxiliar!$B$16:$D$24,3,0)*Table1[[#This Row],[Estimação (horas)]]</f>
        <v>#N/A</v>
      </c>
      <c r="X1491" s="166">
        <f>+VLOOKUP(CONCATENATE(Table1[[#This Row],[Tabela]],Table1[[#This Row],[Campo]]),'2. Status Detalhe Campos FY24'!A:J,9,FALSE)</f>
        <v>0</v>
      </c>
    </row>
    <row r="1492" spans="2:24" ht="17.850000000000001" hidden="1" customHeight="1">
      <c r="B1492" s="38" t="s">
        <v>26</v>
      </c>
      <c r="C1492" s="38" t="s">
        <v>26</v>
      </c>
      <c r="D1492" s="40"/>
      <c r="E1492" s="46"/>
      <c r="F1492" s="42" t="s">
        <v>368</v>
      </c>
      <c r="G1492" s="360" t="s">
        <v>2260</v>
      </c>
      <c r="H1492" s="58" t="str">
        <f>Table1[[#This Row],[Tabela]]&amp;Table1[[#This Row],[Campo]]</f>
        <v>lt004_protectionAMNT_CVRD_INSRNC</v>
      </c>
      <c r="I1492" s="2" t="s">
        <v>2325</v>
      </c>
      <c r="J1492" s="44">
        <f>VLOOKUP(Table1[[#This Row],[Status]],Auxiliar!$B$16:$C$24,2,0)</f>
        <v>7</v>
      </c>
      <c r="K1492" s="45"/>
      <c r="L1492" s="45"/>
      <c r="M1492" s="20"/>
      <c r="N1492" s="47">
        <v>45695</v>
      </c>
      <c r="O1492" s="20" t="e">
        <f>INDEX(Auxiliar!$D$5:$F$11,MATCH(Table1[[#This Row],[Tipologia_Testes]],Auxiliar!$B$5:$B$11,0),MATCH(Table1[[#This Row],[Complexidade]],Auxiliar!$D$4:$F$4,0))</f>
        <v>#N/A</v>
      </c>
      <c r="P1492" s="42"/>
      <c r="Q1492" s="42"/>
      <c r="R1492" s="151"/>
      <c r="S1492" s="151"/>
      <c r="T1492" s="151"/>
      <c r="U1492" s="151"/>
      <c r="V1492" s="151"/>
      <c r="W1492" s="2" t="e">
        <f>VLOOKUP(Table1[[#This Row],[Status]],Auxiliar!$B$16:$D$24,3,0)*Table1[[#This Row],[Estimação (horas)]]</f>
        <v>#N/A</v>
      </c>
      <c r="X1492" s="166">
        <f>+VLOOKUP(CONCATENATE(Table1[[#This Row],[Tabela]],Table1[[#This Row],[Campo]]),'2. Status Detalhe Campos FY24'!A:J,9,FALSE)</f>
        <v>0</v>
      </c>
    </row>
    <row r="1493" spans="2:24" ht="17.850000000000001" hidden="1" customHeight="1">
      <c r="B1493" s="38" t="s">
        <v>26</v>
      </c>
      <c r="C1493" s="38" t="s">
        <v>26</v>
      </c>
      <c r="D1493" s="40"/>
      <c r="E1493" s="46"/>
      <c r="F1493" s="42" t="s">
        <v>368</v>
      </c>
      <c r="G1493" s="360" t="s">
        <v>2261</v>
      </c>
      <c r="H1493" s="58" t="str">
        <f>Table1[[#This Row],[Tabela]]&amp;Table1[[#This Row],[Campo]]</f>
        <v>lt004_protectionDT_MTRTY_INSRNC</v>
      </c>
      <c r="I1493" s="2" t="s">
        <v>2325</v>
      </c>
      <c r="J1493" s="44">
        <f>VLOOKUP(Table1[[#This Row],[Status]],Auxiliar!$B$16:$C$24,2,0)</f>
        <v>7</v>
      </c>
      <c r="K1493" s="45"/>
      <c r="L1493" s="45"/>
      <c r="M1493" s="20"/>
      <c r="N1493" s="47">
        <v>45695</v>
      </c>
      <c r="O1493" s="20" t="e">
        <f>INDEX(Auxiliar!$D$5:$F$11,MATCH(Table1[[#This Row],[Tipologia_Testes]],Auxiliar!$B$5:$B$11,0),MATCH(Table1[[#This Row],[Complexidade]],Auxiliar!$D$4:$F$4,0))</f>
        <v>#N/A</v>
      </c>
      <c r="P1493" s="42"/>
      <c r="Q1493" s="42"/>
      <c r="R1493" s="151"/>
      <c r="S1493" s="151"/>
      <c r="T1493" s="151"/>
      <c r="U1493" s="151"/>
      <c r="V1493" s="151"/>
      <c r="W1493" s="2" t="e">
        <f>VLOOKUP(Table1[[#This Row],[Status]],Auxiliar!$B$16:$D$24,3,0)*Table1[[#This Row],[Estimação (horas)]]</f>
        <v>#N/A</v>
      </c>
      <c r="X1493" s="166">
        <f>+VLOOKUP(CONCATENATE(Table1[[#This Row],[Tabela]],Table1[[#This Row],[Campo]]),'2. Status Detalhe Campos FY24'!A:J,9,FALSE)</f>
        <v>0</v>
      </c>
    </row>
    <row r="1494" spans="2:24" ht="17.850000000000001" hidden="1" customHeight="1">
      <c r="B1494" s="38" t="s">
        <v>26</v>
      </c>
      <c r="C1494" s="38" t="s">
        <v>26</v>
      </c>
      <c r="D1494" s="40"/>
      <c r="E1494" s="46"/>
      <c r="F1494" s="42" t="s">
        <v>368</v>
      </c>
      <c r="G1494" s="360" t="s">
        <v>2262</v>
      </c>
      <c r="H1494" s="58" t="str">
        <f>Table1[[#This Row],[Tabela]]&amp;Table1[[#This Row],[Campo]]</f>
        <v>lt004_protectionFLG_FRST_HM</v>
      </c>
      <c r="I1494" s="2" t="s">
        <v>2325</v>
      </c>
      <c r="J1494" s="44">
        <f>VLOOKUP(Table1[[#This Row],[Status]],Auxiliar!$B$16:$C$24,2,0)</f>
        <v>7</v>
      </c>
      <c r="K1494" s="45"/>
      <c r="L1494" s="45"/>
      <c r="M1494" s="20"/>
      <c r="N1494" s="47">
        <v>45695</v>
      </c>
      <c r="O1494" s="20" t="e">
        <f>INDEX(Auxiliar!$D$5:$F$11,MATCH(Table1[[#This Row],[Tipologia_Testes]],Auxiliar!$B$5:$B$11,0),MATCH(Table1[[#This Row],[Complexidade]],Auxiliar!$D$4:$F$4,0))</f>
        <v>#N/A</v>
      </c>
      <c r="P1494" s="42"/>
      <c r="Q1494" s="42"/>
      <c r="R1494" s="151"/>
      <c r="S1494" s="151"/>
      <c r="T1494" s="151"/>
      <c r="U1494" s="151"/>
      <c r="V1494" s="151"/>
      <c r="W1494" s="2" t="e">
        <f>VLOOKUP(Table1[[#This Row],[Status]],Auxiliar!$B$16:$D$24,3,0)*Table1[[#This Row],[Estimação (horas)]]</f>
        <v>#N/A</v>
      </c>
      <c r="X1494" s="166">
        <f>+VLOOKUP(CONCATENATE(Table1[[#This Row],[Tabela]],Table1[[#This Row],[Campo]]),'2. Status Detalhe Campos FY24'!A:J,9,FALSE)</f>
        <v>0</v>
      </c>
    </row>
    <row r="1495" spans="2:24" ht="17.850000000000001" hidden="1" customHeight="1">
      <c r="B1495" s="38" t="s">
        <v>26</v>
      </c>
      <c r="C1495" s="38" t="s">
        <v>26</v>
      </c>
      <c r="D1495" s="40"/>
      <c r="E1495" s="46"/>
      <c r="F1495" s="42" t="s">
        <v>368</v>
      </c>
      <c r="G1495" s="360" t="s">
        <v>2263</v>
      </c>
      <c r="H1495" s="58" t="str">
        <f>Table1[[#This Row],[Tabela]]&amp;Table1[[#This Row],[Campo]]</f>
        <v>lt004_protectionYR_CNSTRCTN</v>
      </c>
      <c r="I1495" s="2" t="s">
        <v>2325</v>
      </c>
      <c r="J1495" s="44">
        <f>VLOOKUP(Table1[[#This Row],[Status]],Auxiliar!$B$16:$C$24,2,0)</f>
        <v>7</v>
      </c>
      <c r="K1495" s="45"/>
      <c r="L1495" s="45"/>
      <c r="M1495" s="20"/>
      <c r="N1495" s="47">
        <v>45695</v>
      </c>
      <c r="O1495" s="20" t="e">
        <f>INDEX(Auxiliar!$D$5:$F$11,MATCH(Table1[[#This Row],[Tipologia_Testes]],Auxiliar!$B$5:$B$11,0),MATCH(Table1[[#This Row],[Complexidade]],Auxiliar!$D$4:$F$4,0))</f>
        <v>#N/A</v>
      </c>
      <c r="P1495" s="42"/>
      <c r="Q1495" s="42"/>
      <c r="R1495" s="151"/>
      <c r="S1495" s="151"/>
      <c r="T1495" s="151"/>
      <c r="U1495" s="151"/>
      <c r="V1495" s="151"/>
      <c r="W1495" s="2" t="e">
        <f>VLOOKUP(Table1[[#This Row],[Status]],Auxiliar!$B$16:$D$24,3,0)*Table1[[#This Row],[Estimação (horas)]]</f>
        <v>#N/A</v>
      </c>
      <c r="X1495" s="166">
        <f>+VLOOKUP(CONCATENATE(Table1[[#This Row],[Tabela]],Table1[[#This Row],[Campo]]),'2. Status Detalhe Campos FY24'!A:J,9,FALSE)</f>
        <v>0</v>
      </c>
    </row>
    <row r="1496" spans="2:24" ht="17.850000000000001" hidden="1" customHeight="1">
      <c r="B1496" s="38" t="s">
        <v>26</v>
      </c>
      <c r="C1496" s="38" t="s">
        <v>26</v>
      </c>
      <c r="D1496" s="40"/>
      <c r="E1496" s="46"/>
      <c r="F1496" s="42" t="s">
        <v>368</v>
      </c>
      <c r="G1496" s="360" t="s">
        <v>2264</v>
      </c>
      <c r="H1496" s="58" t="str">
        <f>Table1[[#This Row],[Tabela]]&amp;Table1[[#This Row],[Campo]]</f>
        <v>lt004_protectionBLDNG_AR</v>
      </c>
      <c r="I1496" s="2" t="s">
        <v>2325</v>
      </c>
      <c r="J1496" s="44">
        <f>VLOOKUP(Table1[[#This Row],[Status]],Auxiliar!$B$16:$C$24,2,0)</f>
        <v>7</v>
      </c>
      <c r="K1496" s="45"/>
      <c r="L1496" s="45"/>
      <c r="M1496" s="20"/>
      <c r="N1496" s="47">
        <v>45695</v>
      </c>
      <c r="O1496" s="20" t="e">
        <f>INDEX(Auxiliar!$D$5:$F$11,MATCH(Table1[[#This Row],[Tipologia_Testes]],Auxiliar!$B$5:$B$11,0),MATCH(Table1[[#This Row],[Complexidade]],Auxiliar!$D$4:$F$4,0))</f>
        <v>#N/A</v>
      </c>
      <c r="P1496" s="42"/>
      <c r="Q1496" s="42"/>
      <c r="R1496" s="151"/>
      <c r="S1496" s="151"/>
      <c r="T1496" s="151"/>
      <c r="U1496" s="151"/>
      <c r="V1496" s="151"/>
      <c r="W1496" s="2" t="e">
        <f>VLOOKUP(Table1[[#This Row],[Status]],Auxiliar!$B$16:$D$24,3,0)*Table1[[#This Row],[Estimação (horas)]]</f>
        <v>#N/A</v>
      </c>
      <c r="X1496" s="166">
        <f>+VLOOKUP(CONCATENATE(Table1[[#This Row],[Tabela]],Table1[[#This Row],[Campo]]),'2. Status Detalhe Campos FY24'!A:J,9,FALSE)</f>
        <v>0</v>
      </c>
    </row>
    <row r="1497" spans="2:24" ht="17.850000000000001" hidden="1" customHeight="1">
      <c r="B1497" s="38" t="s">
        <v>26</v>
      </c>
      <c r="C1497" s="38" t="s">
        <v>26</v>
      </c>
      <c r="D1497" s="40"/>
      <c r="E1497" s="46"/>
      <c r="F1497" s="42" t="s">
        <v>368</v>
      </c>
      <c r="G1497" s="360" t="s">
        <v>2265</v>
      </c>
      <c r="H1497" s="58" t="str">
        <f>Table1[[#This Row],[Tabela]]&amp;Table1[[#This Row],[Campo]]</f>
        <v>lt004_protectionRL_ESTT_CRTFCTN</v>
      </c>
      <c r="I1497" s="2" t="s">
        <v>2325</v>
      </c>
      <c r="J1497" s="44">
        <f>VLOOKUP(Table1[[#This Row],[Status]],Auxiliar!$B$16:$C$24,2,0)</f>
        <v>7</v>
      </c>
      <c r="K1497" s="45"/>
      <c r="L1497" s="45"/>
      <c r="M1497" s="20"/>
      <c r="N1497" s="47">
        <v>45695</v>
      </c>
      <c r="O1497" s="20" t="e">
        <f>INDEX(Auxiliar!$D$5:$F$11,MATCH(Table1[[#This Row],[Tipologia_Testes]],Auxiliar!$B$5:$B$11,0),MATCH(Table1[[#This Row],[Complexidade]],Auxiliar!$D$4:$F$4,0))</f>
        <v>#N/A</v>
      </c>
      <c r="P1497" s="42"/>
      <c r="Q1497" s="42"/>
      <c r="R1497" s="151"/>
      <c r="S1497" s="151"/>
      <c r="T1497" s="151"/>
      <c r="U1497" s="151"/>
      <c r="V1497" s="151"/>
      <c r="W1497" s="2" t="e">
        <f>VLOOKUP(Table1[[#This Row],[Status]],Auxiliar!$B$16:$D$24,3,0)*Table1[[#This Row],[Estimação (horas)]]</f>
        <v>#N/A</v>
      </c>
      <c r="X1497" s="166">
        <f>+VLOOKUP(CONCATENATE(Table1[[#This Row],[Tabela]],Table1[[#This Row],[Campo]]),'2. Status Detalhe Campos FY24'!A:J,9,FALSE)</f>
        <v>0</v>
      </c>
    </row>
    <row r="1498" spans="2:24" ht="17.850000000000001" hidden="1" customHeight="1">
      <c r="B1498" s="38" t="s">
        <v>26</v>
      </c>
      <c r="C1498" s="38" t="s">
        <v>26</v>
      </c>
      <c r="D1498" s="40"/>
      <c r="E1498" s="46"/>
      <c r="F1498" s="42" t="s">
        <v>368</v>
      </c>
      <c r="G1498" s="360" t="s">
        <v>2266</v>
      </c>
      <c r="H1498" s="58" t="str">
        <f>Table1[[#This Row],[Tabela]]&amp;Table1[[#This Row],[Campo]]</f>
        <v>lt004_protectionTYP_VHCL</v>
      </c>
      <c r="I1498" s="2" t="s">
        <v>2325</v>
      </c>
      <c r="J1498" s="44">
        <f>VLOOKUP(Table1[[#This Row],[Status]],Auxiliar!$B$16:$C$24,2,0)</f>
        <v>7</v>
      </c>
      <c r="K1498" s="45"/>
      <c r="L1498" s="45"/>
      <c r="M1498" s="20"/>
      <c r="N1498" s="47"/>
      <c r="O1498" s="20" t="e">
        <f>INDEX(Auxiliar!$D$5:$F$11,MATCH(Table1[[#This Row],[Tipologia_Testes]],Auxiliar!$B$5:$B$11,0),MATCH(Table1[[#This Row],[Complexidade]],Auxiliar!$D$4:$F$4,0))</f>
        <v>#N/A</v>
      </c>
      <c r="P1498" s="42"/>
      <c r="Q1498" s="42"/>
      <c r="R1498" s="151"/>
      <c r="S1498" s="151"/>
      <c r="T1498" s="151"/>
      <c r="U1498" s="151"/>
      <c r="V1498" s="151"/>
      <c r="W1498" s="2" t="e">
        <f>VLOOKUP(Table1[[#This Row],[Status]],Auxiliar!$B$16:$D$24,3,0)*Table1[[#This Row],[Estimação (horas)]]</f>
        <v>#N/A</v>
      </c>
      <c r="X1498" s="166">
        <f>+VLOOKUP(CONCATENATE(Table1[[#This Row],[Tabela]],Table1[[#This Row],[Campo]]),'2. Status Detalhe Campos FY24'!A:J,9,FALSE)</f>
        <v>0</v>
      </c>
    </row>
    <row r="1499" spans="2:24" ht="17.850000000000001" hidden="1" customHeight="1">
      <c r="B1499" s="38" t="s">
        <v>26</v>
      </c>
      <c r="C1499" s="38" t="s">
        <v>26</v>
      </c>
      <c r="D1499" s="40"/>
      <c r="E1499" s="46"/>
      <c r="F1499" s="42" t="s">
        <v>368</v>
      </c>
      <c r="G1499" s="360" t="s">
        <v>2267</v>
      </c>
      <c r="H1499" s="58" t="str">
        <f>Table1[[#This Row],[Tabela]]&amp;Table1[[#This Row],[Campo]]</f>
        <v>lt004_protectionDT_RGSTRTN</v>
      </c>
      <c r="I1499" s="2" t="s">
        <v>2325</v>
      </c>
      <c r="J1499" s="44">
        <f>VLOOKUP(Table1[[#This Row],[Status]],Auxiliar!$B$16:$C$24,2,0)</f>
        <v>7</v>
      </c>
      <c r="K1499" s="45"/>
      <c r="L1499" s="45"/>
      <c r="M1499" s="20"/>
      <c r="N1499" s="47">
        <v>45695</v>
      </c>
      <c r="O1499" s="20" t="e">
        <f>INDEX(Auxiliar!$D$5:$F$11,MATCH(Table1[[#This Row],[Tipologia_Testes]],Auxiliar!$B$5:$B$11,0),MATCH(Table1[[#This Row],[Complexidade]],Auxiliar!$D$4:$F$4,0))</f>
        <v>#N/A</v>
      </c>
      <c r="P1499" s="42"/>
      <c r="Q1499" s="42"/>
      <c r="R1499" s="151"/>
      <c r="S1499" s="151"/>
      <c r="T1499" s="151"/>
      <c r="U1499" s="151"/>
      <c r="V1499" s="151"/>
      <c r="W1499" s="2" t="e">
        <f>VLOOKUP(Table1[[#This Row],[Status]],Auxiliar!$B$16:$D$24,3,0)*Table1[[#This Row],[Estimação (horas)]]</f>
        <v>#N/A</v>
      </c>
      <c r="X1499" s="166">
        <f>+VLOOKUP(CONCATENATE(Table1[[#This Row],[Tabela]],Table1[[#This Row],[Campo]]),'2. Status Detalhe Campos FY24'!A:J,9,FALSE)</f>
        <v>0</v>
      </c>
    </row>
    <row r="1500" spans="2:24" ht="17.850000000000001" hidden="1" customHeight="1">
      <c r="B1500" s="38" t="s">
        <v>26</v>
      </c>
      <c r="C1500" s="38" t="s">
        <v>26</v>
      </c>
      <c r="D1500" s="40"/>
      <c r="E1500" s="46"/>
      <c r="F1500" s="42" t="s">
        <v>368</v>
      </c>
      <c r="G1500" s="360" t="s">
        <v>2268</v>
      </c>
      <c r="H1500" s="58" t="str">
        <f>Table1[[#This Row],[Tabela]]&amp;Table1[[#This Row],[Campo]]</f>
        <v>lt004_protectionPRMRY_ENRGY_DMND_NN_RNWBL</v>
      </c>
      <c r="I1500" s="2" t="s">
        <v>2325</v>
      </c>
      <c r="J1500" s="44">
        <f>VLOOKUP(Table1[[#This Row],[Status]],Auxiliar!$B$16:$C$24,2,0)</f>
        <v>7</v>
      </c>
      <c r="K1500" s="45"/>
      <c r="L1500" s="45"/>
      <c r="M1500" s="20"/>
      <c r="N1500" s="47">
        <v>45695</v>
      </c>
      <c r="O1500" s="20" t="e">
        <f>INDEX(Auxiliar!$D$5:$F$11,MATCH(Table1[[#This Row],[Tipologia_Testes]],Auxiliar!$B$5:$B$11,0),MATCH(Table1[[#This Row],[Complexidade]],Auxiliar!$D$4:$F$4,0))</f>
        <v>#N/A</v>
      </c>
      <c r="P1500" s="42"/>
      <c r="Q1500" s="42"/>
      <c r="R1500" s="151"/>
      <c r="S1500" s="151"/>
      <c r="T1500" s="151"/>
      <c r="U1500" s="151"/>
      <c r="V1500" s="151"/>
      <c r="W1500" s="2" t="e">
        <f>VLOOKUP(Table1[[#This Row],[Status]],Auxiliar!$B$16:$D$24,3,0)*Table1[[#This Row],[Estimação (horas)]]</f>
        <v>#N/A</v>
      </c>
      <c r="X1500" s="166">
        <f>+VLOOKUP(CONCATENATE(Table1[[#This Row],[Tabela]],Table1[[#This Row],[Campo]]),'2. Status Detalhe Campos FY24'!A:J,9,FALSE)</f>
        <v>0</v>
      </c>
    </row>
    <row r="1501" spans="2:24" ht="17.850000000000001" hidden="1" customHeight="1">
      <c r="B1501" s="38" t="s">
        <v>26</v>
      </c>
      <c r="C1501" s="38" t="s">
        <v>26</v>
      </c>
      <c r="D1501" s="40"/>
      <c r="E1501" s="46"/>
      <c r="F1501" s="42" t="s">
        <v>368</v>
      </c>
      <c r="G1501" s="360" t="s">
        <v>2269</v>
      </c>
      <c r="H1501" s="58" t="str">
        <f>Table1[[#This Row],[Tabela]]&amp;Table1[[#This Row],[Campo]]</f>
        <v>lt004_protectionPRMRY_ENRGY_DMND_TTL</v>
      </c>
      <c r="I1501" s="2" t="s">
        <v>2325</v>
      </c>
      <c r="J1501" s="44">
        <f>VLOOKUP(Table1[[#This Row],[Status]],Auxiliar!$B$16:$C$24,2,0)</f>
        <v>7</v>
      </c>
      <c r="K1501" s="45"/>
      <c r="L1501" s="45"/>
      <c r="M1501" s="20"/>
      <c r="N1501" s="47"/>
      <c r="O1501" s="20" t="e">
        <f>INDEX(Auxiliar!$D$5:$F$11,MATCH(Table1[[#This Row],[Tipologia_Testes]],Auxiliar!$B$5:$B$11,0),MATCH(Table1[[#This Row],[Complexidade]],Auxiliar!$D$4:$F$4,0))</f>
        <v>#N/A</v>
      </c>
      <c r="P1501" s="42"/>
      <c r="Q1501" s="42"/>
      <c r="R1501" s="151"/>
      <c r="S1501" s="151"/>
      <c r="T1501" s="151"/>
      <c r="U1501" s="151"/>
      <c r="V1501" s="151"/>
      <c r="W1501" s="2" t="e">
        <f>VLOOKUP(Table1[[#This Row],[Status]],Auxiliar!$B$16:$D$24,3,0)*Table1[[#This Row],[Estimação (horas)]]</f>
        <v>#N/A</v>
      </c>
      <c r="X1501" s="166">
        <f>+VLOOKUP(CONCATENATE(Table1[[#This Row],[Tabela]],Table1[[#This Row],[Campo]]),'2. Status Detalhe Campos FY24'!A:J,9,FALSE)</f>
        <v>0</v>
      </c>
    </row>
    <row r="1502" spans="2:24" ht="17.850000000000001" customHeight="1">
      <c r="B1502" s="38" t="s">
        <v>26</v>
      </c>
      <c r="C1502" s="38" t="s">
        <v>26</v>
      </c>
      <c r="D1502" s="40"/>
      <c r="E1502" s="46"/>
      <c r="F1502" s="42" t="s">
        <v>368</v>
      </c>
      <c r="G1502" s="551" t="s">
        <v>2270</v>
      </c>
      <c r="H1502" s="58" t="str">
        <f>Table1[[#This Row],[Tabela]]&amp;Table1[[#This Row],[Campo]]</f>
        <v>lt004_protectionPRMRY_ENRGY_DMND_RFRNC_VL</v>
      </c>
      <c r="I1502" s="2" t="s">
        <v>2325</v>
      </c>
      <c r="J1502" s="44">
        <f>VLOOKUP(Table1[[#This Row],[Status]],Auxiliar!$B$16:$C$24,2,0)</f>
        <v>7</v>
      </c>
      <c r="K1502" s="45"/>
      <c r="L1502" s="45"/>
      <c r="M1502" s="20"/>
      <c r="N1502" s="47"/>
      <c r="O1502" s="20" t="e">
        <f>INDEX(Auxiliar!$D$5:$F$11,MATCH(Table1[[#This Row],[Tipologia_Testes]],Auxiliar!$B$5:$B$11,0),MATCH(Table1[[#This Row],[Complexidade]],Auxiliar!$D$4:$F$4,0))</f>
        <v>#N/A</v>
      </c>
      <c r="P1502" s="42"/>
      <c r="Q1502" s="42"/>
      <c r="R1502" s="151"/>
      <c r="S1502" s="151"/>
      <c r="T1502" s="151"/>
      <c r="U1502" s="151"/>
      <c r="V1502" s="151"/>
      <c r="W1502" s="2" t="e">
        <f>VLOOKUP(Table1[[#This Row],[Status]],Auxiliar!$B$16:$D$24,3,0)*Table1[[#This Row],[Estimação (horas)]]</f>
        <v>#N/A</v>
      </c>
      <c r="X1502" s="166">
        <f>+VLOOKUP(CONCATENATE(Table1[[#This Row],[Tabela]],Table1[[#This Row],[Campo]]),'2. Status Detalhe Campos FY24'!A:J,9,FALSE)</f>
        <v>0</v>
      </c>
    </row>
    <row r="1503" spans="2:24" ht="17.850000000000001" hidden="1" customHeight="1">
      <c r="B1503" s="38" t="s">
        <v>26</v>
      </c>
      <c r="C1503" s="38" t="s">
        <v>26</v>
      </c>
      <c r="D1503" s="40"/>
      <c r="E1503" s="46"/>
      <c r="F1503" s="42" t="s">
        <v>368</v>
      </c>
      <c r="G1503" s="360" t="s">
        <v>2271</v>
      </c>
      <c r="H1503" s="58" t="str">
        <f>Table1[[#This Row],[Tabela]]&amp;Table1[[#This Row],[Campo]]</f>
        <v>lt004_protectionRL_ESTT_CLMT_ZN</v>
      </c>
      <c r="I1503" s="2" t="s">
        <v>2325</v>
      </c>
      <c r="J1503" s="44">
        <f>VLOOKUP(Table1[[#This Row],[Status]],Auxiliar!$B$16:$C$24,2,0)</f>
        <v>7</v>
      </c>
      <c r="K1503" s="45"/>
      <c r="L1503" s="45"/>
      <c r="M1503" s="20"/>
      <c r="N1503" s="47"/>
      <c r="O1503" s="20" t="e">
        <f>INDEX(Auxiliar!$D$5:$F$11,MATCH(Table1[[#This Row],[Tipologia_Testes]],Auxiliar!$B$5:$B$11,0),MATCH(Table1[[#This Row],[Complexidade]],Auxiliar!$D$4:$F$4,0))</f>
        <v>#N/A</v>
      </c>
      <c r="P1503" s="42"/>
      <c r="Q1503" s="42"/>
      <c r="R1503" s="151"/>
      <c r="S1503" s="151"/>
      <c r="T1503" s="151"/>
      <c r="U1503" s="151"/>
      <c r="V1503" s="151"/>
      <c r="W1503" s="2" t="e">
        <f>VLOOKUP(Table1[[#This Row],[Status]],Auxiliar!$B$16:$D$24,3,0)*Table1[[#This Row],[Estimação (horas)]]</f>
        <v>#N/A</v>
      </c>
      <c r="X1503" s="166">
        <f>+VLOOKUP(CONCATENATE(Table1[[#This Row],[Tabela]],Table1[[#This Row],[Campo]]),'2. Status Detalhe Campos FY24'!A:J,9,FALSE)</f>
        <v>0</v>
      </c>
    </row>
    <row r="1504" spans="2:24" ht="17.850000000000001" hidden="1" customHeight="1">
      <c r="B1504" s="38" t="s">
        <v>26</v>
      </c>
      <c r="C1504" s="38" t="s">
        <v>26</v>
      </c>
      <c r="D1504" s="12" t="s">
        <v>399</v>
      </c>
      <c r="E1504" s="111" t="s">
        <v>38</v>
      </c>
      <c r="F1504" s="2" t="s">
        <v>368</v>
      </c>
      <c r="G1504" s="12" t="s">
        <v>398</v>
      </c>
      <c r="H1504" s="58" t="str">
        <f>Table1[[#This Row],[Tabela]]&amp;Table1[[#This Row],[Campo]]</f>
        <v>lt004_protectiondt_rfrnc</v>
      </c>
      <c r="I1504" s="2" t="s">
        <v>612</v>
      </c>
      <c r="J1504" s="44">
        <f>VLOOKUP(Table1[[#This Row],[Status]],Auxiliar!$B$16:$C$24,2,0)</f>
        <v>1</v>
      </c>
      <c r="K1504" s="20" t="s">
        <v>1176</v>
      </c>
      <c r="L1504" s="45" t="s">
        <v>1177</v>
      </c>
      <c r="M1504" s="20" t="s">
        <v>1178</v>
      </c>
      <c r="N1504" s="47">
        <v>45509</v>
      </c>
      <c r="O1504" s="112">
        <v>0.1</v>
      </c>
      <c r="P1504" s="2"/>
      <c r="Q1504" s="151"/>
      <c r="R1504" s="151"/>
      <c r="S1504" s="151"/>
      <c r="T1504" s="151"/>
      <c r="U1504" s="151"/>
      <c r="V1504" s="151"/>
      <c r="W1504" s="2">
        <f>VLOOKUP(Table1[[#This Row],[Status]],Auxiliar!$B$16:$D$24,3,0)*Table1[[#This Row],[Estimação (horas)]]</f>
        <v>0.1</v>
      </c>
      <c r="X1504" s="166">
        <f>+VLOOKUP(CONCATENATE(Table1[[#This Row],[Tabela]],Table1[[#This Row],[Campo]]),'2. Status Detalhe Campos FY24'!A:J,9,FALSE)</f>
        <v>0</v>
      </c>
    </row>
    <row r="1505" spans="2:24" ht="17.850000000000001" hidden="1" customHeight="1">
      <c r="B1505" s="38" t="s">
        <v>26</v>
      </c>
      <c r="C1505" s="38" t="s">
        <v>26</v>
      </c>
      <c r="D1505" s="19" t="s">
        <v>399</v>
      </c>
      <c r="E1505" s="111" t="s">
        <v>38</v>
      </c>
      <c r="F1505" s="31" t="s">
        <v>368</v>
      </c>
      <c r="G1505" t="s">
        <v>416</v>
      </c>
      <c r="H1505" s="58" t="str">
        <f>Table1[[#This Row],[Tabela]]&amp;Table1[[#This Row],[Campo]]</f>
        <v>lt004_protectioncod_soc</v>
      </c>
      <c r="I1505" s="2" t="s">
        <v>612</v>
      </c>
      <c r="J1505" s="44">
        <f>VLOOKUP(Table1[[#This Row],[Status]],Auxiliar!$B$16:$C$24,2,0)</f>
        <v>1</v>
      </c>
      <c r="K1505" s="20" t="s">
        <v>1176</v>
      </c>
      <c r="L1505" s="45" t="s">
        <v>1177</v>
      </c>
      <c r="M1505" s="20" t="s">
        <v>1178</v>
      </c>
      <c r="N1505" s="47">
        <v>45590</v>
      </c>
      <c r="O1505" s="112">
        <v>0.1</v>
      </c>
      <c r="P1505" s="31" t="s">
        <v>1259</v>
      </c>
      <c r="Q1505" s="199"/>
      <c r="R1505" s="151"/>
      <c r="S1505" s="151"/>
      <c r="T1505" s="151"/>
      <c r="U1505" s="151"/>
      <c r="V1505" s="151"/>
      <c r="W1505" s="2">
        <f>VLOOKUP(Table1[[#This Row],[Status]],Auxiliar!$B$16:$D$24,3,0)*Table1[[#This Row],[Estimação (horas)]]</f>
        <v>0.1</v>
      </c>
      <c r="X1505" s="166">
        <f>+VLOOKUP(CONCATENATE(Table1[[#This Row],[Tabela]],Table1[[#This Row],[Campo]]),'2. Status Detalhe Campos FY24'!A:J,9,FALSE)</f>
        <v>0</v>
      </c>
    </row>
    <row r="1506" spans="2:24" ht="17.850000000000001" hidden="1" customHeight="1">
      <c r="B1506" s="38" t="s">
        <v>26</v>
      </c>
      <c r="C1506" s="38" t="s">
        <v>26</v>
      </c>
      <c r="D1506" s="19" t="s">
        <v>399</v>
      </c>
      <c r="E1506" s="111" t="s">
        <v>38</v>
      </c>
      <c r="F1506" s="2" t="s">
        <v>439</v>
      </c>
      <c r="G1506" s="12" t="s">
        <v>398</v>
      </c>
      <c r="H1506" s="58" t="str">
        <f>Table1[[#This Row],[Tabela]]&amp;Table1[[#This Row],[Campo]]</f>
        <v>lt005_instr_entdt_rfrnc</v>
      </c>
      <c r="I1506" s="2" t="s">
        <v>612</v>
      </c>
      <c r="J1506" s="44">
        <f>VLOOKUP(Table1[[#This Row],[Status]],Auxiliar!$B$16:$C$24,2,0)</f>
        <v>1</v>
      </c>
      <c r="K1506" s="20" t="s">
        <v>1176</v>
      </c>
      <c r="L1506" s="45" t="s">
        <v>1177</v>
      </c>
      <c r="M1506" s="20" t="s">
        <v>1178</v>
      </c>
      <c r="N1506" s="47">
        <v>45510</v>
      </c>
      <c r="O1506" s="112">
        <v>0.1</v>
      </c>
      <c r="P1506" s="2"/>
      <c r="Q1506" s="199"/>
      <c r="R1506" s="151"/>
      <c r="S1506" s="151"/>
      <c r="T1506" s="151"/>
      <c r="U1506" s="151"/>
      <c r="V1506" s="151"/>
      <c r="W1506" s="2">
        <f>VLOOKUP(Table1[[#This Row],[Status]],Auxiliar!$B$16:$D$24,3,0)*Table1[[#This Row],[Estimação (horas)]]</f>
        <v>0.1</v>
      </c>
      <c r="X1506" s="166">
        <f>+VLOOKUP(CONCATENATE(Table1[[#This Row],[Tabela]],Table1[[#This Row],[Campo]]),'2. Status Detalhe Campos FY24'!A:J,9,FALSE)</f>
        <v>0</v>
      </c>
    </row>
    <row r="1507" spans="2:24" ht="17.850000000000001" hidden="1" customHeight="1">
      <c r="B1507" s="38" t="s">
        <v>26</v>
      </c>
      <c r="C1507" s="38" t="s">
        <v>26</v>
      </c>
      <c r="D1507" s="19" t="s">
        <v>399</v>
      </c>
      <c r="E1507" s="111" t="s">
        <v>38</v>
      </c>
      <c r="F1507" s="2" t="s">
        <v>439</v>
      </c>
      <c r="G1507" s="12" t="s">
        <v>425</v>
      </c>
      <c r="H1507" s="58" t="str">
        <f>Table1[[#This Row],[Tabela]]&amp;Table1[[#This Row],[Campo]]</f>
        <v>lt005_instr_ententty_id</v>
      </c>
      <c r="I1507" s="2" t="s">
        <v>612</v>
      </c>
      <c r="J1507" s="44">
        <f>VLOOKUP(Table1[[#This Row],[Status]],Auxiliar!$B$16:$C$24,2,0)</f>
        <v>1</v>
      </c>
      <c r="K1507" s="20" t="s">
        <v>1176</v>
      </c>
      <c r="L1507" s="45" t="s">
        <v>1177</v>
      </c>
      <c r="M1507" s="20" t="s">
        <v>1178</v>
      </c>
      <c r="N1507" s="47">
        <v>45510</v>
      </c>
      <c r="O1507" s="112">
        <v>0.1</v>
      </c>
      <c r="P1507" s="2"/>
      <c r="Q1507" s="199"/>
      <c r="R1507" s="151"/>
      <c r="S1507" s="151"/>
      <c r="T1507" s="151"/>
      <c r="U1507" s="151"/>
      <c r="V1507" s="151"/>
      <c r="W1507" s="2">
        <f>VLOOKUP(Table1[[#This Row],[Status]],Auxiliar!$B$16:$D$24,3,0)*Table1[[#This Row],[Estimação (horas)]]</f>
        <v>0.1</v>
      </c>
      <c r="X1507" s="166">
        <f>+VLOOKUP(CONCATENATE(Table1[[#This Row],[Tabela]],Table1[[#This Row],[Campo]]),'2. Status Detalhe Campos FY24'!A:J,9,FALSE)</f>
        <v>0</v>
      </c>
    </row>
    <row r="1508" spans="2:24" ht="17.850000000000001" hidden="1" customHeight="1">
      <c r="B1508" s="38" t="s">
        <v>26</v>
      </c>
      <c r="C1508" s="38" t="s">
        <v>26</v>
      </c>
      <c r="D1508" s="19" t="s">
        <v>399</v>
      </c>
      <c r="E1508" s="111" t="s">
        <v>38</v>
      </c>
      <c r="F1508" s="2" t="s">
        <v>439</v>
      </c>
      <c r="G1508" s="12" t="s">
        <v>400</v>
      </c>
      <c r="H1508" s="58" t="str">
        <f>Table1[[#This Row],[Tabela]]&amp;Table1[[#This Row],[Campo]]</f>
        <v>lt005_instr_entinstrmnt_id</v>
      </c>
      <c r="I1508" s="2" t="s">
        <v>612</v>
      </c>
      <c r="J1508" s="44">
        <f>VLOOKUP(Table1[[#This Row],[Status]],Auxiliar!$B$16:$C$24,2,0)</f>
        <v>1</v>
      </c>
      <c r="K1508" s="20" t="s">
        <v>1176</v>
      </c>
      <c r="L1508" s="45" t="s">
        <v>1177</v>
      </c>
      <c r="M1508" s="20" t="s">
        <v>1178</v>
      </c>
      <c r="N1508" s="47">
        <v>45510</v>
      </c>
      <c r="O1508" s="112">
        <v>0.1</v>
      </c>
      <c r="P1508" s="2"/>
      <c r="Q1508" s="199"/>
      <c r="R1508" s="151"/>
      <c r="S1508" s="151"/>
      <c r="T1508" s="151"/>
      <c r="U1508" s="151"/>
      <c r="V1508" s="151"/>
      <c r="W1508" s="2">
        <f>VLOOKUP(Table1[[#This Row],[Status]],Auxiliar!$B$16:$D$24,3,0)*Table1[[#This Row],[Estimação (horas)]]</f>
        <v>0.1</v>
      </c>
      <c r="X1508" s="166">
        <f>+VLOOKUP(CONCATENATE(Table1[[#This Row],[Tabela]],Table1[[#This Row],[Campo]]),'2. Status Detalhe Campos FY24'!A:J,9,FALSE)</f>
        <v>0</v>
      </c>
    </row>
    <row r="1509" spans="2:24" ht="17.850000000000001" hidden="1" customHeight="1">
      <c r="B1509" s="38" t="s">
        <v>26</v>
      </c>
      <c r="C1509" s="38" t="s">
        <v>26</v>
      </c>
      <c r="D1509" s="19" t="s">
        <v>399</v>
      </c>
      <c r="E1509" s="111" t="s">
        <v>38</v>
      </c>
      <c r="F1509" s="2" t="s">
        <v>439</v>
      </c>
      <c r="G1509" s="12" t="s">
        <v>416</v>
      </c>
      <c r="H1509" s="58" t="str">
        <f>Table1[[#This Row],[Tabela]]&amp;Table1[[#This Row],[Campo]]</f>
        <v>lt005_instr_entcod_soc</v>
      </c>
      <c r="I1509" s="2" t="s">
        <v>612</v>
      </c>
      <c r="J1509" s="44">
        <f>VLOOKUP(Table1[[#This Row],[Status]],Auxiliar!$B$16:$C$24,2,0)</f>
        <v>1</v>
      </c>
      <c r="K1509" s="20" t="s">
        <v>1176</v>
      </c>
      <c r="L1509" s="45" t="s">
        <v>1177</v>
      </c>
      <c r="M1509" s="20" t="s">
        <v>1178</v>
      </c>
      <c r="N1509" s="47">
        <v>45510</v>
      </c>
      <c r="O1509" s="112">
        <v>0.1</v>
      </c>
      <c r="P1509" s="2"/>
      <c r="Q1509" s="199"/>
      <c r="R1509" s="151"/>
      <c r="S1509" s="151"/>
      <c r="T1509" s="151"/>
      <c r="U1509" s="151"/>
      <c r="V1509" s="151"/>
      <c r="W1509" s="2">
        <f>VLOOKUP(Table1[[#This Row],[Status]],Auxiliar!$B$16:$D$24,3,0)*Table1[[#This Row],[Estimação (horas)]]</f>
        <v>0.1</v>
      </c>
      <c r="X1509" s="166">
        <f>+VLOOKUP(CONCATENATE(Table1[[#This Row],[Tabela]],Table1[[#This Row],[Campo]]),'2. Status Detalhe Campos FY24'!A:J,9,FALSE)</f>
        <v>0</v>
      </c>
    </row>
    <row r="1510" spans="2:24" ht="17.850000000000001" hidden="1" customHeight="1">
      <c r="B1510" s="38" t="s">
        <v>26</v>
      </c>
      <c r="C1510" s="38" t="s">
        <v>26</v>
      </c>
      <c r="D1510" s="19" t="s">
        <v>399</v>
      </c>
      <c r="E1510" s="111" t="s">
        <v>38</v>
      </c>
      <c r="F1510" s="2" t="s">
        <v>439</v>
      </c>
      <c r="G1510" s="12" t="s">
        <v>440</v>
      </c>
      <c r="H1510" s="58" t="str">
        <f>Table1[[#This Row],[Tabela]]&amp;Table1[[#This Row],[Campo]]</f>
        <v>lt005_instr_entmn_entty_id</v>
      </c>
      <c r="I1510" s="2" t="s">
        <v>612</v>
      </c>
      <c r="J1510" s="44">
        <f>VLOOKUP(Table1[[#This Row],[Status]],Auxiliar!$B$16:$C$24,2,0)</f>
        <v>1</v>
      </c>
      <c r="K1510" s="20" t="s">
        <v>1176</v>
      </c>
      <c r="L1510" s="45" t="s">
        <v>1177</v>
      </c>
      <c r="M1510" s="20" t="s">
        <v>1178</v>
      </c>
      <c r="N1510" s="47">
        <v>45510</v>
      </c>
      <c r="O1510" s="112">
        <v>0.1</v>
      </c>
      <c r="P1510" s="2"/>
      <c r="Q1510" s="199"/>
      <c r="R1510" s="151"/>
      <c r="S1510" s="151"/>
      <c r="T1510" s="151"/>
      <c r="U1510" s="151"/>
      <c r="V1510" s="151"/>
      <c r="W1510" s="2">
        <f>VLOOKUP(Table1[[#This Row],[Status]],Auxiliar!$B$16:$D$24,3,0)*Table1[[#This Row],[Estimação (horas)]]</f>
        <v>0.1</v>
      </c>
      <c r="X1510" s="166">
        <f>+VLOOKUP(CONCATENATE(Table1[[#This Row],[Tabela]],Table1[[#This Row],[Campo]]),'2. Status Detalhe Campos FY24'!A:J,9,FALSE)</f>
        <v>0</v>
      </c>
    </row>
    <row r="1511" spans="2:24" ht="17.850000000000001" hidden="1" customHeight="1">
      <c r="B1511" s="38" t="s">
        <v>26</v>
      </c>
      <c r="C1511" s="38" t="s">
        <v>26</v>
      </c>
      <c r="D1511" s="19" t="s">
        <v>399</v>
      </c>
      <c r="E1511" s="111" t="s">
        <v>38</v>
      </c>
      <c r="F1511" s="2" t="s">
        <v>441</v>
      </c>
      <c r="G1511" s="12" t="s">
        <v>398</v>
      </c>
      <c r="H1511" s="58" t="str">
        <f>Table1[[#This Row],[Tabela]]&amp;Table1[[#This Row],[Campo]]</f>
        <v>lt006_instr_protdt_rfrnc</v>
      </c>
      <c r="I1511" s="2" t="s">
        <v>612</v>
      </c>
      <c r="J1511" s="44">
        <f>VLOOKUP(Table1[[#This Row],[Status]],Auxiliar!$B$16:$C$24,2,0)</f>
        <v>1</v>
      </c>
      <c r="K1511" s="20" t="s">
        <v>1176</v>
      </c>
      <c r="L1511" s="45" t="s">
        <v>1177</v>
      </c>
      <c r="M1511" s="20" t="s">
        <v>1178</v>
      </c>
      <c r="N1511" s="47">
        <v>45509</v>
      </c>
      <c r="O1511" s="112">
        <v>0.1</v>
      </c>
      <c r="P1511" s="2"/>
      <c r="Q1511" s="199"/>
      <c r="R1511" s="151"/>
      <c r="S1511" s="151"/>
      <c r="T1511" s="151"/>
      <c r="U1511" s="151"/>
      <c r="V1511" s="151"/>
      <c r="W1511" s="2">
        <f>VLOOKUP(Table1[[#This Row],[Status]],Auxiliar!$B$16:$D$24,3,0)*Table1[[#This Row],[Estimação (horas)]]</f>
        <v>0.1</v>
      </c>
      <c r="X1511" s="166">
        <f>+VLOOKUP(CONCATENATE(Table1[[#This Row],[Tabela]],Table1[[#This Row],[Campo]]),'2. Status Detalhe Campos FY24'!A:J,9,FALSE)</f>
        <v>0</v>
      </c>
    </row>
    <row r="1512" spans="2:24" ht="17.850000000000001" hidden="1" customHeight="1">
      <c r="B1512" s="38" t="s">
        <v>26</v>
      </c>
      <c r="C1512" s="38" t="s">
        <v>26</v>
      </c>
      <c r="D1512" s="19" t="s">
        <v>399</v>
      </c>
      <c r="E1512" s="111" t="s">
        <v>38</v>
      </c>
      <c r="F1512" s="2" t="s">
        <v>441</v>
      </c>
      <c r="G1512" s="12" t="s">
        <v>400</v>
      </c>
      <c r="H1512" s="58" t="str">
        <f>Table1[[#This Row],[Tabela]]&amp;Table1[[#This Row],[Campo]]</f>
        <v>lt006_instr_protinstrmnt_id</v>
      </c>
      <c r="I1512" s="2" t="s">
        <v>612</v>
      </c>
      <c r="J1512" s="44">
        <f>VLOOKUP(Table1[[#This Row],[Status]],Auxiliar!$B$16:$C$24,2,0)</f>
        <v>1</v>
      </c>
      <c r="K1512" s="20" t="s">
        <v>1176</v>
      </c>
      <c r="L1512" s="45" t="s">
        <v>1177</v>
      </c>
      <c r="M1512" s="20" t="s">
        <v>1178</v>
      </c>
      <c r="N1512" s="47">
        <v>45509</v>
      </c>
      <c r="O1512" s="112">
        <v>0.1</v>
      </c>
      <c r="P1512" s="2"/>
      <c r="Q1512" s="199"/>
      <c r="R1512" s="151"/>
      <c r="S1512" s="151"/>
      <c r="T1512" s="151"/>
      <c r="U1512" s="151"/>
      <c r="V1512" s="151"/>
      <c r="W1512" s="2">
        <f>VLOOKUP(Table1[[#This Row],[Status]],Auxiliar!$B$16:$D$24,3,0)*Table1[[#This Row],[Estimação (horas)]]</f>
        <v>0.1</v>
      </c>
      <c r="X1512" s="166">
        <f>+VLOOKUP(CONCATENATE(Table1[[#This Row],[Tabela]],Table1[[#This Row],[Campo]]),'2. Status Detalhe Campos FY24'!A:J,9,FALSE)</f>
        <v>0</v>
      </c>
    </row>
    <row r="1513" spans="2:24" ht="17.850000000000001" hidden="1" customHeight="1">
      <c r="B1513" s="38" t="s">
        <v>26</v>
      </c>
      <c r="C1513" s="38" t="s">
        <v>26</v>
      </c>
      <c r="D1513" s="19" t="s">
        <v>399</v>
      </c>
      <c r="E1513" s="111" t="s">
        <v>38</v>
      </c>
      <c r="F1513" s="2" t="s">
        <v>441</v>
      </c>
      <c r="G1513" s="12" t="s">
        <v>433</v>
      </c>
      <c r="H1513" s="58" t="str">
        <f>Table1[[#This Row],[Tabela]]&amp;Table1[[#This Row],[Campo]]</f>
        <v>lt006_instr_protprtctn_id</v>
      </c>
      <c r="I1513" s="2" t="s">
        <v>612</v>
      </c>
      <c r="J1513" s="44">
        <f>VLOOKUP(Table1[[#This Row],[Status]],Auxiliar!$B$16:$C$24,2,0)</f>
        <v>1</v>
      </c>
      <c r="K1513" s="20" t="s">
        <v>1176</v>
      </c>
      <c r="L1513" s="45" t="s">
        <v>1177</v>
      </c>
      <c r="M1513" s="20" t="s">
        <v>1178</v>
      </c>
      <c r="N1513" s="47">
        <v>45509</v>
      </c>
      <c r="O1513" s="112">
        <v>0.1</v>
      </c>
      <c r="P1513" s="2"/>
      <c r="Q1513" s="199"/>
      <c r="R1513" s="151"/>
      <c r="S1513" s="151"/>
      <c r="T1513" s="151"/>
      <c r="U1513" s="151"/>
      <c r="V1513" s="151"/>
      <c r="W1513" s="2">
        <f>VLOOKUP(Table1[[#This Row],[Status]],Auxiliar!$B$16:$D$24,3,0)*Table1[[#This Row],[Estimação (horas)]]</f>
        <v>0.1</v>
      </c>
      <c r="X1513" s="166">
        <f>+VLOOKUP(CONCATENATE(Table1[[#This Row],[Tabela]],Table1[[#This Row],[Campo]]),'2. Status Detalhe Campos FY24'!A:J,9,FALSE)</f>
        <v>0</v>
      </c>
    </row>
    <row r="1514" spans="2:24" ht="17.850000000000001" hidden="1" customHeight="1">
      <c r="B1514" s="38" t="s">
        <v>26</v>
      </c>
      <c r="C1514" s="38" t="s">
        <v>26</v>
      </c>
      <c r="D1514" s="19" t="s">
        <v>399</v>
      </c>
      <c r="E1514" s="111" t="s">
        <v>38</v>
      </c>
      <c r="F1514" s="2" t="s">
        <v>441</v>
      </c>
      <c r="G1514" s="12" t="s">
        <v>442</v>
      </c>
      <c r="H1514" s="58" t="str">
        <f>Table1[[#This Row],[Tabela]]&amp;Table1[[#This Row],[Campo]]</f>
        <v>lt006_instr_protprtctn_allctd_vl</v>
      </c>
      <c r="I1514" s="2" t="s">
        <v>2325</v>
      </c>
      <c r="J1514" s="44">
        <f>VLOOKUP(Table1[[#This Row],[Status]],Auxiliar!$B$16:$C$24,2,0)</f>
        <v>7</v>
      </c>
      <c r="K1514" s="20" t="s">
        <v>1176</v>
      </c>
      <c r="L1514" s="45" t="s">
        <v>1177</v>
      </c>
      <c r="M1514" s="20" t="s">
        <v>1178</v>
      </c>
      <c r="N1514" s="47">
        <v>45329</v>
      </c>
      <c r="O1514" s="112">
        <v>0.1</v>
      </c>
      <c r="P1514" s="2"/>
      <c r="Q1514" s="199"/>
      <c r="R1514" s="151"/>
      <c r="S1514" s="151"/>
      <c r="T1514" s="151"/>
      <c r="U1514" s="151"/>
      <c r="V1514" s="151"/>
      <c r="W1514" s="2">
        <f>VLOOKUP(Table1[[#This Row],[Status]],Auxiliar!$B$16:$D$24,3,0)*Table1[[#This Row],[Estimação (horas)]]</f>
        <v>2.5000000000000001E-2</v>
      </c>
      <c r="X1514" s="166">
        <f>+VLOOKUP(CONCATENATE(Table1[[#This Row],[Tabela]],Table1[[#This Row],[Campo]]),'2. Status Detalhe Campos FY24'!A:J,9,FALSE)</f>
        <v>0</v>
      </c>
    </row>
    <row r="1515" spans="2:24" ht="17.850000000000001" hidden="1" customHeight="1">
      <c r="B1515" s="38" t="s">
        <v>26</v>
      </c>
      <c r="C1515" s="38" t="s">
        <v>26</v>
      </c>
      <c r="D1515" s="19" t="s">
        <v>399</v>
      </c>
      <c r="E1515" s="111" t="s">
        <v>38</v>
      </c>
      <c r="F1515" s="2" t="s">
        <v>441</v>
      </c>
      <c r="G1515" s="12" t="s">
        <v>2295</v>
      </c>
      <c r="H1515" s="58" t="str">
        <f>Table1[[#This Row],[Tabela]]&amp;Table1[[#This Row],[Campo]]</f>
        <v>lt006_instr_protTYP_RLTN</v>
      </c>
      <c r="I1515" s="2" t="s">
        <v>2325</v>
      </c>
      <c r="J1515" s="44">
        <f>VLOOKUP(Table1[[#This Row],[Status]],Auxiliar!$B$16:$C$24,2,0)</f>
        <v>7</v>
      </c>
      <c r="K1515" s="20" t="s">
        <v>1176</v>
      </c>
      <c r="L1515" s="45" t="s">
        <v>1177</v>
      </c>
      <c r="M1515" s="20" t="s">
        <v>1178</v>
      </c>
      <c r="N1515" s="47">
        <v>45509</v>
      </c>
      <c r="O1515" s="112">
        <v>0.1</v>
      </c>
      <c r="P1515" s="2"/>
      <c r="Q1515" s="199"/>
      <c r="R1515" s="151"/>
      <c r="S1515" s="151"/>
      <c r="T1515" s="151"/>
      <c r="U1515" s="151"/>
      <c r="V1515" s="151"/>
      <c r="W1515" s="2">
        <f>VLOOKUP(Table1[[#This Row],[Status]],Auxiliar!$B$16:$D$24,3,0)*Table1[[#This Row],[Estimação (horas)]]</f>
        <v>2.5000000000000001E-2</v>
      </c>
      <c r="X1515" s="166">
        <f>+VLOOKUP(CONCATENATE(Table1[[#This Row],[Tabela]],Table1[[#This Row],[Campo]]),'2. Status Detalhe Campos FY24'!A:J,9,FALSE)</f>
        <v>0</v>
      </c>
    </row>
    <row r="1516" spans="2:24" ht="17.850000000000001" hidden="1" customHeight="1">
      <c r="B1516" s="38" t="s">
        <v>26</v>
      </c>
      <c r="C1516" s="38" t="s">
        <v>26</v>
      </c>
      <c r="D1516" s="19" t="s">
        <v>399</v>
      </c>
      <c r="E1516" s="111" t="s">
        <v>38</v>
      </c>
      <c r="F1516" s="31" t="s">
        <v>441</v>
      </c>
      <c r="G1516" s="19" t="s">
        <v>416</v>
      </c>
      <c r="H1516" s="58" t="str">
        <f>Table1[[#This Row],[Tabela]]&amp;Table1[[#This Row],[Campo]]</f>
        <v>lt006_instr_protcod_soc</v>
      </c>
      <c r="I1516" s="2" t="s">
        <v>612</v>
      </c>
      <c r="J1516" s="44">
        <f>VLOOKUP(Table1[[#This Row],[Status]],Auxiliar!$B$16:$C$24,2,0)</f>
        <v>1</v>
      </c>
      <c r="K1516" s="20" t="s">
        <v>1176</v>
      </c>
      <c r="L1516" s="45" t="s">
        <v>1177</v>
      </c>
      <c r="M1516" s="20" t="s">
        <v>1178</v>
      </c>
      <c r="N1516" s="47">
        <v>45509</v>
      </c>
      <c r="O1516" s="112">
        <v>0.1</v>
      </c>
      <c r="P1516" s="31"/>
      <c r="Q1516" s="199"/>
      <c r="R1516" s="151"/>
      <c r="S1516" s="151"/>
      <c r="T1516" s="151"/>
      <c r="U1516" s="151"/>
      <c r="V1516" s="151"/>
      <c r="W1516" s="2">
        <f>VLOOKUP(Table1[[#This Row],[Status]],Auxiliar!$B$16:$D$24,3,0)*Table1[[#This Row],[Estimação (horas)]]</f>
        <v>0.1</v>
      </c>
      <c r="X1516" s="166">
        <f>+VLOOKUP(CONCATENATE(Table1[[#This Row],[Tabela]],Table1[[#This Row],[Campo]]),'2. Status Detalhe Campos FY24'!A:J,9,FALSE)</f>
        <v>0</v>
      </c>
    </row>
    <row r="1517" spans="2:24" ht="17.850000000000001" hidden="1" customHeight="1">
      <c r="B1517" s="12" t="s">
        <v>26</v>
      </c>
      <c r="C1517" s="12" t="s">
        <v>181</v>
      </c>
      <c r="D1517" s="12" t="s">
        <v>1221</v>
      </c>
      <c r="E1517" s="2" t="s">
        <v>38</v>
      </c>
      <c r="F1517" s="2" t="s">
        <v>218</v>
      </c>
      <c r="G1517" s="12" t="s">
        <v>220</v>
      </c>
      <c r="H1517" s="58" t="str">
        <f>Table1[[#This Row],[Tabela]]&amp;Table1[[#This Row],[Campo]]</f>
        <v>modesg_inp_emss_nacenome_regiao</v>
      </c>
      <c r="I1517" s="2" t="s">
        <v>611</v>
      </c>
      <c r="J1517" s="44">
        <f>VLOOKUP(Table1[[#This Row],[Status]],Auxiliar!$B$16:$C$24,2,0)</f>
        <v>0</v>
      </c>
      <c r="K1517" s="20" t="s">
        <v>1182</v>
      </c>
      <c r="L1517" s="20" t="s">
        <v>1189</v>
      </c>
      <c r="M1517" s="20" t="s">
        <v>1178</v>
      </c>
      <c r="N1517" s="47">
        <v>45501</v>
      </c>
      <c r="O1517" s="20">
        <f>INDEX(Auxiliar!$D$5:$F$13,MATCH(Table1[[#This Row],[Tipologia_Testes]],Auxiliar!$B$5:$B$13,0),MATCH(Table1[[#This Row],[Complexidade]],Auxiliar!$D$4:$F$4,0))</f>
        <v>0.5</v>
      </c>
      <c r="P1517" s="2"/>
      <c r="Q1517" s="199"/>
      <c r="R1517" s="151"/>
      <c r="S1517" s="151"/>
      <c r="T1517" s="151"/>
      <c r="U1517" s="151"/>
      <c r="V1517" s="151"/>
      <c r="W1517" s="2">
        <f>VLOOKUP(Table1[[#This Row],[Status]],Auxiliar!$B$16:$D$24,3,0)*Table1[[#This Row],[Estimação (horas)]]</f>
        <v>0</v>
      </c>
      <c r="X1517" s="166">
        <f>+VLOOKUP(CONCATENATE(Table1[[#This Row],[Tabela]],Table1[[#This Row],[Campo]]),'2. Status Detalhe Campos FY24'!A:J,9,FALSE)</f>
        <v>0</v>
      </c>
    </row>
    <row r="1518" spans="2:24" ht="17.850000000000001" hidden="1" customHeight="1">
      <c r="B1518" s="12" t="s">
        <v>26</v>
      </c>
      <c r="C1518" s="12" t="s">
        <v>181</v>
      </c>
      <c r="D1518" s="12" t="s">
        <v>1221</v>
      </c>
      <c r="E1518" s="2" t="s">
        <v>38</v>
      </c>
      <c r="F1518" s="2" t="s">
        <v>218</v>
      </c>
      <c r="G1518" s="12" t="s">
        <v>643</v>
      </c>
      <c r="H1518" s="58" t="str">
        <f>Table1[[#This Row],[Tabela]]&amp;Table1[[#This Row],[Campo]]</f>
        <v>modesg_inp_emss_nacearea_atividade</v>
      </c>
      <c r="I1518" s="2" t="s">
        <v>611</v>
      </c>
      <c r="J1518" s="44">
        <f>VLOOKUP(Table1[[#This Row],[Status]],Auxiliar!$B$16:$C$24,2,0)</f>
        <v>0</v>
      </c>
      <c r="K1518" s="20" t="s">
        <v>1182</v>
      </c>
      <c r="L1518" s="20" t="s">
        <v>1189</v>
      </c>
      <c r="M1518" s="20" t="s">
        <v>1178</v>
      </c>
      <c r="N1518" s="47">
        <v>45501</v>
      </c>
      <c r="O1518" s="20">
        <f>INDEX(Auxiliar!$D$5:$F$13,MATCH(Table1[[#This Row],[Tipologia_Testes]],Auxiliar!$B$5:$B$13,0),MATCH(Table1[[#This Row],[Complexidade]],Auxiliar!$D$4:$F$4,0))</f>
        <v>0.5</v>
      </c>
      <c r="P1518" s="2"/>
      <c r="Q1518" s="199"/>
      <c r="R1518" s="151"/>
      <c r="S1518" s="151"/>
      <c r="T1518" s="151"/>
      <c r="U1518" s="151"/>
      <c r="V1518" s="151"/>
      <c r="W1518" s="2">
        <f>VLOOKUP(Table1[[#This Row],[Status]],Auxiliar!$B$16:$D$24,3,0)*Table1[[#This Row],[Estimação (horas)]]</f>
        <v>0</v>
      </c>
      <c r="X1518" s="166">
        <f>+VLOOKUP(CONCATENATE(Table1[[#This Row],[Tabela]],Table1[[#This Row],[Campo]]),'2. Status Detalhe Campos FY24'!A:J,9,FALSE)</f>
        <v>0</v>
      </c>
    </row>
    <row r="1519" spans="2:24" ht="17.850000000000001" hidden="1" customHeight="1">
      <c r="B1519" s="12" t="s">
        <v>26</v>
      </c>
      <c r="C1519" s="12" t="s">
        <v>181</v>
      </c>
      <c r="D1519" s="12" t="s">
        <v>1221</v>
      </c>
      <c r="E1519" s="2" t="s">
        <v>38</v>
      </c>
      <c r="F1519" s="2" t="s">
        <v>218</v>
      </c>
      <c r="G1519" s="12" t="s">
        <v>644</v>
      </c>
      <c r="H1519" s="58" t="str">
        <f>Table1[[#This Row],[Tabela]]&amp;Table1[[#This Row],[Campo]]</f>
        <v>modesg_inp_emss_nacetipo_atividade</v>
      </c>
      <c r="I1519" s="2" t="s">
        <v>611</v>
      </c>
      <c r="J1519" s="44">
        <f>VLOOKUP(Table1[[#This Row],[Status]],Auxiliar!$B$16:$C$24,2,0)</f>
        <v>0</v>
      </c>
      <c r="K1519" s="20" t="s">
        <v>1182</v>
      </c>
      <c r="L1519" s="20" t="s">
        <v>1189</v>
      </c>
      <c r="M1519" s="20" t="s">
        <v>1178</v>
      </c>
      <c r="N1519" s="47">
        <v>45501</v>
      </c>
      <c r="O1519" s="20">
        <f>INDEX(Auxiliar!$D$5:$F$13,MATCH(Table1[[#This Row],[Tipologia_Testes]],Auxiliar!$B$5:$B$13,0),MATCH(Table1[[#This Row],[Complexidade]],Auxiliar!$D$4:$F$4,0))</f>
        <v>0.5</v>
      </c>
      <c r="P1519" s="2"/>
      <c r="Q1519" s="199"/>
      <c r="R1519" s="151"/>
      <c r="S1519" s="151"/>
      <c r="T1519" s="151"/>
      <c r="U1519" s="151"/>
      <c r="V1519" s="151"/>
      <c r="W1519" s="2">
        <f>VLOOKUP(Table1[[#This Row],[Status]],Auxiliar!$B$16:$D$24,3,0)*Table1[[#This Row],[Estimação (horas)]]</f>
        <v>0</v>
      </c>
      <c r="X1519" s="166">
        <f>+VLOOKUP(CONCATENATE(Table1[[#This Row],[Tabela]],Table1[[#This Row],[Campo]]),'2. Status Detalhe Campos FY24'!A:J,9,FALSE)</f>
        <v>0</v>
      </c>
    </row>
    <row r="1520" spans="2:24" ht="17.850000000000001" hidden="1" customHeight="1">
      <c r="B1520" s="12" t="s">
        <v>26</v>
      </c>
      <c r="C1520" s="12" t="s">
        <v>181</v>
      </c>
      <c r="D1520" s="12" t="s">
        <v>1221</v>
      </c>
      <c r="E1520" s="2" t="s">
        <v>38</v>
      </c>
      <c r="F1520" s="2" t="s">
        <v>218</v>
      </c>
      <c r="G1520" s="12" t="s">
        <v>645</v>
      </c>
      <c r="H1520" s="58" t="str">
        <f>Table1[[#This Row],[Tabela]]&amp;Table1[[#This Row],[Campo]]</f>
        <v>modesg_inp_emss_nacesub_tipo_atividade_1</v>
      </c>
      <c r="I1520" s="2" t="s">
        <v>611</v>
      </c>
      <c r="J1520" s="44">
        <f>VLOOKUP(Table1[[#This Row],[Status]],Auxiliar!$B$16:$C$24,2,0)</f>
        <v>0</v>
      </c>
      <c r="K1520" s="20" t="s">
        <v>1182</v>
      </c>
      <c r="L1520" s="20" t="s">
        <v>1189</v>
      </c>
      <c r="M1520" s="20" t="s">
        <v>1178</v>
      </c>
      <c r="N1520" s="47">
        <v>45501</v>
      </c>
      <c r="O1520" s="20">
        <f>INDEX(Auxiliar!$D$5:$F$13,MATCH(Table1[[#This Row],[Tipologia_Testes]],Auxiliar!$B$5:$B$13,0),MATCH(Table1[[#This Row],[Complexidade]],Auxiliar!$D$4:$F$4,0))</f>
        <v>0.5</v>
      </c>
      <c r="P1520" s="2"/>
      <c r="Q1520" s="199"/>
      <c r="R1520" s="151"/>
      <c r="S1520" s="151"/>
      <c r="T1520" s="151"/>
      <c r="U1520" s="151"/>
      <c r="V1520" s="151"/>
      <c r="W1520" s="2">
        <f>VLOOKUP(Table1[[#This Row],[Status]],Auxiliar!$B$16:$D$24,3,0)*Table1[[#This Row],[Estimação (horas)]]</f>
        <v>0</v>
      </c>
      <c r="X1520" s="166">
        <f>+VLOOKUP(CONCATENATE(Table1[[#This Row],[Tabela]],Table1[[#This Row],[Campo]]),'2. Status Detalhe Campos FY24'!A:J,9,FALSE)</f>
        <v>0</v>
      </c>
    </row>
    <row r="1521" spans="2:24" ht="17.850000000000001" hidden="1" customHeight="1">
      <c r="B1521" s="12" t="s">
        <v>26</v>
      </c>
      <c r="C1521" s="12" t="s">
        <v>181</v>
      </c>
      <c r="D1521" s="12" t="s">
        <v>1221</v>
      </c>
      <c r="E1521" s="2" t="s">
        <v>38</v>
      </c>
      <c r="F1521" s="2" t="s">
        <v>218</v>
      </c>
      <c r="G1521" s="12" t="s">
        <v>646</v>
      </c>
      <c r="H1521" s="58" t="str">
        <f>Table1[[#This Row],[Tabela]]&amp;Table1[[#This Row],[Campo]]</f>
        <v>modesg_inp_emss_nacesub_tipo_atividade_2</v>
      </c>
      <c r="I1521" s="2" t="s">
        <v>611</v>
      </c>
      <c r="J1521" s="44">
        <f>VLOOKUP(Table1[[#This Row],[Status]],Auxiliar!$B$16:$C$24,2,0)</f>
        <v>0</v>
      </c>
      <c r="K1521" s="20" t="s">
        <v>1182</v>
      </c>
      <c r="L1521" s="20" t="s">
        <v>1189</v>
      </c>
      <c r="M1521" s="20" t="s">
        <v>1178</v>
      </c>
      <c r="N1521" s="47">
        <v>45501</v>
      </c>
      <c r="O1521" s="20">
        <f>INDEX(Auxiliar!$D$5:$F$13,MATCH(Table1[[#This Row],[Tipologia_Testes]],Auxiliar!$B$5:$B$13,0),MATCH(Table1[[#This Row],[Complexidade]],Auxiliar!$D$4:$F$4,0))</f>
        <v>0.5</v>
      </c>
      <c r="P1521" s="2"/>
      <c r="Q1521" s="199"/>
      <c r="R1521" s="151"/>
      <c r="S1521" s="151"/>
      <c r="T1521" s="151"/>
      <c r="U1521" s="151"/>
      <c r="V1521" s="151"/>
      <c r="W1521" s="2">
        <f>VLOOKUP(Table1[[#This Row],[Status]],Auxiliar!$B$16:$D$24,3,0)*Table1[[#This Row],[Estimação (horas)]]</f>
        <v>0</v>
      </c>
      <c r="X1521" s="166">
        <f>+VLOOKUP(CONCATENATE(Table1[[#This Row],[Tabela]],Table1[[#This Row],[Campo]]),'2. Status Detalhe Campos FY24'!A:J,9,FALSE)</f>
        <v>0</v>
      </c>
    </row>
    <row r="1522" spans="2:24" ht="17.850000000000001" hidden="1" customHeight="1">
      <c r="B1522" s="12" t="s">
        <v>26</v>
      </c>
      <c r="C1522" s="12" t="s">
        <v>181</v>
      </c>
      <c r="D1522" s="12" t="s">
        <v>1221</v>
      </c>
      <c r="E1522" s="2" t="s">
        <v>38</v>
      </c>
      <c r="F1522" s="2" t="s">
        <v>218</v>
      </c>
      <c r="G1522" s="12" t="s">
        <v>647</v>
      </c>
      <c r="H1522" s="58" t="str">
        <f>Table1[[#This Row],[Tabela]]&amp;Table1[[#This Row],[Campo]]</f>
        <v>modesg_inp_emss_naceunidades_unidade_funcional</v>
      </c>
      <c r="I1522" s="2" t="s">
        <v>611</v>
      </c>
      <c r="J1522" s="44">
        <f>VLOOKUP(Table1[[#This Row],[Status]],Auxiliar!$B$16:$C$24,2,0)</f>
        <v>0</v>
      </c>
      <c r="K1522" s="20" t="s">
        <v>1182</v>
      </c>
      <c r="L1522" s="20" t="s">
        <v>1189</v>
      </c>
      <c r="M1522" s="20" t="s">
        <v>1178</v>
      </c>
      <c r="N1522" s="47">
        <v>45501</v>
      </c>
      <c r="O1522" s="20">
        <f>INDEX(Auxiliar!$D$5:$F$13,MATCH(Table1[[#This Row],[Tipologia_Testes]],Auxiliar!$B$5:$B$13,0),MATCH(Table1[[#This Row],[Complexidade]],Auxiliar!$D$4:$F$4,0))</f>
        <v>0.5</v>
      </c>
      <c r="P1522" s="2"/>
      <c r="Q1522" s="199"/>
      <c r="R1522" s="151"/>
      <c r="S1522" s="151"/>
      <c r="T1522" s="151"/>
      <c r="U1522" s="151"/>
      <c r="V1522" s="151"/>
      <c r="W1522" s="2">
        <f>VLOOKUP(Table1[[#This Row],[Status]],Auxiliar!$B$16:$D$24,3,0)*Table1[[#This Row],[Estimação (horas)]]</f>
        <v>0</v>
      </c>
      <c r="X1522" s="166">
        <f>+VLOOKUP(CONCATENATE(Table1[[#This Row],[Tabela]],Table1[[#This Row],[Campo]]),'2. Status Detalhe Campos FY24'!A:J,9,FALSE)</f>
        <v>0</v>
      </c>
    </row>
    <row r="1523" spans="2:24" ht="17.850000000000001" hidden="1" customHeight="1">
      <c r="B1523" s="12" t="s">
        <v>26</v>
      </c>
      <c r="C1523" s="12" t="s">
        <v>181</v>
      </c>
      <c r="D1523" s="12" t="s">
        <v>1221</v>
      </c>
      <c r="E1523" s="2" t="s">
        <v>38</v>
      </c>
      <c r="F1523" s="2" t="s">
        <v>218</v>
      </c>
      <c r="G1523" s="12" t="s">
        <v>648</v>
      </c>
      <c r="H1523" s="58" t="str">
        <f>Table1[[#This Row],[Tabela]]&amp;Table1[[#This Row],[Campo]]</f>
        <v>modesg_inp_emss_nacefator_emissao</v>
      </c>
      <c r="I1523" s="2" t="s">
        <v>611</v>
      </c>
      <c r="J1523" s="44">
        <f>VLOOKUP(Table1[[#This Row],[Status]],Auxiliar!$B$16:$C$24,2,0)</f>
        <v>0</v>
      </c>
      <c r="K1523" s="20" t="s">
        <v>1182</v>
      </c>
      <c r="L1523" s="20" t="s">
        <v>1189</v>
      </c>
      <c r="M1523" s="20" t="s">
        <v>1178</v>
      </c>
      <c r="N1523" s="47">
        <v>45501</v>
      </c>
      <c r="O1523" s="20">
        <f>INDEX(Auxiliar!$D$5:$F$13,MATCH(Table1[[#This Row],[Tipologia_Testes]],Auxiliar!$B$5:$B$13,0),MATCH(Table1[[#This Row],[Complexidade]],Auxiliar!$D$4:$F$4,0))</f>
        <v>0.5</v>
      </c>
      <c r="P1523" s="2"/>
      <c r="Q1523" s="199"/>
      <c r="R1523" s="151"/>
      <c r="S1523" s="151"/>
      <c r="T1523" s="151"/>
      <c r="U1523" s="151"/>
      <c r="V1523" s="151"/>
      <c r="W1523" s="2">
        <f>VLOOKUP(Table1[[#This Row],[Status]],Auxiliar!$B$16:$D$24,3,0)*Table1[[#This Row],[Estimação (horas)]]</f>
        <v>0</v>
      </c>
      <c r="X1523" s="166">
        <f>+VLOOKUP(CONCATENATE(Table1[[#This Row],[Tabela]],Table1[[#This Row],[Campo]]),'2. Status Detalhe Campos FY24'!A:J,9,FALSE)</f>
        <v>0</v>
      </c>
    </row>
    <row r="1524" spans="2:24" ht="17.850000000000001" hidden="1" customHeight="1">
      <c r="B1524" s="12" t="s">
        <v>26</v>
      </c>
      <c r="C1524" s="12" t="s">
        <v>181</v>
      </c>
      <c r="D1524" s="12" t="s">
        <v>1221</v>
      </c>
      <c r="E1524" s="2" t="s">
        <v>38</v>
      </c>
      <c r="F1524" s="2" t="s">
        <v>213</v>
      </c>
      <c r="G1524" s="12" t="s">
        <v>649</v>
      </c>
      <c r="H1524" s="58" t="str">
        <f>Table1[[#This Row],[Tabela]]&amp;Table1[[#This Row],[Campo]]</f>
        <v>modesg_inp_km_medios_emss_vclsmedia_scp1_emss</v>
      </c>
      <c r="I1524" s="2" t="s">
        <v>611</v>
      </c>
      <c r="J1524" s="44">
        <f>VLOOKUP(Table1[[#This Row],[Status]],Auxiliar!$B$16:$C$24,2,0)</f>
        <v>0</v>
      </c>
      <c r="K1524" s="20" t="s">
        <v>1182</v>
      </c>
      <c r="L1524" s="20" t="s">
        <v>1189</v>
      </c>
      <c r="M1524" s="20" t="s">
        <v>1178</v>
      </c>
      <c r="N1524" s="47">
        <v>45491</v>
      </c>
      <c r="O1524" s="20">
        <f>INDEX(Auxiliar!$D$5:$F$13,MATCH(Table1[[#This Row],[Tipologia_Testes]],Auxiliar!$B$5:$B$13,0),MATCH(Table1[[#This Row],[Complexidade]],Auxiliar!$D$4:$F$4,0))</f>
        <v>0.5</v>
      </c>
      <c r="P1524" s="2"/>
      <c r="Q1524" s="199"/>
      <c r="R1524" s="151"/>
      <c r="S1524" s="151"/>
      <c r="T1524" s="151"/>
      <c r="U1524" s="151"/>
      <c r="V1524" s="151"/>
      <c r="W1524" s="2">
        <f>VLOOKUP(Table1[[#This Row],[Status]],Auxiliar!$B$16:$D$24,3,0)*Table1[[#This Row],[Estimação (horas)]]</f>
        <v>0</v>
      </c>
      <c r="X1524" s="166">
        <f>+VLOOKUP(CONCATENATE(Table1[[#This Row],[Tabela]],Table1[[#This Row],[Campo]]),'2. Status Detalhe Campos FY24'!A:J,9,FALSE)</f>
        <v>0</v>
      </c>
    </row>
    <row r="1525" spans="2:24" ht="17.55" hidden="1" customHeight="1">
      <c r="B1525" s="12" t="s">
        <v>26</v>
      </c>
      <c r="C1525" s="12" t="s">
        <v>181</v>
      </c>
      <c r="D1525" s="12" t="s">
        <v>1221</v>
      </c>
      <c r="E1525" s="2" t="s">
        <v>38</v>
      </c>
      <c r="F1525" s="2" t="s">
        <v>213</v>
      </c>
      <c r="G1525" s="12" t="s">
        <v>650</v>
      </c>
      <c r="H1525" s="58" t="str">
        <f>Table1[[#This Row],[Tabela]]&amp;Table1[[#This Row],[Campo]]</f>
        <v>modesg_inp_km_medios_emss_vclsmedia_scp2_emss</v>
      </c>
      <c r="I1525" s="2" t="s">
        <v>611</v>
      </c>
      <c r="J1525" s="44">
        <f>VLOOKUP(Table1[[#This Row],[Status]],Auxiliar!$B$16:$C$24,2,0)</f>
        <v>0</v>
      </c>
      <c r="K1525" s="20" t="s">
        <v>1182</v>
      </c>
      <c r="L1525" s="20" t="s">
        <v>1189</v>
      </c>
      <c r="M1525" s="20" t="s">
        <v>1178</v>
      </c>
      <c r="N1525" s="47">
        <v>45491</v>
      </c>
      <c r="O1525" s="20">
        <f>INDEX(Auxiliar!$D$5:$F$13,MATCH(Table1[[#This Row],[Tipologia_Testes]],Auxiliar!$B$5:$B$13,0),MATCH(Table1[[#This Row],[Complexidade]],Auxiliar!$D$4:$F$4,0))</f>
        <v>0.5</v>
      </c>
      <c r="P1525" s="2"/>
      <c r="Q1525" s="199"/>
      <c r="R1525" s="151"/>
      <c r="S1525" s="151"/>
      <c r="T1525" s="151"/>
      <c r="U1525" s="151"/>
      <c r="V1525" s="151"/>
      <c r="W1525" s="2">
        <f>VLOOKUP(Table1[[#This Row],[Status]],Auxiliar!$B$16:$D$24,3,0)*Table1[[#This Row],[Estimação (horas)]]</f>
        <v>0</v>
      </c>
      <c r="X1525" s="166">
        <f>+VLOOKUP(CONCATENATE(Table1[[#This Row],[Tabela]],Table1[[#This Row],[Campo]]),'2. Status Detalhe Campos FY24'!A:J,9,FALSE)</f>
        <v>0</v>
      </c>
    </row>
    <row r="1526" spans="2:24" ht="17.55" hidden="1" customHeight="1">
      <c r="B1526" s="19" t="s">
        <v>26</v>
      </c>
      <c r="C1526" s="19" t="s">
        <v>181</v>
      </c>
      <c r="D1526" s="12" t="s">
        <v>1221</v>
      </c>
      <c r="E1526" s="2" t="s">
        <v>38</v>
      </c>
      <c r="F1526" s="31" t="s">
        <v>213</v>
      </c>
      <c r="G1526" s="19" t="s">
        <v>651</v>
      </c>
      <c r="H1526" s="58" t="str">
        <f>Table1[[#This Row],[Tabela]]&amp;Table1[[#This Row],[Campo]]</f>
        <v>modesg_inp_km_medios_emss_vclsmedia_scp3_emss</v>
      </c>
      <c r="I1526" s="2" t="s">
        <v>611</v>
      </c>
      <c r="J1526" s="44">
        <f>VLOOKUP(Table1[[#This Row],[Status]],Auxiliar!$B$16:$C$24,2,0)</f>
        <v>0</v>
      </c>
      <c r="K1526" s="20" t="s">
        <v>1182</v>
      </c>
      <c r="L1526" s="20" t="s">
        <v>1189</v>
      </c>
      <c r="M1526" s="20" t="s">
        <v>1178</v>
      </c>
      <c r="N1526" s="47">
        <v>45491</v>
      </c>
      <c r="O1526" s="20">
        <f>INDEX(Auxiliar!$D$5:$F$13,MATCH(Table1[[#This Row],[Tipologia_Testes]],Auxiliar!$B$5:$B$13,0),MATCH(Table1[[#This Row],[Complexidade]],Auxiliar!$D$4:$F$4,0))</f>
        <v>0.5</v>
      </c>
      <c r="P1526" s="2" t="s">
        <v>1191</v>
      </c>
      <c r="Q1526" s="199"/>
      <c r="R1526" s="151"/>
      <c r="S1526" s="151"/>
      <c r="T1526" s="151"/>
      <c r="U1526" s="151"/>
      <c r="V1526" s="151"/>
      <c r="W1526" s="2">
        <f>VLOOKUP(Table1[[#This Row],[Status]],Auxiliar!$B$16:$D$24,3,0)*Table1[[#This Row],[Estimação (horas)]]</f>
        <v>0</v>
      </c>
      <c r="X1526" s="166">
        <f>+VLOOKUP(CONCATENATE(Table1[[#This Row],[Tabela]],Table1[[#This Row],[Campo]]),'2. Status Detalhe Campos FY24'!A:J,9,FALSE)</f>
        <v>0</v>
      </c>
    </row>
    <row r="1527" spans="2:24" ht="17.55" hidden="1" customHeight="1">
      <c r="B1527" s="19" t="s">
        <v>26</v>
      </c>
      <c r="C1527" s="19" t="s">
        <v>181</v>
      </c>
      <c r="D1527" s="12" t="s">
        <v>1221</v>
      </c>
      <c r="E1527" s="2" t="s">
        <v>38</v>
      </c>
      <c r="F1527" s="31" t="s">
        <v>2066</v>
      </c>
      <c r="G1527" s="19" t="s">
        <v>2067</v>
      </c>
      <c r="H1527" s="58" t="str">
        <f>Table1[[#This Row],[Tabela]]&amp;Table1[[#This Row],[Campo]]</f>
        <v>modesg_inp_project_financecodigo_unidade</v>
      </c>
      <c r="I1527" s="2" t="s">
        <v>612</v>
      </c>
      <c r="J1527" s="44">
        <f>VLOOKUP(Table1[[#This Row],[Status]],Auxiliar!$B$16:$C$24,2,0)</f>
        <v>1</v>
      </c>
      <c r="K1527" s="20" t="s">
        <v>1182</v>
      </c>
      <c r="L1527" s="20" t="s">
        <v>1177</v>
      </c>
      <c r="M1527" s="20" t="s">
        <v>1178</v>
      </c>
      <c r="N1527" s="47">
        <v>45688</v>
      </c>
      <c r="O1527" s="20" t="e">
        <f>INDEX(Auxiliar!$D$5:$F$11,MATCH(Table1[[#This Row],[Tipologia_Testes]],Auxiliar!$B$5:$B$11,0),MATCH(Table1[[#This Row],[Complexidade]],Auxiliar!$D$4:$F$4,0))</f>
        <v>#N/A</v>
      </c>
      <c r="P1527" s="2"/>
      <c r="Q1527" s="199"/>
      <c r="R1527" s="151"/>
      <c r="S1527" s="151"/>
      <c r="T1527" s="151"/>
      <c r="U1527" s="151"/>
      <c r="V1527" s="151"/>
      <c r="W1527" s="2" t="e">
        <f>VLOOKUP(Table1[[#This Row],[Status]],Auxiliar!$B$16:$D$24,3,0)*Table1[[#This Row],[Estimação (horas)]]</f>
        <v>#N/A</v>
      </c>
      <c r="X1527" s="166">
        <f>+VLOOKUP(CONCATENATE(Table1[[#This Row],[Tabela]],Table1[[#This Row],[Campo]]),'2. Status Detalhe Campos FY24'!A:J,9,FALSE)</f>
        <v>0</v>
      </c>
    </row>
    <row r="1528" spans="2:24" ht="17.55" hidden="1" customHeight="1">
      <c r="B1528" s="19" t="s">
        <v>26</v>
      </c>
      <c r="C1528" s="19" t="s">
        <v>181</v>
      </c>
      <c r="D1528" s="12" t="s">
        <v>1221</v>
      </c>
      <c r="E1528" s="2" t="s">
        <v>38</v>
      </c>
      <c r="F1528" s="31" t="s">
        <v>2066</v>
      </c>
      <c r="G1528" s="19" t="s">
        <v>2068</v>
      </c>
      <c r="H1528" s="58" t="str">
        <f>Table1[[#This Row],[Tabela]]&amp;Table1[[#This Row],[Campo]]</f>
        <v>modesg_inp_project_financenome_unidade</v>
      </c>
      <c r="I1528" s="2" t="s">
        <v>612</v>
      </c>
      <c r="J1528" s="44">
        <f>VLOOKUP(Table1[[#This Row],[Status]],Auxiliar!$B$16:$C$24,2,0)</f>
        <v>1</v>
      </c>
      <c r="K1528" s="20" t="s">
        <v>1182</v>
      </c>
      <c r="L1528" s="20" t="s">
        <v>1177</v>
      </c>
      <c r="M1528" s="20" t="s">
        <v>1178</v>
      </c>
      <c r="N1528" s="47">
        <v>45688</v>
      </c>
      <c r="O1528" s="20" t="e">
        <f>INDEX(Auxiliar!$D$5:$F$11,MATCH(Table1[[#This Row],[Tipologia_Testes]],Auxiliar!$B$5:$B$11,0),MATCH(Table1[[#This Row],[Complexidade]],Auxiliar!$D$4:$F$4,0))</f>
        <v>#N/A</v>
      </c>
      <c r="P1528" s="2"/>
      <c r="Q1528" s="199"/>
      <c r="R1528" s="151"/>
      <c r="S1528" s="151"/>
      <c r="T1528" s="151"/>
      <c r="U1528" s="151"/>
      <c r="V1528" s="151"/>
      <c r="W1528" s="2" t="e">
        <f>VLOOKUP(Table1[[#This Row],[Status]],Auxiliar!$B$16:$D$24,3,0)*Table1[[#This Row],[Estimação (horas)]]</f>
        <v>#N/A</v>
      </c>
      <c r="X1528" s="166">
        <f>+VLOOKUP(CONCATENATE(Table1[[#This Row],[Tabela]],Table1[[#This Row],[Campo]]),'2. Status Detalhe Campos FY24'!A:J,9,FALSE)</f>
        <v>0</v>
      </c>
    </row>
    <row r="1529" spans="2:24" ht="17.55" hidden="1" customHeight="1">
      <c r="B1529" s="19" t="s">
        <v>26</v>
      </c>
      <c r="C1529" s="19" t="s">
        <v>181</v>
      </c>
      <c r="D1529" s="12" t="s">
        <v>1221</v>
      </c>
      <c r="E1529" s="2" t="s">
        <v>38</v>
      </c>
      <c r="F1529" s="31" t="s">
        <v>2066</v>
      </c>
      <c r="G1529" s="19" t="s">
        <v>2069</v>
      </c>
      <c r="H1529" s="58" t="str">
        <f>Table1[[#This Row],[Tabela]]&amp;Table1[[#This Row],[Campo]]</f>
        <v>modesg_inp_project_financekgl</v>
      </c>
      <c r="I1529" s="2" t="s">
        <v>612</v>
      </c>
      <c r="J1529" s="44">
        <f>VLOOKUP(Table1[[#This Row],[Status]],Auxiliar!$B$16:$C$24,2,0)</f>
        <v>1</v>
      </c>
      <c r="K1529" s="20" t="s">
        <v>1182</v>
      </c>
      <c r="L1529" s="20" t="s">
        <v>1177</v>
      </c>
      <c r="M1529" s="20" t="s">
        <v>1178</v>
      </c>
      <c r="N1529" s="47">
        <v>45688</v>
      </c>
      <c r="O1529" s="20" t="e">
        <f>INDEX(Auxiliar!$D$5:$F$11,MATCH(Table1[[#This Row],[Tipologia_Testes]],Auxiliar!$B$5:$B$11,0),MATCH(Table1[[#This Row],[Complexidade]],Auxiliar!$D$4:$F$4,0))</f>
        <v>#N/A</v>
      </c>
      <c r="P1529" s="2"/>
      <c r="Q1529" s="199"/>
      <c r="R1529" s="151"/>
      <c r="S1529" s="151"/>
      <c r="T1529" s="151"/>
      <c r="U1529" s="151"/>
      <c r="V1529" s="151"/>
      <c r="W1529" s="2" t="e">
        <f>VLOOKUP(Table1[[#This Row],[Status]],Auxiliar!$B$16:$D$24,3,0)*Table1[[#This Row],[Estimação (horas)]]</f>
        <v>#N/A</v>
      </c>
      <c r="X1529" s="166">
        <f>+VLOOKUP(CONCATENATE(Table1[[#This Row],[Tabela]],Table1[[#This Row],[Campo]]),'2. Status Detalhe Campos FY24'!A:J,9,FALSE)</f>
        <v>0</v>
      </c>
    </row>
    <row r="1530" spans="2:24" ht="17.55" hidden="1" customHeight="1">
      <c r="B1530" s="19" t="s">
        <v>26</v>
      </c>
      <c r="C1530" s="19" t="s">
        <v>181</v>
      </c>
      <c r="D1530" s="12" t="s">
        <v>1221</v>
      </c>
      <c r="E1530" s="2" t="s">
        <v>38</v>
      </c>
      <c r="F1530" s="31" t="s">
        <v>2066</v>
      </c>
      <c r="G1530" s="19" t="s">
        <v>2070</v>
      </c>
      <c r="H1530" s="58" t="str">
        <f>Table1[[#This Row],[Tabela]]&amp;Table1[[#This Row],[Campo]]</f>
        <v>modesg_inp_project_financenome_legal_kgl</v>
      </c>
      <c r="I1530" s="2" t="s">
        <v>612</v>
      </c>
      <c r="J1530" s="44">
        <f>VLOOKUP(Table1[[#This Row],[Status]],Auxiliar!$B$16:$C$24,2,0)</f>
        <v>1</v>
      </c>
      <c r="K1530" s="20" t="s">
        <v>1182</v>
      </c>
      <c r="L1530" s="20" t="s">
        <v>1177</v>
      </c>
      <c r="M1530" s="20" t="s">
        <v>1178</v>
      </c>
      <c r="N1530" s="47">
        <v>45688</v>
      </c>
      <c r="O1530" s="20" t="e">
        <f>INDEX(Auxiliar!$D$5:$F$11,MATCH(Table1[[#This Row],[Tipologia_Testes]],Auxiliar!$B$5:$B$11,0),MATCH(Table1[[#This Row],[Complexidade]],Auxiliar!$D$4:$F$4,0))</f>
        <v>#N/A</v>
      </c>
      <c r="P1530" s="2"/>
      <c r="Q1530" s="199"/>
      <c r="R1530" s="151"/>
      <c r="S1530" s="151"/>
      <c r="T1530" s="151"/>
      <c r="U1530" s="151"/>
      <c r="V1530" s="151"/>
      <c r="W1530" s="2" t="e">
        <f>VLOOKUP(Table1[[#This Row],[Status]],Auxiliar!$B$16:$D$24,3,0)*Table1[[#This Row],[Estimação (horas)]]</f>
        <v>#N/A</v>
      </c>
      <c r="X1530" s="166">
        <f>+VLOOKUP(CONCATENATE(Table1[[#This Row],[Tabela]],Table1[[#This Row],[Campo]]),'2. Status Detalhe Campos FY24'!A:J,9,FALSE)</f>
        <v>0</v>
      </c>
    </row>
    <row r="1531" spans="2:24" ht="17.55" hidden="1" customHeight="1">
      <c r="B1531" s="19" t="s">
        <v>26</v>
      </c>
      <c r="C1531" s="19" t="s">
        <v>181</v>
      </c>
      <c r="D1531" s="12" t="s">
        <v>1221</v>
      </c>
      <c r="E1531" s="2" t="s">
        <v>38</v>
      </c>
      <c r="F1531" s="31" t="s">
        <v>2066</v>
      </c>
      <c r="G1531" s="19" t="s">
        <v>2071</v>
      </c>
      <c r="H1531" s="58" t="str">
        <f>Table1[[#This Row],[Tabela]]&amp;Table1[[#This Row],[Campo]]</f>
        <v>modesg_inp_project_financekgl_top_entidade_principal</v>
      </c>
      <c r="I1531" s="2" t="s">
        <v>612</v>
      </c>
      <c r="J1531" s="44">
        <f>VLOOKUP(Table1[[#This Row],[Status]],Auxiliar!$B$16:$C$24,2,0)</f>
        <v>1</v>
      </c>
      <c r="K1531" s="20" t="s">
        <v>1182</v>
      </c>
      <c r="L1531" s="20" t="s">
        <v>1177</v>
      </c>
      <c r="M1531" s="20" t="s">
        <v>1178</v>
      </c>
      <c r="N1531" s="47">
        <v>45688</v>
      </c>
      <c r="O1531" s="20" t="e">
        <f>INDEX(Auxiliar!$D$5:$F$11,MATCH(Table1[[#This Row],[Tipologia_Testes]],Auxiliar!$B$5:$B$11,0),MATCH(Table1[[#This Row],[Complexidade]],Auxiliar!$D$4:$F$4,0))</f>
        <v>#N/A</v>
      </c>
      <c r="P1531" s="2"/>
      <c r="Q1531" s="199"/>
      <c r="R1531" s="151"/>
      <c r="S1531" s="151"/>
      <c r="T1531" s="151"/>
      <c r="U1531" s="151"/>
      <c r="V1531" s="151"/>
      <c r="W1531" s="2" t="e">
        <f>VLOOKUP(Table1[[#This Row],[Status]],Auxiliar!$B$16:$D$24,3,0)*Table1[[#This Row],[Estimação (horas)]]</f>
        <v>#N/A</v>
      </c>
      <c r="X1531" s="166">
        <f>+VLOOKUP(CONCATENATE(Table1[[#This Row],[Tabela]],Table1[[#This Row],[Campo]]),'2. Status Detalhe Campos FY24'!A:J,9,FALSE)</f>
        <v>0</v>
      </c>
    </row>
    <row r="1532" spans="2:24" ht="17.55" hidden="1" customHeight="1">
      <c r="B1532" s="19" t="s">
        <v>26</v>
      </c>
      <c r="C1532" s="19" t="s">
        <v>181</v>
      </c>
      <c r="D1532" s="12" t="s">
        <v>1221</v>
      </c>
      <c r="E1532" s="2" t="s">
        <v>38</v>
      </c>
      <c r="F1532" s="31" t="s">
        <v>2066</v>
      </c>
      <c r="G1532" s="19" t="s">
        <v>2072</v>
      </c>
      <c r="H1532" s="58" t="str">
        <f>Table1[[#This Row],[Tabela]]&amp;Table1[[#This Row],[Campo]]</f>
        <v>modesg_inp_project_financekgl_entidade_principal</v>
      </c>
      <c r="I1532" s="2" t="s">
        <v>612</v>
      </c>
      <c r="J1532" s="44">
        <f>VLOOKUP(Table1[[#This Row],[Status]],Auxiliar!$B$16:$C$24,2,0)</f>
        <v>1</v>
      </c>
      <c r="K1532" s="20" t="s">
        <v>1182</v>
      </c>
      <c r="L1532" s="20" t="s">
        <v>1177</v>
      </c>
      <c r="M1532" s="20" t="s">
        <v>1178</v>
      </c>
      <c r="N1532" s="47">
        <v>45688</v>
      </c>
      <c r="O1532" s="20" t="e">
        <f>INDEX(Auxiliar!$D$5:$F$11,MATCH(Table1[[#This Row],[Tipologia_Testes]],Auxiliar!$B$5:$B$11,0),MATCH(Table1[[#This Row],[Complexidade]],Auxiliar!$D$4:$F$4,0))</f>
        <v>#N/A</v>
      </c>
      <c r="P1532" s="2"/>
      <c r="Q1532" s="199"/>
      <c r="R1532" s="151"/>
      <c r="S1532" s="151"/>
      <c r="T1532" s="151"/>
      <c r="U1532" s="151"/>
      <c r="V1532" s="151"/>
      <c r="W1532" s="2" t="e">
        <f>VLOOKUP(Table1[[#This Row],[Status]],Auxiliar!$B$16:$D$24,3,0)*Table1[[#This Row],[Estimação (horas)]]</f>
        <v>#N/A</v>
      </c>
      <c r="X1532" s="166">
        <f>+VLOOKUP(CONCATENATE(Table1[[#This Row],[Tabela]],Table1[[#This Row],[Campo]]),'2. Status Detalhe Campos FY24'!A:J,9,FALSE)</f>
        <v>0</v>
      </c>
    </row>
    <row r="1533" spans="2:24" ht="17.55" hidden="1" customHeight="1">
      <c r="B1533" s="19" t="s">
        <v>26</v>
      </c>
      <c r="C1533" s="19" t="s">
        <v>181</v>
      </c>
      <c r="D1533" s="12" t="s">
        <v>1221</v>
      </c>
      <c r="E1533" s="2" t="s">
        <v>38</v>
      </c>
      <c r="F1533" s="31" t="s">
        <v>2066</v>
      </c>
      <c r="G1533" s="19" t="s">
        <v>2073</v>
      </c>
      <c r="H1533" s="58" t="str">
        <f>Table1[[#This Row],[Tabela]]&amp;Table1[[#This Row],[Campo]]</f>
        <v>modesg_inp_project_financenome_top_entidade_principal</v>
      </c>
      <c r="I1533" s="2" t="s">
        <v>612</v>
      </c>
      <c r="J1533" s="44">
        <f>VLOOKUP(Table1[[#This Row],[Status]],Auxiliar!$B$16:$C$24,2,0)</f>
        <v>1</v>
      </c>
      <c r="K1533" s="20" t="s">
        <v>1182</v>
      </c>
      <c r="L1533" s="20" t="s">
        <v>1177</v>
      </c>
      <c r="M1533" s="20" t="s">
        <v>1178</v>
      </c>
      <c r="N1533" s="47">
        <v>45688</v>
      </c>
      <c r="O1533" s="20" t="e">
        <f>INDEX(Auxiliar!$D$5:$F$11,MATCH(Table1[[#This Row],[Tipologia_Testes]],Auxiliar!$B$5:$B$11,0),MATCH(Table1[[#This Row],[Complexidade]],Auxiliar!$D$4:$F$4,0))</f>
        <v>#N/A</v>
      </c>
      <c r="P1533" s="2"/>
      <c r="Q1533" s="199"/>
      <c r="R1533" s="151"/>
      <c r="S1533" s="151"/>
      <c r="T1533" s="151"/>
      <c r="U1533" s="151"/>
      <c r="V1533" s="151"/>
      <c r="W1533" s="2" t="e">
        <f>VLOOKUP(Table1[[#This Row],[Status]],Auxiliar!$B$16:$D$24,3,0)*Table1[[#This Row],[Estimação (horas)]]</f>
        <v>#N/A</v>
      </c>
      <c r="X1533" s="166">
        <f>+VLOOKUP(CONCATENATE(Table1[[#This Row],[Tabela]],Table1[[#This Row],[Campo]]),'2. Status Detalhe Campos FY24'!A:J,9,FALSE)</f>
        <v>0</v>
      </c>
    </row>
    <row r="1534" spans="2:24" ht="17.55" hidden="1" customHeight="1">
      <c r="B1534" s="19" t="s">
        <v>26</v>
      </c>
      <c r="C1534" s="19" t="s">
        <v>181</v>
      </c>
      <c r="D1534" s="12" t="s">
        <v>1221</v>
      </c>
      <c r="E1534" s="2" t="s">
        <v>38</v>
      </c>
      <c r="F1534" s="31" t="s">
        <v>2066</v>
      </c>
      <c r="G1534" s="348" t="s">
        <v>2074</v>
      </c>
      <c r="H1534" s="350" t="str">
        <f>Table1[[#This Row],[Tabela]]&amp;Table1[[#This Row],[Campo]]</f>
        <v>modesg_inp_project_financecodigo_unidade_operativa</v>
      </c>
      <c r="I1534" s="2" t="s">
        <v>612</v>
      </c>
      <c r="J1534" s="351">
        <f>VLOOKUP(Table1[[#This Row],[Status]],Auxiliar!$B$16:$C$24,2,0)</f>
        <v>1</v>
      </c>
      <c r="K1534" s="20" t="s">
        <v>1182</v>
      </c>
      <c r="L1534" s="20" t="s">
        <v>1177</v>
      </c>
      <c r="M1534" s="20" t="s">
        <v>1178</v>
      </c>
      <c r="N1534" s="47">
        <v>45688</v>
      </c>
      <c r="O1534" s="352" t="e">
        <f>INDEX(Auxiliar!$D$5:$F$11,MATCH(Table1[[#This Row],[Tipologia_Testes]],Auxiliar!$B$5:$B$11,0),MATCH(Table1[[#This Row],[Complexidade]],Auxiliar!$D$4:$F$4,0))</f>
        <v>#N/A</v>
      </c>
      <c r="P1534" s="349"/>
      <c r="Q1534" s="353"/>
      <c r="R1534" s="354"/>
      <c r="S1534" s="355"/>
      <c r="T1534" s="355"/>
      <c r="U1534" s="355"/>
      <c r="V1534" s="355"/>
      <c r="W1534" s="349" t="e">
        <f>VLOOKUP(Table1[[#This Row],[Status]],Auxiliar!$B$16:$D$24,3,0)*Table1[[#This Row],[Estimação (horas)]]</f>
        <v>#N/A</v>
      </c>
      <c r="X1534" s="166">
        <f>+VLOOKUP(CONCATENATE(Table1[[#This Row],[Tabela]],Table1[[#This Row],[Campo]]),'2. Status Detalhe Campos FY24'!A:J,9,FALSE)</f>
        <v>0</v>
      </c>
    </row>
    <row r="1535" spans="2:24" ht="17.399999999999999" hidden="1">
      <c r="B1535" s="19" t="s">
        <v>26</v>
      </c>
      <c r="C1535" s="19" t="s">
        <v>181</v>
      </c>
      <c r="D1535" s="12" t="s">
        <v>1221</v>
      </c>
      <c r="E1535" s="2" t="s">
        <v>38</v>
      </c>
      <c r="F1535" s="31" t="s">
        <v>2066</v>
      </c>
      <c r="G1535" s="19" t="s">
        <v>2075</v>
      </c>
      <c r="H1535" s="350" t="str">
        <f>Table1[[#This Row],[Tabela]]&amp;Table1[[#This Row],[Campo]]</f>
        <v>modesg_inp_project_financenome_entidade_operativa</v>
      </c>
      <c r="I1535" s="2" t="s">
        <v>612</v>
      </c>
      <c r="J1535" s="351">
        <f>VLOOKUP(Table1[[#This Row],[Status]],Auxiliar!$B$16:$C$24,2,0)</f>
        <v>1</v>
      </c>
      <c r="K1535" s="20" t="s">
        <v>1182</v>
      </c>
      <c r="L1535" s="20" t="s">
        <v>1177</v>
      </c>
      <c r="M1535" s="20" t="s">
        <v>1178</v>
      </c>
      <c r="N1535" s="47">
        <v>45688</v>
      </c>
      <c r="O1535" s="352" t="e">
        <f>INDEX(Auxiliar!$D$5:$F$11,MATCH(Table1[[#This Row],[Tipologia_Testes]],Auxiliar!$B$5:$B$11,0),MATCH(Table1[[#This Row],[Complexidade]],Auxiliar!$D$4:$F$4,0))</f>
        <v>#N/A</v>
      </c>
      <c r="P1535" s="2"/>
      <c r="Q1535" s="199"/>
      <c r="R1535" s="151"/>
      <c r="S1535" s="151"/>
      <c r="T1535" s="151"/>
      <c r="U1535" s="151"/>
      <c r="V1535" s="151"/>
      <c r="W1535" s="2"/>
      <c r="X1535" s="166">
        <f>+VLOOKUP(CONCATENATE(Table1[[#This Row],[Tabela]],Table1[[#This Row],[Campo]]),'2. Status Detalhe Campos FY24'!A:J,9,FALSE)</f>
        <v>0</v>
      </c>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3" operator="containsText" id="{8983D8D5-C2D6-4B72-B323-1B9C72824199}">
            <xm:f>NOT(ISERROR(SEARCH(Auxiliar!$B$21,I10)))</xm:f>
            <xm:f>Auxiliar!$B$21</xm:f>
            <x14:dxf>
              <font>
                <b/>
                <i val="0"/>
                <color rgb="FFFFC000"/>
              </font>
              <fill>
                <patternFill>
                  <bgColor theme="9" tint="0.59996337778862885"/>
                </patternFill>
              </fill>
            </x14:dxf>
          </x14:cfRule>
          <x14:cfRule type="cellIs" priority="74" operator="equal" id="{851F9D3C-DE91-4C20-A255-DBA976D47256}">
            <xm:f>Auxiliar!$B$24</xm:f>
            <x14:dxf>
              <font>
                <b/>
                <i val="0"/>
                <color theme="1"/>
              </font>
              <fill>
                <patternFill patternType="darkUp">
                  <bgColor theme="0"/>
                </patternFill>
              </fill>
            </x14:dxf>
          </x14:cfRule>
          <x14:cfRule type="cellIs" priority="75" operator="equal" id="{AEB76678-92B6-4E42-BA0D-898B2AB889D7}">
            <xm:f>Auxiliar!$B$18</xm:f>
            <x14:dxf>
              <font>
                <b/>
                <i val="0"/>
                <color theme="0" tint="-0.499984740745262"/>
              </font>
              <fill>
                <patternFill>
                  <bgColor theme="0" tint="-4.9989318521683403E-2"/>
                </patternFill>
              </fill>
            </x14:dxf>
          </x14:cfRule>
          <x14:cfRule type="containsText" priority="76" operator="containsText" id="{0FA99019-873A-4C78-82AA-9EEE3B126F8F}">
            <xm:f>NOT(ISERROR(SEARCH(Auxiliar!$B$22,I10)))</xm:f>
            <xm:f>Auxiliar!$B$22</xm:f>
            <x14:dxf>
              <font>
                <b/>
                <i val="0"/>
                <color rgb="FFC00000"/>
              </font>
              <fill>
                <patternFill>
                  <bgColor theme="4" tint="0.79998168889431442"/>
                </patternFill>
              </fill>
            </x14:dxf>
          </x14:cfRule>
          <x14:cfRule type="containsText" priority="77" operator="containsText" id="{A5A57686-717C-424E-ACA5-1F1162CB1E85}">
            <xm:f>NOT(ISERROR(SEARCH(Auxiliar!$B$19,I10)))</xm:f>
            <xm:f>Auxiliar!$B$19</xm:f>
            <x14:dxf>
              <font>
                <b/>
                <i val="0"/>
                <color theme="9" tint="-0.499984740745262"/>
              </font>
              <fill>
                <patternFill>
                  <bgColor theme="9" tint="0.79998168889431442"/>
                </patternFill>
              </fill>
            </x14:dxf>
          </x14:cfRule>
          <x14:cfRule type="containsText" priority="78" operator="containsText" id="{415BD618-B6DB-47BA-AC61-D38B6035A87E}">
            <xm:f>NOT(ISERROR(SEARCH(Auxiliar!$B$16,I10)))</xm:f>
            <xm:f>Auxiliar!$B$16</xm:f>
            <x14:dxf>
              <font>
                <b/>
                <i val="0"/>
                <color theme="7"/>
              </font>
              <fill>
                <patternFill>
                  <bgColor theme="7" tint="0.79998168889431442"/>
                </patternFill>
              </fill>
            </x14:dxf>
          </x14:cfRule>
          <xm:sqref>I10:I11 I248:J290</xm:sqref>
        </x14:conditionalFormatting>
        <x14:conditionalFormatting xmlns:xm="http://schemas.microsoft.com/office/excel/2006/main">
          <x14:cfRule type="containsText" priority="355" operator="containsText" id="{F0FC3167-D078-4732-B252-F6CF35A33118}">
            <xm:f>NOT(ISERROR(SEARCH(Auxiliar!$B$21,I193)))</xm:f>
            <xm:f>Auxiliar!$B$21</xm:f>
            <x14:dxf>
              <font>
                <b/>
                <i val="0"/>
                <color rgb="FFFFC000"/>
              </font>
              <fill>
                <patternFill>
                  <bgColor theme="9" tint="0.59996337778862885"/>
                </patternFill>
              </fill>
            </x14:dxf>
          </x14:cfRule>
          <x14:cfRule type="cellIs" priority="356" operator="equal" id="{0DF84132-7044-4342-A136-5BB25A806900}">
            <xm:f>Auxiliar!$B$24</xm:f>
            <x14:dxf>
              <font>
                <b/>
                <i val="0"/>
                <color theme="1"/>
              </font>
              <fill>
                <patternFill patternType="darkUp">
                  <bgColor theme="0"/>
                </patternFill>
              </fill>
            </x14:dxf>
          </x14:cfRule>
          <x14:cfRule type="cellIs" priority="357" operator="equal" id="{0AA668F3-08F2-48AD-824F-FDAAFE4C3390}">
            <xm:f>Auxiliar!$B$18</xm:f>
            <x14:dxf>
              <font>
                <b/>
                <i val="0"/>
                <color theme="0" tint="-0.499984740745262"/>
              </font>
              <fill>
                <patternFill>
                  <bgColor theme="0" tint="-4.9989318521683403E-2"/>
                </patternFill>
              </fill>
            </x14:dxf>
          </x14:cfRule>
          <x14:cfRule type="containsText" priority="358" operator="containsText" id="{2F2F1030-A93F-4284-BDDC-9C16098FB547}">
            <xm:f>NOT(ISERROR(SEARCH(Auxiliar!$B$22,I193)))</xm:f>
            <xm:f>Auxiliar!$B$22</xm:f>
            <x14:dxf>
              <font>
                <b/>
                <i val="0"/>
                <color rgb="FFC00000"/>
              </font>
              <fill>
                <patternFill>
                  <bgColor theme="4" tint="0.79998168889431442"/>
                </patternFill>
              </fill>
            </x14:dxf>
          </x14:cfRule>
          <x14:cfRule type="containsText" priority="359" operator="containsText" id="{8B608662-470C-4F3E-9E18-1AFCEE672B2F}">
            <xm:f>NOT(ISERROR(SEARCH(Auxiliar!$B$19,I193)))</xm:f>
            <xm:f>Auxiliar!$B$19</xm:f>
            <x14:dxf>
              <font>
                <b/>
                <i val="0"/>
                <color theme="9" tint="-0.499984740745262"/>
              </font>
              <fill>
                <patternFill>
                  <bgColor theme="9" tint="0.79998168889431442"/>
                </patternFill>
              </fill>
            </x14:dxf>
          </x14:cfRule>
          <x14:cfRule type="containsText" priority="360" operator="containsText" id="{7629F55A-D9CB-4BF4-A52D-9E00F0CCDEF2}">
            <xm:f>NOT(ISERROR(SEARCH(Auxiliar!$B$16,I193)))</xm:f>
            <xm:f>Auxiliar!$B$16</xm:f>
            <x14:dxf>
              <font>
                <b/>
                <i val="0"/>
                <color theme="7"/>
              </font>
              <fill>
                <patternFill>
                  <bgColor theme="7" tint="0.79998168889431442"/>
                </patternFill>
              </fill>
            </x14:dxf>
          </x14:cfRule>
          <xm:sqref>I193:I195</xm:sqref>
        </x14:conditionalFormatting>
        <x14:conditionalFormatting xmlns:xm="http://schemas.microsoft.com/office/excel/2006/main">
          <x14:cfRule type="containsText" priority="79" operator="containsText" id="{680189A3-E553-4E28-88AF-4BE37876E399}">
            <xm:f>NOT(ISERROR(SEARCH(Auxiliar!$B$21,I224)))</xm:f>
            <xm:f>Auxiliar!$B$21</xm:f>
            <x14:dxf>
              <font>
                <b/>
                <i val="0"/>
                <color rgb="FFFFC000"/>
              </font>
              <fill>
                <patternFill>
                  <bgColor theme="9" tint="0.59996337778862885"/>
                </patternFill>
              </fill>
            </x14:dxf>
          </x14:cfRule>
          <x14:cfRule type="cellIs" priority="80" operator="equal" id="{837D1480-3614-407B-A9D1-E2F5BA61EA3D}">
            <xm:f>Auxiliar!$B$24</xm:f>
            <x14:dxf>
              <font>
                <b/>
                <i val="0"/>
                <color theme="1"/>
              </font>
              <fill>
                <patternFill patternType="darkUp">
                  <bgColor theme="0"/>
                </patternFill>
              </fill>
            </x14:dxf>
          </x14:cfRule>
          <x14:cfRule type="cellIs" priority="81" operator="equal" id="{782D49B3-623A-4DF5-8308-75A6F81A19FD}">
            <xm:f>Auxiliar!$B$18</xm:f>
            <x14:dxf>
              <font>
                <b/>
                <i val="0"/>
                <color theme="0" tint="-0.499984740745262"/>
              </font>
              <fill>
                <patternFill>
                  <bgColor theme="0" tint="-4.9989318521683403E-2"/>
                </patternFill>
              </fill>
            </x14:dxf>
          </x14:cfRule>
          <x14:cfRule type="containsText" priority="82" operator="containsText" id="{C205C645-60BD-4A28-A3C2-A05369D77106}">
            <xm:f>NOT(ISERROR(SEARCH(Auxiliar!$B$22,I224)))</xm:f>
            <xm:f>Auxiliar!$B$22</xm:f>
            <x14:dxf>
              <font>
                <b/>
                <i val="0"/>
                <color rgb="FFC00000"/>
              </font>
              <fill>
                <patternFill>
                  <bgColor theme="4" tint="0.79998168889431442"/>
                </patternFill>
              </fill>
            </x14:dxf>
          </x14:cfRule>
          <x14:cfRule type="containsText" priority="83" operator="containsText" id="{3B79FD3F-1308-4A72-955E-634AFEEBC48D}">
            <xm:f>NOT(ISERROR(SEARCH(Auxiliar!$B$19,I224)))</xm:f>
            <xm:f>Auxiliar!$B$19</xm:f>
            <x14:dxf>
              <font>
                <b/>
                <i val="0"/>
                <color theme="9" tint="-0.499984740745262"/>
              </font>
              <fill>
                <patternFill>
                  <bgColor theme="9" tint="0.79998168889431442"/>
                </patternFill>
              </fill>
            </x14:dxf>
          </x14:cfRule>
          <x14:cfRule type="containsText" priority="84" operator="containsText" id="{26A20443-BC57-4315-9725-5F704346CF3C}">
            <xm:f>NOT(ISERROR(SEARCH(Auxiliar!$B$16,I224)))</xm:f>
            <xm:f>Auxiliar!$B$16</xm:f>
            <x14:dxf>
              <font>
                <b/>
                <i val="0"/>
                <color theme="7"/>
              </font>
              <fill>
                <patternFill>
                  <bgColor theme="7" tint="0.79998168889431442"/>
                </patternFill>
              </fill>
            </x14:dxf>
          </x14:cfRule>
          <xm:sqref>I224:I226 I291:I293 I318:I320 I663:I685 I245:I247</xm:sqref>
        </x14:conditionalFormatting>
        <x14:conditionalFormatting xmlns:xm="http://schemas.microsoft.com/office/excel/2006/main">
          <x14:cfRule type="containsText" priority="61" operator="containsText" id="{BA88C474-7CD5-48E4-BBD7-168BDC558FC6}">
            <xm:f>NOT(ISERROR(SEARCH(Auxiliar!$B$21,I393)))</xm:f>
            <xm:f>Auxiliar!$B$21</xm:f>
            <x14:dxf>
              <font>
                <b/>
                <i val="0"/>
                <color rgb="FFFFC000"/>
              </font>
              <fill>
                <patternFill>
                  <bgColor theme="9" tint="0.59996337778862885"/>
                </patternFill>
              </fill>
            </x14:dxf>
          </x14:cfRule>
          <x14:cfRule type="cellIs" priority="62" operator="equal" id="{09D83F8A-0668-4607-A721-73C22171BC18}">
            <xm:f>Auxiliar!$B$24</xm:f>
            <x14:dxf>
              <font>
                <b/>
                <i val="0"/>
                <color theme="1"/>
              </font>
              <fill>
                <patternFill patternType="darkUp">
                  <bgColor theme="0"/>
                </patternFill>
              </fill>
            </x14:dxf>
          </x14:cfRule>
          <x14:cfRule type="cellIs" priority="63" operator="equal" id="{630BCF05-930B-451C-86BD-163F900C7CF1}">
            <xm:f>Auxiliar!$B$18</xm:f>
            <x14:dxf>
              <font>
                <b/>
                <i val="0"/>
                <color theme="0" tint="-0.499984740745262"/>
              </font>
              <fill>
                <patternFill>
                  <bgColor theme="0" tint="-4.9989318521683403E-2"/>
                </patternFill>
              </fill>
            </x14:dxf>
          </x14:cfRule>
          <x14:cfRule type="containsText" priority="64" operator="containsText" id="{BF81759B-9A73-4F4E-A14D-5B0AFAE1F960}">
            <xm:f>NOT(ISERROR(SEARCH(Auxiliar!$B$22,I393)))</xm:f>
            <xm:f>Auxiliar!$B$22</xm:f>
            <x14:dxf>
              <font>
                <b/>
                <i val="0"/>
                <color rgb="FFC00000"/>
              </font>
              <fill>
                <patternFill>
                  <bgColor theme="4" tint="0.79998168889431442"/>
                </patternFill>
              </fill>
            </x14:dxf>
          </x14:cfRule>
          <x14:cfRule type="containsText" priority="65" operator="containsText" id="{11F071DA-A70A-402B-BA4D-93B21A89D57D}">
            <xm:f>NOT(ISERROR(SEARCH(Auxiliar!$B$19,I393)))</xm:f>
            <xm:f>Auxiliar!$B$19</xm:f>
            <x14:dxf>
              <font>
                <b/>
                <i val="0"/>
                <color theme="9" tint="-0.499984740745262"/>
              </font>
              <fill>
                <patternFill>
                  <bgColor theme="9" tint="0.79998168889431442"/>
                </patternFill>
              </fill>
            </x14:dxf>
          </x14:cfRule>
          <x14:cfRule type="containsText" priority="66" operator="containsText" id="{936ADC1F-ED34-4A69-B09A-51B306E204CC}">
            <xm:f>NOT(ISERROR(SEARCH(Auxiliar!$B$16,I393)))</xm:f>
            <xm:f>Auxiliar!$B$16</xm:f>
            <x14:dxf>
              <font>
                <b/>
                <i val="0"/>
                <color theme="7"/>
              </font>
              <fill>
                <patternFill>
                  <bgColor theme="7" tint="0.79998168889431442"/>
                </patternFill>
              </fill>
            </x14:dxf>
          </x14:cfRule>
          <xm:sqref>I393:I418</xm:sqref>
        </x14:conditionalFormatting>
        <x14:conditionalFormatting xmlns:xm="http://schemas.microsoft.com/office/excel/2006/main">
          <x14:cfRule type="containsText" priority="19" operator="containsText" id="{F37540B4-F195-417D-8B16-937C79358CD4}">
            <xm:f>NOT(ISERROR(SEARCH(Auxiliar!$B$21,I802)))</xm:f>
            <xm:f>Auxiliar!$B$21</xm:f>
            <x14:dxf>
              <font>
                <b/>
                <i val="0"/>
                <color rgb="FFFFC000"/>
              </font>
              <fill>
                <patternFill>
                  <bgColor theme="9" tint="0.59996337778862885"/>
                </patternFill>
              </fill>
            </x14:dxf>
          </x14:cfRule>
          <x14:cfRule type="cellIs" priority="20" operator="equal" id="{CFAA4FF6-8EEE-4092-88A7-C231D2EF2BB4}">
            <xm:f>Auxiliar!$B$24</xm:f>
            <x14:dxf>
              <font>
                <b/>
                <i val="0"/>
                <color theme="1"/>
              </font>
              <fill>
                <patternFill patternType="darkUp">
                  <bgColor theme="0"/>
                </patternFill>
              </fill>
            </x14:dxf>
          </x14:cfRule>
          <x14:cfRule type="cellIs" priority="21" operator="equal" id="{7A0F1BFC-7107-4EA5-AA94-1C72B2105371}">
            <xm:f>Auxiliar!$B$18</xm:f>
            <x14:dxf>
              <font>
                <b/>
                <i val="0"/>
                <color theme="0" tint="-0.499984740745262"/>
              </font>
              <fill>
                <patternFill>
                  <bgColor theme="0" tint="-4.9989318521683403E-2"/>
                </patternFill>
              </fill>
            </x14:dxf>
          </x14:cfRule>
          <x14:cfRule type="containsText" priority="22" operator="containsText" id="{B12DEBCB-14ED-401B-A7CB-981A85D4CF8F}">
            <xm:f>NOT(ISERROR(SEARCH(Auxiliar!$B$22,I802)))</xm:f>
            <xm:f>Auxiliar!$B$22</xm:f>
            <x14:dxf>
              <font>
                <b/>
                <i val="0"/>
                <color rgb="FFC00000"/>
              </font>
              <fill>
                <patternFill>
                  <bgColor theme="4" tint="0.79998168889431442"/>
                </patternFill>
              </fill>
            </x14:dxf>
          </x14:cfRule>
          <x14:cfRule type="containsText" priority="23" operator="containsText" id="{DA9F05D5-5D19-4A32-893E-E61723F1E25D}">
            <xm:f>NOT(ISERROR(SEARCH(Auxiliar!$B$19,I802)))</xm:f>
            <xm:f>Auxiliar!$B$19</xm:f>
            <x14:dxf>
              <font>
                <b/>
                <i val="0"/>
                <color theme="9" tint="-0.499984740745262"/>
              </font>
              <fill>
                <patternFill>
                  <bgColor theme="9" tint="0.79998168889431442"/>
                </patternFill>
              </fill>
            </x14:dxf>
          </x14:cfRule>
          <x14:cfRule type="containsText" priority="24" operator="containsText" id="{FE60A001-40CE-421B-A931-9F2A544DB9BC}">
            <xm:f>NOT(ISERROR(SEARCH(Auxiliar!$B$16,I802)))</xm:f>
            <xm:f>Auxiliar!$B$16</xm:f>
            <x14:dxf>
              <font>
                <b/>
                <i val="0"/>
                <color theme="7"/>
              </font>
              <fill>
                <patternFill>
                  <bgColor theme="7" tint="0.79998168889431442"/>
                </patternFill>
              </fill>
            </x14:dxf>
          </x14:cfRule>
          <xm:sqref>I802:I823</xm:sqref>
        </x14:conditionalFormatting>
        <x14:conditionalFormatting xmlns:xm="http://schemas.microsoft.com/office/excel/2006/main">
          <x14:cfRule type="containsText" priority="115" operator="containsText" id="{6DE85724-2EE4-4C5C-BFE4-5CDF139191EE}">
            <xm:f>NOT(ISERROR(SEARCH(Auxiliar!$B$21,I1149)))</xm:f>
            <xm:f>Auxiliar!$B$21</xm:f>
            <x14:dxf>
              <font>
                <b/>
                <i val="0"/>
                <color rgb="FFFFC000"/>
              </font>
              <fill>
                <patternFill>
                  <bgColor theme="9" tint="0.59996337778862885"/>
                </patternFill>
              </fill>
            </x14:dxf>
          </x14:cfRule>
          <x14:cfRule type="cellIs" priority="116" operator="equal" id="{108BBB59-B3A9-4718-AE41-245162C547B8}">
            <xm:f>Auxiliar!$B$24</xm:f>
            <x14:dxf>
              <font>
                <b/>
                <i val="0"/>
                <color theme="1"/>
              </font>
              <fill>
                <patternFill patternType="darkUp">
                  <bgColor theme="0"/>
                </patternFill>
              </fill>
            </x14:dxf>
          </x14:cfRule>
          <x14:cfRule type="cellIs" priority="117" operator="equal" id="{9568F5E2-6C96-435A-A8A4-37A212A788A8}">
            <xm:f>Auxiliar!$B$18</xm:f>
            <x14:dxf>
              <font>
                <b/>
                <i val="0"/>
                <color theme="0" tint="-0.499984740745262"/>
              </font>
              <fill>
                <patternFill>
                  <bgColor theme="0" tint="-4.9989318521683403E-2"/>
                </patternFill>
              </fill>
            </x14:dxf>
          </x14:cfRule>
          <x14:cfRule type="containsText" priority="118" operator="containsText" id="{8553F79C-55B9-4EB5-8FD1-CC23872287B0}">
            <xm:f>NOT(ISERROR(SEARCH(Auxiliar!$B$22,I1149)))</xm:f>
            <xm:f>Auxiliar!$B$22</xm:f>
            <x14:dxf>
              <font>
                <b/>
                <i val="0"/>
                <color rgb="FFC00000"/>
              </font>
              <fill>
                <patternFill>
                  <bgColor theme="4" tint="0.79998168889431442"/>
                </patternFill>
              </fill>
            </x14:dxf>
          </x14:cfRule>
          <x14:cfRule type="containsText" priority="119" operator="containsText" id="{E65FF1A7-1132-4734-B2E9-49C1BE194A2C}">
            <xm:f>NOT(ISERROR(SEARCH(Auxiliar!$B$19,I1149)))</xm:f>
            <xm:f>Auxiliar!$B$19</xm:f>
            <x14:dxf>
              <font>
                <b/>
                <i val="0"/>
                <color theme="9" tint="-0.499984740745262"/>
              </font>
              <fill>
                <patternFill>
                  <bgColor theme="9" tint="0.79998168889431442"/>
                </patternFill>
              </fill>
            </x14:dxf>
          </x14:cfRule>
          <x14:cfRule type="containsText" priority="120" operator="containsText" id="{AEFD7584-5373-4489-BD92-567B86236418}">
            <xm:f>NOT(ISERROR(SEARCH(Auxiliar!$B$16,I1149)))</xm:f>
            <xm:f>Auxiliar!$B$16</xm:f>
            <x14:dxf>
              <font>
                <b/>
                <i val="0"/>
                <color theme="7"/>
              </font>
              <fill>
                <patternFill>
                  <bgColor theme="7" tint="0.79998168889431442"/>
                </patternFill>
              </fill>
            </x14:dxf>
          </x14:cfRule>
          <xm:sqref>I1149:I1283</xm:sqref>
        </x14:conditionalFormatting>
        <x14:conditionalFormatting xmlns:xm="http://schemas.microsoft.com/office/excel/2006/main">
          <x14:cfRule type="containsText" priority="43" operator="containsText" id="{2B892DA0-DAF7-421F-B66B-0FB6F4150541}">
            <xm:f>NOT(ISERROR(SEARCH(Auxiliar!$B$21,I1305)))</xm:f>
            <xm:f>Auxiliar!$B$21</xm:f>
            <x14:dxf>
              <font>
                <b/>
                <i val="0"/>
                <color rgb="FFFFC000"/>
              </font>
              <fill>
                <patternFill>
                  <bgColor theme="9" tint="0.59996337778862885"/>
                </patternFill>
              </fill>
            </x14:dxf>
          </x14:cfRule>
          <x14:cfRule type="cellIs" priority="44" operator="equal" id="{6F6FE95C-2911-46F9-A476-E59F486686B1}">
            <xm:f>Auxiliar!$B$24</xm:f>
            <x14:dxf>
              <font>
                <b/>
                <i val="0"/>
                <color theme="1"/>
              </font>
              <fill>
                <patternFill patternType="darkUp">
                  <bgColor theme="0"/>
                </patternFill>
              </fill>
            </x14:dxf>
          </x14:cfRule>
          <x14:cfRule type="cellIs" priority="45" operator="equal" id="{33721898-A6FE-4D41-9A0F-2B8F543A091F}">
            <xm:f>Auxiliar!$B$18</xm:f>
            <x14:dxf>
              <font>
                <b/>
                <i val="0"/>
                <color theme="0" tint="-0.499984740745262"/>
              </font>
              <fill>
                <patternFill>
                  <bgColor theme="0" tint="-4.9989318521683403E-2"/>
                </patternFill>
              </fill>
            </x14:dxf>
          </x14:cfRule>
          <x14:cfRule type="containsText" priority="46" operator="containsText" id="{42622CAB-BE97-4E36-B248-D2206C42A982}">
            <xm:f>NOT(ISERROR(SEARCH(Auxiliar!$B$22,I1305)))</xm:f>
            <xm:f>Auxiliar!$B$22</xm:f>
            <x14:dxf>
              <font>
                <b/>
                <i val="0"/>
                <color rgb="FFC00000"/>
              </font>
              <fill>
                <patternFill>
                  <bgColor theme="4" tint="0.79998168889431442"/>
                </patternFill>
              </fill>
            </x14:dxf>
          </x14:cfRule>
          <x14:cfRule type="containsText" priority="47" operator="containsText" id="{4A39AED0-8D8A-4564-B76A-B8A0F0577707}">
            <xm:f>NOT(ISERROR(SEARCH(Auxiliar!$B$19,I1305)))</xm:f>
            <xm:f>Auxiliar!$B$19</xm:f>
            <x14:dxf>
              <font>
                <b/>
                <i val="0"/>
                <color theme="9" tint="-0.499984740745262"/>
              </font>
              <fill>
                <patternFill>
                  <bgColor theme="9" tint="0.79998168889431442"/>
                </patternFill>
              </fill>
            </x14:dxf>
          </x14:cfRule>
          <x14:cfRule type="containsText" priority="48" operator="containsText" id="{D649B6A0-A2C9-48EC-9B7E-43B5FD640F24}">
            <xm:f>NOT(ISERROR(SEARCH(Auxiliar!$B$16,I1305)))</xm:f>
            <xm:f>Auxiliar!$B$16</xm:f>
            <x14:dxf>
              <font>
                <b/>
                <i val="0"/>
                <color theme="7"/>
              </font>
              <fill>
                <patternFill>
                  <bgColor theme="7" tint="0.79998168889431442"/>
                </patternFill>
              </fill>
            </x14:dxf>
          </x14:cfRule>
          <xm:sqref>I1305:I1332</xm:sqref>
        </x14:conditionalFormatting>
        <x14:conditionalFormatting xmlns:xm="http://schemas.microsoft.com/office/excel/2006/main">
          <x14:cfRule type="containsText" priority="889" operator="containsText" id="{A0E353A4-BC40-460B-BB47-B57EC0BDDA87}">
            <xm:f>NOT(ISERROR(SEARCH(Auxiliar!$B$21,I419)))</xm:f>
            <xm:f>Auxiliar!$B$21</xm:f>
            <x14:dxf>
              <font>
                <b/>
                <i val="0"/>
                <color rgb="FFFFC000"/>
              </font>
              <fill>
                <patternFill>
                  <bgColor theme="9" tint="0.59996337778862885"/>
                </patternFill>
              </fill>
            </x14:dxf>
          </x14:cfRule>
          <xm:sqref>I1336:I1380 I1535 J663:J685 J1149:J1283 I1284:J1286 J1287:J1289 J1305:J1332 I1333:J1336 J1337:J1407 I1408:J1435 J1436:J1438 I1439:J1475 J1476:J1505 I1506:J1513 J1514 I824:J1148 I419:J662 I686:J801 I1290:J1304</xm:sqref>
        </x14:conditionalFormatting>
        <x14:conditionalFormatting xmlns:xm="http://schemas.microsoft.com/office/excel/2006/main">
          <x14:cfRule type="containsText" priority="331" operator="containsText" id="{818B4E3F-A611-4A6A-A815-B804D1E3C747}">
            <xm:f>NOT(ISERROR(SEARCH(Auxiliar!$B$21,I1337)))</xm:f>
            <xm:f>Auxiliar!$B$21</xm:f>
            <x14:dxf>
              <font>
                <b/>
                <i val="0"/>
                <color rgb="FFFFC000"/>
              </font>
              <fill>
                <patternFill>
                  <bgColor theme="9" tint="0.59996337778862885"/>
                </patternFill>
              </fill>
            </x14:dxf>
          </x14:cfRule>
          <x14:cfRule type="cellIs" priority="332" operator="equal" id="{49F42230-2FF0-42CE-B047-38469DF4FF91}">
            <xm:f>Auxiliar!$B$24</xm:f>
            <x14:dxf>
              <font>
                <b/>
                <i val="0"/>
                <color theme="1"/>
              </font>
              <fill>
                <patternFill patternType="darkUp">
                  <bgColor theme="0"/>
                </patternFill>
              </fill>
            </x14:dxf>
          </x14:cfRule>
          <x14:cfRule type="cellIs" priority="333" operator="equal" id="{340814F4-4DC4-4851-925E-2EA110D79ECA}">
            <xm:f>Auxiliar!$B$18</xm:f>
            <x14:dxf>
              <font>
                <b/>
                <i val="0"/>
                <color theme="0" tint="-0.499984740745262"/>
              </font>
              <fill>
                <patternFill>
                  <bgColor theme="0" tint="-4.9989318521683403E-2"/>
                </patternFill>
              </fill>
            </x14:dxf>
          </x14:cfRule>
          <x14:cfRule type="containsText" priority="334" operator="containsText" id="{E28141F3-5A6E-41CE-B06F-37F11754FF33}">
            <xm:f>NOT(ISERROR(SEARCH(Auxiliar!$B$22,I1337)))</xm:f>
            <xm:f>Auxiliar!$B$22</xm:f>
            <x14:dxf>
              <font>
                <b/>
                <i val="0"/>
                <color rgb="FFC00000"/>
              </font>
              <fill>
                <patternFill>
                  <bgColor theme="4" tint="0.79998168889431442"/>
                </patternFill>
              </fill>
            </x14:dxf>
          </x14:cfRule>
          <x14:cfRule type="containsText" priority="335" operator="containsText" id="{FFEC3B97-FFCD-4F44-80C1-F8E1BE955C8F}">
            <xm:f>NOT(ISERROR(SEARCH(Auxiliar!$B$19,I1337)))</xm:f>
            <xm:f>Auxiliar!$B$19</xm:f>
            <x14:dxf>
              <font>
                <b/>
                <i val="0"/>
                <color theme="9" tint="-0.499984740745262"/>
              </font>
              <fill>
                <patternFill>
                  <bgColor theme="9" tint="0.79998168889431442"/>
                </patternFill>
              </fill>
            </x14:dxf>
          </x14:cfRule>
          <x14:cfRule type="containsText" priority="336" operator="containsText" id="{CD308544-9CE6-4FAC-9303-AD8028CE88C4}">
            <xm:f>NOT(ISERROR(SEARCH(Auxiliar!$B$16,I1337)))</xm:f>
            <xm:f>Auxiliar!$B$16</xm:f>
            <x14:dxf>
              <font>
                <b/>
                <i val="0"/>
                <color theme="7"/>
              </font>
              <fill>
                <patternFill>
                  <bgColor theme="7" tint="0.79998168889431442"/>
                </patternFill>
              </fill>
            </x14:dxf>
          </x14:cfRule>
          <xm:sqref>I1337:I1407</xm:sqref>
        </x14:conditionalFormatting>
        <x14:conditionalFormatting xmlns:xm="http://schemas.microsoft.com/office/excel/2006/main">
          <x14:cfRule type="containsText" priority="85" operator="containsText" id="{780D834D-C977-4B94-81EF-A8A47D289907}">
            <xm:f>NOT(ISERROR(SEARCH(Auxiliar!$B$21,I1436)))</xm:f>
            <xm:f>Auxiliar!$B$21</xm:f>
            <x14:dxf>
              <font>
                <b/>
                <i val="0"/>
                <color rgb="FFFFC000"/>
              </font>
              <fill>
                <patternFill>
                  <bgColor theme="9" tint="0.59996337778862885"/>
                </patternFill>
              </fill>
            </x14:dxf>
          </x14:cfRule>
          <x14:cfRule type="cellIs" priority="86" operator="equal" id="{A6EB2312-FB92-41F7-9CCA-3B81CF6C2FD3}">
            <xm:f>Auxiliar!$B$24</xm:f>
            <x14:dxf>
              <font>
                <b/>
                <i val="0"/>
                <color theme="1"/>
              </font>
              <fill>
                <patternFill patternType="darkUp">
                  <bgColor theme="0"/>
                </patternFill>
              </fill>
            </x14:dxf>
          </x14:cfRule>
          <x14:cfRule type="cellIs" priority="87" operator="equal" id="{BB030E3C-F572-4B6B-8325-D47BA2E295D4}">
            <xm:f>Auxiliar!$B$18</xm:f>
            <x14:dxf>
              <font>
                <b/>
                <i val="0"/>
                <color theme="0" tint="-0.499984740745262"/>
              </font>
              <fill>
                <patternFill>
                  <bgColor theme="0" tint="-4.9989318521683403E-2"/>
                </patternFill>
              </fill>
            </x14:dxf>
          </x14:cfRule>
          <x14:cfRule type="containsText" priority="88" operator="containsText" id="{5546A8F1-D653-4D26-9A1D-7DFDB5699A2A}">
            <xm:f>NOT(ISERROR(SEARCH(Auxiliar!$B$22,I1436)))</xm:f>
            <xm:f>Auxiliar!$B$22</xm:f>
            <x14:dxf>
              <font>
                <b/>
                <i val="0"/>
                <color rgb="FFC00000"/>
              </font>
              <fill>
                <patternFill>
                  <bgColor theme="4" tint="0.79998168889431442"/>
                </patternFill>
              </fill>
            </x14:dxf>
          </x14:cfRule>
          <x14:cfRule type="containsText" priority="89" operator="containsText" id="{D0888343-A986-48A6-BF2A-D69C985DC724}">
            <xm:f>NOT(ISERROR(SEARCH(Auxiliar!$B$19,I1436)))</xm:f>
            <xm:f>Auxiliar!$B$19</xm:f>
            <x14:dxf>
              <font>
                <b/>
                <i val="0"/>
                <color theme="9" tint="-0.499984740745262"/>
              </font>
              <fill>
                <patternFill>
                  <bgColor theme="9" tint="0.79998168889431442"/>
                </patternFill>
              </fill>
            </x14:dxf>
          </x14:cfRule>
          <x14:cfRule type="containsText" priority="90" operator="containsText" id="{29044AF0-D435-46E7-A14A-FF511F53368C}">
            <xm:f>NOT(ISERROR(SEARCH(Auxiliar!$B$16,I1436)))</xm:f>
            <xm:f>Auxiliar!$B$16</xm:f>
            <x14:dxf>
              <font>
                <b/>
                <i val="0"/>
                <color theme="7"/>
              </font>
              <fill>
                <patternFill>
                  <bgColor theme="7" tint="0.79998168889431442"/>
                </patternFill>
              </fill>
            </x14:dxf>
          </x14:cfRule>
          <xm:sqref>I1436:I1438</xm:sqref>
        </x14:conditionalFormatting>
        <x14:conditionalFormatting xmlns:xm="http://schemas.microsoft.com/office/excel/2006/main">
          <x14:cfRule type="containsText" priority="25" operator="containsText" id="{6DA62849-05D4-40B1-87CE-BD01F462C809}">
            <xm:f>NOT(ISERROR(SEARCH(Auxiliar!$B$21,I1476)))</xm:f>
            <xm:f>Auxiliar!$B$21</xm:f>
            <x14:dxf>
              <font>
                <b/>
                <i val="0"/>
                <color rgb="FFFFC000"/>
              </font>
              <fill>
                <patternFill>
                  <bgColor theme="9" tint="0.59996337778862885"/>
                </patternFill>
              </fill>
            </x14:dxf>
          </x14:cfRule>
          <x14:cfRule type="cellIs" priority="26" operator="equal" id="{1E79D505-B910-4D78-97DA-7353733B54BB}">
            <xm:f>Auxiliar!$B$24</xm:f>
            <x14:dxf>
              <font>
                <b/>
                <i val="0"/>
                <color theme="1"/>
              </font>
              <fill>
                <patternFill patternType="darkUp">
                  <bgColor theme="0"/>
                </patternFill>
              </fill>
            </x14:dxf>
          </x14:cfRule>
          <x14:cfRule type="cellIs" priority="27" operator="equal" id="{00DE0B36-B6EA-4EC5-9098-B394F10BE65F}">
            <xm:f>Auxiliar!$B$18</xm:f>
            <x14:dxf>
              <font>
                <b/>
                <i val="0"/>
                <color theme="0" tint="-0.499984740745262"/>
              </font>
              <fill>
                <patternFill>
                  <bgColor theme="0" tint="-4.9989318521683403E-2"/>
                </patternFill>
              </fill>
            </x14:dxf>
          </x14:cfRule>
          <x14:cfRule type="containsText" priority="28" operator="containsText" id="{14C9609C-8350-4E36-BC39-9E172C68CB4E}">
            <xm:f>NOT(ISERROR(SEARCH(Auxiliar!$B$22,I1476)))</xm:f>
            <xm:f>Auxiliar!$B$22</xm:f>
            <x14:dxf>
              <font>
                <b/>
                <i val="0"/>
                <color rgb="FFC00000"/>
              </font>
              <fill>
                <patternFill>
                  <bgColor theme="4" tint="0.79998168889431442"/>
                </patternFill>
              </fill>
            </x14:dxf>
          </x14:cfRule>
          <x14:cfRule type="containsText" priority="29" operator="containsText" id="{D7B4F9CC-95FD-4E13-BB0C-D7A0FB81481D}">
            <xm:f>NOT(ISERROR(SEARCH(Auxiliar!$B$19,I1476)))</xm:f>
            <xm:f>Auxiliar!$B$19</xm:f>
            <x14:dxf>
              <font>
                <b/>
                <i val="0"/>
                <color theme="9" tint="-0.499984740745262"/>
              </font>
              <fill>
                <patternFill>
                  <bgColor theme="9" tint="0.79998168889431442"/>
                </patternFill>
              </fill>
            </x14:dxf>
          </x14:cfRule>
          <x14:cfRule type="containsText" priority="30" operator="containsText" id="{F5F0373A-93E7-41AB-B49D-1026D0BC279A}">
            <xm:f>NOT(ISERROR(SEARCH(Auxiliar!$B$16,I1476)))</xm:f>
            <xm:f>Auxiliar!$B$16</xm:f>
            <x14:dxf>
              <font>
                <b/>
                <i val="0"/>
                <color theme="7"/>
              </font>
              <fill>
                <patternFill>
                  <bgColor theme="7" tint="0.79998168889431442"/>
                </patternFill>
              </fill>
            </x14:dxf>
          </x14:cfRule>
          <xm:sqref>I1476:I1505</xm:sqref>
        </x14:conditionalFormatting>
        <x14:conditionalFormatting xmlns:xm="http://schemas.microsoft.com/office/excel/2006/main">
          <x14:cfRule type="containsText" priority="103" operator="containsText" id="{910038CB-D1D6-461C-9800-1C7E617EFE24}">
            <xm:f>NOT(ISERROR(SEARCH(Auxiliar!$B$21,I1514)))</xm:f>
            <xm:f>Auxiliar!$B$21</xm:f>
            <x14:dxf>
              <font>
                <b/>
                <i val="0"/>
                <color rgb="FFFFC000"/>
              </font>
              <fill>
                <patternFill>
                  <bgColor theme="9" tint="0.59996337778862885"/>
                </patternFill>
              </fill>
            </x14:dxf>
          </x14:cfRule>
          <x14:cfRule type="cellIs" priority="104" operator="equal" id="{25D71A38-C4F5-4732-B7AB-6520ECA4FB07}">
            <xm:f>Auxiliar!$B$24</xm:f>
            <x14:dxf>
              <font>
                <b/>
                <i val="0"/>
                <color theme="1"/>
              </font>
              <fill>
                <patternFill patternType="darkUp">
                  <bgColor theme="0"/>
                </patternFill>
              </fill>
            </x14:dxf>
          </x14:cfRule>
          <x14:cfRule type="cellIs" priority="105" operator="equal" id="{8B1AAD81-3C08-40FA-906E-0B19D6772275}">
            <xm:f>Auxiliar!$B$18</xm:f>
            <x14:dxf>
              <font>
                <b/>
                <i val="0"/>
                <color theme="0" tint="-0.499984740745262"/>
              </font>
              <fill>
                <patternFill>
                  <bgColor theme="0" tint="-4.9989318521683403E-2"/>
                </patternFill>
              </fill>
            </x14:dxf>
          </x14:cfRule>
          <x14:cfRule type="containsText" priority="106" operator="containsText" id="{9B54D405-4BA5-4403-8670-C95CA75F5233}">
            <xm:f>NOT(ISERROR(SEARCH(Auxiliar!$B$22,I1514)))</xm:f>
            <xm:f>Auxiliar!$B$22</xm:f>
            <x14:dxf>
              <font>
                <b/>
                <i val="0"/>
                <color rgb="FFC00000"/>
              </font>
              <fill>
                <patternFill>
                  <bgColor theme="4" tint="0.79998168889431442"/>
                </patternFill>
              </fill>
            </x14:dxf>
          </x14:cfRule>
          <x14:cfRule type="containsText" priority="107" operator="containsText" id="{95BF54D7-8ADA-477D-9E49-7C0E46B3BB4F}">
            <xm:f>NOT(ISERROR(SEARCH(Auxiliar!$B$19,I1514)))</xm:f>
            <xm:f>Auxiliar!$B$19</xm:f>
            <x14:dxf>
              <font>
                <b/>
                <i val="0"/>
                <color theme="9" tint="-0.499984740745262"/>
              </font>
              <fill>
                <patternFill>
                  <bgColor theme="9" tint="0.79998168889431442"/>
                </patternFill>
              </fill>
            </x14:dxf>
          </x14:cfRule>
          <x14:cfRule type="containsText" priority="108" operator="containsText" id="{F3F3BE24-A38E-4AB8-879A-BA75729B9D0F}">
            <xm:f>NOT(ISERROR(SEARCH(Auxiliar!$B$16,I1514)))</xm:f>
            <xm:f>Auxiliar!$B$16</xm:f>
            <x14:dxf>
              <font>
                <b/>
                <i val="0"/>
                <color theme="7"/>
              </font>
              <fill>
                <patternFill>
                  <bgColor theme="7" tint="0.79998168889431442"/>
                </patternFill>
              </fill>
            </x14:dxf>
          </x14:cfRule>
          <xm:sqref>I1514</xm:sqref>
        </x14:conditionalFormatting>
        <x14:conditionalFormatting xmlns:xm="http://schemas.microsoft.com/office/excel/2006/main">
          <x14:cfRule type="containsText" priority="163" operator="containsText" id="{192E6ADB-36E7-4F12-99CD-3DDBE5DB687B}">
            <xm:f>NOT(ISERROR(SEARCH(Auxiliar!$B$21,I1527)))</xm:f>
            <xm:f>Auxiliar!$B$21</xm:f>
            <x14:dxf>
              <font>
                <b/>
                <i val="0"/>
                <color rgb="FFFFC000"/>
              </font>
              <fill>
                <patternFill>
                  <bgColor theme="9" tint="0.59996337778862885"/>
                </patternFill>
              </fill>
            </x14:dxf>
          </x14:cfRule>
          <xm:sqref>I1527:I1535</xm:sqref>
        </x14:conditionalFormatting>
        <x14:conditionalFormatting xmlns:xm="http://schemas.microsoft.com/office/excel/2006/main">
          <x14:cfRule type="containsText" priority="739" operator="containsText" id="{22EE3303-E871-4FDC-B876-3AC40B4BB29E}">
            <xm:f>NOT(ISERROR(SEARCH(Auxiliar!$B$21,I9)))</xm:f>
            <xm:f>Auxiliar!$B$21</xm:f>
            <x14:dxf>
              <font>
                <b/>
                <i val="0"/>
                <color rgb="FFFFC000"/>
              </font>
              <fill>
                <patternFill>
                  <bgColor theme="9" tint="0.59996337778862885"/>
                </patternFill>
              </fill>
            </x14:dxf>
          </x14:cfRule>
          <x14:cfRule type="cellIs" priority="740" operator="equal" id="{A75C795E-F66D-4DC2-A9AF-15BDCED7DA25}">
            <xm:f>Auxiliar!$B$24</xm:f>
            <x14:dxf>
              <font>
                <b/>
                <i val="0"/>
                <color theme="1"/>
              </font>
              <fill>
                <patternFill patternType="darkUp">
                  <bgColor theme="0"/>
                </patternFill>
              </fill>
            </x14:dxf>
          </x14:cfRule>
          <x14:cfRule type="cellIs" priority="741" operator="equal" id="{68C7A1CE-73C7-4D91-A2AC-1493C4E277DD}">
            <xm:f>Auxiliar!$B$18</xm:f>
            <x14:dxf>
              <font>
                <b/>
                <i val="0"/>
                <color theme="0" tint="-0.499984740745262"/>
              </font>
              <fill>
                <patternFill>
                  <bgColor theme="0" tint="-4.9989318521683403E-2"/>
                </patternFill>
              </fill>
            </x14:dxf>
          </x14:cfRule>
          <x14:cfRule type="containsText" priority="742" operator="containsText" id="{6A2CADA4-F650-4DEF-8995-04741341356E}">
            <xm:f>NOT(ISERROR(SEARCH(Auxiliar!$B$22,I9)))</xm:f>
            <xm:f>Auxiliar!$B$22</xm:f>
            <x14:dxf>
              <font>
                <b/>
                <i val="0"/>
                <color rgb="FFC00000"/>
              </font>
              <fill>
                <patternFill>
                  <bgColor theme="4" tint="0.79998168889431442"/>
                </patternFill>
              </fill>
            </x14:dxf>
          </x14:cfRule>
          <x14:cfRule type="containsText" priority="743"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744" operator="containsText" id="{4E533A52-7B9B-43BD-B042-872B81470415}">
            <xm:f>NOT(ISERROR(SEARCH(Auxiliar!$B$16,I9)))</xm:f>
            <xm:f>Auxiliar!$B$16</xm:f>
            <x14:dxf>
              <font>
                <b/>
                <i val="0"/>
                <color theme="7"/>
              </font>
              <fill>
                <patternFill>
                  <bgColor theme="7" tint="0.79998168889431442"/>
                </patternFill>
              </fill>
            </x14:dxf>
          </x14:cfRule>
          <xm:sqref>I9:J9 J10:J11 I12:J192</xm:sqref>
        </x14:conditionalFormatting>
        <x14:conditionalFormatting xmlns:xm="http://schemas.microsoft.com/office/excel/2006/main">
          <x14:cfRule type="containsText" priority="823" operator="containsText" id="{6928D489-0130-4A60-BE2B-1D9108B02454}">
            <xm:f>NOT(ISERROR(SEARCH(Auxiliar!$B$21,I196)))</xm:f>
            <xm:f>Auxiliar!$B$21</xm:f>
            <x14:dxf>
              <font>
                <b/>
                <i val="0"/>
                <color rgb="FFFFC000"/>
              </font>
              <fill>
                <patternFill>
                  <bgColor theme="9" tint="0.59996337778862885"/>
                </patternFill>
              </fill>
            </x14:dxf>
          </x14:cfRule>
          <x14:cfRule type="cellIs" priority="824" operator="equal" id="{E2F14AF0-878C-4184-86EE-1EC72D11FF82}">
            <xm:f>Auxiliar!$B$24</xm:f>
            <x14:dxf>
              <font>
                <b/>
                <i val="0"/>
                <color theme="1"/>
              </font>
              <fill>
                <patternFill patternType="darkUp">
                  <bgColor theme="0"/>
                </patternFill>
              </fill>
            </x14:dxf>
          </x14:cfRule>
          <x14:cfRule type="cellIs" priority="825" operator="equal" id="{662C2D77-73A6-422E-B043-D39190EAAFD3}">
            <xm:f>Auxiliar!$B$18</xm:f>
            <x14:dxf>
              <font>
                <b/>
                <i val="0"/>
                <color theme="0" tint="-0.499984740745262"/>
              </font>
              <fill>
                <patternFill>
                  <bgColor theme="0" tint="-4.9989318521683403E-2"/>
                </patternFill>
              </fill>
            </x14:dxf>
          </x14:cfRule>
          <x14:cfRule type="containsText" priority="826" operator="containsText" id="{1C605820-AEBD-4208-9678-39797EC5D8B3}">
            <xm:f>NOT(ISERROR(SEARCH(Auxiliar!$B$22,I196)))</xm:f>
            <xm:f>Auxiliar!$B$22</xm:f>
            <x14:dxf>
              <font>
                <b/>
                <i val="0"/>
                <color rgb="FFC00000"/>
              </font>
              <fill>
                <patternFill>
                  <bgColor theme="4" tint="0.79998168889431442"/>
                </patternFill>
              </fill>
            </x14:dxf>
          </x14:cfRule>
          <x14:cfRule type="containsText" priority="827" operator="containsText" id="{4B5AAE13-0E71-4FB3-8557-D3601D3E971D}">
            <xm:f>NOT(ISERROR(SEARCH(Auxiliar!$B$19,I196)))</xm:f>
            <xm:f>Auxiliar!$B$19</xm:f>
            <x14:dxf>
              <font>
                <b/>
                <i val="0"/>
                <color theme="9" tint="-0.499984740745262"/>
              </font>
              <fill>
                <patternFill>
                  <bgColor theme="9" tint="0.79998168889431442"/>
                </patternFill>
              </fill>
            </x14:dxf>
          </x14:cfRule>
          <x14:cfRule type="containsText" priority="828" operator="containsText" id="{E1F4ABAD-4246-42AD-B2CD-8E341D15C381}">
            <xm:f>NOT(ISERROR(SEARCH(Auxiliar!$B$16,I196)))</xm:f>
            <xm:f>Auxiliar!$B$16</xm:f>
            <x14:dxf>
              <font>
                <b/>
                <i val="0"/>
                <color theme="7"/>
              </font>
              <fill>
                <patternFill>
                  <bgColor theme="7" tint="0.79998168889431442"/>
                </patternFill>
              </fill>
            </x14:dxf>
          </x14:cfRule>
          <xm:sqref>I196:J223 J224:J226 I227:J244 J245:J247 J291:J293 I294:J317 J318:J320 I321:J392</xm:sqref>
        </x14:conditionalFormatting>
        <x14:conditionalFormatting xmlns:xm="http://schemas.microsoft.com/office/excel/2006/main">
          <x14:cfRule type="cellIs" priority="890" operator="equal" id="{461BEC2A-3AB6-4974-9160-0CC657CD83C0}">
            <xm:f>Auxiliar!$B$24</xm:f>
            <x14:dxf>
              <font>
                <b/>
                <i val="0"/>
                <color theme="1"/>
              </font>
              <fill>
                <patternFill patternType="darkUp">
                  <bgColor theme="0"/>
                </patternFill>
              </fill>
            </x14:dxf>
          </x14:cfRule>
          <x14:cfRule type="cellIs" priority="1357" operator="equal" id="{5CC18A3F-CC0C-4983-A19C-E91C49A3DB8A}">
            <xm:f>Auxiliar!$B$18</xm:f>
            <x14:dxf>
              <font>
                <b/>
                <i val="0"/>
                <color theme="0" tint="-0.499984740745262"/>
              </font>
              <fill>
                <patternFill>
                  <bgColor theme="0" tint="-4.9989318521683403E-2"/>
                </patternFill>
              </fill>
            </x14:dxf>
          </x14:cfRule>
          <x14:cfRule type="containsText" priority="1358" operator="containsText" id="{660301DE-C76B-41C9-A83A-298D08A1276D}">
            <xm:f>NOT(ISERROR(SEARCH(Auxiliar!$B$22,I419)))</xm:f>
            <xm:f>Auxiliar!$B$22</xm:f>
            <x14:dxf>
              <font>
                <b/>
                <i val="0"/>
                <color rgb="FFC00000"/>
              </font>
              <fill>
                <patternFill>
                  <bgColor theme="4" tint="0.79998168889431442"/>
                </patternFill>
              </fill>
            </x14:dxf>
          </x14:cfRule>
          <x14:cfRule type="containsText" priority="1359" operator="containsText" id="{E48215E9-5888-4D3F-A01B-A05864457930}">
            <xm:f>NOT(ISERROR(SEARCH(Auxiliar!$B$19,I419)))</xm:f>
            <xm:f>Auxiliar!$B$19</xm:f>
            <x14:dxf>
              <font>
                <b/>
                <i val="0"/>
                <color theme="9" tint="-0.499984740745262"/>
              </font>
              <fill>
                <patternFill>
                  <bgColor theme="9" tint="0.79998168889431442"/>
                </patternFill>
              </fill>
            </x14:dxf>
          </x14:cfRule>
          <x14:cfRule type="containsText" priority="1360" operator="containsText" id="{E24FE097-F3CC-4A48-80A2-F7619DECA0EF}">
            <xm:f>NOT(ISERROR(SEARCH(Auxiliar!$B$16,I419)))</xm:f>
            <xm:f>Auxiliar!$B$16</xm:f>
            <x14:dxf>
              <font>
                <b/>
                <i val="0"/>
                <color theme="7"/>
              </font>
              <fill>
                <patternFill>
                  <bgColor theme="7" tint="0.79998168889431442"/>
                </patternFill>
              </fill>
            </x14:dxf>
          </x14:cfRule>
          <xm:sqref>J663:J685 J1149:J1283 I1284:J1286 J1287:J1289 J1305:J1332 I1333:J1336 I1336:I1380 J1337:J1407 I1408:J1435 J1436:J1438 I1439:J1475 J1476:J1505 I1506:J1513 J1514 I1535 I824:J1148 I419:J662 I686:J801 I1290:J1304</xm:sqref>
        </x14:conditionalFormatting>
        <x14:conditionalFormatting xmlns:xm="http://schemas.microsoft.com/office/excel/2006/main">
          <x14:cfRule type="cellIs" priority="110" operator="equal" id="{CCD751C7-B7A2-4F98-8B22-D6FDAB936BE9}">
            <xm:f>Auxiliar!$B$24</xm:f>
            <x14:dxf>
              <font>
                <b/>
                <i val="0"/>
                <color theme="1"/>
              </font>
              <fill>
                <patternFill patternType="darkUp">
                  <bgColor theme="0"/>
                </patternFill>
              </fill>
            </x14:dxf>
          </x14:cfRule>
          <x14:cfRule type="cellIs" priority="111" operator="equal" id="{4D1BE949-1D0D-486A-8EBA-CAC34A73CAEF}">
            <xm:f>Auxiliar!$B$18</xm:f>
            <x14:dxf>
              <font>
                <b/>
                <i val="0"/>
                <color theme="0" tint="-0.499984740745262"/>
              </font>
              <fill>
                <patternFill>
                  <bgColor theme="0" tint="-4.9989318521683403E-2"/>
                </patternFill>
              </fill>
            </x14:dxf>
          </x14:cfRule>
          <x14:cfRule type="containsText" priority="112" operator="containsText" id="{213CA02B-DB6F-4539-AE1F-82CAEDC0E43C}">
            <xm:f>NOT(ISERROR(SEARCH(Auxiliar!$B$22,I1515)))</xm:f>
            <xm:f>Auxiliar!$B$22</xm:f>
            <x14:dxf>
              <font>
                <b/>
                <i val="0"/>
                <color rgb="FFC00000"/>
              </font>
              <fill>
                <patternFill>
                  <bgColor theme="4" tint="0.79998168889431442"/>
                </patternFill>
              </fill>
            </x14:dxf>
          </x14:cfRule>
          <x14:cfRule type="containsText" priority="113" operator="containsText" id="{8B057A44-2EBC-4603-8052-ED1722A2D2AF}">
            <xm:f>NOT(ISERROR(SEARCH(Auxiliar!$B$19,I1515)))</xm:f>
            <xm:f>Auxiliar!$B$19</xm:f>
            <x14:dxf>
              <font>
                <b/>
                <i val="0"/>
                <color theme="9" tint="-0.499984740745262"/>
              </font>
              <fill>
                <patternFill>
                  <bgColor theme="9" tint="0.79998168889431442"/>
                </patternFill>
              </fill>
            </x14:dxf>
          </x14:cfRule>
          <x14:cfRule type="containsText" priority="114" operator="containsText" id="{E27CF042-A6F2-447B-9BB5-6EFA806CD029}">
            <xm:f>NOT(ISERROR(SEARCH(Auxiliar!$B$16,I1515)))</xm:f>
            <xm:f>Auxiliar!$B$16</xm:f>
            <x14:dxf>
              <font>
                <b/>
                <i val="0"/>
                <color theme="7"/>
              </font>
              <fill>
                <patternFill>
                  <bgColor theme="7" tint="0.79998168889431442"/>
                </patternFill>
              </fill>
            </x14:dxf>
          </x14:cfRule>
          <xm:sqref>I1515:J1515</xm:sqref>
        </x14:conditionalFormatting>
        <x14:conditionalFormatting xmlns:xm="http://schemas.microsoft.com/office/excel/2006/main">
          <x14:cfRule type="containsText" priority="109" operator="containsText" id="{C1D88142-065A-4A60-8C88-C84E0F437B32}">
            <xm:f>NOT(ISERROR(SEARCH(Auxiliar!$B$21,I1515)))</xm:f>
            <xm:f>Auxiliar!$B$21</xm:f>
            <x14:dxf>
              <font>
                <b/>
                <i val="0"/>
                <color rgb="FFFFC000"/>
              </font>
              <fill>
                <patternFill>
                  <bgColor theme="9" tint="0.59996337778862885"/>
                </patternFill>
              </fill>
            </x14:dxf>
          </x14:cfRule>
          <xm:sqref>I1515:J1534</xm:sqref>
        </x14:conditionalFormatting>
        <x14:conditionalFormatting xmlns:xm="http://schemas.microsoft.com/office/excel/2006/main">
          <x14:cfRule type="cellIs" priority="164" operator="equal" id="{76582525-4532-4825-BBF1-E67A9D75C9D5}">
            <xm:f>Auxiliar!$B$24</xm:f>
            <x14:dxf>
              <font>
                <b/>
                <i val="0"/>
                <color theme="1"/>
              </font>
              <fill>
                <patternFill patternType="darkUp">
                  <bgColor theme="0"/>
                </patternFill>
              </fill>
            </x14:dxf>
          </x14:cfRule>
          <x14:cfRule type="cellIs" priority="165" operator="equal" id="{93C49E19-F144-4F91-BF43-40521F41D17C}">
            <xm:f>Auxiliar!$B$18</xm:f>
            <x14:dxf>
              <font>
                <b/>
                <i val="0"/>
                <color theme="0" tint="-0.499984740745262"/>
              </font>
              <fill>
                <patternFill>
                  <bgColor theme="0" tint="-4.9989318521683403E-2"/>
                </patternFill>
              </fill>
            </x14:dxf>
          </x14:cfRule>
          <x14:cfRule type="containsText" priority="166" operator="containsText" id="{1CE2E2E1-FB2E-4D1A-91AE-012679E5C1FF}">
            <xm:f>NOT(ISERROR(SEARCH(Auxiliar!$B$22,I1516)))</xm:f>
            <xm:f>Auxiliar!$B$22</xm:f>
            <x14:dxf>
              <font>
                <b/>
                <i val="0"/>
                <color rgb="FFC00000"/>
              </font>
              <fill>
                <patternFill>
                  <bgColor theme="4" tint="0.79998168889431442"/>
                </patternFill>
              </fill>
            </x14:dxf>
          </x14:cfRule>
          <x14:cfRule type="containsText" priority="167" operator="containsText" id="{3F6EEFB5-2700-4CD6-9BC6-1EABD5D011B2}">
            <xm:f>NOT(ISERROR(SEARCH(Auxiliar!$B$19,I1516)))</xm:f>
            <xm:f>Auxiliar!$B$19</xm:f>
            <x14:dxf>
              <font>
                <b/>
                <i val="0"/>
                <color theme="9" tint="-0.499984740745262"/>
              </font>
              <fill>
                <patternFill>
                  <bgColor theme="9" tint="0.79998168889431442"/>
                </patternFill>
              </fill>
            </x14:dxf>
          </x14:cfRule>
          <x14:cfRule type="containsText" priority="168" operator="containsText" id="{D95616F3-A992-4C37-A772-3C5882F684DD}">
            <xm:f>NOT(ISERROR(SEARCH(Auxiliar!$B$16,I1516)))</xm:f>
            <xm:f>Auxiliar!$B$16</xm:f>
            <x14:dxf>
              <font>
                <b/>
                <i val="0"/>
                <color theme="7"/>
              </font>
              <fill>
                <patternFill>
                  <bgColor theme="7" tint="0.79998168889431442"/>
                </patternFill>
              </fill>
            </x14:dxf>
          </x14:cfRule>
          <xm:sqref>I1516:J1534 I1527:I1535</xm:sqref>
        </x14:conditionalFormatting>
        <x14:conditionalFormatting xmlns:xm="http://schemas.microsoft.com/office/excel/2006/main">
          <x14:cfRule type="containsText" priority="715" operator="containsText" id="{B9BA2292-98F1-4845-8262-A781D9352444}">
            <xm:f>NOT(ISERROR(SEARCH(Auxiliar!$B$21,J193)))</xm:f>
            <xm:f>Auxiliar!$B$21</xm:f>
            <x14:dxf>
              <font>
                <b/>
                <i val="0"/>
                <color rgb="FFFFC000"/>
              </font>
              <fill>
                <patternFill>
                  <bgColor theme="9" tint="0.59996337778862885"/>
                </patternFill>
              </fill>
            </x14:dxf>
          </x14:cfRule>
          <x14:cfRule type="cellIs" priority="716" operator="equal" id="{D32B9961-C82B-426A-A975-2475FFC80C76}">
            <xm:f>Auxiliar!$B$24</xm:f>
            <x14:dxf>
              <font>
                <b/>
                <i val="0"/>
                <color theme="1"/>
              </font>
              <fill>
                <patternFill patternType="darkUp">
                  <bgColor theme="0"/>
                </patternFill>
              </fill>
            </x14:dxf>
          </x14:cfRule>
          <x14:cfRule type="cellIs" priority="717" operator="equal" id="{EE9F5D7D-A515-4B4F-859E-E804329C9CE0}">
            <xm:f>Auxiliar!$B$18</xm:f>
            <x14:dxf>
              <font>
                <b/>
                <i val="0"/>
                <color theme="0" tint="-0.499984740745262"/>
              </font>
              <fill>
                <patternFill>
                  <bgColor theme="0" tint="-4.9989318521683403E-2"/>
                </patternFill>
              </fill>
            </x14:dxf>
          </x14:cfRule>
          <x14:cfRule type="containsText" priority="718" operator="containsText" id="{55E3A954-A50C-4D34-B023-9E253EB8A546}">
            <xm:f>NOT(ISERROR(SEARCH(Auxiliar!$B$22,J193)))</xm:f>
            <xm:f>Auxiliar!$B$22</xm:f>
            <x14:dxf>
              <font>
                <b/>
                <i val="0"/>
                <color rgb="FFC00000"/>
              </font>
              <fill>
                <patternFill>
                  <bgColor theme="4" tint="0.79998168889431442"/>
                </patternFill>
              </fill>
            </x14:dxf>
          </x14:cfRule>
          <x14:cfRule type="containsText" priority="719" operator="containsText" id="{09758088-3BB8-4F8B-8F4A-65B6532009ED}">
            <xm:f>NOT(ISERROR(SEARCH(Auxiliar!$B$19,J193)))</xm:f>
            <xm:f>Auxiliar!$B$19</xm:f>
            <x14:dxf>
              <font>
                <b/>
                <i val="0"/>
                <color theme="9" tint="-0.499984740745262"/>
              </font>
              <fill>
                <patternFill>
                  <bgColor theme="9" tint="0.79998168889431442"/>
                </patternFill>
              </fill>
            </x14:dxf>
          </x14:cfRule>
          <x14:cfRule type="containsText" priority="720" operator="containsText" id="{60E8EEAB-4A84-421A-9942-CDECD6831FAB}">
            <xm:f>NOT(ISERROR(SEARCH(Auxiliar!$B$16,J193)))</xm:f>
            <xm:f>Auxiliar!$B$16</xm:f>
            <x14:dxf>
              <font>
                <b/>
                <i val="0"/>
                <color theme="7"/>
              </font>
              <fill>
                <patternFill>
                  <bgColor theme="7" tint="0.79998168889431442"/>
                </patternFill>
              </fill>
            </x14:dxf>
          </x14:cfRule>
          <xm:sqref>J193:J195</xm:sqref>
        </x14:conditionalFormatting>
        <x14:conditionalFormatting xmlns:xm="http://schemas.microsoft.com/office/excel/2006/main">
          <x14:cfRule type="containsText" priority="205" operator="containsText" id="{68B7879D-8888-41E7-95DE-17E280293E9E}">
            <xm:f>NOT(ISERROR(SEARCH(Auxiliar!$B$21,J393)))</xm:f>
            <xm:f>Auxiliar!$B$21</xm:f>
            <x14:dxf>
              <font>
                <b/>
                <i val="0"/>
                <color rgb="FFFFC000"/>
              </font>
              <fill>
                <patternFill>
                  <bgColor theme="9" tint="0.59996337778862885"/>
                </patternFill>
              </fill>
            </x14:dxf>
          </x14:cfRule>
          <x14:cfRule type="cellIs" priority="206" operator="equal" id="{E7918B5B-09E9-4D9E-8DEF-22B78ADEF4EC}">
            <xm:f>Auxiliar!$B$24</xm:f>
            <x14:dxf>
              <font>
                <b/>
                <i val="0"/>
                <color theme="1"/>
              </font>
              <fill>
                <patternFill patternType="darkUp">
                  <bgColor theme="0"/>
                </patternFill>
              </fill>
            </x14:dxf>
          </x14:cfRule>
          <x14:cfRule type="cellIs" priority="207" operator="equal" id="{C9734D25-1591-44F4-B84A-F9635F7E3A1E}">
            <xm:f>Auxiliar!$B$18</xm:f>
            <x14:dxf>
              <font>
                <b/>
                <i val="0"/>
                <color theme="0" tint="-0.499984740745262"/>
              </font>
              <fill>
                <patternFill>
                  <bgColor theme="0" tint="-4.9989318521683403E-2"/>
                </patternFill>
              </fill>
            </x14:dxf>
          </x14:cfRule>
          <x14:cfRule type="containsText" priority="208" operator="containsText" id="{8EC9EB6C-BAAE-4C5B-A0A3-D4BEBFE063BC}">
            <xm:f>NOT(ISERROR(SEARCH(Auxiliar!$B$22,J393)))</xm:f>
            <xm:f>Auxiliar!$B$22</xm:f>
            <x14:dxf>
              <font>
                <b/>
                <i val="0"/>
                <color rgb="FFC00000"/>
              </font>
              <fill>
                <patternFill>
                  <bgColor theme="4" tint="0.79998168889431442"/>
                </patternFill>
              </fill>
            </x14:dxf>
          </x14:cfRule>
          <x14:cfRule type="containsText" priority="209" operator="containsText" id="{65C65B03-C4AD-4686-BF38-974CBE69DD1C}">
            <xm:f>NOT(ISERROR(SEARCH(Auxiliar!$B$19,J393)))</xm:f>
            <xm:f>Auxiliar!$B$19</xm:f>
            <x14:dxf>
              <font>
                <b/>
                <i val="0"/>
                <color theme="9" tint="-0.499984740745262"/>
              </font>
              <fill>
                <patternFill>
                  <bgColor theme="9" tint="0.79998168889431442"/>
                </patternFill>
              </fill>
            </x14:dxf>
          </x14:cfRule>
          <x14:cfRule type="containsText" priority="210" operator="containsText" id="{9D562BB6-8DA0-42FC-B513-95C95541161C}">
            <xm:f>NOT(ISERROR(SEARCH(Auxiliar!$B$16,J393)))</xm:f>
            <xm:f>Auxiliar!$B$16</xm:f>
            <x14:dxf>
              <font>
                <b/>
                <i val="0"/>
                <color theme="7"/>
              </font>
              <fill>
                <patternFill>
                  <bgColor theme="7" tint="0.79998168889431442"/>
                </patternFill>
              </fill>
            </x14:dxf>
          </x14:cfRule>
          <xm:sqref>J393:J418</xm:sqref>
        </x14:conditionalFormatting>
        <x14:conditionalFormatting xmlns:xm="http://schemas.microsoft.com/office/excel/2006/main">
          <x14:cfRule type="containsText" priority="151" operator="containsText" id="{EE480963-A851-4287-A599-BA2BEAF698FD}">
            <xm:f>NOT(ISERROR(SEARCH(Auxiliar!$B$21,J802)))</xm:f>
            <xm:f>Auxiliar!$B$21</xm:f>
            <x14:dxf>
              <font>
                <b/>
                <i val="0"/>
                <color rgb="FFFFC000"/>
              </font>
              <fill>
                <patternFill>
                  <bgColor theme="9" tint="0.59996337778862885"/>
                </patternFill>
              </fill>
            </x14:dxf>
          </x14:cfRule>
          <x14:cfRule type="cellIs" priority="152" operator="equal" id="{E65463CC-CED3-418A-850B-2AEC62B95131}">
            <xm:f>Auxiliar!$B$24</xm:f>
            <x14:dxf>
              <font>
                <b/>
                <i val="0"/>
                <color theme="1"/>
              </font>
              <fill>
                <patternFill patternType="darkUp">
                  <bgColor theme="0"/>
                </patternFill>
              </fill>
            </x14:dxf>
          </x14:cfRule>
          <x14:cfRule type="cellIs" priority="153" operator="equal" id="{BFBBF7BF-D3FA-4006-A560-667BD910E543}">
            <xm:f>Auxiliar!$B$18</xm:f>
            <x14:dxf>
              <font>
                <b/>
                <i val="0"/>
                <color theme="0" tint="-0.499984740745262"/>
              </font>
              <fill>
                <patternFill>
                  <bgColor theme="0" tint="-4.9989318521683403E-2"/>
                </patternFill>
              </fill>
            </x14:dxf>
          </x14:cfRule>
          <x14:cfRule type="containsText" priority="154" operator="containsText" id="{B36EA303-33F8-41E6-8826-FF98839EFE05}">
            <xm:f>NOT(ISERROR(SEARCH(Auxiliar!$B$22,J802)))</xm:f>
            <xm:f>Auxiliar!$B$22</xm:f>
            <x14:dxf>
              <font>
                <b/>
                <i val="0"/>
                <color rgb="FFC00000"/>
              </font>
              <fill>
                <patternFill>
                  <bgColor theme="4" tint="0.79998168889431442"/>
                </patternFill>
              </fill>
            </x14:dxf>
          </x14:cfRule>
          <x14:cfRule type="containsText" priority="155" operator="containsText" id="{7DCBBE39-6C3A-4A6D-84D7-898BA5BDA9B4}">
            <xm:f>NOT(ISERROR(SEARCH(Auxiliar!$B$19,J802)))</xm:f>
            <xm:f>Auxiliar!$B$19</xm:f>
            <x14:dxf>
              <font>
                <b/>
                <i val="0"/>
                <color theme="9" tint="-0.499984740745262"/>
              </font>
              <fill>
                <patternFill>
                  <bgColor theme="9" tint="0.79998168889431442"/>
                </patternFill>
              </fill>
            </x14:dxf>
          </x14:cfRule>
          <x14:cfRule type="containsText" priority="156" operator="containsText" id="{A67AFEE5-07CA-4A4E-877C-ED6F6AD6A524}">
            <xm:f>NOT(ISERROR(SEARCH(Auxiliar!$B$16,J802)))</xm:f>
            <xm:f>Auxiliar!$B$16</xm:f>
            <x14:dxf>
              <font>
                <b/>
                <i val="0"/>
                <color theme="7"/>
              </font>
              <fill>
                <patternFill>
                  <bgColor theme="7" tint="0.79998168889431442"/>
                </patternFill>
              </fill>
            </x14:dxf>
          </x14:cfRule>
          <xm:sqref>J802:J823</xm:sqref>
        </x14:conditionalFormatting>
        <x14:conditionalFormatting xmlns:xm="http://schemas.microsoft.com/office/excel/2006/main">
          <x14:cfRule type="containsText" priority="157" operator="containsText" id="{38F96929-C4AA-431E-B12A-0DCF4864D5CD}">
            <xm:f>NOT(ISERROR(SEARCH(Auxiliar!$B$21,J1535)))</xm:f>
            <xm:f>Auxiliar!$B$21</xm:f>
            <x14:dxf>
              <font>
                <b/>
                <i val="0"/>
                <color rgb="FFFFC000"/>
              </font>
              <fill>
                <patternFill>
                  <bgColor theme="9" tint="0.59996337778862885"/>
                </patternFill>
              </fill>
            </x14:dxf>
          </x14:cfRule>
          <x14:cfRule type="cellIs" priority="158" operator="equal" id="{A23AEDE7-80C2-459D-94A3-CF50BC8E067F}">
            <xm:f>Auxiliar!$B$24</xm:f>
            <x14:dxf>
              <font>
                <b/>
                <i val="0"/>
                <color theme="1"/>
              </font>
              <fill>
                <patternFill patternType="darkUp">
                  <bgColor theme="0"/>
                </patternFill>
              </fill>
            </x14:dxf>
          </x14:cfRule>
          <x14:cfRule type="cellIs" priority="159" operator="equal" id="{BD63F02A-7953-4EFD-A25E-5F5A4519C878}">
            <xm:f>Auxiliar!$B$18</xm:f>
            <x14:dxf>
              <font>
                <b/>
                <i val="0"/>
                <color theme="0" tint="-0.499984740745262"/>
              </font>
              <fill>
                <patternFill>
                  <bgColor theme="0" tint="-4.9989318521683403E-2"/>
                </patternFill>
              </fill>
            </x14:dxf>
          </x14:cfRule>
          <x14:cfRule type="containsText" priority="160" operator="containsText" id="{9D29B155-8122-422F-A137-EEA182F6B984}">
            <xm:f>NOT(ISERROR(SEARCH(Auxiliar!$B$22,J1535)))</xm:f>
            <xm:f>Auxiliar!$B$22</xm:f>
            <x14:dxf>
              <font>
                <b/>
                <i val="0"/>
                <color rgb="FFC00000"/>
              </font>
              <fill>
                <patternFill>
                  <bgColor theme="4" tint="0.79998168889431442"/>
                </patternFill>
              </fill>
            </x14:dxf>
          </x14:cfRule>
          <x14:cfRule type="containsText" priority="161" operator="containsText" id="{14D7CE32-2AD5-4C8F-952D-CACCABEF04B1}">
            <xm:f>NOT(ISERROR(SEARCH(Auxiliar!$B$19,J1535)))</xm:f>
            <xm:f>Auxiliar!$B$19</xm:f>
            <x14:dxf>
              <font>
                <b/>
                <i val="0"/>
                <color theme="9" tint="-0.499984740745262"/>
              </font>
              <fill>
                <patternFill>
                  <bgColor theme="9" tint="0.79998168889431442"/>
                </patternFill>
              </fill>
            </x14:dxf>
          </x14:cfRule>
          <x14:cfRule type="containsText" priority="162" operator="containsText" id="{749528D8-FC33-4432-83FE-EBD00AF80543}">
            <xm:f>NOT(ISERROR(SEARCH(Auxiliar!$B$16,J1535)))</xm:f>
            <xm:f>Auxiliar!$B$16</xm:f>
            <x14:dxf>
              <font>
                <b/>
                <i val="0"/>
                <color theme="7"/>
              </font>
              <fill>
                <patternFill>
                  <bgColor theme="7" tint="0.79998168889431442"/>
                </patternFill>
              </fill>
            </x14:dxf>
          </x14:cfRule>
          <xm:sqref>J1535</xm:sqref>
        </x14:conditionalFormatting>
        <x14:conditionalFormatting xmlns:xm="http://schemas.microsoft.com/office/excel/2006/main">
          <x14:cfRule type="containsText" priority="13" operator="containsText" id="{CA951775-A6AC-4435-AECC-C0B65647D1F0}">
            <xm:f>NOT(ISERROR(SEARCH(Auxiliar!$B$21,I1287)))</xm:f>
            <xm:f>Auxiliar!$B$21</xm:f>
            <x14:dxf>
              <font>
                <b/>
                <i val="0"/>
                <color rgb="FFFFC000"/>
              </font>
              <fill>
                <patternFill>
                  <bgColor theme="9" tint="0.59996337778862885"/>
                </patternFill>
              </fill>
            </x14:dxf>
          </x14:cfRule>
          <x14:cfRule type="cellIs" priority="14" operator="equal" id="{0C08ED8D-D9A5-40D7-88D1-42FAFDD398C3}">
            <xm:f>Auxiliar!$B$24</xm:f>
            <x14:dxf>
              <font>
                <b/>
                <i val="0"/>
                <color theme="1"/>
              </font>
              <fill>
                <patternFill patternType="darkUp">
                  <bgColor theme="0"/>
                </patternFill>
              </fill>
            </x14:dxf>
          </x14:cfRule>
          <x14:cfRule type="cellIs" priority="15" operator="equal" id="{C7CF56B0-2401-4A3B-B862-A1A5ECE1EE2E}">
            <xm:f>Auxiliar!$B$18</xm:f>
            <x14:dxf>
              <font>
                <b/>
                <i val="0"/>
                <color theme="0" tint="-0.499984740745262"/>
              </font>
              <fill>
                <patternFill>
                  <bgColor theme="0" tint="-4.9989318521683403E-2"/>
                </patternFill>
              </fill>
            </x14:dxf>
          </x14:cfRule>
          <x14:cfRule type="containsText" priority="16" operator="containsText" id="{618938CC-5199-4E67-BB43-7A3DB3AD1364}">
            <xm:f>NOT(ISERROR(SEARCH(Auxiliar!$B$22,I1287)))</xm:f>
            <xm:f>Auxiliar!$B$22</xm:f>
            <x14:dxf>
              <font>
                <b/>
                <i val="0"/>
                <color rgb="FFC00000"/>
              </font>
              <fill>
                <patternFill>
                  <bgColor theme="4" tint="0.79998168889431442"/>
                </patternFill>
              </fill>
            </x14:dxf>
          </x14:cfRule>
          <x14:cfRule type="containsText" priority="17" operator="containsText" id="{C3E2CC3C-0069-442D-8684-A14092FC9826}">
            <xm:f>NOT(ISERROR(SEARCH(Auxiliar!$B$19,I1287)))</xm:f>
            <xm:f>Auxiliar!$B$19</xm:f>
            <x14:dxf>
              <font>
                <b/>
                <i val="0"/>
                <color theme="9" tint="-0.499984740745262"/>
              </font>
              <fill>
                <patternFill>
                  <bgColor theme="9" tint="0.79998168889431442"/>
                </patternFill>
              </fill>
            </x14:dxf>
          </x14:cfRule>
          <x14:cfRule type="containsText" priority="18" operator="containsText" id="{CAAC3E20-E5C1-42CB-B878-573AAD5ED4C9}">
            <xm:f>NOT(ISERROR(SEARCH(Auxiliar!$B$16,I1287)))</xm:f>
            <xm:f>Auxiliar!$B$16</xm:f>
            <x14:dxf>
              <font>
                <b/>
                <i val="0"/>
                <color theme="7"/>
              </font>
              <fill>
                <patternFill>
                  <bgColor theme="7" tint="0.79998168889431442"/>
                </patternFill>
              </fill>
            </x14:dxf>
          </x14:cfRule>
          <xm:sqref>I1287</xm:sqref>
        </x14:conditionalFormatting>
        <x14:conditionalFormatting xmlns:xm="http://schemas.microsoft.com/office/excel/2006/main">
          <x14:cfRule type="containsText" priority="7" operator="containsText" id="{A82BCACA-8B76-4701-8C05-3F949BDD0E9D}">
            <xm:f>NOT(ISERROR(SEARCH(Auxiliar!$B$21,I1288)))</xm:f>
            <xm:f>Auxiliar!$B$21</xm:f>
            <x14:dxf>
              <font>
                <b/>
                <i val="0"/>
                <color rgb="FFFFC000"/>
              </font>
              <fill>
                <patternFill>
                  <bgColor theme="9" tint="0.59996337778862885"/>
                </patternFill>
              </fill>
            </x14:dxf>
          </x14:cfRule>
          <x14:cfRule type="cellIs" priority="8" operator="equal" id="{0548F3AF-1CFF-49D3-8804-20994B24D0BC}">
            <xm:f>Auxiliar!$B$24</xm:f>
            <x14:dxf>
              <font>
                <b/>
                <i val="0"/>
                <color theme="1"/>
              </font>
              <fill>
                <patternFill patternType="darkUp">
                  <bgColor theme="0"/>
                </patternFill>
              </fill>
            </x14:dxf>
          </x14:cfRule>
          <x14:cfRule type="cellIs" priority="9" operator="equal" id="{23FBA885-DBBE-4B9B-99E4-2C75AB8C650B}">
            <xm:f>Auxiliar!$B$18</xm:f>
            <x14:dxf>
              <font>
                <b/>
                <i val="0"/>
                <color theme="0" tint="-0.499984740745262"/>
              </font>
              <fill>
                <patternFill>
                  <bgColor theme="0" tint="-4.9989318521683403E-2"/>
                </patternFill>
              </fill>
            </x14:dxf>
          </x14:cfRule>
          <x14:cfRule type="containsText" priority="10" operator="containsText" id="{2AF68960-A397-4689-B681-B61ECC244A7D}">
            <xm:f>NOT(ISERROR(SEARCH(Auxiliar!$B$22,I1288)))</xm:f>
            <xm:f>Auxiliar!$B$22</xm:f>
            <x14:dxf>
              <font>
                <b/>
                <i val="0"/>
                <color rgb="FFC00000"/>
              </font>
              <fill>
                <patternFill>
                  <bgColor theme="4" tint="0.79998168889431442"/>
                </patternFill>
              </fill>
            </x14:dxf>
          </x14:cfRule>
          <x14:cfRule type="containsText" priority="11" operator="containsText" id="{3C261EF6-D6E5-4FFE-B042-BA396C3F42F8}">
            <xm:f>NOT(ISERROR(SEARCH(Auxiliar!$B$19,I1288)))</xm:f>
            <xm:f>Auxiliar!$B$19</xm:f>
            <x14:dxf>
              <font>
                <b/>
                <i val="0"/>
                <color theme="9" tint="-0.499984740745262"/>
              </font>
              <fill>
                <patternFill>
                  <bgColor theme="9" tint="0.79998168889431442"/>
                </patternFill>
              </fill>
            </x14:dxf>
          </x14:cfRule>
          <x14:cfRule type="containsText" priority="12" operator="containsText" id="{2CD2B01F-BE45-425B-9EEB-B331CC6710AA}">
            <xm:f>NOT(ISERROR(SEARCH(Auxiliar!$B$16,I1288)))</xm:f>
            <xm:f>Auxiliar!$B$16</xm:f>
            <x14:dxf>
              <font>
                <b/>
                <i val="0"/>
                <color theme="7"/>
              </font>
              <fill>
                <patternFill>
                  <bgColor theme="7" tint="0.79998168889431442"/>
                </patternFill>
              </fill>
            </x14:dxf>
          </x14:cfRule>
          <xm:sqref>I1288</xm:sqref>
        </x14:conditionalFormatting>
        <x14:conditionalFormatting xmlns:xm="http://schemas.microsoft.com/office/excel/2006/main">
          <x14:cfRule type="containsText" priority="1" operator="containsText" id="{77581729-4EE6-45A3-AE6D-5E19FA5E2B42}">
            <xm:f>NOT(ISERROR(SEARCH(Auxiliar!$B$21,I1289)))</xm:f>
            <xm:f>Auxiliar!$B$21</xm:f>
            <x14:dxf>
              <font>
                <b/>
                <i val="0"/>
                <color rgb="FFFFC000"/>
              </font>
              <fill>
                <patternFill>
                  <bgColor theme="9" tint="0.59996337778862885"/>
                </patternFill>
              </fill>
            </x14:dxf>
          </x14:cfRule>
          <x14:cfRule type="cellIs" priority="2" operator="equal" id="{7CE8A404-F56D-4CC1-AD1B-3B569C7239AB}">
            <xm:f>Auxiliar!$B$24</xm:f>
            <x14:dxf>
              <font>
                <b/>
                <i val="0"/>
                <color theme="1"/>
              </font>
              <fill>
                <patternFill patternType="darkUp">
                  <bgColor theme="0"/>
                </patternFill>
              </fill>
            </x14:dxf>
          </x14:cfRule>
          <x14:cfRule type="cellIs" priority="3" operator="equal" id="{53DE703A-A0B4-44E4-A43C-619B6B39D8BE}">
            <xm:f>Auxiliar!$B$18</xm:f>
            <x14:dxf>
              <font>
                <b/>
                <i val="0"/>
                <color theme="0" tint="-0.499984740745262"/>
              </font>
              <fill>
                <patternFill>
                  <bgColor theme="0" tint="-4.9989318521683403E-2"/>
                </patternFill>
              </fill>
            </x14:dxf>
          </x14:cfRule>
          <x14:cfRule type="containsText" priority="4" operator="containsText" id="{A729F50B-2D3F-447B-B1D8-8F4CAD35C5EE}">
            <xm:f>NOT(ISERROR(SEARCH(Auxiliar!$B$22,I1289)))</xm:f>
            <xm:f>Auxiliar!$B$22</xm:f>
            <x14:dxf>
              <font>
                <b/>
                <i val="0"/>
                <color rgb="FFC00000"/>
              </font>
              <fill>
                <patternFill>
                  <bgColor theme="4" tint="0.79998168889431442"/>
                </patternFill>
              </fill>
            </x14:dxf>
          </x14:cfRule>
          <x14:cfRule type="containsText" priority="5" operator="containsText" id="{BBE5BDFB-7388-49A8-AE70-C5EE6AF88931}">
            <xm:f>NOT(ISERROR(SEARCH(Auxiliar!$B$19,I1289)))</xm:f>
            <xm:f>Auxiliar!$B$19</xm:f>
            <x14:dxf>
              <font>
                <b/>
                <i val="0"/>
                <color theme="9" tint="-0.499984740745262"/>
              </font>
              <fill>
                <patternFill>
                  <bgColor theme="9" tint="0.79998168889431442"/>
                </patternFill>
              </fill>
            </x14:dxf>
          </x14:cfRule>
          <x14:cfRule type="containsText" priority="6" operator="containsText" id="{D0343BD4-FB92-4758-A48E-225188CA74AB}">
            <xm:f>NOT(ISERROR(SEARCH(Auxiliar!$B$16,I1289)))</xm:f>
            <xm:f>Auxiliar!$B$16</xm:f>
            <x14:dxf>
              <font>
                <b/>
                <i val="0"/>
                <color theme="7"/>
              </font>
              <fill>
                <patternFill>
                  <bgColor theme="7" tint="0.79998168889431442"/>
                </patternFill>
              </fill>
            </x14:dxf>
          </x14:cfRule>
          <xm:sqref>I1289</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M9:M1535</xm:sqref>
        </x14:dataValidation>
        <x14:dataValidation type="list" allowBlank="1" showInputMessage="1" showErrorMessage="1">
          <x14:formula1>
            <xm:f>Auxiliar!$B$5:$B$13</xm:f>
          </x14:formula1>
          <xm:sqref>K9:K1535</xm:sqref>
        </x14:dataValidation>
        <x14:dataValidation type="list" allowBlank="1" showInputMessage="1" showErrorMessage="1">
          <x14:formula1>
            <xm:f>Auxiliar!$B$16:$B$24</xm:f>
          </x14:formula1>
          <xm:sqref>I9:I1535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59765625" defaultRowHeight="15"/>
  <cols>
    <col min="1" max="1" width="40.5" style="13" customWidth="1"/>
    <col min="2" max="4" width="8.59765625" style="13"/>
    <col min="5" max="5" width="43.59765625" style="13" customWidth="1"/>
    <col min="6" max="16384" width="8.59765625" style="13"/>
  </cols>
  <sheetData>
    <row r="1" spans="1:11" ht="15.6">
      <c r="A1" s="14" t="s">
        <v>1284</v>
      </c>
      <c r="B1" s="13" t="s">
        <v>1285</v>
      </c>
      <c r="C1" s="13" t="s">
        <v>1286</v>
      </c>
      <c r="D1" s="13" t="s">
        <v>1287</v>
      </c>
      <c r="E1" s="13" t="s">
        <v>1288</v>
      </c>
      <c r="F1" s="13" t="s">
        <v>1289</v>
      </c>
      <c r="G1" s="13" t="s">
        <v>1290</v>
      </c>
      <c r="H1" s="13" t="s">
        <v>1291</v>
      </c>
      <c r="I1" s="13" t="s">
        <v>1292</v>
      </c>
      <c r="J1" s="13" t="s">
        <v>1293</v>
      </c>
      <c r="K1" s="13" t="s">
        <v>1294</v>
      </c>
    </row>
    <row r="2" spans="1:11">
      <c r="A2" s="15" t="str">
        <f>VLOOKUP(E2,Table1[[#All],[Campo]],1,0)</f>
        <v>cod_soc</v>
      </c>
      <c r="B2" s="13" t="s">
        <v>1295</v>
      </c>
      <c r="C2" s="13" t="s">
        <v>1296</v>
      </c>
      <c r="D2" s="13" t="s">
        <v>1297</v>
      </c>
      <c r="E2" s="13" t="s">
        <v>1298</v>
      </c>
      <c r="F2" s="13" t="s">
        <v>1299</v>
      </c>
      <c r="G2" s="13" t="s">
        <v>1300</v>
      </c>
      <c r="H2" s="13" t="s">
        <v>621</v>
      </c>
      <c r="I2" s="13">
        <v>1096295</v>
      </c>
      <c r="J2" s="13">
        <v>0</v>
      </c>
      <c r="K2" s="13">
        <v>0</v>
      </c>
    </row>
    <row r="3" spans="1:11">
      <c r="A3" s="15" t="str">
        <f>VLOOKUP(E3,Table1[[#All],[Campo]],1,0)</f>
        <v>dt_rfrnc</v>
      </c>
      <c r="B3" s="13" t="s">
        <v>1301</v>
      </c>
      <c r="C3" s="13" t="s">
        <v>1302</v>
      </c>
      <c r="D3" s="13" t="s">
        <v>1297</v>
      </c>
      <c r="E3" s="13" t="s">
        <v>1303</v>
      </c>
      <c r="F3" s="13" t="s">
        <v>1304</v>
      </c>
      <c r="G3" s="13" t="s">
        <v>1300</v>
      </c>
      <c r="H3" s="13" t="s">
        <v>621</v>
      </c>
      <c r="I3" s="13">
        <v>1096295</v>
      </c>
      <c r="J3" s="13">
        <v>0</v>
      </c>
      <c r="K3" s="13">
        <v>0</v>
      </c>
    </row>
    <row r="4" spans="1:11">
      <c r="A4" s="15" t="str">
        <f>VLOOKUP(E4,Table1[[#All],[Campo]],1,0)</f>
        <v>cod_soc</v>
      </c>
      <c r="B4" s="13" t="s">
        <v>1305</v>
      </c>
      <c r="C4" s="13" t="s">
        <v>1296</v>
      </c>
      <c r="D4" s="13" t="s">
        <v>1306</v>
      </c>
      <c r="E4" s="13" t="s">
        <v>1298</v>
      </c>
      <c r="F4" s="13" t="s">
        <v>1299</v>
      </c>
      <c r="G4" s="13" t="s">
        <v>1307</v>
      </c>
      <c r="H4" s="13" t="s">
        <v>621</v>
      </c>
      <c r="I4" s="13">
        <v>2490665</v>
      </c>
      <c r="J4" s="13">
        <v>0</v>
      </c>
      <c r="K4" s="13">
        <v>0</v>
      </c>
    </row>
    <row r="5" spans="1:11">
      <c r="A5" s="15" t="str">
        <f>VLOOKUP(E5,Table1[[#All],[Campo]],1,0)</f>
        <v>dt_rfrnc</v>
      </c>
      <c r="B5" s="13" t="s">
        <v>1308</v>
      </c>
      <c r="C5" s="13" t="s">
        <v>1309</v>
      </c>
      <c r="D5" s="13" t="s">
        <v>1306</v>
      </c>
      <c r="E5" s="13" t="s">
        <v>1303</v>
      </c>
      <c r="F5" s="13" t="s">
        <v>1304</v>
      </c>
      <c r="G5" s="13" t="s">
        <v>1307</v>
      </c>
      <c r="H5" s="13" t="s">
        <v>621</v>
      </c>
      <c r="I5" s="13">
        <v>2490665</v>
      </c>
      <c r="J5" s="13">
        <v>0</v>
      </c>
      <c r="K5" s="13">
        <v>0</v>
      </c>
    </row>
    <row r="6" spans="1:11">
      <c r="A6" s="15" t="str">
        <f>VLOOKUP(E6,Table1[[#All],[Campo]],1,0)</f>
        <v>instrmnt_id</v>
      </c>
      <c r="B6" s="13" t="s">
        <v>1310</v>
      </c>
      <c r="C6" s="13" t="s">
        <v>1311</v>
      </c>
      <c r="D6" s="13" t="s">
        <v>1306</v>
      </c>
      <c r="E6" s="13" t="s">
        <v>1312</v>
      </c>
      <c r="F6" s="13" t="s">
        <v>1299</v>
      </c>
      <c r="G6" s="13" t="s">
        <v>1307</v>
      </c>
      <c r="H6" s="13" t="s">
        <v>621</v>
      </c>
      <c r="I6" s="13">
        <v>2490665</v>
      </c>
      <c r="J6" s="13">
        <v>0</v>
      </c>
      <c r="K6" s="13">
        <v>0</v>
      </c>
    </row>
    <row r="7" spans="1:11">
      <c r="A7" s="15" t="str">
        <f>VLOOKUP(E7,Table1[[#All],[Campo]],1,0)</f>
        <v>cod_soc</v>
      </c>
      <c r="B7" s="13" t="s">
        <v>1313</v>
      </c>
      <c r="C7" s="13" t="s">
        <v>1296</v>
      </c>
      <c r="D7" s="13" t="s">
        <v>1314</v>
      </c>
      <c r="E7" s="13" t="s">
        <v>1298</v>
      </c>
      <c r="F7" s="13" t="s">
        <v>1299</v>
      </c>
      <c r="G7" s="13" t="s">
        <v>1315</v>
      </c>
      <c r="H7" s="13" t="s">
        <v>621</v>
      </c>
      <c r="I7" s="13">
        <v>2002411</v>
      </c>
      <c r="J7" s="13">
        <v>0</v>
      </c>
      <c r="K7" s="13">
        <v>0</v>
      </c>
    </row>
    <row r="8" spans="1:11">
      <c r="A8" s="15" t="str">
        <f>VLOOKUP(E8,Table1[[#All],[Campo]],1,0)</f>
        <v>dt_rfrnc</v>
      </c>
      <c r="B8" s="13" t="s">
        <v>1316</v>
      </c>
      <c r="C8" s="13" t="s">
        <v>1309</v>
      </c>
      <c r="D8" s="13" t="s">
        <v>1314</v>
      </c>
      <c r="E8" s="13" t="s">
        <v>1303</v>
      </c>
      <c r="F8" s="13" t="s">
        <v>1304</v>
      </c>
      <c r="G8" s="13" t="s">
        <v>1315</v>
      </c>
      <c r="H8" s="13" t="s">
        <v>621</v>
      </c>
      <c r="I8" s="13">
        <v>2002411</v>
      </c>
      <c r="J8" s="13">
        <v>0</v>
      </c>
      <c r="K8" s="13">
        <v>0</v>
      </c>
    </row>
    <row r="9" spans="1:11">
      <c r="A9" s="15" t="str">
        <f>VLOOKUP(E9,Table1[[#All],[Campo]],1,0)</f>
        <v>instrmnt_id</v>
      </c>
      <c r="B9" s="13" t="s">
        <v>1317</v>
      </c>
      <c r="C9" s="13" t="s">
        <v>1311</v>
      </c>
      <c r="D9" s="13" t="s">
        <v>1314</v>
      </c>
      <c r="E9" s="13" t="s">
        <v>1312</v>
      </c>
      <c r="F9" s="13" t="s">
        <v>1299</v>
      </c>
      <c r="G9" s="13" t="s">
        <v>1315</v>
      </c>
      <c r="H9" s="13" t="s">
        <v>621</v>
      </c>
      <c r="I9" s="13">
        <v>2002411</v>
      </c>
      <c r="J9" s="13">
        <v>0</v>
      </c>
      <c r="K9" s="13">
        <v>0</v>
      </c>
    </row>
    <row r="10" spans="1:11">
      <c r="A10" s="15" t="str">
        <f>VLOOKUP(E10,Table1[[#All],[Campo]],1,0)</f>
        <v>dflt_stts_instrmnt</v>
      </c>
      <c r="B10" s="13" t="s">
        <v>1318</v>
      </c>
      <c r="C10" s="13" t="s">
        <v>1319</v>
      </c>
      <c r="D10" s="13" t="s">
        <v>1320</v>
      </c>
      <c r="E10" s="13" t="s">
        <v>1321</v>
      </c>
      <c r="F10" s="13" t="s">
        <v>1322</v>
      </c>
      <c r="G10" s="13" t="s">
        <v>1315</v>
      </c>
      <c r="H10" s="13" t="s">
        <v>1323</v>
      </c>
      <c r="I10" s="13">
        <v>2002411</v>
      </c>
      <c r="J10" s="13">
        <v>96182</v>
      </c>
      <c r="K10" s="13">
        <v>4.8033000000000001</v>
      </c>
    </row>
    <row r="11" spans="1:11">
      <c r="A11" s="15" t="str">
        <f>VLOOKUP(E11,Table1[[#All],[Campo]],1,0)</f>
        <v>prfrmng_stts</v>
      </c>
      <c r="B11" s="13" t="s">
        <v>1324</v>
      </c>
      <c r="C11" s="13" t="s">
        <v>1325</v>
      </c>
      <c r="D11" s="13" t="s">
        <v>1320</v>
      </c>
      <c r="E11" s="13" t="s">
        <v>1326</v>
      </c>
      <c r="F11" s="13" t="s">
        <v>1322</v>
      </c>
      <c r="G11" s="13" t="s">
        <v>1315</v>
      </c>
      <c r="H11" s="13" t="s">
        <v>621</v>
      </c>
      <c r="I11" s="13">
        <v>2002411</v>
      </c>
      <c r="J11" s="13">
        <v>0</v>
      </c>
      <c r="K11" s="13">
        <v>0</v>
      </c>
    </row>
    <row r="12" spans="1:11">
      <c r="A12" s="15" t="str">
        <f>VLOOKUP(E12,Table1[[#All],[Campo]],1,0)</f>
        <v>lcl_instmrnt_id</v>
      </c>
      <c r="B12" s="13" t="s">
        <v>1327</v>
      </c>
      <c r="C12" s="13" t="s">
        <v>1328</v>
      </c>
      <c r="D12" s="13" t="s">
        <v>1314</v>
      </c>
      <c r="E12" s="13" t="s">
        <v>1329</v>
      </c>
      <c r="F12" s="13" t="s">
        <v>1299</v>
      </c>
      <c r="G12" s="13" t="s">
        <v>1315</v>
      </c>
      <c r="H12" s="13" t="s">
        <v>1323</v>
      </c>
      <c r="I12" s="13">
        <v>2002411</v>
      </c>
      <c r="J12" s="13">
        <v>2002411</v>
      </c>
      <c r="K12" s="13">
        <v>100</v>
      </c>
    </row>
    <row r="13" spans="1:11">
      <c r="A13" s="15" t="str">
        <f>VLOOKUP(E13,Table1[[#All],[Campo]],1,0)</f>
        <v>sstnbl_indctr</v>
      </c>
      <c r="B13" s="13" t="s">
        <v>1330</v>
      </c>
      <c r="C13" s="13" t="s">
        <v>1331</v>
      </c>
      <c r="D13" s="13" t="s">
        <v>1320</v>
      </c>
      <c r="E13" s="13" t="s">
        <v>1332</v>
      </c>
      <c r="F13" s="13" t="s">
        <v>1333</v>
      </c>
      <c r="G13" s="13" t="s">
        <v>1315</v>
      </c>
      <c r="H13" s="13" t="s">
        <v>1323</v>
      </c>
      <c r="I13" s="13">
        <v>2002318</v>
      </c>
      <c r="J13" s="13">
        <v>2002318</v>
      </c>
      <c r="K13" s="13">
        <v>100</v>
      </c>
    </row>
    <row r="14" spans="1:11">
      <c r="A14" s="15" t="str">
        <f>VLOOKUP(E14,Table1[[#All],[Campo]],1,0)</f>
        <v>sstnbl_ctgry</v>
      </c>
      <c r="B14" s="13" t="s">
        <v>1334</v>
      </c>
      <c r="C14" s="13" t="s">
        <v>1335</v>
      </c>
      <c r="D14" s="13" t="s">
        <v>1320</v>
      </c>
      <c r="E14" s="13" t="s">
        <v>1336</v>
      </c>
      <c r="F14" s="13" t="s">
        <v>1333</v>
      </c>
      <c r="G14" s="13" t="s">
        <v>1315</v>
      </c>
      <c r="H14" s="13" t="s">
        <v>1323</v>
      </c>
      <c r="I14" s="13">
        <v>2002318</v>
      </c>
      <c r="J14" s="13">
        <v>2002318</v>
      </c>
      <c r="K14" s="13">
        <v>100</v>
      </c>
    </row>
    <row r="15" spans="1:11">
      <c r="A15" s="15" t="str">
        <f>VLOOKUP(E15,Table1[[#All],[Campo]],1,0)</f>
        <v>NW_BSNSS</v>
      </c>
      <c r="B15" s="13" t="s">
        <v>1337</v>
      </c>
      <c r="C15" s="13" t="s">
        <v>1338</v>
      </c>
      <c r="D15" s="13" t="s">
        <v>1320</v>
      </c>
      <c r="E15" s="13" t="s">
        <v>1339</v>
      </c>
      <c r="F15" s="13" t="s">
        <v>1333</v>
      </c>
      <c r="G15" s="13" t="s">
        <v>1315</v>
      </c>
      <c r="H15" s="13" t="s">
        <v>1323</v>
      </c>
      <c r="I15" s="13">
        <v>2002411</v>
      </c>
      <c r="J15" s="13">
        <v>2002411</v>
      </c>
      <c r="K15" s="13">
        <v>100</v>
      </c>
    </row>
    <row r="16" spans="1:11">
      <c r="A16" s="15" t="e">
        <f>VLOOKUP(E16,Table1[[#All],[Campo]],1,0)</f>
        <v>#N/A</v>
      </c>
      <c r="B16" s="13" t="s">
        <v>1340</v>
      </c>
      <c r="C16" s="13" t="s">
        <v>1341</v>
      </c>
      <c r="D16" s="13" t="s">
        <v>1320</v>
      </c>
      <c r="E16" s="13" t="s">
        <v>1342</v>
      </c>
      <c r="F16" s="13" t="s">
        <v>1333</v>
      </c>
      <c r="G16" s="13" t="s">
        <v>1315</v>
      </c>
      <c r="H16" s="13" t="s">
        <v>1323</v>
      </c>
      <c r="I16" s="13">
        <v>2002411</v>
      </c>
      <c r="J16" s="13">
        <v>2002411</v>
      </c>
      <c r="K16" s="13">
        <v>100</v>
      </c>
    </row>
    <row r="17" spans="1:11">
      <c r="A17" s="15" t="e">
        <f>VLOOKUP(E17,Table1[[#All],[Campo]],1,0)</f>
        <v>#N/A</v>
      </c>
      <c r="B17" s="13" t="s">
        <v>1343</v>
      </c>
      <c r="C17" s="13" t="s">
        <v>1344</v>
      </c>
      <c r="D17" s="13" t="s">
        <v>1320</v>
      </c>
      <c r="E17" s="13" t="s">
        <v>1345</v>
      </c>
      <c r="F17" s="13" t="s">
        <v>1333</v>
      </c>
      <c r="G17" s="13" t="s">
        <v>1315</v>
      </c>
      <c r="H17" s="13" t="s">
        <v>1323</v>
      </c>
      <c r="I17" s="13">
        <v>2002411</v>
      </c>
      <c r="J17" s="13">
        <v>2002411</v>
      </c>
      <c r="K17" s="13">
        <v>100</v>
      </c>
    </row>
    <row r="18" spans="1:11">
      <c r="A18" s="15" t="e">
        <f>VLOOKUP(E18,Table1[[#All],[Campo]],1,0)</f>
        <v>#N/A</v>
      </c>
      <c r="B18" s="13" t="s">
        <v>1346</v>
      </c>
      <c r="C18" s="13" t="s">
        <v>1347</v>
      </c>
      <c r="D18" s="13" t="s">
        <v>1320</v>
      </c>
      <c r="E18" s="13" t="s">
        <v>1348</v>
      </c>
      <c r="F18" s="13" t="s">
        <v>1333</v>
      </c>
      <c r="G18" s="13" t="s">
        <v>1315</v>
      </c>
      <c r="H18" s="13" t="s">
        <v>1323</v>
      </c>
      <c r="I18" s="13">
        <v>2002411</v>
      </c>
      <c r="J18" s="13">
        <v>2002411</v>
      </c>
      <c r="K18" s="13">
        <v>100</v>
      </c>
    </row>
    <row r="19" spans="1:11">
      <c r="A19" s="15" t="s">
        <v>1349</v>
      </c>
      <c r="B19" s="13" t="s">
        <v>1350</v>
      </c>
      <c r="C19" s="13" t="s">
        <v>1351</v>
      </c>
      <c r="D19" s="13" t="s">
        <v>1320</v>
      </c>
      <c r="E19" s="13" t="s">
        <v>1352</v>
      </c>
      <c r="F19" s="13" t="s">
        <v>1333</v>
      </c>
      <c r="G19" s="13" t="s">
        <v>1315</v>
      </c>
      <c r="H19" s="13" t="s">
        <v>1323</v>
      </c>
      <c r="I19" s="13">
        <v>2002411</v>
      </c>
      <c r="J19" s="13">
        <v>2002411</v>
      </c>
      <c r="K19" s="13">
        <v>100</v>
      </c>
    </row>
    <row r="20" spans="1:11">
      <c r="A20" s="15" t="str">
        <f>VLOOKUP(E20,Table1[[#All],[Campo]],1,0)</f>
        <v>idcmb</v>
      </c>
      <c r="B20" s="13" t="s">
        <v>1353</v>
      </c>
      <c r="C20" s="13" t="s">
        <v>1354</v>
      </c>
      <c r="D20" s="13" t="s">
        <v>1314</v>
      </c>
      <c r="E20" s="13" t="s">
        <v>1355</v>
      </c>
      <c r="F20" s="13" t="s">
        <v>1299</v>
      </c>
      <c r="G20" s="13" t="s">
        <v>1315</v>
      </c>
      <c r="H20" s="13" t="s">
        <v>1323</v>
      </c>
      <c r="I20" s="13">
        <v>2002411</v>
      </c>
      <c r="J20" s="13">
        <v>1</v>
      </c>
      <c r="K20" s="13">
        <v>0</v>
      </c>
    </row>
    <row r="21" spans="1:11">
      <c r="A21" s="15" t="str">
        <f>VLOOKUP(E21,Table1[[#All],[Campo]],1,0)</f>
        <v>cod_soc</v>
      </c>
      <c r="B21" s="13" t="s">
        <v>1356</v>
      </c>
      <c r="C21" s="13" t="s">
        <v>1296</v>
      </c>
      <c r="D21" s="13" t="s">
        <v>1357</v>
      </c>
      <c r="E21" s="13" t="s">
        <v>1298</v>
      </c>
      <c r="F21" s="13" t="s">
        <v>1299</v>
      </c>
      <c r="G21" s="13" t="s">
        <v>1358</v>
      </c>
      <c r="H21" s="13" t="s">
        <v>621</v>
      </c>
      <c r="I21" s="13">
        <v>731165</v>
      </c>
      <c r="J21" s="13">
        <v>0</v>
      </c>
      <c r="K21" s="13">
        <v>0</v>
      </c>
    </row>
    <row r="22" spans="1:11">
      <c r="A22" s="15" t="str">
        <f>VLOOKUP(E22,Table1[[#All],[Campo]],1,0)</f>
        <v>dt_rfrnc</v>
      </c>
      <c r="B22" s="13" t="s">
        <v>1359</v>
      </c>
      <c r="C22" s="13" t="s">
        <v>1309</v>
      </c>
      <c r="D22" s="13" t="s">
        <v>1357</v>
      </c>
      <c r="E22" s="13" t="s">
        <v>1303</v>
      </c>
      <c r="F22" s="13" t="s">
        <v>1304</v>
      </c>
      <c r="G22" s="13" t="s">
        <v>1358</v>
      </c>
      <c r="H22" s="13" t="s">
        <v>621</v>
      </c>
      <c r="I22" s="13">
        <v>731165</v>
      </c>
      <c r="J22" s="13">
        <v>0</v>
      </c>
      <c r="K22" s="13">
        <v>0</v>
      </c>
    </row>
    <row r="23" spans="1:11">
      <c r="A23" s="15" t="str">
        <f>VLOOKUP(E23,Table1[[#All],[Campo]],1,0)</f>
        <v>instrmnt_id</v>
      </c>
      <c r="B23" s="13" t="s">
        <v>1360</v>
      </c>
      <c r="C23" s="13" t="s">
        <v>1311</v>
      </c>
      <c r="D23" s="13" t="s">
        <v>1357</v>
      </c>
      <c r="E23" s="13" t="s">
        <v>1312</v>
      </c>
      <c r="F23" s="13" t="s">
        <v>1299</v>
      </c>
      <c r="G23" s="13" t="s">
        <v>1358</v>
      </c>
      <c r="H23" s="13" t="s">
        <v>621</v>
      </c>
      <c r="I23" s="13">
        <v>731165</v>
      </c>
      <c r="J23" s="13">
        <v>0</v>
      </c>
      <c r="K23" s="13">
        <v>0</v>
      </c>
    </row>
    <row r="24" spans="1:11">
      <c r="A24" s="15" t="str">
        <f>VLOOKUP(E24,Table1[[#All],[Campo]],1,0)</f>
        <v>cod_soc</v>
      </c>
      <c r="B24" s="13" t="s">
        <v>1361</v>
      </c>
      <c r="C24" s="13" t="s">
        <v>1296</v>
      </c>
      <c r="D24" s="13" t="s">
        <v>1362</v>
      </c>
      <c r="E24" s="13" t="s">
        <v>1298</v>
      </c>
      <c r="F24" s="13" t="s">
        <v>1299</v>
      </c>
      <c r="G24" s="13" t="s">
        <v>1363</v>
      </c>
      <c r="H24" s="13" t="s">
        <v>621</v>
      </c>
      <c r="I24" s="13">
        <v>456960</v>
      </c>
      <c r="J24" s="13">
        <v>0</v>
      </c>
      <c r="K24" s="13">
        <v>0</v>
      </c>
    </row>
    <row r="25" spans="1:11">
      <c r="A25" s="15" t="str">
        <f>VLOOKUP(E25,Table1[[#All],[Campo]],1,0)</f>
        <v>dt_rfrnc</v>
      </c>
      <c r="B25" s="13" t="s">
        <v>1364</v>
      </c>
      <c r="C25" s="13" t="s">
        <v>1309</v>
      </c>
      <c r="D25" s="13" t="s">
        <v>1362</v>
      </c>
      <c r="E25" s="13" t="s">
        <v>1303</v>
      </c>
      <c r="F25" s="13" t="s">
        <v>1304</v>
      </c>
      <c r="G25" s="13" t="s">
        <v>1363</v>
      </c>
      <c r="H25" s="13" t="s">
        <v>621</v>
      </c>
      <c r="I25" s="13">
        <v>456960</v>
      </c>
      <c r="J25" s="13">
        <v>0</v>
      </c>
      <c r="K25" s="13">
        <v>0</v>
      </c>
    </row>
    <row r="26" spans="1:11">
      <c r="A26" s="15" t="str">
        <f>VLOOKUP(E26,Table1[[#All],[Campo]],1,0)</f>
        <v>instrmnt_id</v>
      </c>
      <c r="B26" s="13" t="s">
        <v>1365</v>
      </c>
      <c r="C26" s="13" t="s">
        <v>1366</v>
      </c>
      <c r="D26" s="13" t="s">
        <v>1320</v>
      </c>
      <c r="E26" s="13" t="s">
        <v>1312</v>
      </c>
      <c r="F26" s="13" t="s">
        <v>1367</v>
      </c>
      <c r="G26" s="13" t="s">
        <v>1368</v>
      </c>
      <c r="H26" s="13" t="s">
        <v>621</v>
      </c>
      <c r="I26" s="13">
        <v>2003033</v>
      </c>
      <c r="J26" s="13">
        <v>0</v>
      </c>
      <c r="K26" s="13">
        <v>0</v>
      </c>
    </row>
    <row r="27" spans="1:11">
      <c r="A27" s="15" t="str">
        <f>VLOOKUP(E27,Table1[[#All],[Campo]],1,0)</f>
        <v>instrmnt_id</v>
      </c>
      <c r="B27" s="13" t="s">
        <v>1369</v>
      </c>
      <c r="C27" s="13" t="s">
        <v>1370</v>
      </c>
      <c r="D27" s="13" t="s">
        <v>1371</v>
      </c>
      <c r="E27" s="13" t="s">
        <v>1312</v>
      </c>
      <c r="F27" s="13" t="s">
        <v>1367</v>
      </c>
      <c r="G27" s="13" t="s">
        <v>1368</v>
      </c>
      <c r="H27" s="13" t="s">
        <v>621</v>
      </c>
      <c r="I27" s="13">
        <v>731165</v>
      </c>
      <c r="J27" s="13">
        <v>0</v>
      </c>
      <c r="K27" s="13">
        <v>0</v>
      </c>
    </row>
    <row r="28" spans="1:11">
      <c r="A28" s="15" t="str">
        <f>VLOOKUP(E28,Table1[[#All],[Campo]],1,0)</f>
        <v>cod_soc</v>
      </c>
      <c r="B28" s="13" t="s">
        <v>1372</v>
      </c>
      <c r="C28" s="13" t="s">
        <v>1373</v>
      </c>
      <c r="D28" s="13" t="s">
        <v>1374</v>
      </c>
      <c r="E28" s="13" t="s">
        <v>1298</v>
      </c>
      <c r="F28" s="13" t="s">
        <v>1375</v>
      </c>
      <c r="G28" s="13" t="s">
        <v>1376</v>
      </c>
      <c r="H28" s="13" t="s">
        <v>621</v>
      </c>
      <c r="I28" s="13">
        <v>1096295</v>
      </c>
      <c r="J28" s="13">
        <v>0</v>
      </c>
      <c r="K28" s="13">
        <v>0</v>
      </c>
    </row>
    <row r="29" spans="1:11">
      <c r="A29" s="15" t="str">
        <f>VLOOKUP(E29,Table1[[#All],[Campo]],1,0)</f>
        <v>dt_rfrnc</v>
      </c>
      <c r="B29" s="13" t="s">
        <v>1377</v>
      </c>
      <c r="C29" s="13" t="s">
        <v>1378</v>
      </c>
      <c r="D29" s="13" t="s">
        <v>1374</v>
      </c>
      <c r="E29" s="13" t="s">
        <v>1303</v>
      </c>
      <c r="F29" s="13" t="s">
        <v>1379</v>
      </c>
      <c r="G29" s="13" t="s">
        <v>1376</v>
      </c>
      <c r="H29" s="13" t="s">
        <v>621</v>
      </c>
      <c r="I29" s="13">
        <v>1096295</v>
      </c>
      <c r="J29" s="13">
        <v>0</v>
      </c>
      <c r="K29" s="13">
        <v>0</v>
      </c>
    </row>
    <row r="30" spans="1:11">
      <c r="A30" s="15" t="str">
        <f>VLOOKUP(E30,Table1[[#All],[Campo]],1,0)</f>
        <v>cod_soc</v>
      </c>
      <c r="B30" s="13" t="s">
        <v>1380</v>
      </c>
      <c r="C30" s="13" t="s">
        <v>1373</v>
      </c>
      <c r="D30" s="13" t="s">
        <v>1381</v>
      </c>
      <c r="E30" s="13" t="s">
        <v>1298</v>
      </c>
      <c r="F30" s="13" t="s">
        <v>1375</v>
      </c>
      <c r="G30" s="13" t="s">
        <v>1382</v>
      </c>
      <c r="H30" s="13" t="s">
        <v>621</v>
      </c>
      <c r="I30" s="13">
        <v>2490665</v>
      </c>
      <c r="J30" s="13">
        <v>0</v>
      </c>
      <c r="K30" s="13">
        <v>0</v>
      </c>
    </row>
    <row r="31" spans="1:11">
      <c r="A31" s="15" t="str">
        <f>VLOOKUP(E31,Table1[[#All],[Campo]],1,0)</f>
        <v>dt_rfrnc</v>
      </c>
      <c r="B31" s="13" t="s">
        <v>1383</v>
      </c>
      <c r="C31" s="13" t="s">
        <v>1384</v>
      </c>
      <c r="D31" s="13" t="s">
        <v>1381</v>
      </c>
      <c r="E31" s="13" t="s">
        <v>1303</v>
      </c>
      <c r="F31" s="13" t="s">
        <v>1379</v>
      </c>
      <c r="G31" s="13" t="s">
        <v>1382</v>
      </c>
      <c r="H31" s="13" t="s">
        <v>621</v>
      </c>
      <c r="I31" s="13">
        <v>2490665</v>
      </c>
      <c r="J31" s="13">
        <v>0</v>
      </c>
      <c r="K31" s="13">
        <v>0</v>
      </c>
    </row>
    <row r="32" spans="1:11">
      <c r="A32" s="15" t="str">
        <f>VLOOKUP(E32,Table1[[#All],[Campo]],1,0)</f>
        <v>instrmnt_id</v>
      </c>
      <c r="B32" s="13" t="s">
        <v>1385</v>
      </c>
      <c r="C32" s="13" t="s">
        <v>1386</v>
      </c>
      <c r="D32" s="13" t="s">
        <v>1381</v>
      </c>
      <c r="E32" s="13" t="s">
        <v>1312</v>
      </c>
      <c r="F32" s="13" t="s">
        <v>1387</v>
      </c>
      <c r="G32" s="13" t="s">
        <v>1382</v>
      </c>
      <c r="H32" s="13" t="s">
        <v>621</v>
      </c>
      <c r="I32" s="13">
        <v>2490665</v>
      </c>
      <c r="J32" s="13">
        <v>0</v>
      </c>
      <c r="K32" s="13">
        <v>0</v>
      </c>
    </row>
    <row r="33" spans="1:11">
      <c r="A33" s="15" t="str">
        <f>VLOOKUP(E33,Table1[[#All],[Campo]],1,0)</f>
        <v>cod_soc</v>
      </c>
      <c r="B33" s="13" t="s">
        <v>1388</v>
      </c>
      <c r="C33" s="13" t="s">
        <v>1373</v>
      </c>
      <c r="D33" s="13" t="s">
        <v>1320</v>
      </c>
      <c r="E33" s="13" t="s">
        <v>1298</v>
      </c>
      <c r="F33" s="13" t="s">
        <v>1375</v>
      </c>
      <c r="G33" s="13" t="s">
        <v>1389</v>
      </c>
      <c r="H33" s="13" t="s">
        <v>621</v>
      </c>
      <c r="I33" s="13">
        <v>2003033</v>
      </c>
      <c r="J33" s="13">
        <v>0</v>
      </c>
      <c r="K33" s="13">
        <v>0</v>
      </c>
    </row>
    <row r="34" spans="1:11">
      <c r="A34" s="15" t="str">
        <f>VLOOKUP(E34,Table1[[#All],[Campo]],1,0)</f>
        <v>subportfolio_id</v>
      </c>
      <c r="B34" s="13" t="s">
        <v>1390</v>
      </c>
      <c r="C34" s="13" t="s">
        <v>1391</v>
      </c>
      <c r="D34" s="13" t="s">
        <v>1320</v>
      </c>
      <c r="E34" s="13" t="s">
        <v>1392</v>
      </c>
      <c r="F34" s="13" t="s">
        <v>1375</v>
      </c>
      <c r="G34" s="13" t="s">
        <v>1389</v>
      </c>
      <c r="H34" s="13" t="s">
        <v>621</v>
      </c>
      <c r="I34" s="13">
        <v>2003033</v>
      </c>
      <c r="J34" s="13">
        <v>0</v>
      </c>
      <c r="K34" s="13">
        <v>0</v>
      </c>
    </row>
    <row r="35" spans="1:11">
      <c r="A35" s="15" t="str">
        <f>VLOOKUP(E35,Table1[[#All],[Campo]],1,0)</f>
        <v>dt_rfrnc</v>
      </c>
      <c r="B35" s="13" t="s">
        <v>1393</v>
      </c>
      <c r="C35" s="13" t="s">
        <v>1384</v>
      </c>
      <c r="D35" s="13" t="s">
        <v>1320</v>
      </c>
      <c r="E35" s="13" t="s">
        <v>1303</v>
      </c>
      <c r="F35" s="13" t="s">
        <v>1379</v>
      </c>
      <c r="G35" s="13" t="s">
        <v>1389</v>
      </c>
      <c r="H35" s="13" t="s">
        <v>621</v>
      </c>
      <c r="I35" s="13">
        <v>2003033</v>
      </c>
      <c r="J35" s="13">
        <v>0</v>
      </c>
      <c r="K35" s="13">
        <v>0</v>
      </c>
    </row>
    <row r="36" spans="1:11">
      <c r="A36" s="15" t="str">
        <f>VLOOKUP(E36,Table1[[#All],[Campo]],1,0)</f>
        <v>instrmnt_id</v>
      </c>
      <c r="B36" s="13" t="s">
        <v>1394</v>
      </c>
      <c r="C36" s="13" t="s">
        <v>1386</v>
      </c>
      <c r="D36" s="13" t="s">
        <v>1320</v>
      </c>
      <c r="E36" s="13" t="s">
        <v>1312</v>
      </c>
      <c r="F36" s="13" t="s">
        <v>1387</v>
      </c>
      <c r="G36" s="13" t="s">
        <v>1389</v>
      </c>
      <c r="H36" s="13" t="s">
        <v>621</v>
      </c>
      <c r="I36" s="13">
        <v>2003033</v>
      </c>
      <c r="J36" s="13">
        <v>0</v>
      </c>
      <c r="K36" s="13">
        <v>0</v>
      </c>
    </row>
    <row r="37" spans="1:11">
      <c r="A37" s="15" t="str">
        <f>VLOOKUP(E37,Table1[[#All],[Campo]],1,0)</f>
        <v>dflt_stts_instrmnt</v>
      </c>
      <c r="B37" s="13" t="s">
        <v>1395</v>
      </c>
      <c r="C37" s="13" t="s">
        <v>1396</v>
      </c>
      <c r="D37" s="13" t="s">
        <v>1320</v>
      </c>
      <c r="E37" s="13" t="s">
        <v>1321</v>
      </c>
      <c r="F37" s="13" t="s">
        <v>1375</v>
      </c>
      <c r="G37" s="13" t="s">
        <v>1389</v>
      </c>
      <c r="H37" s="13" t="s">
        <v>621</v>
      </c>
      <c r="I37" s="13">
        <v>2003033</v>
      </c>
      <c r="J37" s="13">
        <v>0</v>
      </c>
      <c r="K37" s="13">
        <v>0</v>
      </c>
    </row>
    <row r="38" spans="1:11">
      <c r="A38" s="15" t="str">
        <f>VLOOKUP(E38,Table1[[#All],[Campo]],1,0)</f>
        <v>imprmnt_stts</v>
      </c>
      <c r="B38" s="13" t="s">
        <v>1397</v>
      </c>
      <c r="C38" s="13" t="s">
        <v>1398</v>
      </c>
      <c r="D38" s="13" t="s">
        <v>1320</v>
      </c>
      <c r="E38" s="13" t="s">
        <v>1399</v>
      </c>
      <c r="F38" s="13" t="s">
        <v>1375</v>
      </c>
      <c r="G38" s="13" t="s">
        <v>1389</v>
      </c>
      <c r="H38" s="13" t="s">
        <v>621</v>
      </c>
      <c r="I38" s="13">
        <v>2003033</v>
      </c>
      <c r="J38" s="13">
        <v>0</v>
      </c>
      <c r="K38" s="13">
        <v>0</v>
      </c>
    </row>
    <row r="39" spans="1:11">
      <c r="A39" s="15" t="str">
        <f>VLOOKUP(E39,Table1[[#All],[Campo]],1,0)</f>
        <v>prfrmng_stts</v>
      </c>
      <c r="B39" s="13" t="s">
        <v>1400</v>
      </c>
      <c r="C39" s="13" t="s">
        <v>1401</v>
      </c>
      <c r="D39" s="13" t="s">
        <v>1320</v>
      </c>
      <c r="E39" s="13" t="s">
        <v>1326</v>
      </c>
      <c r="F39" s="13" t="s">
        <v>1375</v>
      </c>
      <c r="G39" s="13" t="s">
        <v>1389</v>
      </c>
      <c r="H39" s="13" t="s">
        <v>621</v>
      </c>
      <c r="I39" s="13">
        <v>2003033</v>
      </c>
      <c r="J39" s="13">
        <v>0</v>
      </c>
      <c r="K39" s="13">
        <v>0</v>
      </c>
    </row>
    <row r="40" spans="1:11">
      <c r="A40" s="15" t="str">
        <f>VLOOKUP(E40,Table1[[#All],[Campo]],1,0)</f>
        <v>typ_instrmnt</v>
      </c>
      <c r="B40" s="13" t="s">
        <v>1402</v>
      </c>
      <c r="C40" s="13" t="s">
        <v>1403</v>
      </c>
      <c r="D40" s="13" t="s">
        <v>1320</v>
      </c>
      <c r="E40" s="13" t="s">
        <v>1404</v>
      </c>
      <c r="F40" s="13" t="s">
        <v>1375</v>
      </c>
      <c r="G40" s="13" t="s">
        <v>1389</v>
      </c>
      <c r="H40" s="13" t="s">
        <v>621</v>
      </c>
      <c r="I40" s="13">
        <v>2003033</v>
      </c>
      <c r="J40" s="13">
        <v>0</v>
      </c>
      <c r="K40" s="13">
        <v>0</v>
      </c>
    </row>
    <row r="41" spans="1:11">
      <c r="A41" s="15" t="str">
        <f>VLOOKUP(E41,Table1[[#All],[Campo]],1,0)</f>
        <v>grss_crryng_amnt_instrmnt</v>
      </c>
      <c r="B41" s="13" t="s">
        <v>1405</v>
      </c>
      <c r="C41" s="13" t="s">
        <v>1406</v>
      </c>
      <c r="D41" s="13" t="s">
        <v>1320</v>
      </c>
      <c r="E41" s="13" t="s">
        <v>1407</v>
      </c>
      <c r="F41" s="13" t="s">
        <v>1408</v>
      </c>
      <c r="G41" s="13" t="s">
        <v>1389</v>
      </c>
      <c r="H41" s="13" t="s">
        <v>621</v>
      </c>
      <c r="I41" s="13">
        <v>2003033</v>
      </c>
      <c r="J41" s="13">
        <v>0</v>
      </c>
      <c r="K41" s="13">
        <v>0</v>
      </c>
    </row>
    <row r="42" spans="1:11">
      <c r="A42" s="15" t="str">
        <f>VLOOKUP(E42,Table1[[#All],[Campo]],1,0)</f>
        <v>accmltd_chngs_fv_cr_instrmnt</v>
      </c>
      <c r="B42" s="13" t="s">
        <v>1409</v>
      </c>
      <c r="C42" s="13" t="s">
        <v>1410</v>
      </c>
      <c r="D42" s="13" t="s">
        <v>1320</v>
      </c>
      <c r="E42" s="13" t="s">
        <v>1411</v>
      </c>
      <c r="F42" s="13" t="s">
        <v>1408</v>
      </c>
      <c r="G42" s="13" t="s">
        <v>1389</v>
      </c>
      <c r="H42" s="13" t="s">
        <v>621</v>
      </c>
      <c r="I42" s="13">
        <v>2003033</v>
      </c>
      <c r="J42" s="13">
        <v>0</v>
      </c>
      <c r="K42" s="13">
        <v>0</v>
      </c>
    </row>
    <row r="43" spans="1:11">
      <c r="A43" s="15" t="str">
        <f>VLOOKUP(E43,Table1[[#All],[Campo]],1,0)</f>
        <v>accntng_clssfctn</v>
      </c>
      <c r="B43" s="13" t="s">
        <v>1412</v>
      </c>
      <c r="C43" s="13" t="s">
        <v>1413</v>
      </c>
      <c r="D43" s="13" t="s">
        <v>1320</v>
      </c>
      <c r="E43" s="13" t="s">
        <v>1414</v>
      </c>
      <c r="F43" s="13" t="s">
        <v>1375</v>
      </c>
      <c r="G43" s="13" t="s">
        <v>1389</v>
      </c>
      <c r="H43" s="13" t="s">
        <v>621</v>
      </c>
      <c r="I43" s="13">
        <v>2003033</v>
      </c>
      <c r="J43" s="13">
        <v>0</v>
      </c>
      <c r="K43" s="13">
        <v>0</v>
      </c>
    </row>
    <row r="44" spans="1:11">
      <c r="A44" s="15" t="str">
        <f>VLOOKUP(E44,Table1[[#All],[Campo]],1,0)</f>
        <v>OFF_BLNC_SHT_AMNT_INSTRMNT</v>
      </c>
      <c r="B44" s="13" t="s">
        <v>1415</v>
      </c>
      <c r="C44" s="13" t="s">
        <v>1416</v>
      </c>
      <c r="D44" s="13" t="s">
        <v>1320</v>
      </c>
      <c r="E44" s="13" t="s">
        <v>1417</v>
      </c>
      <c r="F44" s="13" t="s">
        <v>1408</v>
      </c>
      <c r="G44" s="13" t="s">
        <v>1389</v>
      </c>
      <c r="H44" s="13" t="s">
        <v>621</v>
      </c>
      <c r="I44" s="13">
        <v>2003033</v>
      </c>
      <c r="J44" s="13">
        <v>0</v>
      </c>
      <c r="K44" s="13">
        <v>0</v>
      </c>
    </row>
    <row r="45" spans="1:11">
      <c r="A45" s="15" t="e">
        <f>VLOOKUP(E45,Table1[[#All],[Campo]],1,0)</f>
        <v>#N/A</v>
      </c>
      <c r="B45" s="13" t="s">
        <v>1418</v>
      </c>
      <c r="C45" s="13" t="s">
        <v>1419</v>
      </c>
      <c r="D45" s="13" t="s">
        <v>1320</v>
      </c>
      <c r="E45" s="13" t="s">
        <v>1420</v>
      </c>
      <c r="F45" s="13" t="s">
        <v>1408</v>
      </c>
      <c r="G45" s="13" t="s">
        <v>1389</v>
      </c>
      <c r="H45" s="13" t="s">
        <v>621</v>
      </c>
      <c r="I45" s="13">
        <v>2003033</v>
      </c>
      <c r="J45" s="13">
        <v>0</v>
      </c>
      <c r="K45" s="13">
        <v>0</v>
      </c>
    </row>
    <row r="46" spans="1:11">
      <c r="A46" s="15" t="str">
        <f>VLOOKUP(E46,Table1[[#All],[Campo]],1,0)</f>
        <v>RWA</v>
      </c>
      <c r="B46" s="13" t="s">
        <v>1421</v>
      </c>
      <c r="C46" s="13" t="s">
        <v>1422</v>
      </c>
      <c r="D46" s="13" t="s">
        <v>1320</v>
      </c>
      <c r="E46" s="13" t="s">
        <v>1423</v>
      </c>
      <c r="F46" s="13" t="s">
        <v>1408</v>
      </c>
      <c r="G46" s="13" t="s">
        <v>1389</v>
      </c>
      <c r="H46" s="13" t="s">
        <v>621</v>
      </c>
      <c r="I46" s="13">
        <v>2003033</v>
      </c>
      <c r="J46" s="13">
        <v>0</v>
      </c>
      <c r="K46" s="13">
        <v>0</v>
      </c>
    </row>
    <row r="47" spans="1:11">
      <c r="A47" s="15" t="str">
        <f>VLOOKUP(E47,Table1[[#All],[Campo]],1,0)</f>
        <v>accmltd_imprmnt_instrmnt</v>
      </c>
      <c r="B47" s="13" t="s">
        <v>1424</v>
      </c>
      <c r="C47" s="13" t="s">
        <v>1425</v>
      </c>
      <c r="D47" s="13" t="s">
        <v>1320</v>
      </c>
      <c r="E47" s="13" t="s">
        <v>1426</v>
      </c>
      <c r="F47" s="13" t="s">
        <v>1408</v>
      </c>
      <c r="G47" s="13" t="s">
        <v>1389</v>
      </c>
      <c r="H47" s="13" t="s">
        <v>621</v>
      </c>
      <c r="I47" s="13">
        <v>2003033</v>
      </c>
      <c r="J47" s="13">
        <v>0</v>
      </c>
      <c r="K47" s="13">
        <v>0</v>
      </c>
    </row>
    <row r="48" spans="1:11">
      <c r="A48" s="15" t="e">
        <f>VLOOKUP(E48,Table1[[#All],[Campo]],1,0)</f>
        <v>#N/A</v>
      </c>
      <c r="B48" s="13" t="s">
        <v>1427</v>
      </c>
      <c r="C48" s="13" t="s">
        <v>1428</v>
      </c>
      <c r="D48" s="13" t="s">
        <v>1320</v>
      </c>
      <c r="E48" s="13" t="s">
        <v>1429</v>
      </c>
      <c r="F48" s="13" t="s">
        <v>1375</v>
      </c>
      <c r="G48" s="13" t="s">
        <v>1389</v>
      </c>
      <c r="H48" s="13" t="s">
        <v>1323</v>
      </c>
      <c r="I48" s="13">
        <v>2003033</v>
      </c>
      <c r="J48" s="13">
        <v>744</v>
      </c>
      <c r="K48" s="13">
        <v>3.7100000000000001E-2</v>
      </c>
    </row>
    <row r="49" spans="1:11">
      <c r="A49" s="15" t="str">
        <f>VLOOKUP(E49,Table1[[#All],[Campo]],1,0)</f>
        <v>lcl_instmrnt_id</v>
      </c>
      <c r="B49" s="13" t="s">
        <v>1430</v>
      </c>
      <c r="C49" s="13" t="s">
        <v>1431</v>
      </c>
      <c r="D49" s="13" t="s">
        <v>1320</v>
      </c>
      <c r="E49" s="13" t="s">
        <v>1329</v>
      </c>
      <c r="F49" s="13" t="s">
        <v>1387</v>
      </c>
      <c r="G49" s="13" t="s">
        <v>1389</v>
      </c>
      <c r="H49" s="13" t="s">
        <v>621</v>
      </c>
      <c r="I49" s="13">
        <v>2003033</v>
      </c>
      <c r="J49" s="13">
        <v>0</v>
      </c>
      <c r="K49" s="13">
        <v>0</v>
      </c>
    </row>
    <row r="50" spans="1:11">
      <c r="A50" s="15" t="str">
        <f>VLOOKUP(E50,Table1[[#All],[Campo]],1,0)</f>
        <v>sstnbl_indctr</v>
      </c>
      <c r="B50" s="13" t="s">
        <v>1432</v>
      </c>
      <c r="C50" s="13" t="s">
        <v>1433</v>
      </c>
      <c r="D50" s="13" t="s">
        <v>1320</v>
      </c>
      <c r="E50" s="13" t="s">
        <v>1332</v>
      </c>
      <c r="F50" s="13" t="s">
        <v>1375</v>
      </c>
      <c r="G50" s="13" t="s">
        <v>1389</v>
      </c>
      <c r="H50" s="13" t="s">
        <v>1323</v>
      </c>
      <c r="I50" s="13">
        <v>2003033</v>
      </c>
      <c r="J50" s="13">
        <v>2003033</v>
      </c>
      <c r="K50" s="13">
        <v>100</v>
      </c>
    </row>
    <row r="51" spans="1:11">
      <c r="A51" s="15" t="str">
        <f>VLOOKUP(E51,Table1[[#All],[Campo]],1,0)</f>
        <v>sstnbl_ctgry</v>
      </c>
      <c r="B51" s="13" t="s">
        <v>1434</v>
      </c>
      <c r="C51" s="13" t="s">
        <v>1435</v>
      </c>
      <c r="D51" s="13" t="s">
        <v>1320</v>
      </c>
      <c r="E51" s="13" t="s">
        <v>1336</v>
      </c>
      <c r="F51" s="13" t="s">
        <v>1375</v>
      </c>
      <c r="G51" s="13" t="s">
        <v>1389</v>
      </c>
      <c r="H51" s="13" t="s">
        <v>1323</v>
      </c>
      <c r="I51" s="13">
        <v>2003033</v>
      </c>
      <c r="J51" s="13">
        <v>2003033</v>
      </c>
      <c r="K51" s="13">
        <v>100</v>
      </c>
    </row>
    <row r="52" spans="1:11">
      <c r="A52" s="15" t="e">
        <f>VLOOKUP(E52,Table1[[#All],[Campo]],1,0)</f>
        <v>#N/A</v>
      </c>
      <c r="B52" s="13" t="s">
        <v>1436</v>
      </c>
      <c r="C52" s="13" t="s">
        <v>1437</v>
      </c>
      <c r="D52" s="13" t="s">
        <v>1320</v>
      </c>
      <c r="E52" s="13" t="s">
        <v>1438</v>
      </c>
      <c r="F52" s="13" t="s">
        <v>1408</v>
      </c>
      <c r="G52" s="13" t="s">
        <v>1389</v>
      </c>
      <c r="H52" s="13" t="s">
        <v>621</v>
      </c>
      <c r="I52" s="13">
        <v>2003033</v>
      </c>
      <c r="J52" s="13">
        <v>0</v>
      </c>
      <c r="K52" s="13">
        <v>0</v>
      </c>
    </row>
    <row r="53" spans="1:11">
      <c r="A53" s="15" t="str">
        <f>VLOOKUP(E53,Table1[[#All],[Campo]],1,0)</f>
        <v>NW_BSNSS</v>
      </c>
      <c r="B53" s="13" t="s">
        <v>1439</v>
      </c>
      <c r="C53" s="13" t="s">
        <v>1440</v>
      </c>
      <c r="D53" s="13" t="s">
        <v>1320</v>
      </c>
      <c r="E53" s="13" t="s">
        <v>1339</v>
      </c>
      <c r="F53" s="13" t="s">
        <v>1375</v>
      </c>
      <c r="G53" s="13" t="s">
        <v>1389</v>
      </c>
      <c r="H53" s="13" t="s">
        <v>1323</v>
      </c>
      <c r="I53" s="13">
        <v>2003033</v>
      </c>
      <c r="J53" s="13">
        <v>2003033</v>
      </c>
      <c r="K53" s="13">
        <v>100</v>
      </c>
    </row>
    <row r="54" spans="1:11">
      <c r="A54" s="15" t="str">
        <f>VLOOKUP(E54,Table1[[#All],[Campo]],1,0)</f>
        <v>grss_intrst_incm</v>
      </c>
      <c r="B54" s="13" t="s">
        <v>1441</v>
      </c>
      <c r="C54" s="13" t="s">
        <v>1442</v>
      </c>
      <c r="D54" s="13" t="s">
        <v>1320</v>
      </c>
      <c r="E54" s="13" t="s">
        <v>1443</v>
      </c>
      <c r="F54" s="13" t="s">
        <v>1408</v>
      </c>
      <c r="G54" s="13" t="s">
        <v>1389</v>
      </c>
      <c r="H54" s="13" t="s">
        <v>621</v>
      </c>
      <c r="I54" s="13">
        <v>2003033</v>
      </c>
      <c r="J54" s="13">
        <v>0</v>
      </c>
      <c r="K54" s="13">
        <v>0</v>
      </c>
    </row>
    <row r="55" spans="1:11">
      <c r="A55" s="15" t="s">
        <v>1444</v>
      </c>
      <c r="B55" s="13" t="s">
        <v>1445</v>
      </c>
      <c r="C55" s="13" t="s">
        <v>1446</v>
      </c>
      <c r="D55" s="13" t="s">
        <v>1320</v>
      </c>
      <c r="E55" s="13" t="s">
        <v>1447</v>
      </c>
      <c r="F55" s="13" t="s">
        <v>1408</v>
      </c>
      <c r="G55" s="13" t="s">
        <v>1389</v>
      </c>
      <c r="H55" s="13" t="s">
        <v>621</v>
      </c>
      <c r="I55" s="13">
        <v>2003033</v>
      </c>
      <c r="J55" s="13">
        <v>0</v>
      </c>
      <c r="K55" s="13">
        <v>0</v>
      </c>
    </row>
    <row r="56" spans="1:11">
      <c r="A56" s="15" t="e">
        <f>VLOOKUP(E56,Table1[[#All],[Campo]],1,0)</f>
        <v>#N/A</v>
      </c>
      <c r="B56" s="13" t="s">
        <v>1448</v>
      </c>
      <c r="C56" s="13" t="s">
        <v>1449</v>
      </c>
      <c r="D56" s="13" t="s">
        <v>1320</v>
      </c>
      <c r="E56" s="13" t="s">
        <v>1450</v>
      </c>
      <c r="F56" s="13" t="s">
        <v>1408</v>
      </c>
      <c r="G56" s="13" t="s">
        <v>1389</v>
      </c>
      <c r="H56" s="13" t="s">
        <v>621</v>
      </c>
      <c r="I56" s="13">
        <v>2003033</v>
      </c>
      <c r="J56" s="13">
        <v>0</v>
      </c>
      <c r="K56" s="13">
        <v>0</v>
      </c>
    </row>
    <row r="57" spans="1:11">
      <c r="A57" s="15" t="e">
        <f>VLOOKUP(E57,Table1[[#All],[Campo]],1,0)</f>
        <v>#N/A</v>
      </c>
      <c r="B57" s="13" t="s">
        <v>1451</v>
      </c>
      <c r="C57" s="13" t="s">
        <v>1452</v>
      </c>
      <c r="D57" s="13" t="s">
        <v>1320</v>
      </c>
      <c r="E57" s="13" t="s">
        <v>1453</v>
      </c>
      <c r="F57" s="13" t="s">
        <v>1408</v>
      </c>
      <c r="G57" s="13" t="s">
        <v>1389</v>
      </c>
      <c r="H57" s="13" t="s">
        <v>621</v>
      </c>
      <c r="I57" s="13">
        <v>2003033</v>
      </c>
      <c r="J57" s="13">
        <v>0</v>
      </c>
      <c r="K57" s="13">
        <v>0</v>
      </c>
    </row>
    <row r="58" spans="1:11">
      <c r="A58" s="15" t="e">
        <f>VLOOKUP(E58,Table1[[#All],[Campo]],1,0)</f>
        <v>#N/A</v>
      </c>
      <c r="B58" s="13" t="s">
        <v>1454</v>
      </c>
      <c r="C58" s="13" t="s">
        <v>1455</v>
      </c>
      <c r="D58" s="13" t="s">
        <v>1320</v>
      </c>
      <c r="E58" s="13" t="s">
        <v>1342</v>
      </c>
      <c r="F58" s="13" t="s">
        <v>1375</v>
      </c>
      <c r="G58" s="13" t="s">
        <v>1389</v>
      </c>
      <c r="H58" s="13" t="s">
        <v>1323</v>
      </c>
      <c r="I58" s="13">
        <v>2003033</v>
      </c>
      <c r="J58" s="13">
        <v>2003033</v>
      </c>
      <c r="K58" s="13">
        <v>100</v>
      </c>
    </row>
    <row r="59" spans="1:11">
      <c r="A59" s="15" t="e">
        <f>VLOOKUP(E59,Table1[[#All],[Campo]],1,0)</f>
        <v>#N/A</v>
      </c>
      <c r="B59" s="13" t="s">
        <v>1456</v>
      </c>
      <c r="C59" s="13" t="s">
        <v>1457</v>
      </c>
      <c r="D59" s="13" t="s">
        <v>1320</v>
      </c>
      <c r="E59" s="13" t="s">
        <v>1458</v>
      </c>
      <c r="F59" s="13" t="s">
        <v>1375</v>
      </c>
      <c r="G59" s="13" t="s">
        <v>1389</v>
      </c>
      <c r="H59" s="13" t="s">
        <v>1323</v>
      </c>
      <c r="I59" s="13">
        <v>2003033</v>
      </c>
      <c r="J59" s="13">
        <v>2003033</v>
      </c>
      <c r="K59" s="13">
        <v>100</v>
      </c>
    </row>
    <row r="60" spans="1:11">
      <c r="A60" s="15" t="s">
        <v>1459</v>
      </c>
      <c r="B60" s="13" t="s">
        <v>1460</v>
      </c>
      <c r="C60" s="13" t="s">
        <v>1461</v>
      </c>
      <c r="D60" s="13" t="s">
        <v>1320</v>
      </c>
      <c r="E60" s="13" t="s">
        <v>1462</v>
      </c>
      <c r="F60" s="13" t="s">
        <v>1408</v>
      </c>
      <c r="G60" s="13" t="s">
        <v>1389</v>
      </c>
      <c r="H60" s="13" t="s">
        <v>621</v>
      </c>
      <c r="I60" s="13">
        <v>2003033</v>
      </c>
      <c r="J60" s="13">
        <v>0</v>
      </c>
      <c r="K60" s="13">
        <v>0</v>
      </c>
    </row>
    <row r="61" spans="1:11">
      <c r="A61" s="15" t="e">
        <f>VLOOKUP(E61,Table1[[#All],[Campo]],1,0)</f>
        <v>#N/A</v>
      </c>
      <c r="B61" s="13" t="s">
        <v>1463</v>
      </c>
      <c r="C61" s="13" t="s">
        <v>1464</v>
      </c>
      <c r="D61" s="13" t="s">
        <v>1320</v>
      </c>
      <c r="E61" s="13" t="s">
        <v>1465</v>
      </c>
      <c r="F61" s="13" t="s">
        <v>1408</v>
      </c>
      <c r="G61" s="13" t="s">
        <v>1389</v>
      </c>
      <c r="H61" s="13" t="s">
        <v>621</v>
      </c>
      <c r="I61" s="13">
        <v>2003033</v>
      </c>
      <c r="J61" s="13">
        <v>0</v>
      </c>
      <c r="K61" s="13">
        <v>0</v>
      </c>
    </row>
    <row r="62" spans="1:11">
      <c r="A62" s="15" t="e">
        <f>VLOOKUP(E62,Table1[[#All],[Campo]],1,0)</f>
        <v>#N/A</v>
      </c>
      <c r="B62" s="13" t="s">
        <v>1466</v>
      </c>
      <c r="C62" s="13" t="s">
        <v>1467</v>
      </c>
      <c r="D62" s="13" t="s">
        <v>1320</v>
      </c>
      <c r="E62" s="13" t="s">
        <v>1345</v>
      </c>
      <c r="F62" s="13" t="s">
        <v>1375</v>
      </c>
      <c r="G62" s="13" t="s">
        <v>1389</v>
      </c>
      <c r="H62" s="13" t="s">
        <v>1323</v>
      </c>
      <c r="I62" s="13">
        <v>2003033</v>
      </c>
      <c r="J62" s="13">
        <v>2003033</v>
      </c>
      <c r="K62" s="13">
        <v>100</v>
      </c>
    </row>
    <row r="63" spans="1:11">
      <c r="A63" s="15" t="e">
        <f>VLOOKUP(E63,Table1[[#All],[Campo]],1,0)</f>
        <v>#N/A</v>
      </c>
      <c r="B63" s="13" t="s">
        <v>1468</v>
      </c>
      <c r="C63" s="13" t="s">
        <v>1469</v>
      </c>
      <c r="D63" s="13" t="s">
        <v>1320</v>
      </c>
      <c r="E63" s="13" t="s">
        <v>1470</v>
      </c>
      <c r="F63" s="13" t="s">
        <v>1375</v>
      </c>
      <c r="G63" s="13" t="s">
        <v>1389</v>
      </c>
      <c r="H63" s="13" t="s">
        <v>1323</v>
      </c>
      <c r="I63" s="13">
        <v>2003033</v>
      </c>
      <c r="J63" s="13">
        <v>2003033</v>
      </c>
      <c r="K63" s="13">
        <v>100</v>
      </c>
    </row>
    <row r="64" spans="1:11">
      <c r="A64" s="15" t="e">
        <f>VLOOKUP(E64,Table1[[#All],[Campo]],1,0)</f>
        <v>#N/A</v>
      </c>
      <c r="B64" s="13" t="s">
        <v>1471</v>
      </c>
      <c r="C64" s="13" t="s">
        <v>1472</v>
      </c>
      <c r="D64" s="13" t="s">
        <v>1320</v>
      </c>
      <c r="E64" s="13" t="s">
        <v>1473</v>
      </c>
      <c r="F64" s="13" t="s">
        <v>1375</v>
      </c>
      <c r="G64" s="13" t="s">
        <v>1389</v>
      </c>
      <c r="H64" s="13" t="s">
        <v>1323</v>
      </c>
      <c r="I64" s="13">
        <v>2003033</v>
      </c>
      <c r="J64" s="13">
        <v>2003033</v>
      </c>
      <c r="K64" s="13">
        <v>100</v>
      </c>
    </row>
    <row r="65" spans="1:11">
      <c r="A65" s="15" t="e">
        <f>VLOOKUP(E65,Table1[[#All],[Campo]],1,0)</f>
        <v>#N/A</v>
      </c>
      <c r="B65" s="13" t="s">
        <v>1474</v>
      </c>
      <c r="C65" s="13" t="s">
        <v>1475</v>
      </c>
      <c r="D65" s="13" t="s">
        <v>1320</v>
      </c>
      <c r="E65" s="13" t="s">
        <v>1476</v>
      </c>
      <c r="F65" s="13" t="s">
        <v>1375</v>
      </c>
      <c r="G65" s="13" t="s">
        <v>1389</v>
      </c>
      <c r="H65" s="13" t="s">
        <v>1323</v>
      </c>
      <c r="I65" s="13">
        <v>2003033</v>
      </c>
      <c r="J65" s="13">
        <v>2003033</v>
      </c>
      <c r="K65" s="13">
        <v>100</v>
      </c>
    </row>
    <row r="66" spans="1:11">
      <c r="A66" s="15" t="e">
        <f>VLOOKUP(E66,Table1[[#All],[Campo]],1,0)</f>
        <v>#N/A</v>
      </c>
      <c r="B66" s="13" t="s">
        <v>1477</v>
      </c>
      <c r="C66" s="13" t="s">
        <v>1478</v>
      </c>
      <c r="D66" s="13" t="s">
        <v>1320</v>
      </c>
      <c r="E66" s="13" t="s">
        <v>1479</v>
      </c>
      <c r="F66" s="13" t="s">
        <v>1408</v>
      </c>
      <c r="G66" s="13" t="s">
        <v>1389</v>
      </c>
      <c r="H66" s="13" t="s">
        <v>621</v>
      </c>
      <c r="I66" s="13">
        <v>2003033</v>
      </c>
      <c r="J66" s="13">
        <v>0</v>
      </c>
      <c r="K66" s="13">
        <v>0</v>
      </c>
    </row>
    <row r="67" spans="1:11">
      <c r="A67" s="15" t="e">
        <f>VLOOKUP(E67,Table1[[#All],[Campo]],1,0)</f>
        <v>#N/A</v>
      </c>
      <c r="B67" s="13" t="s">
        <v>1480</v>
      </c>
      <c r="C67" s="13" t="s">
        <v>1481</v>
      </c>
      <c r="D67" s="13" t="s">
        <v>1320</v>
      </c>
      <c r="E67" s="13" t="s">
        <v>1482</v>
      </c>
      <c r="F67" s="13" t="s">
        <v>1408</v>
      </c>
      <c r="G67" s="13" t="s">
        <v>1389</v>
      </c>
      <c r="H67" s="13" t="s">
        <v>621</v>
      </c>
      <c r="I67" s="13">
        <v>2003033</v>
      </c>
      <c r="J67" s="13">
        <v>0</v>
      </c>
      <c r="K67" s="13">
        <v>0</v>
      </c>
    </row>
    <row r="68" spans="1:11">
      <c r="A68" s="15" t="s">
        <v>1483</v>
      </c>
      <c r="B68" s="13" t="s">
        <v>1484</v>
      </c>
      <c r="C68" s="13" t="s">
        <v>1485</v>
      </c>
      <c r="D68" s="13" t="s">
        <v>1320</v>
      </c>
      <c r="E68" s="13" t="s">
        <v>1486</v>
      </c>
      <c r="F68" s="13" t="s">
        <v>1408</v>
      </c>
      <c r="G68" s="13" t="s">
        <v>1389</v>
      </c>
      <c r="H68" s="13" t="s">
        <v>621</v>
      </c>
      <c r="I68" s="13">
        <v>2003033</v>
      </c>
      <c r="J68" s="13">
        <v>0</v>
      </c>
      <c r="K68" s="13">
        <v>0</v>
      </c>
    </row>
    <row r="69" spans="1:11">
      <c r="A69" s="15" t="s">
        <v>1487</v>
      </c>
      <c r="B69" s="13" t="s">
        <v>1488</v>
      </c>
      <c r="C69" s="13" t="s">
        <v>1489</v>
      </c>
      <c r="D69" s="13" t="s">
        <v>1320</v>
      </c>
      <c r="E69" s="13" t="s">
        <v>1490</v>
      </c>
      <c r="F69" s="13" t="s">
        <v>1408</v>
      </c>
      <c r="G69" s="13" t="s">
        <v>1389</v>
      </c>
      <c r="H69" s="13" t="s">
        <v>621</v>
      </c>
      <c r="I69" s="13">
        <v>2003033</v>
      </c>
      <c r="J69" s="13">
        <v>0</v>
      </c>
      <c r="K69" s="13">
        <v>0</v>
      </c>
    </row>
    <row r="70" spans="1:11">
      <c r="A70" s="15" t="e">
        <f>VLOOKUP(E70,Table1[[#All],[Campo]],1,0)</f>
        <v>#N/A</v>
      </c>
      <c r="B70" s="13" t="s">
        <v>1491</v>
      </c>
      <c r="C70" s="13" t="s">
        <v>1492</v>
      </c>
      <c r="D70" s="13" t="s">
        <v>1320</v>
      </c>
      <c r="E70" s="13" t="s">
        <v>1493</v>
      </c>
      <c r="F70" s="13" t="s">
        <v>1408</v>
      </c>
      <c r="G70" s="13" t="s">
        <v>1389</v>
      </c>
      <c r="H70" s="13" t="s">
        <v>621</v>
      </c>
      <c r="I70" s="13">
        <v>2003033</v>
      </c>
      <c r="J70" s="13">
        <v>0</v>
      </c>
      <c r="K70" s="13">
        <v>0</v>
      </c>
    </row>
    <row r="71" spans="1:11">
      <c r="A71" s="15" t="e">
        <f>VLOOKUP(E71,Table1[[#All],[Campo]],1,0)</f>
        <v>#N/A</v>
      </c>
      <c r="B71" s="13" t="s">
        <v>1494</v>
      </c>
      <c r="C71" s="13" t="s">
        <v>1495</v>
      </c>
      <c r="D71" s="13" t="s">
        <v>1320</v>
      </c>
      <c r="E71" s="13" t="s">
        <v>1496</v>
      </c>
      <c r="F71" s="13" t="s">
        <v>1408</v>
      </c>
      <c r="G71" s="13" t="s">
        <v>1389</v>
      </c>
      <c r="H71" s="13" t="s">
        <v>621</v>
      </c>
      <c r="I71" s="13">
        <v>2003033</v>
      </c>
      <c r="J71" s="13">
        <v>0</v>
      </c>
      <c r="K71" s="13">
        <v>0</v>
      </c>
    </row>
    <row r="72" spans="1:11">
      <c r="A72" s="15" t="e">
        <f>VLOOKUP(E72,Table1[[#All],[Campo]],1,0)</f>
        <v>#N/A</v>
      </c>
      <c r="B72" s="13" t="s">
        <v>1497</v>
      </c>
      <c r="C72" s="13" t="s">
        <v>1498</v>
      </c>
      <c r="D72" s="13" t="s">
        <v>1320</v>
      </c>
      <c r="E72" s="13" t="s">
        <v>1499</v>
      </c>
      <c r="F72" s="13" t="s">
        <v>1408</v>
      </c>
      <c r="G72" s="13" t="s">
        <v>1389</v>
      </c>
      <c r="H72" s="13" t="s">
        <v>621</v>
      </c>
      <c r="I72" s="13">
        <v>2003033</v>
      </c>
      <c r="J72" s="13">
        <v>0</v>
      </c>
      <c r="K72" s="13">
        <v>0</v>
      </c>
    </row>
    <row r="73" spans="1:11">
      <c r="A73" s="15" t="e">
        <f>VLOOKUP(E73,Table1[[#All],[Campo]],1,0)</f>
        <v>#N/A</v>
      </c>
      <c r="B73" s="13" t="s">
        <v>1500</v>
      </c>
      <c r="C73" s="13" t="s">
        <v>1501</v>
      </c>
      <c r="D73" s="13" t="s">
        <v>1320</v>
      </c>
      <c r="E73" s="13" t="s">
        <v>1502</v>
      </c>
      <c r="F73" s="13" t="s">
        <v>1408</v>
      </c>
      <c r="G73" s="13" t="s">
        <v>1389</v>
      </c>
      <c r="H73" s="13" t="s">
        <v>621</v>
      </c>
      <c r="I73" s="13">
        <v>2003033</v>
      </c>
      <c r="J73" s="13">
        <v>0</v>
      </c>
      <c r="K73" s="13">
        <v>0</v>
      </c>
    </row>
    <row r="74" spans="1:11">
      <c r="A74" s="15" t="e">
        <f>VLOOKUP(E74,Table1[[#All],[Campo]],1,0)</f>
        <v>#N/A</v>
      </c>
      <c r="B74" s="13" t="s">
        <v>1503</v>
      </c>
      <c r="C74" s="13" t="s">
        <v>1504</v>
      </c>
      <c r="D74" s="13" t="s">
        <v>1320</v>
      </c>
      <c r="E74" s="13" t="s">
        <v>1505</v>
      </c>
      <c r="F74" s="13" t="s">
        <v>1408</v>
      </c>
      <c r="G74" s="13" t="s">
        <v>1389</v>
      </c>
      <c r="H74" s="13" t="s">
        <v>621</v>
      </c>
      <c r="I74" s="13">
        <v>2003033</v>
      </c>
      <c r="J74" s="13">
        <v>0</v>
      </c>
      <c r="K74" s="13">
        <v>0</v>
      </c>
    </row>
    <row r="75" spans="1:11">
      <c r="A75" s="15" t="s">
        <v>1506</v>
      </c>
      <c r="B75" s="13" t="s">
        <v>1507</v>
      </c>
      <c r="C75" s="13" t="s">
        <v>1508</v>
      </c>
      <c r="D75" s="13" t="s">
        <v>1320</v>
      </c>
      <c r="E75" s="13" t="s">
        <v>1509</v>
      </c>
      <c r="F75" s="13" t="s">
        <v>1408</v>
      </c>
      <c r="G75" s="13" t="s">
        <v>1389</v>
      </c>
      <c r="H75" s="13" t="s">
        <v>621</v>
      </c>
      <c r="I75" s="13">
        <v>2003033</v>
      </c>
      <c r="J75" s="13">
        <v>0</v>
      </c>
      <c r="K75" s="13">
        <v>0</v>
      </c>
    </row>
    <row r="76" spans="1:11">
      <c r="A76" s="15" t="s">
        <v>1510</v>
      </c>
      <c r="B76" s="13" t="s">
        <v>1511</v>
      </c>
      <c r="C76" s="13" t="s">
        <v>1512</v>
      </c>
      <c r="D76" s="13" t="s">
        <v>1320</v>
      </c>
      <c r="E76" s="13" t="s">
        <v>1513</v>
      </c>
      <c r="F76" s="13" t="s">
        <v>1408</v>
      </c>
      <c r="G76" s="13" t="s">
        <v>1389</v>
      </c>
      <c r="H76" s="13" t="s">
        <v>621</v>
      </c>
      <c r="I76" s="13">
        <v>2003033</v>
      </c>
      <c r="J76" s="13">
        <v>0</v>
      </c>
      <c r="K76" s="13">
        <v>0</v>
      </c>
    </row>
    <row r="77" spans="1:11">
      <c r="A77" s="15" t="e">
        <f>VLOOKUP(E77,Table1[[#All],[Campo]],1,0)</f>
        <v>#N/A</v>
      </c>
      <c r="B77" s="13" t="s">
        <v>1514</v>
      </c>
      <c r="C77" s="13" t="s">
        <v>1515</v>
      </c>
      <c r="D77" s="13" t="s">
        <v>1320</v>
      </c>
      <c r="E77" s="13" t="s">
        <v>1516</v>
      </c>
      <c r="F77" s="13" t="s">
        <v>1408</v>
      </c>
      <c r="G77" s="13" t="s">
        <v>1389</v>
      </c>
      <c r="H77" s="13" t="s">
        <v>621</v>
      </c>
      <c r="I77" s="13">
        <v>2003033</v>
      </c>
      <c r="J77" s="13">
        <v>0</v>
      </c>
      <c r="K77" s="13">
        <v>0</v>
      </c>
    </row>
    <row r="78" spans="1:11">
      <c r="A78" s="15" t="e">
        <f>VLOOKUP(E78,Table1[[#All],[Campo]],1,0)</f>
        <v>#N/A</v>
      </c>
      <c r="B78" s="13" t="s">
        <v>1517</v>
      </c>
      <c r="C78" s="13" t="s">
        <v>1518</v>
      </c>
      <c r="D78" s="13" t="s">
        <v>1320</v>
      </c>
      <c r="E78" s="13" t="s">
        <v>1348</v>
      </c>
      <c r="F78" s="13" t="s">
        <v>1375</v>
      </c>
      <c r="G78" s="13" t="s">
        <v>1389</v>
      </c>
      <c r="H78" s="13" t="s">
        <v>1323</v>
      </c>
      <c r="I78" s="13">
        <v>2003033</v>
      </c>
      <c r="J78" s="13">
        <v>2003033</v>
      </c>
      <c r="K78" s="13">
        <v>100</v>
      </c>
    </row>
    <row r="79" spans="1:11">
      <c r="A79" s="15" t="s">
        <v>1519</v>
      </c>
      <c r="B79" s="13" t="s">
        <v>1520</v>
      </c>
      <c r="C79" s="13" t="s">
        <v>1521</v>
      </c>
      <c r="D79" s="13" t="s">
        <v>1320</v>
      </c>
      <c r="E79" s="13" t="s">
        <v>1522</v>
      </c>
      <c r="F79" s="13" t="s">
        <v>1408</v>
      </c>
      <c r="G79" s="13" t="s">
        <v>1389</v>
      </c>
      <c r="H79" s="13" t="s">
        <v>621</v>
      </c>
      <c r="I79" s="13">
        <v>2003033</v>
      </c>
      <c r="J79" s="13">
        <v>0</v>
      </c>
      <c r="K79" s="13">
        <v>0</v>
      </c>
    </row>
    <row r="80" spans="1:11">
      <c r="A80" s="15" t="s">
        <v>1523</v>
      </c>
      <c r="B80" s="13" t="s">
        <v>1524</v>
      </c>
      <c r="C80" s="13" t="s">
        <v>1525</v>
      </c>
      <c r="D80" s="13" t="s">
        <v>1320</v>
      </c>
      <c r="E80" s="13" t="s">
        <v>1526</v>
      </c>
      <c r="F80" s="13" t="s">
        <v>1408</v>
      </c>
      <c r="G80" s="13" t="s">
        <v>1389</v>
      </c>
      <c r="H80" s="13" t="s">
        <v>621</v>
      </c>
      <c r="I80" s="13">
        <v>2003033</v>
      </c>
      <c r="J80" s="13">
        <v>0</v>
      </c>
      <c r="K80" s="13">
        <v>0</v>
      </c>
    </row>
    <row r="81" spans="1:11">
      <c r="A81" s="15" t="s">
        <v>1349</v>
      </c>
      <c r="B81" s="13" t="s">
        <v>1527</v>
      </c>
      <c r="C81" s="13" t="s">
        <v>1528</v>
      </c>
      <c r="D81" s="13" t="s">
        <v>1320</v>
      </c>
      <c r="E81" s="13" t="s">
        <v>1352</v>
      </c>
      <c r="F81" s="13" t="s">
        <v>1375</v>
      </c>
      <c r="G81" s="13" t="s">
        <v>1389</v>
      </c>
      <c r="H81" s="13" t="s">
        <v>1323</v>
      </c>
      <c r="I81" s="13">
        <v>2003033</v>
      </c>
      <c r="J81" s="13">
        <v>2003033</v>
      </c>
      <c r="K81" s="13">
        <v>100</v>
      </c>
    </row>
    <row r="82" spans="1:11">
      <c r="A82" s="15" t="str">
        <f>VLOOKUP(E82,Table1[[#All],[Campo]],1,0)</f>
        <v>idcmb</v>
      </c>
      <c r="B82" s="13" t="s">
        <v>1529</v>
      </c>
      <c r="C82" s="13" t="s">
        <v>1530</v>
      </c>
      <c r="D82" s="13" t="s">
        <v>1320</v>
      </c>
      <c r="E82" s="13" t="s">
        <v>1355</v>
      </c>
      <c r="F82" s="13" t="s">
        <v>1375</v>
      </c>
      <c r="G82" s="13" t="s">
        <v>1389</v>
      </c>
      <c r="H82" s="13" t="s">
        <v>1323</v>
      </c>
      <c r="I82" s="13">
        <v>2003033</v>
      </c>
      <c r="J82" s="13">
        <v>2003033</v>
      </c>
      <c r="K82" s="13">
        <v>100</v>
      </c>
    </row>
    <row r="83" spans="1:11">
      <c r="A83" s="15" t="str">
        <f>VLOOKUP(E83,Table1[[#All],[Campo]],1,0)</f>
        <v>cod_soc</v>
      </c>
      <c r="B83" s="13" t="s">
        <v>1531</v>
      </c>
      <c r="C83" s="13" t="s">
        <v>1373</v>
      </c>
      <c r="D83" s="13" t="s">
        <v>1371</v>
      </c>
      <c r="E83" s="13" t="s">
        <v>1298</v>
      </c>
      <c r="F83" s="13" t="s">
        <v>1375</v>
      </c>
      <c r="G83" s="13" t="s">
        <v>1532</v>
      </c>
      <c r="H83" s="13" t="s">
        <v>621</v>
      </c>
      <c r="I83" s="13">
        <v>731165</v>
      </c>
      <c r="J83" s="13">
        <v>0</v>
      </c>
      <c r="K83" s="13">
        <v>0</v>
      </c>
    </row>
    <row r="84" spans="1:11">
      <c r="A84" s="15" t="str">
        <f>VLOOKUP(E84,Table1[[#All],[Campo]],1,0)</f>
        <v>dt_rfrnc</v>
      </c>
      <c r="B84" s="13" t="s">
        <v>1533</v>
      </c>
      <c r="C84" s="13" t="s">
        <v>1384</v>
      </c>
      <c r="D84" s="13" t="s">
        <v>1371</v>
      </c>
      <c r="E84" s="13" t="s">
        <v>1303</v>
      </c>
      <c r="F84" s="13" t="s">
        <v>1379</v>
      </c>
      <c r="G84" s="13" t="s">
        <v>1532</v>
      </c>
      <c r="H84" s="13" t="s">
        <v>621</v>
      </c>
      <c r="I84" s="13">
        <v>731165</v>
      </c>
      <c r="J84" s="13">
        <v>0</v>
      </c>
      <c r="K84" s="13">
        <v>0</v>
      </c>
    </row>
    <row r="85" spans="1:11">
      <c r="A85" s="15" t="str">
        <f>VLOOKUP(E85,Table1[[#All],[Campo]],1,0)</f>
        <v>instrmnt_id</v>
      </c>
      <c r="B85" s="13" t="s">
        <v>1534</v>
      </c>
      <c r="C85" s="13" t="s">
        <v>1386</v>
      </c>
      <c r="D85" s="13" t="s">
        <v>1371</v>
      </c>
      <c r="E85" s="13" t="s">
        <v>1312</v>
      </c>
      <c r="F85" s="13" t="s">
        <v>1387</v>
      </c>
      <c r="G85" s="13" t="s">
        <v>1532</v>
      </c>
      <c r="H85" s="13" t="s">
        <v>621</v>
      </c>
      <c r="I85" s="13">
        <v>731165</v>
      </c>
      <c r="J85" s="13">
        <v>0</v>
      </c>
      <c r="K85" s="13">
        <v>0</v>
      </c>
    </row>
    <row r="86" spans="1:11">
      <c r="A86" s="15" t="str">
        <f>VLOOKUP(E86,Table1[[#All],[Campo]],1,0)</f>
        <v>cod_soc</v>
      </c>
      <c r="B86" s="13" t="s">
        <v>1535</v>
      </c>
      <c r="C86" s="13" t="s">
        <v>1373</v>
      </c>
      <c r="D86" s="13" t="s">
        <v>1536</v>
      </c>
      <c r="E86" s="13" t="s">
        <v>1298</v>
      </c>
      <c r="F86" s="13" t="s">
        <v>1375</v>
      </c>
      <c r="G86" s="13" t="s">
        <v>1537</v>
      </c>
      <c r="H86" s="13" t="s">
        <v>621</v>
      </c>
      <c r="I86" s="13">
        <v>456960</v>
      </c>
      <c r="J86" s="13">
        <v>0</v>
      </c>
      <c r="K86" s="13">
        <v>0</v>
      </c>
    </row>
    <row r="87" spans="1:11">
      <c r="A87" s="15" t="str">
        <f>VLOOKUP(E87,Table1[[#All],[Campo]],1,0)</f>
        <v>dt_rfrnc</v>
      </c>
      <c r="B87" s="13" t="s">
        <v>1538</v>
      </c>
      <c r="C87" s="13" t="s">
        <v>1384</v>
      </c>
      <c r="D87" s="13" t="s">
        <v>1536</v>
      </c>
      <c r="E87" s="13" t="s">
        <v>1303</v>
      </c>
      <c r="F87" s="13" t="s">
        <v>1379</v>
      </c>
      <c r="G87" s="13" t="s">
        <v>1537</v>
      </c>
      <c r="H87" s="13" t="s">
        <v>621</v>
      </c>
      <c r="I87" s="13">
        <v>456960</v>
      </c>
      <c r="J87" s="13">
        <v>0</v>
      </c>
      <c r="K87" s="13">
        <v>0</v>
      </c>
    </row>
    <row r="88" spans="1:11">
      <c r="A88" s="15" t="str">
        <f>VLOOKUP(E88,Table1[[#All],[Campo]],1,0)</f>
        <v>instrmnt_id</v>
      </c>
      <c r="B88" s="13" t="s">
        <v>1539</v>
      </c>
      <c r="C88" s="13" t="s">
        <v>1540</v>
      </c>
      <c r="D88" s="13" t="s">
        <v>1381</v>
      </c>
      <c r="E88" s="13" t="s">
        <v>1312</v>
      </c>
      <c r="F88" s="13" t="s">
        <v>1541</v>
      </c>
      <c r="G88" s="13" t="s">
        <v>1542</v>
      </c>
      <c r="H88" s="13" t="s">
        <v>621</v>
      </c>
      <c r="I88" s="13">
        <v>2490665</v>
      </c>
      <c r="J88" s="13">
        <v>0</v>
      </c>
      <c r="K88" s="13">
        <v>0</v>
      </c>
    </row>
    <row r="89" spans="1:11">
      <c r="A89" s="15" t="str">
        <f>VLOOKUP(E89,Table1[[#All],[Campo]],1,0)</f>
        <v>typ_instrmnt</v>
      </c>
      <c r="B89" s="13" t="s">
        <v>1543</v>
      </c>
      <c r="C89" s="13" t="s">
        <v>1544</v>
      </c>
      <c r="D89" s="13" t="s">
        <v>1320</v>
      </c>
      <c r="E89" s="13" t="s">
        <v>1404</v>
      </c>
      <c r="F89" s="13" t="s">
        <v>1541</v>
      </c>
      <c r="G89" s="13" t="s">
        <v>1542</v>
      </c>
      <c r="H89" s="13" t="s">
        <v>621</v>
      </c>
      <c r="I89" s="13">
        <v>2001306</v>
      </c>
      <c r="J89" s="13">
        <v>0</v>
      </c>
      <c r="K89" s="13">
        <v>0</v>
      </c>
    </row>
    <row r="90" spans="1:11">
      <c r="A90" s="15" t="str">
        <f>VLOOKUP(E90,Table1[[#All],[Campo]],1,0)</f>
        <v>instrmnt_id</v>
      </c>
      <c r="B90" s="13" t="s">
        <v>1545</v>
      </c>
      <c r="C90" s="13" t="s">
        <v>1546</v>
      </c>
      <c r="D90" s="13" t="s">
        <v>1371</v>
      </c>
      <c r="E90" s="13" t="s">
        <v>1312</v>
      </c>
      <c r="F90" s="13" t="s">
        <v>1541</v>
      </c>
      <c r="G90" s="13" t="s">
        <v>1542</v>
      </c>
      <c r="H90" s="13" t="s">
        <v>621</v>
      </c>
      <c r="I90" s="13">
        <v>731165</v>
      </c>
      <c r="J90" s="13">
        <v>0</v>
      </c>
      <c r="K90" s="13">
        <v>0</v>
      </c>
    </row>
    <row r="91" spans="1:11">
      <c r="A91" s="15" t="str">
        <f>VLOOKUP(E91,Table1[[#All],[Campo]],1,0)</f>
        <v>dt_rfrnc</v>
      </c>
      <c r="B91" s="13" t="s">
        <v>1547</v>
      </c>
      <c r="C91" s="13" t="s">
        <v>1548</v>
      </c>
      <c r="D91" s="13" t="s">
        <v>1297</v>
      </c>
      <c r="E91" s="13" t="s">
        <v>1303</v>
      </c>
      <c r="F91" s="13" t="s">
        <v>1549</v>
      </c>
      <c r="G91" s="13" t="s">
        <v>1550</v>
      </c>
      <c r="H91" s="13" t="s">
        <v>621</v>
      </c>
      <c r="I91" s="13">
        <v>1096295</v>
      </c>
      <c r="J91" s="13">
        <v>0</v>
      </c>
      <c r="K91" s="13">
        <v>0</v>
      </c>
    </row>
    <row r="92" spans="1:11">
      <c r="A92" s="15" t="str">
        <f>VLOOKUP(E92,Table1[[#All],[Campo]],1,0)</f>
        <v>dt_rfrnc</v>
      </c>
      <c r="B92" s="13" t="s">
        <v>1551</v>
      </c>
      <c r="C92" s="13" t="s">
        <v>1552</v>
      </c>
      <c r="D92" s="13" t="s">
        <v>1306</v>
      </c>
      <c r="E92" s="13" t="s">
        <v>1303</v>
      </c>
      <c r="F92" s="13" t="s">
        <v>1549</v>
      </c>
      <c r="G92" s="13" t="s">
        <v>1553</v>
      </c>
      <c r="H92" s="13" t="s">
        <v>621</v>
      </c>
      <c r="I92" s="13">
        <v>2490665</v>
      </c>
      <c r="J92" s="13">
        <v>0</v>
      </c>
      <c r="K92" s="13">
        <v>0</v>
      </c>
    </row>
    <row r="93" spans="1:11">
      <c r="A93" s="15" t="str">
        <f>VLOOKUP(E93,Table1[[#All],[Campo]],1,0)</f>
        <v>dt_rfrnc</v>
      </c>
      <c r="B93" s="13" t="s">
        <v>1554</v>
      </c>
      <c r="C93" s="13" t="s">
        <v>1552</v>
      </c>
      <c r="D93" s="13" t="s">
        <v>1314</v>
      </c>
      <c r="E93" s="13" t="s">
        <v>1303</v>
      </c>
      <c r="F93" s="13" t="s">
        <v>1549</v>
      </c>
      <c r="G93" s="13" t="s">
        <v>1555</v>
      </c>
      <c r="H93" s="13" t="s">
        <v>621</v>
      </c>
      <c r="I93" s="13">
        <v>2002411</v>
      </c>
      <c r="J93" s="13">
        <v>0</v>
      </c>
      <c r="K93" s="13">
        <v>0</v>
      </c>
    </row>
    <row r="94" spans="1:11">
      <c r="A94" s="15" t="str">
        <f>VLOOKUP(E94,Table1[[#All],[Campo]],1,0)</f>
        <v>imprmnt_stts</v>
      </c>
      <c r="B94" s="13" t="s">
        <v>1556</v>
      </c>
      <c r="C94" s="13" t="s">
        <v>1557</v>
      </c>
      <c r="D94" s="13" t="s">
        <v>1314</v>
      </c>
      <c r="E94" s="13" t="s">
        <v>1399</v>
      </c>
      <c r="F94" s="13" t="s">
        <v>1375</v>
      </c>
      <c r="G94" s="13" t="s">
        <v>1555</v>
      </c>
      <c r="H94" s="13" t="s">
        <v>621</v>
      </c>
      <c r="I94" s="13">
        <v>2002411</v>
      </c>
      <c r="J94" s="13">
        <v>0</v>
      </c>
      <c r="K94" s="13">
        <v>0</v>
      </c>
    </row>
    <row r="95" spans="1:11">
      <c r="A95" s="15" t="e">
        <f>VLOOKUP(E95,Table1[[#All],[Campo]],1,0)</f>
        <v>#N/A</v>
      </c>
      <c r="B95" s="13" t="s">
        <v>1558</v>
      </c>
      <c r="C95" s="13" t="s">
        <v>1559</v>
      </c>
      <c r="D95" s="13" t="s">
        <v>1314</v>
      </c>
      <c r="E95" s="13" t="s">
        <v>1493</v>
      </c>
      <c r="F95" s="13" t="s">
        <v>1375</v>
      </c>
      <c r="G95" s="13" t="s">
        <v>1555</v>
      </c>
      <c r="H95" s="13" t="s">
        <v>621</v>
      </c>
      <c r="I95" s="13">
        <v>2002411</v>
      </c>
      <c r="J95" s="13">
        <v>0</v>
      </c>
      <c r="K95" s="13">
        <v>0</v>
      </c>
    </row>
    <row r="96" spans="1:11">
      <c r="A96" s="15" t="str">
        <f>VLOOKUP(E96,Table1[[#All],[Campo]],1,0)</f>
        <v>dt_rfrnc</v>
      </c>
      <c r="B96" s="13" t="s">
        <v>1560</v>
      </c>
      <c r="C96" s="13" t="s">
        <v>1552</v>
      </c>
      <c r="D96" s="13" t="s">
        <v>1357</v>
      </c>
      <c r="E96" s="13" t="s">
        <v>1303</v>
      </c>
      <c r="F96" s="13" t="s">
        <v>1549</v>
      </c>
      <c r="G96" s="13" t="s">
        <v>1561</v>
      </c>
      <c r="H96" s="13" t="s">
        <v>621</v>
      </c>
      <c r="I96" s="13">
        <v>731165</v>
      </c>
      <c r="J96" s="13">
        <v>0</v>
      </c>
      <c r="K96" s="13">
        <v>0</v>
      </c>
    </row>
    <row r="97" spans="1:11">
      <c r="A97" s="15" t="str">
        <f>VLOOKUP(E97,Table1[[#All],[Campo]],1,0)</f>
        <v>dt_rfrnc</v>
      </c>
      <c r="B97" s="13" t="s">
        <v>1562</v>
      </c>
      <c r="C97" s="13" t="s">
        <v>1552</v>
      </c>
      <c r="D97" s="13" t="s">
        <v>1362</v>
      </c>
      <c r="E97" s="13" t="s">
        <v>1303</v>
      </c>
      <c r="F97" s="13" t="s">
        <v>1549</v>
      </c>
      <c r="G97" s="13" t="s">
        <v>1563</v>
      </c>
      <c r="H97" s="13" t="s">
        <v>621</v>
      </c>
      <c r="I97" s="13">
        <v>456960</v>
      </c>
      <c r="J97" s="13">
        <v>0</v>
      </c>
      <c r="K97" s="13">
        <v>0</v>
      </c>
    </row>
    <row r="98" spans="1:11">
      <c r="A98" s="15" t="str">
        <f>VLOOKUP(E98,Table1[[#All],[Campo]],1,0)</f>
        <v>dt_rfrnc</v>
      </c>
      <c r="B98" s="13" t="s">
        <v>1564</v>
      </c>
      <c r="C98" s="13" t="s">
        <v>1565</v>
      </c>
      <c r="D98" s="13" t="s">
        <v>1374</v>
      </c>
      <c r="E98" s="13" t="s">
        <v>1303</v>
      </c>
      <c r="F98" s="13" t="s">
        <v>1549</v>
      </c>
      <c r="G98" s="13" t="s">
        <v>1566</v>
      </c>
      <c r="H98" s="13" t="s">
        <v>621</v>
      </c>
      <c r="I98" s="13">
        <v>1096295</v>
      </c>
      <c r="J98" s="13">
        <v>0</v>
      </c>
      <c r="K98" s="13">
        <v>0</v>
      </c>
    </row>
    <row r="99" spans="1:11">
      <c r="A99" s="15" t="str">
        <f>VLOOKUP(E99,Table1[[#All],[Campo]],1,0)</f>
        <v>dt_rfrnc</v>
      </c>
      <c r="B99" s="13" t="s">
        <v>1567</v>
      </c>
      <c r="C99" s="13" t="s">
        <v>1565</v>
      </c>
      <c r="D99" s="13" t="s">
        <v>1381</v>
      </c>
      <c r="E99" s="13" t="s">
        <v>1303</v>
      </c>
      <c r="F99" s="13" t="s">
        <v>1549</v>
      </c>
      <c r="G99" s="13" t="s">
        <v>1568</v>
      </c>
      <c r="H99" s="13" t="s">
        <v>621</v>
      </c>
      <c r="I99" s="13">
        <v>2490665</v>
      </c>
      <c r="J99" s="13">
        <v>0</v>
      </c>
      <c r="K99" s="13">
        <v>0</v>
      </c>
    </row>
    <row r="100" spans="1:11">
      <c r="A100" s="15" t="str">
        <f>VLOOKUP(E100,Table1[[#All],[Campo]],1,0)</f>
        <v>dt_rfrnc</v>
      </c>
      <c r="B100" s="13" t="s">
        <v>1569</v>
      </c>
      <c r="C100" s="13" t="s">
        <v>1565</v>
      </c>
      <c r="D100" s="13" t="s">
        <v>1320</v>
      </c>
      <c r="E100" s="13" t="s">
        <v>1303</v>
      </c>
      <c r="F100" s="13" t="s">
        <v>1549</v>
      </c>
      <c r="G100" s="13" t="s">
        <v>1570</v>
      </c>
      <c r="H100" s="13" t="s">
        <v>621</v>
      </c>
      <c r="I100" s="13">
        <v>2002411</v>
      </c>
      <c r="J100" s="13">
        <v>0</v>
      </c>
      <c r="K100" s="13">
        <v>0</v>
      </c>
    </row>
    <row r="101" spans="1:11">
      <c r="A101" s="15" t="str">
        <f>VLOOKUP(E101,Table1[[#All],[Campo]],1,0)</f>
        <v>grss_crryng_amnt_instrmnt</v>
      </c>
      <c r="B101" s="13" t="s">
        <v>1571</v>
      </c>
      <c r="C101" s="13" t="s">
        <v>1572</v>
      </c>
      <c r="D101" s="13" t="s">
        <v>1320</v>
      </c>
      <c r="E101" s="13" t="s">
        <v>1407</v>
      </c>
      <c r="F101" s="13" t="s">
        <v>1573</v>
      </c>
      <c r="G101" s="13" t="s">
        <v>1570</v>
      </c>
      <c r="H101" s="13" t="s">
        <v>1323</v>
      </c>
      <c r="I101" s="13">
        <v>2002411</v>
      </c>
      <c r="J101" s="13">
        <v>31379</v>
      </c>
      <c r="K101" s="13">
        <v>1.5670999999999999</v>
      </c>
    </row>
    <row r="102" spans="1:11">
      <c r="A102" s="15" t="str">
        <f>VLOOKUP(E102,Table1[[#All],[Campo]],1,0)</f>
        <v>accmltd_chngs_fv_cr_instrmnt</v>
      </c>
      <c r="B102" s="13" t="s">
        <v>1574</v>
      </c>
      <c r="C102" s="13" t="s">
        <v>1575</v>
      </c>
      <c r="D102" s="13" t="s">
        <v>1320</v>
      </c>
      <c r="E102" s="13" t="s">
        <v>1411</v>
      </c>
      <c r="F102" s="13" t="s">
        <v>1573</v>
      </c>
      <c r="G102" s="13" t="s">
        <v>1570</v>
      </c>
      <c r="H102" s="13" t="s">
        <v>621</v>
      </c>
      <c r="I102" s="13">
        <v>2002411</v>
      </c>
      <c r="J102" s="13">
        <v>0</v>
      </c>
      <c r="K102" s="13">
        <v>0</v>
      </c>
    </row>
    <row r="103" spans="1:11">
      <c r="A103" s="15" t="str">
        <f>VLOOKUP(E103,Table1[[#All],[Campo]],1,0)</f>
        <v>OFF_BLNC_SHT_AMNT_INSTRMNT</v>
      </c>
      <c r="B103" s="13" t="s">
        <v>1576</v>
      </c>
      <c r="C103" s="13" t="s">
        <v>1577</v>
      </c>
      <c r="D103" s="13" t="s">
        <v>1320</v>
      </c>
      <c r="E103" s="13" t="s">
        <v>1417</v>
      </c>
      <c r="F103" s="13" t="s">
        <v>1573</v>
      </c>
      <c r="G103" s="13" t="s">
        <v>1570</v>
      </c>
      <c r="H103" s="13" t="s">
        <v>621</v>
      </c>
      <c r="I103" s="13">
        <v>2002411</v>
      </c>
      <c r="J103" s="13">
        <v>0</v>
      </c>
      <c r="K103" s="13">
        <v>0</v>
      </c>
    </row>
    <row r="104" spans="1:11">
      <c r="A104" s="15" t="e">
        <f>VLOOKUP(E104,Table1[[#All],[Campo]],1,0)</f>
        <v>#N/A</v>
      </c>
      <c r="B104" s="13" t="s">
        <v>1578</v>
      </c>
      <c r="C104" s="13" t="s">
        <v>1579</v>
      </c>
      <c r="D104" s="13" t="s">
        <v>1320</v>
      </c>
      <c r="E104" s="13" t="s">
        <v>1420</v>
      </c>
      <c r="F104" s="13" t="s">
        <v>1573</v>
      </c>
      <c r="G104" s="13" t="s">
        <v>1570</v>
      </c>
      <c r="H104" s="13" t="s">
        <v>621</v>
      </c>
      <c r="I104" s="13">
        <v>2002411</v>
      </c>
      <c r="J104" s="13">
        <v>0</v>
      </c>
      <c r="K104" s="13">
        <v>0</v>
      </c>
    </row>
    <row r="105" spans="1:11">
      <c r="A105" s="15" t="str">
        <f>VLOOKUP(E105,Table1[[#All],[Campo]],1,0)</f>
        <v>RWA</v>
      </c>
      <c r="B105" s="13" t="s">
        <v>1580</v>
      </c>
      <c r="C105" s="13" t="s">
        <v>1581</v>
      </c>
      <c r="D105" s="13" t="s">
        <v>1320</v>
      </c>
      <c r="E105" s="13" t="s">
        <v>1423</v>
      </c>
      <c r="F105" s="13" t="s">
        <v>1573</v>
      </c>
      <c r="G105" s="13" t="s">
        <v>1570</v>
      </c>
      <c r="H105" s="13" t="s">
        <v>621</v>
      </c>
      <c r="I105" s="13">
        <v>2002411</v>
      </c>
      <c r="J105" s="13">
        <v>0</v>
      </c>
      <c r="K105" s="13">
        <v>0</v>
      </c>
    </row>
    <row r="106" spans="1:11">
      <c r="A106" s="15" t="str">
        <f>VLOOKUP(E106,Table1[[#All],[Campo]],1,0)</f>
        <v>accmltd_imprmnt_instrmnt</v>
      </c>
      <c r="B106" s="13" t="s">
        <v>1582</v>
      </c>
      <c r="C106" s="13" t="s">
        <v>1583</v>
      </c>
      <c r="D106" s="13" t="s">
        <v>1320</v>
      </c>
      <c r="E106" s="13" t="s">
        <v>1426</v>
      </c>
      <c r="F106" s="13" t="s">
        <v>1573</v>
      </c>
      <c r="G106" s="13" t="s">
        <v>1570</v>
      </c>
      <c r="H106" s="13" t="s">
        <v>621</v>
      </c>
      <c r="I106" s="13">
        <v>2002411</v>
      </c>
      <c r="J106" s="13">
        <v>0</v>
      </c>
      <c r="K106" s="13">
        <v>0</v>
      </c>
    </row>
    <row r="107" spans="1:11">
      <c r="A107" s="15" t="e">
        <f>VLOOKUP(E107,Table1[[#All],[Campo]],1,0)</f>
        <v>#N/A</v>
      </c>
      <c r="B107" s="13" t="s">
        <v>1584</v>
      </c>
      <c r="C107" s="13" t="s">
        <v>1585</v>
      </c>
      <c r="D107" s="13" t="s">
        <v>1320</v>
      </c>
      <c r="E107" s="13" t="s">
        <v>1438</v>
      </c>
      <c r="F107" s="13" t="s">
        <v>1573</v>
      </c>
      <c r="G107" s="13" t="s">
        <v>1570</v>
      </c>
      <c r="H107" s="13" t="s">
        <v>621</v>
      </c>
      <c r="I107" s="13">
        <v>2002411</v>
      </c>
      <c r="J107" s="13">
        <v>0</v>
      </c>
      <c r="K107" s="13">
        <v>0</v>
      </c>
    </row>
    <row r="108" spans="1:11">
      <c r="A108" s="15" t="str">
        <f>VLOOKUP(E108,Table1[[#All],[Campo]],1,0)</f>
        <v>grss_intrst_incm</v>
      </c>
      <c r="B108" s="13" t="s">
        <v>1586</v>
      </c>
      <c r="C108" s="13" t="s">
        <v>1587</v>
      </c>
      <c r="D108" s="13" t="s">
        <v>1320</v>
      </c>
      <c r="E108" s="13" t="s">
        <v>1443</v>
      </c>
      <c r="F108" s="13" t="s">
        <v>1573</v>
      </c>
      <c r="G108" s="13" t="s">
        <v>1570</v>
      </c>
      <c r="H108" s="13" t="s">
        <v>621</v>
      </c>
      <c r="I108" s="13">
        <v>2002411</v>
      </c>
      <c r="J108" s="13">
        <v>0</v>
      </c>
      <c r="K108" s="13">
        <v>0</v>
      </c>
    </row>
    <row r="109" spans="1:11">
      <c r="A109" s="15" t="s">
        <v>1444</v>
      </c>
      <c r="B109" s="13" t="s">
        <v>1588</v>
      </c>
      <c r="C109" s="13" t="s">
        <v>1589</v>
      </c>
      <c r="D109" s="13" t="s">
        <v>1320</v>
      </c>
      <c r="E109" s="13" t="s">
        <v>1447</v>
      </c>
      <c r="F109" s="13" t="s">
        <v>1573</v>
      </c>
      <c r="G109" s="13" t="s">
        <v>1570</v>
      </c>
      <c r="H109" s="13" t="s">
        <v>621</v>
      </c>
      <c r="I109" s="13">
        <v>2002411</v>
      </c>
      <c r="J109" s="13">
        <v>0</v>
      </c>
      <c r="K109" s="13">
        <v>0</v>
      </c>
    </row>
    <row r="110" spans="1:11">
      <c r="A110" s="15" t="e">
        <f>VLOOKUP(E110,Table1[[#All],[Campo]],1,0)</f>
        <v>#N/A</v>
      </c>
      <c r="B110" s="13" t="s">
        <v>1590</v>
      </c>
      <c r="C110" s="13" t="s">
        <v>1591</v>
      </c>
      <c r="D110" s="13" t="s">
        <v>1320</v>
      </c>
      <c r="E110" s="13" t="s">
        <v>1450</v>
      </c>
      <c r="F110" s="13" t="s">
        <v>1573</v>
      </c>
      <c r="G110" s="13" t="s">
        <v>1570</v>
      </c>
      <c r="H110" s="13" t="s">
        <v>621</v>
      </c>
      <c r="I110" s="13">
        <v>2002411</v>
      </c>
      <c r="J110" s="13">
        <v>0</v>
      </c>
      <c r="K110" s="13">
        <v>0</v>
      </c>
    </row>
    <row r="111" spans="1:11">
      <c r="A111" s="15" t="e">
        <f>VLOOKUP(E111,Table1[[#All],[Campo]],1,0)</f>
        <v>#N/A</v>
      </c>
      <c r="B111" s="13" t="s">
        <v>1592</v>
      </c>
      <c r="C111" s="13" t="s">
        <v>1593</v>
      </c>
      <c r="D111" s="13" t="s">
        <v>1320</v>
      </c>
      <c r="E111" s="13" t="s">
        <v>1453</v>
      </c>
      <c r="F111" s="13" t="s">
        <v>1573</v>
      </c>
      <c r="G111" s="13" t="s">
        <v>1570</v>
      </c>
      <c r="H111" s="13" t="s">
        <v>621</v>
      </c>
      <c r="I111" s="13">
        <v>2002411</v>
      </c>
      <c r="J111" s="13">
        <v>0</v>
      </c>
      <c r="K111" s="13">
        <v>0</v>
      </c>
    </row>
    <row r="112" spans="1:11">
      <c r="A112" s="15" t="s">
        <v>1459</v>
      </c>
      <c r="B112" s="13" t="s">
        <v>1594</v>
      </c>
      <c r="C112" s="13" t="s">
        <v>1595</v>
      </c>
      <c r="D112" s="13" t="s">
        <v>1320</v>
      </c>
      <c r="E112" s="13" t="s">
        <v>1462</v>
      </c>
      <c r="F112" s="13" t="s">
        <v>1573</v>
      </c>
      <c r="G112" s="13" t="s">
        <v>1570</v>
      </c>
      <c r="H112" s="13" t="s">
        <v>621</v>
      </c>
      <c r="I112" s="13">
        <v>2002411</v>
      </c>
      <c r="J112" s="13">
        <v>0</v>
      </c>
      <c r="K112" s="13">
        <v>0</v>
      </c>
    </row>
    <row r="113" spans="1:11">
      <c r="A113" s="15" t="e">
        <f>VLOOKUP(E113,Table1[[#All],[Campo]],1,0)</f>
        <v>#N/A</v>
      </c>
      <c r="B113" s="13" t="s">
        <v>1596</v>
      </c>
      <c r="C113" s="13" t="s">
        <v>1597</v>
      </c>
      <c r="D113" s="13" t="s">
        <v>1320</v>
      </c>
      <c r="E113" s="13" t="s">
        <v>1465</v>
      </c>
      <c r="F113" s="13" t="s">
        <v>1573</v>
      </c>
      <c r="G113" s="13" t="s">
        <v>1570</v>
      </c>
      <c r="H113" s="13" t="s">
        <v>621</v>
      </c>
      <c r="I113" s="13">
        <v>2002411</v>
      </c>
      <c r="J113" s="13">
        <v>0</v>
      </c>
      <c r="K113" s="13">
        <v>0</v>
      </c>
    </row>
    <row r="114" spans="1:11">
      <c r="A114" s="15" t="e">
        <f>VLOOKUP(E114,Table1[[#All],[Campo]],1,0)</f>
        <v>#N/A</v>
      </c>
      <c r="B114" s="13" t="s">
        <v>1598</v>
      </c>
      <c r="C114" s="13" t="s">
        <v>1599</v>
      </c>
      <c r="D114" s="13" t="s">
        <v>1320</v>
      </c>
      <c r="E114" s="13" t="s">
        <v>1479</v>
      </c>
      <c r="F114" s="13" t="s">
        <v>1573</v>
      </c>
      <c r="G114" s="13" t="s">
        <v>1570</v>
      </c>
      <c r="H114" s="13" t="s">
        <v>621</v>
      </c>
      <c r="I114" s="13">
        <v>2002411</v>
      </c>
      <c r="J114" s="13">
        <v>0</v>
      </c>
      <c r="K114" s="13">
        <v>0</v>
      </c>
    </row>
    <row r="115" spans="1:11">
      <c r="A115" s="15" t="e">
        <f>VLOOKUP(E115,Table1[[#All],[Campo]],1,0)</f>
        <v>#N/A</v>
      </c>
      <c r="B115" s="13" t="s">
        <v>1600</v>
      </c>
      <c r="C115" s="13" t="s">
        <v>1601</v>
      </c>
      <c r="D115" s="13" t="s">
        <v>1320</v>
      </c>
      <c r="E115" s="13" t="s">
        <v>1482</v>
      </c>
      <c r="F115" s="13" t="s">
        <v>1573</v>
      </c>
      <c r="G115" s="13" t="s">
        <v>1570</v>
      </c>
      <c r="H115" s="13" t="s">
        <v>621</v>
      </c>
      <c r="I115" s="13">
        <v>2002411</v>
      </c>
      <c r="J115" s="13">
        <v>0</v>
      </c>
      <c r="K115" s="13">
        <v>0</v>
      </c>
    </row>
    <row r="116" spans="1:11">
      <c r="A116" s="15" t="s">
        <v>1483</v>
      </c>
      <c r="B116" s="13" t="s">
        <v>1602</v>
      </c>
      <c r="C116" s="13" t="s">
        <v>1603</v>
      </c>
      <c r="D116" s="13" t="s">
        <v>1320</v>
      </c>
      <c r="E116" s="13" t="s">
        <v>1486</v>
      </c>
      <c r="F116" s="13" t="s">
        <v>1573</v>
      </c>
      <c r="G116" s="13" t="s">
        <v>1570</v>
      </c>
      <c r="H116" s="13" t="s">
        <v>621</v>
      </c>
      <c r="I116" s="13">
        <v>2002411</v>
      </c>
      <c r="J116" s="13">
        <v>0</v>
      </c>
      <c r="K116" s="13">
        <v>0</v>
      </c>
    </row>
    <row r="117" spans="1:11">
      <c r="A117" s="15" t="s">
        <v>1487</v>
      </c>
      <c r="B117" s="13" t="s">
        <v>1604</v>
      </c>
      <c r="C117" s="13" t="s">
        <v>1605</v>
      </c>
      <c r="D117" s="13" t="s">
        <v>1320</v>
      </c>
      <c r="E117" s="13" t="s">
        <v>1490</v>
      </c>
      <c r="F117" s="13" t="s">
        <v>1573</v>
      </c>
      <c r="G117" s="13" t="s">
        <v>1570</v>
      </c>
      <c r="H117" s="13" t="s">
        <v>621</v>
      </c>
      <c r="I117" s="13">
        <v>2002411</v>
      </c>
      <c r="J117" s="13">
        <v>0</v>
      </c>
      <c r="K117" s="13">
        <v>0</v>
      </c>
    </row>
    <row r="118" spans="1:11">
      <c r="A118" s="15" t="e">
        <f>VLOOKUP(E118,Table1[[#All],[Campo]],1,0)</f>
        <v>#N/A</v>
      </c>
      <c r="B118" s="13" t="s">
        <v>1606</v>
      </c>
      <c r="C118" s="13" t="s">
        <v>1607</v>
      </c>
      <c r="D118" s="13" t="s">
        <v>1320</v>
      </c>
      <c r="E118" s="13" t="s">
        <v>1496</v>
      </c>
      <c r="F118" s="13" t="s">
        <v>1573</v>
      </c>
      <c r="G118" s="13" t="s">
        <v>1570</v>
      </c>
      <c r="H118" s="13" t="s">
        <v>621</v>
      </c>
      <c r="I118" s="13">
        <v>2002411</v>
      </c>
      <c r="J118" s="13">
        <v>0</v>
      </c>
      <c r="K118" s="13">
        <v>0</v>
      </c>
    </row>
    <row r="119" spans="1:11">
      <c r="A119" s="15" t="e">
        <f>VLOOKUP(E119,Table1[[#All],[Campo]],1,0)</f>
        <v>#N/A</v>
      </c>
      <c r="B119" s="13" t="s">
        <v>1608</v>
      </c>
      <c r="C119" s="13" t="s">
        <v>1609</v>
      </c>
      <c r="D119" s="13" t="s">
        <v>1320</v>
      </c>
      <c r="E119" s="13" t="s">
        <v>1502</v>
      </c>
      <c r="F119" s="13" t="s">
        <v>1573</v>
      </c>
      <c r="G119" s="13" t="s">
        <v>1570</v>
      </c>
      <c r="H119" s="13" t="s">
        <v>621</v>
      </c>
      <c r="I119" s="13">
        <v>2002411</v>
      </c>
      <c r="J119" s="13">
        <v>0</v>
      </c>
      <c r="K119" s="13">
        <v>0</v>
      </c>
    </row>
    <row r="120" spans="1:11">
      <c r="A120" s="15" t="e">
        <f>VLOOKUP(E120,Table1[[#All],[Campo]],1,0)</f>
        <v>#N/A</v>
      </c>
      <c r="B120" s="13" t="s">
        <v>1610</v>
      </c>
      <c r="C120" s="13" t="s">
        <v>1611</v>
      </c>
      <c r="D120" s="13" t="s">
        <v>1320</v>
      </c>
      <c r="E120" s="13" t="s">
        <v>1505</v>
      </c>
      <c r="F120" s="13" t="s">
        <v>1573</v>
      </c>
      <c r="G120" s="13" t="s">
        <v>1570</v>
      </c>
      <c r="H120" s="13" t="s">
        <v>621</v>
      </c>
      <c r="I120" s="13">
        <v>2002411</v>
      </c>
      <c r="J120" s="13">
        <v>0</v>
      </c>
      <c r="K120" s="13">
        <v>0</v>
      </c>
    </row>
    <row r="121" spans="1:11">
      <c r="A121" s="15" t="s">
        <v>1506</v>
      </c>
      <c r="B121" s="13" t="s">
        <v>1612</v>
      </c>
      <c r="C121" s="13" t="s">
        <v>1613</v>
      </c>
      <c r="D121" s="13" t="s">
        <v>1320</v>
      </c>
      <c r="E121" s="13" t="s">
        <v>1509</v>
      </c>
      <c r="F121" s="13" t="s">
        <v>1573</v>
      </c>
      <c r="G121" s="13" t="s">
        <v>1570</v>
      </c>
      <c r="H121" s="13" t="s">
        <v>621</v>
      </c>
      <c r="I121" s="13">
        <v>2002411</v>
      </c>
      <c r="J121" s="13">
        <v>0</v>
      </c>
      <c r="K121" s="13">
        <v>0</v>
      </c>
    </row>
    <row r="122" spans="1:11">
      <c r="A122" s="15" t="s">
        <v>1510</v>
      </c>
      <c r="B122" s="13" t="s">
        <v>1614</v>
      </c>
      <c r="C122" s="13" t="s">
        <v>1615</v>
      </c>
      <c r="D122" s="13" t="s">
        <v>1320</v>
      </c>
      <c r="E122" s="13" t="s">
        <v>1513</v>
      </c>
      <c r="F122" s="13" t="s">
        <v>1573</v>
      </c>
      <c r="G122" s="13" t="s">
        <v>1570</v>
      </c>
      <c r="H122" s="13" t="s">
        <v>621</v>
      </c>
      <c r="I122" s="13">
        <v>2002411</v>
      </c>
      <c r="J122" s="13">
        <v>0</v>
      </c>
      <c r="K122" s="13">
        <v>0</v>
      </c>
    </row>
    <row r="123" spans="1:11">
      <c r="A123" s="15" t="e">
        <f>VLOOKUP(E123,Table1[[#All],[Campo]],1,0)</f>
        <v>#N/A</v>
      </c>
      <c r="B123" s="13" t="s">
        <v>1616</v>
      </c>
      <c r="C123" s="13" t="s">
        <v>1617</v>
      </c>
      <c r="D123" s="13" t="s">
        <v>1320</v>
      </c>
      <c r="E123" s="13" t="s">
        <v>1516</v>
      </c>
      <c r="F123" s="13" t="s">
        <v>1573</v>
      </c>
      <c r="G123" s="13" t="s">
        <v>1570</v>
      </c>
      <c r="H123" s="13" t="s">
        <v>621</v>
      </c>
      <c r="I123" s="13">
        <v>2002411</v>
      </c>
      <c r="J123" s="13">
        <v>0</v>
      </c>
      <c r="K123" s="13">
        <v>0</v>
      </c>
    </row>
    <row r="124" spans="1:11">
      <c r="A124" s="15" t="s">
        <v>1519</v>
      </c>
      <c r="B124" s="13" t="s">
        <v>1618</v>
      </c>
      <c r="C124" s="13" t="s">
        <v>1619</v>
      </c>
      <c r="D124" s="13" t="s">
        <v>1320</v>
      </c>
      <c r="E124" s="13" t="s">
        <v>1522</v>
      </c>
      <c r="F124" s="13" t="s">
        <v>1573</v>
      </c>
      <c r="G124" s="13" t="s">
        <v>1570</v>
      </c>
      <c r="H124" s="13" t="s">
        <v>621</v>
      </c>
      <c r="I124" s="13">
        <v>2002411</v>
      </c>
      <c r="J124" s="13">
        <v>0</v>
      </c>
      <c r="K124" s="13">
        <v>0</v>
      </c>
    </row>
    <row r="125" spans="1:11">
      <c r="A125" s="15" t="s">
        <v>1523</v>
      </c>
      <c r="B125" s="13" t="s">
        <v>1620</v>
      </c>
      <c r="C125" s="13" t="s">
        <v>1621</v>
      </c>
      <c r="D125" s="13" t="s">
        <v>1320</v>
      </c>
      <c r="E125" s="13" t="s">
        <v>1526</v>
      </c>
      <c r="F125" s="13" t="s">
        <v>1573</v>
      </c>
      <c r="G125" s="13" t="s">
        <v>1570</v>
      </c>
      <c r="H125" s="13" t="s">
        <v>621</v>
      </c>
      <c r="I125" s="13">
        <v>2002411</v>
      </c>
      <c r="J125" s="13">
        <v>0</v>
      </c>
      <c r="K125" s="13">
        <v>0</v>
      </c>
    </row>
    <row r="126" spans="1:11">
      <c r="A126" s="15" t="str">
        <f>VLOOKUP(E126,Table1[[#All],[Campo]],1,0)</f>
        <v>dt_rfrnc</v>
      </c>
      <c r="B126" s="13" t="s">
        <v>1622</v>
      </c>
      <c r="C126" s="13" t="s">
        <v>1565</v>
      </c>
      <c r="D126" s="13" t="s">
        <v>1371</v>
      </c>
      <c r="E126" s="13" t="s">
        <v>1303</v>
      </c>
      <c r="F126" s="13" t="s">
        <v>1549</v>
      </c>
      <c r="G126" s="13" t="s">
        <v>1623</v>
      </c>
      <c r="H126" s="13" t="s">
        <v>621</v>
      </c>
      <c r="I126" s="13">
        <v>731165</v>
      </c>
      <c r="J126" s="13">
        <v>0</v>
      </c>
      <c r="K126" s="13">
        <v>0</v>
      </c>
    </row>
    <row r="127" spans="1:11">
      <c r="A127" s="15" t="str">
        <f>VLOOKUP(E127,Table1[[#All],[Campo]],1,0)</f>
        <v>dt_rfrnc</v>
      </c>
      <c r="B127" s="13" t="s">
        <v>1624</v>
      </c>
      <c r="C127" s="13" t="s">
        <v>1565</v>
      </c>
      <c r="D127" s="13" t="s">
        <v>1536</v>
      </c>
      <c r="E127" s="13" t="s">
        <v>1303</v>
      </c>
      <c r="F127" s="13" t="s">
        <v>1549</v>
      </c>
      <c r="G127" s="13" t="s">
        <v>1625</v>
      </c>
      <c r="H127" s="13" t="s">
        <v>621</v>
      </c>
      <c r="I127" s="13">
        <v>456960</v>
      </c>
      <c r="J127" s="13">
        <v>0</v>
      </c>
      <c r="K127" s="13">
        <v>0</v>
      </c>
    </row>
    <row r="128" spans="1:11">
      <c r="A128" s="15" t="str">
        <f>VLOOKUP(E128,Table1[[#All],[Campo]],1,0)</f>
        <v>subportfolio_id</v>
      </c>
      <c r="B128" s="13" t="s">
        <v>1626</v>
      </c>
      <c r="C128" s="13" t="s">
        <v>1627</v>
      </c>
      <c r="D128" s="13" t="s">
        <v>1628</v>
      </c>
      <c r="E128" s="13" t="s">
        <v>1392</v>
      </c>
      <c r="F128" s="13" t="s">
        <v>1629</v>
      </c>
      <c r="G128" s="13" t="s">
        <v>1630</v>
      </c>
      <c r="H128" s="13" t="s">
        <v>621</v>
      </c>
      <c r="I128" s="13">
        <v>0</v>
      </c>
      <c r="J128" s="13">
        <v>0</v>
      </c>
      <c r="K128" s="13">
        <v>0</v>
      </c>
    </row>
    <row r="129" spans="1:11">
      <c r="A129" s="15" t="str">
        <f>VLOOKUP(E129,Table1[[#All],[Campo]],1,0)</f>
        <v>dflt_stts_instrmnt</v>
      </c>
      <c r="B129" s="13" t="s">
        <v>1631</v>
      </c>
      <c r="C129" s="13" t="s">
        <v>1632</v>
      </c>
      <c r="D129" s="13" t="s">
        <v>1633</v>
      </c>
      <c r="E129" s="13" t="s">
        <v>1321</v>
      </c>
      <c r="F129" s="13" t="s">
        <v>1629</v>
      </c>
      <c r="G129" s="13" t="s">
        <v>1630</v>
      </c>
      <c r="H129" s="13" t="s">
        <v>621</v>
      </c>
      <c r="I129" s="13">
        <v>0</v>
      </c>
      <c r="J129" s="13">
        <v>0</v>
      </c>
      <c r="K129" s="13">
        <v>0</v>
      </c>
    </row>
    <row r="130" spans="1:11">
      <c r="A130" s="15" t="str">
        <f>VLOOKUP(E130,Table1[[#All],[Campo]],1,0)</f>
        <v>dflt_stts_instrmnt</v>
      </c>
      <c r="B130" s="13" t="s">
        <v>1634</v>
      </c>
      <c r="C130" s="13" t="s">
        <v>1635</v>
      </c>
      <c r="D130" s="13" t="s">
        <v>1636</v>
      </c>
      <c r="E130" s="13" t="s">
        <v>1321</v>
      </c>
      <c r="F130" s="13" t="s">
        <v>1629</v>
      </c>
      <c r="G130" s="13" t="s">
        <v>1630</v>
      </c>
      <c r="H130" s="13" t="s">
        <v>621</v>
      </c>
      <c r="I130" s="13">
        <v>0</v>
      </c>
      <c r="J130" s="13">
        <v>0</v>
      </c>
      <c r="K130" s="13">
        <v>0</v>
      </c>
    </row>
    <row r="131" spans="1:11">
      <c r="A131" s="15" t="str">
        <f>VLOOKUP(E131,Table1[[#All],[Campo]],1,0)</f>
        <v>dflt_stts_instrmnt</v>
      </c>
      <c r="B131" s="13" t="s">
        <v>1637</v>
      </c>
      <c r="C131" s="13" t="s">
        <v>1638</v>
      </c>
      <c r="D131" s="13" t="s">
        <v>1628</v>
      </c>
      <c r="E131" s="13" t="s">
        <v>1321</v>
      </c>
      <c r="F131" s="13" t="s">
        <v>1629</v>
      </c>
      <c r="G131" s="13" t="s">
        <v>1630</v>
      </c>
      <c r="H131" s="13" t="s">
        <v>621</v>
      </c>
      <c r="I131" s="13">
        <v>0</v>
      </c>
      <c r="J131" s="13">
        <v>0</v>
      </c>
      <c r="K131" s="13">
        <v>0</v>
      </c>
    </row>
    <row r="132" spans="1:11">
      <c r="A132" s="15" t="str">
        <f>VLOOKUP(E132,Table1[[#All],[Campo]],1,0)</f>
        <v>imprmnt_stts</v>
      </c>
      <c r="B132" s="13" t="s">
        <v>1639</v>
      </c>
      <c r="C132" s="13" t="s">
        <v>1640</v>
      </c>
      <c r="D132" s="13" t="s">
        <v>1628</v>
      </c>
      <c r="E132" s="13" t="s">
        <v>1399</v>
      </c>
      <c r="F132" s="13" t="s">
        <v>1629</v>
      </c>
      <c r="G132" s="13" t="s">
        <v>1630</v>
      </c>
      <c r="H132" s="13" t="s">
        <v>1323</v>
      </c>
      <c r="I132" s="13">
        <v>9703</v>
      </c>
      <c r="J132" s="13">
        <v>1</v>
      </c>
      <c r="K132" s="13">
        <v>1.03E-2</v>
      </c>
    </row>
    <row r="133" spans="1:11">
      <c r="A133" s="15" t="str">
        <f>VLOOKUP(E133,Table1[[#All],[Campo]],1,0)</f>
        <v>imprmnt_stts</v>
      </c>
      <c r="B133" s="13" t="s">
        <v>1641</v>
      </c>
      <c r="C133" s="13" t="s">
        <v>1642</v>
      </c>
      <c r="D133" s="13" t="s">
        <v>1628</v>
      </c>
      <c r="E133" s="13" t="s">
        <v>1399</v>
      </c>
      <c r="F133" s="13" t="s">
        <v>1629</v>
      </c>
      <c r="G133" s="13" t="s">
        <v>1630</v>
      </c>
      <c r="H133" s="13" t="s">
        <v>1323</v>
      </c>
      <c r="I133" s="13">
        <v>92666</v>
      </c>
      <c r="J133" s="13">
        <v>3283</v>
      </c>
      <c r="K133" s="13">
        <v>3.5428000000000002</v>
      </c>
    </row>
    <row r="134" spans="1:11">
      <c r="A134" s="15" t="str">
        <f>VLOOKUP(E134,Table1[[#All],[Campo]],1,0)</f>
        <v>imprmnt_stts</v>
      </c>
      <c r="B134" s="13" t="s">
        <v>1643</v>
      </c>
      <c r="C134" s="13" t="s">
        <v>1644</v>
      </c>
      <c r="D134" s="13" t="s">
        <v>1628</v>
      </c>
      <c r="E134" s="13" t="s">
        <v>1399</v>
      </c>
      <c r="F134" s="13" t="s">
        <v>1629</v>
      </c>
      <c r="G134" s="13" t="s">
        <v>1630</v>
      </c>
      <c r="H134" s="13" t="s">
        <v>1323</v>
      </c>
      <c r="I134" s="13">
        <v>1813562</v>
      </c>
      <c r="J134" s="13">
        <v>4684</v>
      </c>
      <c r="K134" s="13">
        <v>0.25829999999999997</v>
      </c>
    </row>
    <row r="135" spans="1:11">
      <c r="A135" s="15" t="str">
        <f>VLOOKUP(E135,Table1[[#All],[Campo]],1,0)</f>
        <v>imprmnt_stts</v>
      </c>
      <c r="B135" s="13" t="s">
        <v>1645</v>
      </c>
      <c r="C135" s="13" t="s">
        <v>1646</v>
      </c>
      <c r="D135" s="13" t="s">
        <v>1628</v>
      </c>
      <c r="E135" s="13" t="s">
        <v>1399</v>
      </c>
      <c r="F135" s="13" t="s">
        <v>1629</v>
      </c>
      <c r="G135" s="13" t="s">
        <v>1630</v>
      </c>
      <c r="H135" s="13" t="s">
        <v>621</v>
      </c>
      <c r="I135" s="13">
        <v>1905178</v>
      </c>
      <c r="J135" s="13">
        <v>0</v>
      </c>
      <c r="K135" s="13">
        <v>0</v>
      </c>
    </row>
    <row r="136" spans="1:11">
      <c r="A136" s="15" t="str">
        <f>VLOOKUP(E136,Table1[[#All],[Campo]],1,0)</f>
        <v>imprmnt_stts</v>
      </c>
      <c r="B136" s="13" t="s">
        <v>1647</v>
      </c>
      <c r="C136" s="13" t="s">
        <v>1648</v>
      </c>
      <c r="D136" s="13" t="s">
        <v>1633</v>
      </c>
      <c r="E136" s="13" t="s">
        <v>1399</v>
      </c>
      <c r="F136" s="13" t="s">
        <v>1629</v>
      </c>
      <c r="G136" s="13" t="s">
        <v>1630</v>
      </c>
      <c r="H136" s="13" t="s">
        <v>1323</v>
      </c>
      <c r="I136" s="13">
        <v>18441</v>
      </c>
      <c r="J136" s="13">
        <v>2850</v>
      </c>
      <c r="K136" s="13">
        <v>15.454700000000001</v>
      </c>
    </row>
    <row r="137" spans="1:11">
      <c r="A137" s="15" t="str">
        <f>VLOOKUP(E137,Table1[[#All],[Campo]],1,0)</f>
        <v>imprmnt_stts</v>
      </c>
      <c r="B137" s="13" t="s">
        <v>1649</v>
      </c>
      <c r="C137" s="13" t="s">
        <v>1650</v>
      </c>
      <c r="D137" s="13" t="s">
        <v>1651</v>
      </c>
      <c r="E137" s="13" t="s">
        <v>1399</v>
      </c>
      <c r="F137" s="13" t="s">
        <v>1629</v>
      </c>
      <c r="G137" s="13" t="s">
        <v>1630</v>
      </c>
      <c r="H137" s="13" t="s">
        <v>621</v>
      </c>
      <c r="I137" s="13">
        <v>1724899</v>
      </c>
      <c r="J137" s="13">
        <v>0</v>
      </c>
      <c r="K137" s="13">
        <v>0</v>
      </c>
    </row>
    <row r="138" spans="1:11">
      <c r="A138" s="15" t="str">
        <f>VLOOKUP(E138,Table1[[#All],[Campo]],1,0)</f>
        <v>imprmnt_stts</v>
      </c>
      <c r="B138" s="13" t="s">
        <v>1652</v>
      </c>
      <c r="C138" s="13" t="s">
        <v>1653</v>
      </c>
      <c r="D138" s="13" t="s">
        <v>1651</v>
      </c>
      <c r="E138" s="13" t="s">
        <v>1399</v>
      </c>
      <c r="F138" s="13" t="s">
        <v>1629</v>
      </c>
      <c r="G138" s="13" t="s">
        <v>1630</v>
      </c>
      <c r="H138" s="13" t="s">
        <v>621</v>
      </c>
      <c r="I138" s="13">
        <v>1472964</v>
      </c>
      <c r="J138" s="13">
        <v>0</v>
      </c>
      <c r="K138" s="13">
        <v>0</v>
      </c>
    </row>
    <row r="139" spans="1:11">
      <c r="A139" s="15" t="str">
        <f>VLOOKUP(E139,Table1[[#All],[Campo]],1,0)</f>
        <v>imprmnt_stts</v>
      </c>
      <c r="B139" s="13" t="s">
        <v>1654</v>
      </c>
      <c r="C139" s="13" t="s">
        <v>1655</v>
      </c>
      <c r="D139" s="13" t="s">
        <v>1651</v>
      </c>
      <c r="E139" s="13" t="s">
        <v>1399</v>
      </c>
      <c r="F139" s="13" t="s">
        <v>1629</v>
      </c>
      <c r="G139" s="13" t="s">
        <v>1630</v>
      </c>
      <c r="H139" s="13" t="s">
        <v>621</v>
      </c>
      <c r="I139" s="13">
        <v>432214</v>
      </c>
      <c r="J139" s="13">
        <v>0</v>
      </c>
      <c r="K139" s="13">
        <v>0</v>
      </c>
    </row>
    <row r="140" spans="1:11">
      <c r="A140" s="15" t="str">
        <f>VLOOKUP(E140,Table1[[#All],[Campo]],1,0)</f>
        <v>imprmnt_stts</v>
      </c>
      <c r="B140" s="13" t="s">
        <v>1656</v>
      </c>
      <c r="C140" s="13" t="s">
        <v>1657</v>
      </c>
      <c r="D140" s="13" t="s">
        <v>1651</v>
      </c>
      <c r="E140" s="13" t="s">
        <v>1399</v>
      </c>
      <c r="F140" s="13" t="s">
        <v>1629</v>
      </c>
      <c r="G140" s="13" t="s">
        <v>1630</v>
      </c>
      <c r="H140" s="13" t="s">
        <v>621</v>
      </c>
      <c r="I140" s="13">
        <v>97233</v>
      </c>
      <c r="J140" s="13">
        <v>0</v>
      </c>
      <c r="K140" s="13">
        <v>0</v>
      </c>
    </row>
    <row r="141" spans="1:11">
      <c r="A141" s="15" t="str">
        <f>VLOOKUP(E141,Table1[[#All],[Campo]],1,0)</f>
        <v>prfrmng_stts</v>
      </c>
      <c r="B141" s="13" t="s">
        <v>1658</v>
      </c>
      <c r="C141" s="13" t="s">
        <v>1659</v>
      </c>
      <c r="D141" s="13" t="s">
        <v>1628</v>
      </c>
      <c r="E141" s="13" t="s">
        <v>1326</v>
      </c>
      <c r="F141" s="13" t="s">
        <v>1629</v>
      </c>
      <c r="G141" s="13" t="s">
        <v>1630</v>
      </c>
      <c r="H141" s="13" t="s">
        <v>1323</v>
      </c>
      <c r="I141" s="13">
        <v>92666</v>
      </c>
      <c r="J141" s="13">
        <v>3283</v>
      </c>
      <c r="K141" s="13">
        <v>3.5428000000000002</v>
      </c>
    </row>
    <row r="142" spans="1:11">
      <c r="A142" s="15" t="str">
        <f>VLOOKUP(E142,Table1[[#All],[Campo]],1,0)</f>
        <v>prfrmng_stts</v>
      </c>
      <c r="B142" s="13" t="s">
        <v>1660</v>
      </c>
      <c r="C142" s="13" t="s">
        <v>1661</v>
      </c>
      <c r="D142" s="13" t="s">
        <v>1628</v>
      </c>
      <c r="E142" s="13" t="s">
        <v>1326</v>
      </c>
      <c r="F142" s="13" t="s">
        <v>1629</v>
      </c>
      <c r="G142" s="13" t="s">
        <v>1630</v>
      </c>
      <c r="H142" s="13" t="s">
        <v>621</v>
      </c>
      <c r="I142" s="13">
        <v>114216</v>
      </c>
      <c r="J142" s="13">
        <v>0</v>
      </c>
      <c r="K142" s="13">
        <v>0</v>
      </c>
    </row>
    <row r="143" spans="1:11">
      <c r="A143" s="15" t="str">
        <f>VLOOKUP(E143,Table1[[#All],[Campo]],1,0)</f>
        <v>prfrmng_stts</v>
      </c>
      <c r="B143" s="13" t="s">
        <v>1662</v>
      </c>
      <c r="C143" s="13" t="s">
        <v>1663</v>
      </c>
      <c r="D143" s="13" t="s">
        <v>1628</v>
      </c>
      <c r="E143" s="13" t="s">
        <v>1326</v>
      </c>
      <c r="F143" s="13" t="s">
        <v>1629</v>
      </c>
      <c r="G143" s="13" t="s">
        <v>1630</v>
      </c>
      <c r="H143" s="13" t="s">
        <v>621</v>
      </c>
      <c r="I143" s="13">
        <v>1408741</v>
      </c>
      <c r="J143" s="13">
        <v>0</v>
      </c>
      <c r="K143" s="13">
        <v>0</v>
      </c>
    </row>
    <row r="144" spans="1:11">
      <c r="A144" s="15" t="str">
        <f>VLOOKUP(E144,Table1[[#All],[Campo]],1,0)</f>
        <v>prfrmng_stts</v>
      </c>
      <c r="B144" s="13" t="s">
        <v>1664</v>
      </c>
      <c r="C144" s="13" t="s">
        <v>1665</v>
      </c>
      <c r="D144" s="13" t="s">
        <v>1636</v>
      </c>
      <c r="E144" s="13" t="s">
        <v>1326</v>
      </c>
      <c r="F144" s="13" t="s">
        <v>1629</v>
      </c>
      <c r="G144" s="13" t="s">
        <v>1630</v>
      </c>
      <c r="H144" s="13" t="s">
        <v>621</v>
      </c>
      <c r="I144" s="13">
        <v>0</v>
      </c>
      <c r="J144" s="13">
        <v>0</v>
      </c>
      <c r="K144" s="13">
        <v>0</v>
      </c>
    </row>
    <row r="145" spans="1:11">
      <c r="A145" s="15" t="str">
        <f>VLOOKUP(E145,Table1[[#All],[Campo]],1,0)</f>
        <v>prfrmng_stts</v>
      </c>
      <c r="B145" s="13" t="s">
        <v>1666</v>
      </c>
      <c r="C145" s="13" t="s">
        <v>1667</v>
      </c>
      <c r="D145" s="13" t="s">
        <v>1651</v>
      </c>
      <c r="E145" s="13" t="s">
        <v>1326</v>
      </c>
      <c r="F145" s="13" t="s">
        <v>1629</v>
      </c>
      <c r="G145" s="13" t="s">
        <v>1630</v>
      </c>
      <c r="H145" s="13" t="s">
        <v>621</v>
      </c>
      <c r="I145" s="13">
        <v>1905178</v>
      </c>
      <c r="J145" s="13">
        <v>0</v>
      </c>
      <c r="K145" s="13">
        <v>0</v>
      </c>
    </row>
    <row r="146" spans="1:11">
      <c r="A146" s="15" t="str">
        <f>VLOOKUP(E146,Table1[[#All],[Campo]],1,0)</f>
        <v>prfrmng_stts</v>
      </c>
      <c r="B146" s="13" t="s">
        <v>1668</v>
      </c>
      <c r="C146" s="13" t="s">
        <v>1669</v>
      </c>
      <c r="D146" s="13" t="s">
        <v>1651</v>
      </c>
      <c r="E146" s="13" t="s">
        <v>1326</v>
      </c>
      <c r="F146" s="13" t="s">
        <v>1629</v>
      </c>
      <c r="G146" s="13" t="s">
        <v>1630</v>
      </c>
      <c r="H146" s="13" t="s">
        <v>621</v>
      </c>
      <c r="I146" s="13">
        <v>97233</v>
      </c>
      <c r="J146" s="13">
        <v>0</v>
      </c>
      <c r="K146" s="13">
        <v>0</v>
      </c>
    </row>
    <row r="147" spans="1:11">
      <c r="A147" s="15" t="str">
        <f>VLOOKUP(E147,Table1[[#All],[Campo]],1,0)</f>
        <v>prfrmng_stts</v>
      </c>
      <c r="B147" s="13" t="s">
        <v>1670</v>
      </c>
      <c r="C147" s="13" t="s">
        <v>1671</v>
      </c>
      <c r="D147" s="13" t="s">
        <v>1636</v>
      </c>
      <c r="E147" s="13" t="s">
        <v>1326</v>
      </c>
      <c r="F147" s="13" t="s">
        <v>1629</v>
      </c>
      <c r="G147" s="13" t="s">
        <v>1630</v>
      </c>
      <c r="H147" s="13" t="s">
        <v>621</v>
      </c>
      <c r="I147" s="13">
        <v>0</v>
      </c>
      <c r="J147" s="13">
        <v>0</v>
      </c>
      <c r="K147" s="13">
        <v>0</v>
      </c>
    </row>
    <row r="148" spans="1:11">
      <c r="A148" s="15" t="str">
        <f>VLOOKUP(E148,Table1[[#All],[Campo]],1,0)</f>
        <v>prfrmng_stts</v>
      </c>
      <c r="B148" s="13" t="s">
        <v>1672</v>
      </c>
      <c r="C148" s="13" t="s">
        <v>1673</v>
      </c>
      <c r="D148" s="13" t="s">
        <v>1628</v>
      </c>
      <c r="E148" s="13" t="s">
        <v>1326</v>
      </c>
      <c r="F148" s="13" t="s">
        <v>1629</v>
      </c>
      <c r="G148" s="13" t="s">
        <v>1630</v>
      </c>
      <c r="H148" s="13" t="s">
        <v>621</v>
      </c>
      <c r="I148" s="13">
        <v>97233</v>
      </c>
      <c r="J148" s="13">
        <v>0</v>
      </c>
      <c r="K148" s="13">
        <v>0</v>
      </c>
    </row>
    <row r="149" spans="1:11">
      <c r="A149" s="15" t="str">
        <f>VLOOKUP(E149,Table1[[#All],[Campo]],1,0)</f>
        <v>prfrmng_stts</v>
      </c>
      <c r="B149" s="13" t="s">
        <v>1674</v>
      </c>
      <c r="C149" s="13" t="s">
        <v>1675</v>
      </c>
      <c r="D149" s="13" t="s">
        <v>1633</v>
      </c>
      <c r="E149" s="13" t="s">
        <v>1326</v>
      </c>
      <c r="F149" s="13" t="s">
        <v>1629</v>
      </c>
      <c r="G149" s="13" t="s">
        <v>1630</v>
      </c>
      <c r="H149" s="13" t="s">
        <v>1323</v>
      </c>
      <c r="I149" s="13">
        <v>113163</v>
      </c>
      <c r="J149" s="13">
        <v>15043</v>
      </c>
      <c r="K149" s="13">
        <v>13.293200000000001</v>
      </c>
    </row>
    <row r="150" spans="1:11">
      <c r="A150" s="15" t="str">
        <f>VLOOKUP(E150,Table1[[#All],[Campo]],1,0)</f>
        <v>grss_crryng_amnt_instrmnt</v>
      </c>
      <c r="B150" s="13" t="s">
        <v>1676</v>
      </c>
      <c r="C150" s="13" t="s">
        <v>1677</v>
      </c>
      <c r="D150" s="13" t="s">
        <v>1628</v>
      </c>
      <c r="E150" s="13" t="s">
        <v>1407</v>
      </c>
      <c r="F150" s="13" t="s">
        <v>1629</v>
      </c>
      <c r="G150" s="13" t="s">
        <v>1630</v>
      </c>
      <c r="H150" s="13" t="s">
        <v>621</v>
      </c>
      <c r="I150" s="13">
        <v>1724899</v>
      </c>
      <c r="J150" s="13">
        <v>0</v>
      </c>
      <c r="K150" s="13">
        <v>0</v>
      </c>
    </row>
    <row r="151" spans="1:11">
      <c r="A151" s="15" t="str">
        <f>VLOOKUP(E151,Table1[[#All],[Campo]],1,0)</f>
        <v>grss_crryng_amnt_instrmnt</v>
      </c>
      <c r="B151" s="13" t="s">
        <v>1678</v>
      </c>
      <c r="C151" s="13" t="s">
        <v>1679</v>
      </c>
      <c r="D151" s="13" t="s">
        <v>1628</v>
      </c>
      <c r="E151" s="13" t="s">
        <v>1407</v>
      </c>
      <c r="F151" s="13" t="s">
        <v>1629</v>
      </c>
      <c r="G151" s="13" t="s">
        <v>1630</v>
      </c>
      <c r="H151" s="13" t="s">
        <v>621</v>
      </c>
      <c r="I151" s="13">
        <v>0</v>
      </c>
      <c r="J151" s="13">
        <v>0</v>
      </c>
      <c r="K151" s="13">
        <v>0</v>
      </c>
    </row>
    <row r="152" spans="1:11">
      <c r="A152" s="15" t="str">
        <f>VLOOKUP(E152,Table1[[#All],[Campo]],1,0)</f>
        <v>grss_crryng_amnt_instrmnt</v>
      </c>
      <c r="B152" s="13" t="s">
        <v>1680</v>
      </c>
      <c r="C152" s="13" t="s">
        <v>1681</v>
      </c>
      <c r="D152" s="13" t="s">
        <v>1628</v>
      </c>
      <c r="E152" s="13" t="s">
        <v>1407</v>
      </c>
      <c r="F152" s="13" t="s">
        <v>1629</v>
      </c>
      <c r="G152" s="13" t="s">
        <v>1630</v>
      </c>
      <c r="H152" s="13" t="s">
        <v>621</v>
      </c>
      <c r="I152" s="13">
        <v>277512</v>
      </c>
      <c r="J152" s="13">
        <v>0</v>
      </c>
      <c r="K152" s="13">
        <v>0</v>
      </c>
    </row>
    <row r="153" spans="1:11">
      <c r="A153" s="15" t="str">
        <f>VLOOKUP(E153,Table1[[#All],[Campo]],1,0)</f>
        <v>accmltd_chngs_fv_cr_instrmnt</v>
      </c>
      <c r="B153" s="13" t="s">
        <v>1682</v>
      </c>
      <c r="C153" s="13" t="s">
        <v>1683</v>
      </c>
      <c r="D153" s="13" t="s">
        <v>1628</v>
      </c>
      <c r="E153" s="13" t="s">
        <v>1411</v>
      </c>
      <c r="F153" s="13" t="s">
        <v>1629</v>
      </c>
      <c r="G153" s="13" t="s">
        <v>1630</v>
      </c>
      <c r="H153" s="13" t="s">
        <v>621</v>
      </c>
      <c r="I153" s="13">
        <v>305642</v>
      </c>
      <c r="J153" s="13">
        <v>0</v>
      </c>
      <c r="K153" s="13">
        <v>0</v>
      </c>
    </row>
    <row r="154" spans="1:11">
      <c r="A154" s="15" t="str">
        <f>VLOOKUP(E154,Table1[[#All],[Campo]],1,0)</f>
        <v>accmltd_chngs_fv_cr_instrmnt</v>
      </c>
      <c r="B154" s="13" t="s">
        <v>1684</v>
      </c>
      <c r="C154" s="13" t="s">
        <v>1685</v>
      </c>
      <c r="D154" s="13" t="s">
        <v>1628</v>
      </c>
      <c r="E154" s="13" t="s">
        <v>1411</v>
      </c>
      <c r="F154" s="13" t="s">
        <v>1629</v>
      </c>
      <c r="G154" s="13" t="s">
        <v>1630</v>
      </c>
      <c r="H154" s="13" t="s">
        <v>621</v>
      </c>
      <c r="I154" s="13">
        <v>0</v>
      </c>
      <c r="J154" s="13">
        <v>0</v>
      </c>
      <c r="K154" s="13">
        <v>0</v>
      </c>
    </row>
    <row r="155" spans="1:11">
      <c r="A155" s="15" t="str">
        <f>VLOOKUP(E155,Table1[[#All],[Campo]],1,0)</f>
        <v>accntng_clssfctn</v>
      </c>
      <c r="B155" s="13" t="s">
        <v>1686</v>
      </c>
      <c r="C155" s="13" t="s">
        <v>1687</v>
      </c>
      <c r="D155" s="13" t="s">
        <v>1628</v>
      </c>
      <c r="E155" s="13" t="s">
        <v>1414</v>
      </c>
      <c r="F155" s="13" t="s">
        <v>1629</v>
      </c>
      <c r="G155" s="13" t="s">
        <v>1630</v>
      </c>
      <c r="H155" s="13" t="s">
        <v>621</v>
      </c>
      <c r="I155" s="13">
        <v>1724797</v>
      </c>
      <c r="J155" s="13">
        <v>0</v>
      </c>
      <c r="K155" s="13">
        <v>0</v>
      </c>
    </row>
    <row r="156" spans="1:11">
      <c r="A156" s="15" t="str">
        <f>VLOOKUP(E156,Table1[[#All],[Campo]],1,0)</f>
        <v>accntng_clssfctn</v>
      </c>
      <c r="B156" s="13" t="s">
        <v>1688</v>
      </c>
      <c r="C156" s="13" t="s">
        <v>1689</v>
      </c>
      <c r="D156" s="13" t="s">
        <v>1628</v>
      </c>
      <c r="E156" s="13" t="s">
        <v>1414</v>
      </c>
      <c r="F156" s="13" t="s">
        <v>1629</v>
      </c>
      <c r="G156" s="13" t="s">
        <v>1630</v>
      </c>
      <c r="H156" s="13" t="s">
        <v>621</v>
      </c>
      <c r="I156" s="13">
        <v>93</v>
      </c>
      <c r="J156" s="13">
        <v>0</v>
      </c>
      <c r="K156" s="13">
        <v>0</v>
      </c>
    </row>
    <row r="157" spans="1:11">
      <c r="A157" s="15" t="str">
        <f>VLOOKUP(E157,Table1[[#All],[Campo]],1,0)</f>
        <v>accntng_clssfctn</v>
      </c>
      <c r="B157" s="13" t="s">
        <v>1690</v>
      </c>
      <c r="C157" s="13" t="s">
        <v>1691</v>
      </c>
      <c r="D157" s="13" t="s">
        <v>1628</v>
      </c>
      <c r="E157" s="13" t="s">
        <v>1414</v>
      </c>
      <c r="F157" s="13" t="s">
        <v>1629</v>
      </c>
      <c r="G157" s="13" t="s">
        <v>1630</v>
      </c>
      <c r="H157" s="13" t="s">
        <v>621</v>
      </c>
      <c r="I157" s="13">
        <v>0</v>
      </c>
      <c r="J157" s="13">
        <v>0</v>
      </c>
      <c r="K157" s="13">
        <v>0</v>
      </c>
    </row>
    <row r="158" spans="1:11">
      <c r="A158" s="15" t="str">
        <f>VLOOKUP(E158,Table1[[#All],[Campo]],1,0)</f>
        <v>accntng_clssfctn</v>
      </c>
      <c r="B158" s="13" t="s">
        <v>1692</v>
      </c>
      <c r="C158" s="13" t="s">
        <v>1693</v>
      </c>
      <c r="D158" s="13" t="s">
        <v>1628</v>
      </c>
      <c r="E158" s="13" t="s">
        <v>1414</v>
      </c>
      <c r="F158" s="13" t="s">
        <v>1629</v>
      </c>
      <c r="G158" s="13" t="s">
        <v>1630</v>
      </c>
      <c r="H158" s="13" t="s">
        <v>621</v>
      </c>
      <c r="I158" s="13">
        <v>9</v>
      </c>
      <c r="J158" s="13">
        <v>0</v>
      </c>
      <c r="K158" s="13">
        <v>0</v>
      </c>
    </row>
    <row r="159" spans="1:11">
      <c r="A159" s="15" t="str">
        <f>VLOOKUP(E159,Table1[[#All],[Campo]],1,0)</f>
        <v>OFF_BLNC_SHT_AMNT_INSTRMNT</v>
      </c>
      <c r="B159" s="13" t="s">
        <v>1694</v>
      </c>
      <c r="C159" s="13" t="s">
        <v>1695</v>
      </c>
      <c r="D159" s="13" t="s">
        <v>1628</v>
      </c>
      <c r="E159" s="13" t="s">
        <v>1417</v>
      </c>
      <c r="F159" s="13" t="s">
        <v>1629</v>
      </c>
      <c r="G159" s="13" t="s">
        <v>1630</v>
      </c>
      <c r="H159" s="13" t="s">
        <v>1323</v>
      </c>
      <c r="I159" s="13">
        <v>2002318</v>
      </c>
      <c r="J159" s="13">
        <v>317</v>
      </c>
      <c r="K159" s="13">
        <v>1.5800000000000002E-2</v>
      </c>
    </row>
    <row r="160" spans="1:11">
      <c r="A160" s="15" t="str">
        <f>VLOOKUP(E160,Table1[[#All],[Campo]],1,0)</f>
        <v>OFF_BLNC_SHT_AMNT_INSTRMNT</v>
      </c>
      <c r="B160" s="13" t="s">
        <v>1696</v>
      </c>
      <c r="C160" s="13" t="s">
        <v>1697</v>
      </c>
      <c r="D160" s="13" t="s">
        <v>1628</v>
      </c>
      <c r="E160" s="13" t="s">
        <v>1417</v>
      </c>
      <c r="F160" s="13" t="s">
        <v>1629</v>
      </c>
      <c r="G160" s="13" t="s">
        <v>1630</v>
      </c>
      <c r="H160" s="13" t="s">
        <v>621</v>
      </c>
      <c r="I160" s="13">
        <v>1646037</v>
      </c>
      <c r="J160" s="13">
        <v>0</v>
      </c>
      <c r="K160" s="13">
        <v>0</v>
      </c>
    </row>
    <row r="161" spans="1:11">
      <c r="A161" s="15" t="str">
        <f>VLOOKUP(E161,Table1[[#All],[Campo]],1,0)</f>
        <v>OFF_BLNC_SHT_AMNT_INSTRMNT</v>
      </c>
      <c r="B161" s="13" t="s">
        <v>1698</v>
      </c>
      <c r="C161" s="13" t="s">
        <v>1699</v>
      </c>
      <c r="D161" s="13" t="s">
        <v>1628</v>
      </c>
      <c r="E161" s="13" t="s">
        <v>1417</v>
      </c>
      <c r="F161" s="13" t="s">
        <v>1629</v>
      </c>
      <c r="G161" s="13" t="s">
        <v>1630</v>
      </c>
      <c r="H161" s="13" t="s">
        <v>621</v>
      </c>
      <c r="I161" s="13">
        <v>253</v>
      </c>
      <c r="J161" s="13">
        <v>0</v>
      </c>
      <c r="K161" s="13">
        <v>0</v>
      </c>
    </row>
    <row r="162" spans="1:11">
      <c r="A162" s="15" t="str">
        <f>VLOOKUP(E162,Table1[[#All],[Campo]],1,0)</f>
        <v>OFF_BLNC_SHT_AMNT_INSTRMNT</v>
      </c>
      <c r="B162" s="13" t="s">
        <v>1700</v>
      </c>
      <c r="C162" s="13" t="s">
        <v>1701</v>
      </c>
      <c r="D162" s="13" t="s">
        <v>1628</v>
      </c>
      <c r="E162" s="13" t="s">
        <v>1417</v>
      </c>
      <c r="F162" s="13" t="s">
        <v>1629</v>
      </c>
      <c r="G162" s="13" t="s">
        <v>1630</v>
      </c>
      <c r="H162" s="13" t="s">
        <v>621</v>
      </c>
      <c r="I162" s="13">
        <v>3</v>
      </c>
      <c r="J162" s="13">
        <v>0</v>
      </c>
      <c r="K162" s="13">
        <v>0</v>
      </c>
    </row>
    <row r="163" spans="1:11">
      <c r="A163" s="15" t="e">
        <f>VLOOKUP(E163,Table1[[#All],[Campo]],1,0)</f>
        <v>#N/A</v>
      </c>
      <c r="B163" s="13" t="s">
        <v>1702</v>
      </c>
      <c r="C163" s="13" t="s">
        <v>1703</v>
      </c>
      <c r="D163" s="13" t="s">
        <v>1628</v>
      </c>
      <c r="E163" s="13" t="s">
        <v>1420</v>
      </c>
      <c r="F163" s="13" t="s">
        <v>1629</v>
      </c>
      <c r="G163" s="13" t="s">
        <v>1630</v>
      </c>
      <c r="H163" s="13" t="s">
        <v>621</v>
      </c>
      <c r="I163" s="13">
        <v>0</v>
      </c>
      <c r="J163" s="13">
        <v>0</v>
      </c>
      <c r="K163" s="13">
        <v>0</v>
      </c>
    </row>
    <row r="164" spans="1:11">
      <c r="A164" s="15" t="e">
        <f>VLOOKUP(E164,Table1[[#All],[Campo]],1,0)</f>
        <v>#N/A</v>
      </c>
      <c r="B164" s="13" t="s">
        <v>1704</v>
      </c>
      <c r="C164" s="13" t="s">
        <v>1705</v>
      </c>
      <c r="D164" s="13" t="s">
        <v>1628</v>
      </c>
      <c r="E164" s="13" t="s">
        <v>1420</v>
      </c>
      <c r="F164" s="13" t="s">
        <v>1629</v>
      </c>
      <c r="G164" s="13" t="s">
        <v>1630</v>
      </c>
      <c r="H164" s="13" t="s">
        <v>621</v>
      </c>
      <c r="I164" s="13">
        <v>3</v>
      </c>
      <c r="J164" s="13">
        <v>0</v>
      </c>
      <c r="K164" s="13">
        <v>0</v>
      </c>
    </row>
    <row r="165" spans="1:11">
      <c r="A165" s="15" t="str">
        <f>VLOOKUP(E165,Table1[[#All],[Campo]],1,0)</f>
        <v>accmltd_imprmnt_instrmnt</v>
      </c>
      <c r="B165" s="13" t="s">
        <v>1706</v>
      </c>
      <c r="C165" s="13" t="s">
        <v>1707</v>
      </c>
      <c r="D165" s="13" t="s">
        <v>1628</v>
      </c>
      <c r="E165" s="13" t="s">
        <v>1426</v>
      </c>
      <c r="F165" s="13" t="s">
        <v>1629</v>
      </c>
      <c r="G165" s="13" t="s">
        <v>1630</v>
      </c>
      <c r="H165" s="13" t="s">
        <v>621</v>
      </c>
      <c r="I165" s="13">
        <v>0</v>
      </c>
      <c r="J165" s="13">
        <v>0</v>
      </c>
      <c r="K165" s="13">
        <v>0</v>
      </c>
    </row>
    <row r="166" spans="1:11">
      <c r="A166" s="15" t="str">
        <f>VLOOKUP(E166,Table1[[#All],[Campo]],1,0)</f>
        <v>accmltd_imprmnt_instrmnt</v>
      </c>
      <c r="B166" s="13" t="s">
        <v>1708</v>
      </c>
      <c r="C166" s="13" t="s">
        <v>1709</v>
      </c>
      <c r="D166" s="13" t="s">
        <v>1628</v>
      </c>
      <c r="E166" s="13" t="s">
        <v>1426</v>
      </c>
      <c r="F166" s="13" t="s">
        <v>1629</v>
      </c>
      <c r="G166" s="13" t="s">
        <v>1630</v>
      </c>
      <c r="H166" s="13" t="s">
        <v>621</v>
      </c>
      <c r="I166" s="13">
        <v>277512</v>
      </c>
      <c r="J166" s="13">
        <v>0</v>
      </c>
      <c r="K166" s="13">
        <v>0</v>
      </c>
    </row>
    <row r="167" spans="1:11">
      <c r="A167" s="15" t="str">
        <f>VLOOKUP(E167,Table1[[#All],[Campo]],1,0)</f>
        <v>accmltd_imprmnt_instrmnt</v>
      </c>
      <c r="B167" s="13" t="s">
        <v>1710</v>
      </c>
      <c r="C167" s="13" t="s">
        <v>1711</v>
      </c>
      <c r="D167" s="13" t="s">
        <v>1628</v>
      </c>
      <c r="E167" s="13" t="s">
        <v>1426</v>
      </c>
      <c r="F167" s="13" t="s">
        <v>1629</v>
      </c>
      <c r="G167" s="13" t="s">
        <v>1630</v>
      </c>
      <c r="H167" s="13" t="s">
        <v>621</v>
      </c>
      <c r="I167" s="13">
        <v>3</v>
      </c>
      <c r="J167" s="13">
        <v>0</v>
      </c>
      <c r="K167" s="13">
        <v>0</v>
      </c>
    </row>
    <row r="168" spans="1:11">
      <c r="A168" s="15" t="str">
        <f>VLOOKUP(E168,Table1[[#All],[Campo]],1,0)</f>
        <v>sstnbl_indctr</v>
      </c>
      <c r="B168" s="13" t="s">
        <v>1712</v>
      </c>
      <c r="C168" s="13" t="s">
        <v>1713</v>
      </c>
      <c r="D168" s="13" t="s">
        <v>1628</v>
      </c>
      <c r="E168" s="13" t="s">
        <v>1332</v>
      </c>
      <c r="F168" s="13" t="s">
        <v>1629</v>
      </c>
      <c r="G168" s="13" t="s">
        <v>1630</v>
      </c>
      <c r="H168" s="13" t="s">
        <v>621</v>
      </c>
      <c r="I168" s="13">
        <v>0</v>
      </c>
      <c r="J168" s="13">
        <v>0</v>
      </c>
      <c r="K168" s="13">
        <v>0</v>
      </c>
    </row>
    <row r="169" spans="1:11">
      <c r="A169" s="15" t="str">
        <f>VLOOKUP(E169,Table1[[#All],[Campo]],1,0)</f>
        <v>sstnbl_indctr</v>
      </c>
      <c r="B169" s="13" t="s">
        <v>1714</v>
      </c>
      <c r="C169" s="13" t="s">
        <v>1715</v>
      </c>
      <c r="D169" s="13" t="s">
        <v>1628</v>
      </c>
      <c r="E169" s="13" t="s">
        <v>1332</v>
      </c>
      <c r="F169" s="13" t="s">
        <v>1629</v>
      </c>
      <c r="G169" s="13" t="s">
        <v>1630</v>
      </c>
      <c r="H169" s="13" t="s">
        <v>621</v>
      </c>
      <c r="I169" s="13">
        <v>0</v>
      </c>
      <c r="J169" s="13">
        <v>0</v>
      </c>
      <c r="K169" s="13">
        <v>0</v>
      </c>
    </row>
    <row r="170" spans="1:11">
      <c r="A170" s="15" t="str">
        <f>VLOOKUP(E170,Table1[[#All],[Campo]],1,0)</f>
        <v>sstnbl_ctgry</v>
      </c>
      <c r="B170" s="13" t="s">
        <v>1716</v>
      </c>
      <c r="C170" s="13" t="s">
        <v>1717</v>
      </c>
      <c r="D170" s="13" t="s">
        <v>1633</v>
      </c>
      <c r="E170" s="13" t="s">
        <v>1336</v>
      </c>
      <c r="F170" s="13" t="s">
        <v>1629</v>
      </c>
      <c r="G170" s="13" t="s">
        <v>1630</v>
      </c>
      <c r="H170" s="13" t="s">
        <v>621</v>
      </c>
      <c r="I170" s="13">
        <v>0</v>
      </c>
      <c r="J170" s="13">
        <v>0</v>
      </c>
      <c r="K170" s="13">
        <v>0</v>
      </c>
    </row>
    <row r="171" spans="1:11">
      <c r="A171" s="15" t="str">
        <f>VLOOKUP(E171,Table1[[#All],[Campo]],1,0)</f>
        <v>sstnbl_ctgry</v>
      </c>
      <c r="B171" s="13" t="s">
        <v>1718</v>
      </c>
      <c r="C171" s="13" t="s">
        <v>1719</v>
      </c>
      <c r="D171" s="13" t="s">
        <v>1633</v>
      </c>
      <c r="E171" s="13" t="s">
        <v>1336</v>
      </c>
      <c r="F171" s="13" t="s">
        <v>1629</v>
      </c>
      <c r="G171" s="13" t="s">
        <v>1630</v>
      </c>
      <c r="H171" s="13" t="s">
        <v>621</v>
      </c>
      <c r="I171" s="13">
        <v>0</v>
      </c>
      <c r="J171" s="13">
        <v>0</v>
      </c>
      <c r="K171" s="13">
        <v>0</v>
      </c>
    </row>
    <row r="172" spans="1:11">
      <c r="A172" s="15" t="str">
        <f>VLOOKUP(E172,Table1[[#All],[Campo]],1,0)</f>
        <v>sstnbl_ctgry</v>
      </c>
      <c r="B172" s="13" t="s">
        <v>1720</v>
      </c>
      <c r="C172" s="13" t="s">
        <v>1721</v>
      </c>
      <c r="D172" s="13" t="s">
        <v>1633</v>
      </c>
      <c r="E172" s="13" t="s">
        <v>1336</v>
      </c>
      <c r="F172" s="13" t="s">
        <v>1629</v>
      </c>
      <c r="G172" s="13" t="s">
        <v>1630</v>
      </c>
      <c r="H172" s="13" t="s">
        <v>621</v>
      </c>
      <c r="I172" s="13">
        <v>0</v>
      </c>
      <c r="J172" s="13">
        <v>0</v>
      </c>
      <c r="K172" s="13">
        <v>0</v>
      </c>
    </row>
    <row r="173" spans="1:11">
      <c r="A173" s="15" t="str">
        <f>VLOOKUP(E173,Table1[[#All],[Campo]],1,0)</f>
        <v>sstnbl_ctgry</v>
      </c>
      <c r="B173" s="13" t="s">
        <v>1722</v>
      </c>
      <c r="C173" s="13" t="s">
        <v>1723</v>
      </c>
      <c r="D173" s="13" t="s">
        <v>1633</v>
      </c>
      <c r="E173" s="13" t="s">
        <v>1336</v>
      </c>
      <c r="F173" s="13" t="s">
        <v>1629</v>
      </c>
      <c r="G173" s="13" t="s">
        <v>1630</v>
      </c>
      <c r="H173" s="13" t="s">
        <v>621</v>
      </c>
      <c r="I173" s="13">
        <v>0</v>
      </c>
      <c r="J173" s="13">
        <v>0</v>
      </c>
      <c r="K173" s="13">
        <v>0</v>
      </c>
    </row>
    <row r="174" spans="1:11">
      <c r="A174" s="15" t="str">
        <f>VLOOKUP(E174,Table1[[#All],[Campo]],1,0)</f>
        <v>sstnbl_ctgry</v>
      </c>
      <c r="B174" s="13" t="s">
        <v>1724</v>
      </c>
      <c r="C174" s="13" t="s">
        <v>1725</v>
      </c>
      <c r="D174" s="13" t="s">
        <v>1633</v>
      </c>
      <c r="E174" s="13" t="s">
        <v>1336</v>
      </c>
      <c r="F174" s="13" t="s">
        <v>1629</v>
      </c>
      <c r="G174" s="13" t="s">
        <v>1630</v>
      </c>
      <c r="H174" s="13" t="s">
        <v>621</v>
      </c>
      <c r="I174" s="13">
        <v>0</v>
      </c>
      <c r="J174" s="13">
        <v>0</v>
      </c>
      <c r="K174" s="13">
        <v>0</v>
      </c>
    </row>
    <row r="175" spans="1:11">
      <c r="A175" s="15" t="str">
        <f>VLOOKUP(E175,Table1[[#All],[Campo]],1,0)</f>
        <v>sstnbl_ctgry</v>
      </c>
      <c r="B175" s="13" t="s">
        <v>1726</v>
      </c>
      <c r="C175" s="13" t="s">
        <v>1727</v>
      </c>
      <c r="D175" s="13" t="s">
        <v>1633</v>
      </c>
      <c r="E175" s="13" t="s">
        <v>1336</v>
      </c>
      <c r="F175" s="13" t="s">
        <v>1629</v>
      </c>
      <c r="G175" s="13" t="s">
        <v>1630</v>
      </c>
      <c r="H175" s="13" t="s">
        <v>621</v>
      </c>
      <c r="I175" s="13">
        <v>0</v>
      </c>
      <c r="J175" s="13">
        <v>0</v>
      </c>
      <c r="K175" s="13">
        <v>0</v>
      </c>
    </row>
    <row r="176" spans="1:11">
      <c r="A176" s="15" t="str">
        <f>VLOOKUP(E176,Table1[[#All],[Campo]],1,0)</f>
        <v>sstnbl_ctgry</v>
      </c>
      <c r="B176" s="13" t="s">
        <v>1728</v>
      </c>
      <c r="C176" s="13" t="s">
        <v>1729</v>
      </c>
      <c r="D176" s="13" t="s">
        <v>1633</v>
      </c>
      <c r="E176" s="13" t="s">
        <v>1336</v>
      </c>
      <c r="F176" s="13" t="s">
        <v>1629</v>
      </c>
      <c r="G176" s="13" t="s">
        <v>1630</v>
      </c>
      <c r="H176" s="13" t="s">
        <v>621</v>
      </c>
      <c r="I176" s="13">
        <v>0</v>
      </c>
      <c r="J176" s="13">
        <v>0</v>
      </c>
      <c r="K176" s="13">
        <v>0</v>
      </c>
    </row>
    <row r="177" spans="1:11">
      <c r="A177" s="15" t="str">
        <f>VLOOKUP(E177,Table1[[#All],[Campo]],1,0)</f>
        <v>sstnbl_ctgry</v>
      </c>
      <c r="B177" s="13" t="s">
        <v>1730</v>
      </c>
      <c r="C177" s="13" t="s">
        <v>1731</v>
      </c>
      <c r="D177" s="13" t="s">
        <v>1633</v>
      </c>
      <c r="E177" s="13" t="s">
        <v>1336</v>
      </c>
      <c r="F177" s="13" t="s">
        <v>1629</v>
      </c>
      <c r="G177" s="13" t="s">
        <v>1630</v>
      </c>
      <c r="H177" s="13" t="s">
        <v>621</v>
      </c>
      <c r="I177" s="13">
        <v>0</v>
      </c>
      <c r="J177" s="13">
        <v>0</v>
      </c>
      <c r="K177" s="13">
        <v>0</v>
      </c>
    </row>
    <row r="178" spans="1:11">
      <c r="A178" s="15" t="str">
        <f>VLOOKUP(E178,Table1[[#All],[Campo]],1,0)</f>
        <v>sstnbl_ctgry</v>
      </c>
      <c r="B178" s="13" t="s">
        <v>1732</v>
      </c>
      <c r="C178" s="13" t="s">
        <v>1733</v>
      </c>
      <c r="D178" s="13" t="s">
        <v>1633</v>
      </c>
      <c r="E178" s="13" t="s">
        <v>1336</v>
      </c>
      <c r="F178" s="13" t="s">
        <v>1629</v>
      </c>
      <c r="G178" s="13" t="s">
        <v>1630</v>
      </c>
      <c r="H178" s="13" t="s">
        <v>621</v>
      </c>
      <c r="I178" s="13">
        <v>0</v>
      </c>
      <c r="J178" s="13">
        <v>0</v>
      </c>
      <c r="K178" s="13">
        <v>0</v>
      </c>
    </row>
    <row r="179" spans="1:11">
      <c r="A179" s="15" t="str">
        <f>VLOOKUP(E179,Table1[[#All],[Campo]],1,0)</f>
        <v>sstnbl_ctgry</v>
      </c>
      <c r="B179" s="13" t="s">
        <v>1734</v>
      </c>
      <c r="C179" s="13" t="s">
        <v>1735</v>
      </c>
      <c r="D179" s="13" t="s">
        <v>1633</v>
      </c>
      <c r="E179" s="13" t="s">
        <v>1336</v>
      </c>
      <c r="F179" s="13" t="s">
        <v>1629</v>
      </c>
      <c r="G179" s="13" t="s">
        <v>1630</v>
      </c>
      <c r="H179" s="13" t="s">
        <v>621</v>
      </c>
      <c r="I179" s="13">
        <v>0</v>
      </c>
      <c r="J179" s="13">
        <v>0</v>
      </c>
      <c r="K179" s="13">
        <v>0</v>
      </c>
    </row>
    <row r="180" spans="1:11">
      <c r="A180" s="15" t="str">
        <f>VLOOKUP(E180,Table1[[#All],[Campo]],1,0)</f>
        <v>sstnbl_ctgry</v>
      </c>
      <c r="B180" s="13" t="s">
        <v>1736</v>
      </c>
      <c r="C180" s="13" t="s">
        <v>1737</v>
      </c>
      <c r="D180" s="13" t="s">
        <v>1633</v>
      </c>
      <c r="E180" s="13" t="s">
        <v>1336</v>
      </c>
      <c r="F180" s="13" t="s">
        <v>1629</v>
      </c>
      <c r="G180" s="13" t="s">
        <v>1630</v>
      </c>
      <c r="H180" s="13" t="s">
        <v>621</v>
      </c>
      <c r="I180" s="13">
        <v>0</v>
      </c>
      <c r="J180" s="13">
        <v>0</v>
      </c>
      <c r="K180" s="13">
        <v>0</v>
      </c>
    </row>
    <row r="181" spans="1:11">
      <c r="A181" s="15" t="str">
        <f>VLOOKUP(E181,Table1[[#All],[Campo]],1,0)</f>
        <v>sstnbl_ctgry</v>
      </c>
      <c r="B181" s="13" t="s">
        <v>1738</v>
      </c>
      <c r="C181" s="13" t="s">
        <v>1739</v>
      </c>
      <c r="D181" s="13" t="s">
        <v>1633</v>
      </c>
      <c r="E181" s="13" t="s">
        <v>1336</v>
      </c>
      <c r="F181" s="13" t="s">
        <v>1629</v>
      </c>
      <c r="G181" s="13" t="s">
        <v>1630</v>
      </c>
      <c r="H181" s="13" t="s">
        <v>621</v>
      </c>
      <c r="I181" s="13">
        <v>0</v>
      </c>
      <c r="J181" s="13">
        <v>0</v>
      </c>
      <c r="K181" s="13">
        <v>0</v>
      </c>
    </row>
    <row r="182" spans="1:11">
      <c r="A182" s="15" t="str">
        <f>VLOOKUP(E182,Table1[[#All],[Campo]],1,0)</f>
        <v>sstnbl_ctgry</v>
      </c>
      <c r="B182" s="13" t="s">
        <v>1740</v>
      </c>
      <c r="C182" s="13" t="s">
        <v>1741</v>
      </c>
      <c r="D182" s="13" t="s">
        <v>1633</v>
      </c>
      <c r="E182" s="13" t="s">
        <v>1336</v>
      </c>
      <c r="F182" s="13" t="s">
        <v>1629</v>
      </c>
      <c r="G182" s="13" t="s">
        <v>1630</v>
      </c>
      <c r="H182" s="13" t="s">
        <v>621</v>
      </c>
      <c r="I182" s="13">
        <v>0</v>
      </c>
      <c r="J182" s="13">
        <v>0</v>
      </c>
      <c r="K182" s="13">
        <v>0</v>
      </c>
    </row>
    <row r="183" spans="1:11">
      <c r="A183" s="15" t="str">
        <f>VLOOKUP(E183,Table1[[#All],[Campo]],1,0)</f>
        <v>sstnbl_ctgry</v>
      </c>
      <c r="B183" s="13" t="s">
        <v>1742</v>
      </c>
      <c r="C183" s="13" t="s">
        <v>1743</v>
      </c>
      <c r="D183" s="13" t="s">
        <v>1633</v>
      </c>
      <c r="E183" s="13" t="s">
        <v>1336</v>
      </c>
      <c r="F183" s="13" t="s">
        <v>1629</v>
      </c>
      <c r="G183" s="13" t="s">
        <v>1630</v>
      </c>
      <c r="H183" s="13" t="s">
        <v>621</v>
      </c>
      <c r="I183" s="13">
        <v>0</v>
      </c>
      <c r="J183" s="13">
        <v>0</v>
      </c>
      <c r="K183" s="13">
        <v>0</v>
      </c>
    </row>
    <row r="184" spans="1:11">
      <c r="A184" s="15" t="str">
        <f>VLOOKUP(E184,Table1[[#All],[Campo]],1,0)</f>
        <v>grss_intrst_incm</v>
      </c>
      <c r="B184" s="13" t="s">
        <v>1744</v>
      </c>
      <c r="C184" s="13" t="s">
        <v>1745</v>
      </c>
      <c r="D184" s="13" t="s">
        <v>1628</v>
      </c>
      <c r="E184" s="13" t="s">
        <v>1443</v>
      </c>
      <c r="F184" s="13" t="s">
        <v>1629</v>
      </c>
      <c r="G184" s="13" t="s">
        <v>1630</v>
      </c>
      <c r="H184" s="13" t="s">
        <v>621</v>
      </c>
      <c r="I184" s="13">
        <v>0</v>
      </c>
      <c r="J184" s="13">
        <v>0</v>
      </c>
      <c r="K184" s="13">
        <v>0</v>
      </c>
    </row>
    <row r="185" spans="1:11">
      <c r="A185" s="15" t="str">
        <f>VLOOKUP(E185,Table1[[#All],[Campo]],1,0)</f>
        <v>grss_intrst_incm</v>
      </c>
      <c r="B185" s="13" t="s">
        <v>1746</v>
      </c>
      <c r="C185" s="13" t="s">
        <v>1747</v>
      </c>
      <c r="D185" s="13" t="s">
        <v>1628</v>
      </c>
      <c r="E185" s="13" t="s">
        <v>1443</v>
      </c>
      <c r="F185" s="13" t="s">
        <v>1629</v>
      </c>
      <c r="G185" s="13" t="s">
        <v>1630</v>
      </c>
      <c r="H185" s="13" t="s">
        <v>621</v>
      </c>
      <c r="I185" s="13">
        <v>0</v>
      </c>
      <c r="J185" s="13">
        <v>0</v>
      </c>
      <c r="K185" s="13">
        <v>0</v>
      </c>
    </row>
    <row r="186" spans="1:11">
      <c r="A186" s="15" t="s">
        <v>1444</v>
      </c>
      <c r="B186" s="13" t="s">
        <v>1748</v>
      </c>
      <c r="C186" s="13" t="s">
        <v>1749</v>
      </c>
      <c r="D186" s="13" t="s">
        <v>1628</v>
      </c>
      <c r="E186" s="13" t="s">
        <v>1447</v>
      </c>
      <c r="F186" s="13" t="s">
        <v>1629</v>
      </c>
      <c r="G186" s="13" t="s">
        <v>1630</v>
      </c>
      <c r="H186" s="13" t="s">
        <v>621</v>
      </c>
      <c r="I186" s="13">
        <v>0</v>
      </c>
      <c r="J186" s="13">
        <v>0</v>
      </c>
      <c r="K186" s="13">
        <v>0</v>
      </c>
    </row>
    <row r="187" spans="1:11">
      <c r="A187" s="15" t="s">
        <v>1444</v>
      </c>
      <c r="B187" s="13" t="s">
        <v>1750</v>
      </c>
      <c r="C187" s="13" t="s">
        <v>1751</v>
      </c>
      <c r="D187" s="13" t="s">
        <v>1628</v>
      </c>
      <c r="E187" s="13" t="s">
        <v>1447</v>
      </c>
      <c r="F187" s="13" t="s">
        <v>1629</v>
      </c>
      <c r="G187" s="13" t="s">
        <v>1630</v>
      </c>
      <c r="H187" s="13" t="s">
        <v>621</v>
      </c>
      <c r="I187" s="13">
        <v>0</v>
      </c>
      <c r="J187" s="13">
        <v>0</v>
      </c>
      <c r="K187" s="13">
        <v>0</v>
      </c>
    </row>
    <row r="188" spans="1:11">
      <c r="A188" s="15" t="e">
        <f>VLOOKUP(E188,Table1[[#All],[Campo]],1,0)</f>
        <v>#N/A</v>
      </c>
      <c r="B188" s="13" t="s">
        <v>1752</v>
      </c>
      <c r="C188" s="13" t="s">
        <v>1753</v>
      </c>
      <c r="D188" s="13" t="s">
        <v>1628</v>
      </c>
      <c r="E188" s="13" t="s">
        <v>1458</v>
      </c>
      <c r="F188" s="13" t="s">
        <v>1629</v>
      </c>
      <c r="G188" s="13" t="s">
        <v>1630</v>
      </c>
      <c r="H188" s="13" t="s">
        <v>621</v>
      </c>
      <c r="I188" s="13">
        <v>0</v>
      </c>
      <c r="J188" s="13">
        <v>0</v>
      </c>
      <c r="K188" s="13">
        <v>0</v>
      </c>
    </row>
    <row r="189" spans="1:11">
      <c r="A189" s="15" t="e">
        <f>VLOOKUP(E189,Table1[[#All],[Campo]],1,0)</f>
        <v>#N/A</v>
      </c>
      <c r="B189" s="13" t="s">
        <v>1754</v>
      </c>
      <c r="C189" s="13" t="s">
        <v>1755</v>
      </c>
      <c r="D189" s="13" t="s">
        <v>1628</v>
      </c>
      <c r="E189" s="13" t="s">
        <v>1458</v>
      </c>
      <c r="F189" s="13" t="s">
        <v>1629</v>
      </c>
      <c r="G189" s="13" t="s">
        <v>1630</v>
      </c>
      <c r="H189" s="13" t="s">
        <v>621</v>
      </c>
      <c r="I189" s="13">
        <v>277518</v>
      </c>
      <c r="J189" s="13">
        <v>0</v>
      </c>
      <c r="K189" s="13">
        <v>0</v>
      </c>
    </row>
    <row r="190" spans="1:11">
      <c r="A190" s="15" t="e">
        <f>VLOOKUP(E190,Table1[[#All],[Campo]],1,0)</f>
        <v>#N/A</v>
      </c>
      <c r="B190" s="13" t="s">
        <v>1756</v>
      </c>
      <c r="C190" s="13" t="s">
        <v>1757</v>
      </c>
      <c r="D190" s="13" t="s">
        <v>1628</v>
      </c>
      <c r="E190" s="13" t="s">
        <v>1458</v>
      </c>
      <c r="F190" s="13" t="s">
        <v>1629</v>
      </c>
      <c r="G190" s="13" t="s">
        <v>1630</v>
      </c>
      <c r="H190" s="13" t="s">
        <v>621</v>
      </c>
      <c r="I190" s="13">
        <v>1724892</v>
      </c>
      <c r="J190" s="13">
        <v>0</v>
      </c>
      <c r="K190" s="13">
        <v>0</v>
      </c>
    </row>
    <row r="191" spans="1:11">
      <c r="A191" s="15" t="s">
        <v>1459</v>
      </c>
      <c r="B191" s="13" t="s">
        <v>1758</v>
      </c>
      <c r="C191" s="13" t="s">
        <v>1759</v>
      </c>
      <c r="D191" s="13" t="s">
        <v>1628</v>
      </c>
      <c r="E191" s="13" t="s">
        <v>1462</v>
      </c>
      <c r="F191" s="13" t="s">
        <v>1629</v>
      </c>
      <c r="G191" s="13" t="s">
        <v>1630</v>
      </c>
      <c r="H191" s="13" t="s">
        <v>621</v>
      </c>
      <c r="I191" s="13">
        <v>0</v>
      </c>
      <c r="J191" s="13">
        <v>0</v>
      </c>
      <c r="K191" s="13">
        <v>0</v>
      </c>
    </row>
    <row r="192" spans="1:11">
      <c r="A192" s="15" t="s">
        <v>1459</v>
      </c>
      <c r="B192" s="13" t="s">
        <v>1760</v>
      </c>
      <c r="C192" s="13" t="s">
        <v>1761</v>
      </c>
      <c r="D192" s="13" t="s">
        <v>1628</v>
      </c>
      <c r="E192" s="13" t="s">
        <v>1462</v>
      </c>
      <c r="F192" s="13" t="s">
        <v>1629</v>
      </c>
      <c r="G192" s="13" t="s">
        <v>1630</v>
      </c>
      <c r="H192" s="13" t="s">
        <v>621</v>
      </c>
      <c r="I192" s="13">
        <v>0</v>
      </c>
      <c r="J192" s="13">
        <v>0</v>
      </c>
      <c r="K192" s="13">
        <v>0</v>
      </c>
    </row>
    <row r="193" spans="1:11">
      <c r="A193" s="15" t="e">
        <f>VLOOKUP(E193,Table1[[#All],[Campo]],1,0)</f>
        <v>#N/A</v>
      </c>
      <c r="B193" s="13" t="s">
        <v>1762</v>
      </c>
      <c r="C193" s="13" t="s">
        <v>1763</v>
      </c>
      <c r="D193" s="13" t="s">
        <v>1628</v>
      </c>
      <c r="E193" s="13" t="s">
        <v>1465</v>
      </c>
      <c r="F193" s="13" t="s">
        <v>1629</v>
      </c>
      <c r="G193" s="13" t="s">
        <v>1630</v>
      </c>
      <c r="H193" s="13" t="s">
        <v>621</v>
      </c>
      <c r="I193" s="13">
        <v>0</v>
      </c>
      <c r="J193" s="13">
        <v>0</v>
      </c>
      <c r="K193" s="13">
        <v>0</v>
      </c>
    </row>
    <row r="194" spans="1:11">
      <c r="A194" s="15" t="e">
        <f>VLOOKUP(E194,Table1[[#All],[Campo]],1,0)</f>
        <v>#N/A</v>
      </c>
      <c r="B194" s="13" t="s">
        <v>1764</v>
      </c>
      <c r="C194" s="13" t="s">
        <v>1765</v>
      </c>
      <c r="D194" s="13" t="s">
        <v>1628</v>
      </c>
      <c r="E194" s="13" t="s">
        <v>1465</v>
      </c>
      <c r="F194" s="13" t="s">
        <v>1629</v>
      </c>
      <c r="G194" s="13" t="s">
        <v>1630</v>
      </c>
      <c r="H194" s="13" t="s">
        <v>621</v>
      </c>
      <c r="I194" s="13">
        <v>0</v>
      </c>
      <c r="J194" s="13">
        <v>0</v>
      </c>
      <c r="K194" s="13">
        <v>0</v>
      </c>
    </row>
    <row r="195" spans="1:11">
      <c r="A195" s="15" t="e">
        <f>VLOOKUP(E195,Table1[[#All],[Campo]],1,0)</f>
        <v>#N/A</v>
      </c>
      <c r="B195" s="13" t="s">
        <v>1766</v>
      </c>
      <c r="C195" s="13" t="s">
        <v>1767</v>
      </c>
      <c r="D195" s="13" t="s">
        <v>1628</v>
      </c>
      <c r="E195" s="13" t="s">
        <v>1470</v>
      </c>
      <c r="F195" s="13" t="s">
        <v>1629</v>
      </c>
      <c r="G195" s="13" t="s">
        <v>1630</v>
      </c>
      <c r="H195" s="13" t="s">
        <v>621</v>
      </c>
      <c r="I195" s="13">
        <v>0</v>
      </c>
      <c r="J195" s="13">
        <v>0</v>
      </c>
      <c r="K195" s="13">
        <v>0</v>
      </c>
    </row>
    <row r="196" spans="1:11">
      <c r="A196" s="15" t="e">
        <f>VLOOKUP(E196,Table1[[#All],[Campo]],1,0)</f>
        <v>#N/A</v>
      </c>
      <c r="B196" s="13" t="s">
        <v>1768</v>
      </c>
      <c r="C196" s="13" t="s">
        <v>1769</v>
      </c>
      <c r="D196" s="13" t="s">
        <v>1628</v>
      </c>
      <c r="E196" s="13" t="s">
        <v>1470</v>
      </c>
      <c r="F196" s="13" t="s">
        <v>1629</v>
      </c>
      <c r="G196" s="13" t="s">
        <v>1630</v>
      </c>
      <c r="H196" s="13" t="s">
        <v>621</v>
      </c>
      <c r="I196" s="13">
        <v>0</v>
      </c>
      <c r="J196" s="13">
        <v>0</v>
      </c>
      <c r="K196" s="13">
        <v>0</v>
      </c>
    </row>
    <row r="197" spans="1:11">
      <c r="A197" s="15" t="e">
        <f>VLOOKUP(E197,Table1[[#All],[Campo]],1,0)</f>
        <v>#N/A</v>
      </c>
      <c r="B197" s="13" t="s">
        <v>1770</v>
      </c>
      <c r="C197" s="13" t="s">
        <v>1771</v>
      </c>
      <c r="D197" s="13" t="s">
        <v>1628</v>
      </c>
      <c r="E197" s="13" t="s">
        <v>1473</v>
      </c>
      <c r="F197" s="13" t="s">
        <v>1629</v>
      </c>
      <c r="G197" s="13" t="s">
        <v>1630</v>
      </c>
      <c r="H197" s="13" t="s">
        <v>621</v>
      </c>
      <c r="I197" s="13">
        <v>0</v>
      </c>
      <c r="J197" s="13">
        <v>0</v>
      </c>
      <c r="K197" s="13">
        <v>0</v>
      </c>
    </row>
    <row r="198" spans="1:11">
      <c r="A198" s="15" t="e">
        <f>VLOOKUP(E198,Table1[[#All],[Campo]],1,0)</f>
        <v>#N/A</v>
      </c>
      <c r="B198" s="13" t="s">
        <v>1772</v>
      </c>
      <c r="C198" s="13" t="s">
        <v>1773</v>
      </c>
      <c r="D198" s="13" t="s">
        <v>1628</v>
      </c>
      <c r="E198" s="13" t="s">
        <v>1473</v>
      </c>
      <c r="F198" s="13" t="s">
        <v>1629</v>
      </c>
      <c r="G198" s="13" t="s">
        <v>1630</v>
      </c>
      <c r="H198" s="13" t="s">
        <v>621</v>
      </c>
      <c r="I198" s="13">
        <v>0</v>
      </c>
      <c r="J198" s="13">
        <v>0</v>
      </c>
      <c r="K198" s="13">
        <v>0</v>
      </c>
    </row>
    <row r="199" spans="1:11">
      <c r="A199" s="15" t="e">
        <f>VLOOKUP(E199,Table1[[#All],[Campo]],1,0)</f>
        <v>#N/A</v>
      </c>
      <c r="B199" s="13" t="s">
        <v>1774</v>
      </c>
      <c r="C199" s="13" t="s">
        <v>1775</v>
      </c>
      <c r="D199" s="13" t="s">
        <v>1628</v>
      </c>
      <c r="E199" s="13" t="s">
        <v>1476</v>
      </c>
      <c r="F199" s="13" t="s">
        <v>1629</v>
      </c>
      <c r="G199" s="13" t="s">
        <v>1630</v>
      </c>
      <c r="H199" s="13" t="s">
        <v>621</v>
      </c>
      <c r="I199" s="13">
        <v>0</v>
      </c>
      <c r="J199" s="13">
        <v>0</v>
      </c>
      <c r="K199" s="13">
        <v>0</v>
      </c>
    </row>
    <row r="200" spans="1:11">
      <c r="A200" s="15" t="e">
        <f>VLOOKUP(E200,Table1[[#All],[Campo]],1,0)</f>
        <v>#N/A</v>
      </c>
      <c r="B200" s="13" t="s">
        <v>1776</v>
      </c>
      <c r="C200" s="13" t="s">
        <v>1777</v>
      </c>
      <c r="D200" s="13" t="s">
        <v>1628</v>
      </c>
      <c r="E200" s="13" t="s">
        <v>1476</v>
      </c>
      <c r="F200" s="13" t="s">
        <v>1629</v>
      </c>
      <c r="G200" s="13" t="s">
        <v>1630</v>
      </c>
      <c r="H200" s="13" t="s">
        <v>621</v>
      </c>
      <c r="I200" s="13">
        <v>0</v>
      </c>
      <c r="J200" s="13">
        <v>0</v>
      </c>
      <c r="K200" s="13">
        <v>0</v>
      </c>
    </row>
    <row r="201" spans="1:11">
      <c r="A201" s="15" t="e">
        <f>VLOOKUP(E201,Table1[[#All],[Campo]],1,0)</f>
        <v>#N/A</v>
      </c>
      <c r="B201" s="13" t="s">
        <v>1778</v>
      </c>
      <c r="C201" s="13" t="s">
        <v>1779</v>
      </c>
      <c r="D201" s="13" t="s">
        <v>1628</v>
      </c>
      <c r="E201" s="13" t="s">
        <v>1476</v>
      </c>
      <c r="F201" s="13" t="s">
        <v>1629</v>
      </c>
      <c r="G201" s="13" t="s">
        <v>1630</v>
      </c>
      <c r="H201" s="13" t="s">
        <v>621</v>
      </c>
      <c r="I201" s="13">
        <v>0</v>
      </c>
      <c r="J201" s="13">
        <v>0</v>
      </c>
      <c r="K201" s="13">
        <v>0</v>
      </c>
    </row>
    <row r="202" spans="1:11">
      <c r="A202" s="15" t="e">
        <f>VLOOKUP(E202,Table1[[#All],[Campo]],1,0)</f>
        <v>#N/A</v>
      </c>
      <c r="B202" s="13" t="s">
        <v>1780</v>
      </c>
      <c r="C202" s="13" t="s">
        <v>1781</v>
      </c>
      <c r="D202" s="13" t="s">
        <v>1628</v>
      </c>
      <c r="E202" s="13" t="s">
        <v>1479</v>
      </c>
      <c r="F202" s="13" t="s">
        <v>1629</v>
      </c>
      <c r="G202" s="13" t="s">
        <v>1630</v>
      </c>
      <c r="H202" s="13" t="s">
        <v>621</v>
      </c>
      <c r="I202" s="13">
        <v>0</v>
      </c>
      <c r="J202" s="13">
        <v>0</v>
      </c>
      <c r="K202" s="13">
        <v>0</v>
      </c>
    </row>
    <row r="203" spans="1:11">
      <c r="A203" s="15" t="e">
        <f>VLOOKUP(E203,Table1[[#All],[Campo]],1,0)</f>
        <v>#N/A</v>
      </c>
      <c r="B203" s="13" t="s">
        <v>1782</v>
      </c>
      <c r="C203" s="13" t="s">
        <v>1783</v>
      </c>
      <c r="D203" s="13" t="s">
        <v>1628</v>
      </c>
      <c r="E203" s="13" t="s">
        <v>1482</v>
      </c>
      <c r="F203" s="13" t="s">
        <v>1629</v>
      </c>
      <c r="G203" s="13" t="s">
        <v>1630</v>
      </c>
      <c r="H203" s="13" t="s">
        <v>621</v>
      </c>
      <c r="I203" s="13">
        <v>0</v>
      </c>
      <c r="J203" s="13">
        <v>0</v>
      </c>
      <c r="K203" s="13">
        <v>0</v>
      </c>
    </row>
    <row r="204" spans="1:11">
      <c r="A204" s="15" t="s">
        <v>1483</v>
      </c>
      <c r="B204" s="13" t="s">
        <v>1784</v>
      </c>
      <c r="C204" s="13" t="s">
        <v>1785</v>
      </c>
      <c r="D204" s="13" t="s">
        <v>1628</v>
      </c>
      <c r="E204" s="13" t="s">
        <v>1486</v>
      </c>
      <c r="F204" s="13" t="s">
        <v>1629</v>
      </c>
      <c r="G204" s="13" t="s">
        <v>1630</v>
      </c>
      <c r="H204" s="13" t="s">
        <v>621</v>
      </c>
      <c r="I204" s="13">
        <v>0</v>
      </c>
      <c r="J204" s="13">
        <v>0</v>
      </c>
      <c r="K204" s="13">
        <v>0</v>
      </c>
    </row>
    <row r="205" spans="1:11">
      <c r="A205" s="15" t="s">
        <v>1483</v>
      </c>
      <c r="B205" s="13" t="s">
        <v>1786</v>
      </c>
      <c r="C205" s="13" t="s">
        <v>1787</v>
      </c>
      <c r="D205" s="13" t="s">
        <v>1628</v>
      </c>
      <c r="E205" s="13" t="s">
        <v>1486</v>
      </c>
      <c r="F205" s="13" t="s">
        <v>1629</v>
      </c>
      <c r="G205" s="13" t="s">
        <v>1630</v>
      </c>
      <c r="H205" s="13" t="s">
        <v>621</v>
      </c>
      <c r="I205" s="13">
        <v>0</v>
      </c>
      <c r="J205" s="13">
        <v>0</v>
      </c>
      <c r="K205" s="13">
        <v>0</v>
      </c>
    </row>
    <row r="206" spans="1:11">
      <c r="A206" s="15" t="s">
        <v>1483</v>
      </c>
      <c r="B206" s="13" t="s">
        <v>1788</v>
      </c>
      <c r="C206" s="13" t="s">
        <v>1789</v>
      </c>
      <c r="D206" s="13" t="s">
        <v>1628</v>
      </c>
      <c r="E206" s="13" t="s">
        <v>1486</v>
      </c>
      <c r="F206" s="13" t="s">
        <v>1629</v>
      </c>
      <c r="G206" s="13" t="s">
        <v>1630</v>
      </c>
      <c r="H206" s="13" t="s">
        <v>621</v>
      </c>
      <c r="I206" s="13">
        <v>0</v>
      </c>
      <c r="J206" s="13">
        <v>0</v>
      </c>
      <c r="K206" s="13">
        <v>0</v>
      </c>
    </row>
    <row r="207" spans="1:11">
      <c r="A207" s="15" t="s">
        <v>1487</v>
      </c>
      <c r="B207" s="13" t="s">
        <v>1790</v>
      </c>
      <c r="C207" s="13" t="s">
        <v>1791</v>
      </c>
      <c r="D207" s="13" t="s">
        <v>1628</v>
      </c>
      <c r="E207" s="13" t="s">
        <v>1490</v>
      </c>
      <c r="F207" s="13" t="s">
        <v>1629</v>
      </c>
      <c r="G207" s="13" t="s">
        <v>1630</v>
      </c>
      <c r="H207" s="13" t="s">
        <v>621</v>
      </c>
      <c r="I207" s="13">
        <v>0</v>
      </c>
      <c r="J207" s="13">
        <v>0</v>
      </c>
      <c r="K207" s="13">
        <v>0</v>
      </c>
    </row>
    <row r="208" spans="1:11">
      <c r="A208" s="15" t="s">
        <v>1487</v>
      </c>
      <c r="B208" s="13" t="s">
        <v>1792</v>
      </c>
      <c r="C208" s="13" t="s">
        <v>1793</v>
      </c>
      <c r="D208" s="13" t="s">
        <v>1628</v>
      </c>
      <c r="E208" s="13" t="s">
        <v>1490</v>
      </c>
      <c r="F208" s="13" t="s">
        <v>1629</v>
      </c>
      <c r="G208" s="13" t="s">
        <v>1630</v>
      </c>
      <c r="H208" s="13" t="s">
        <v>621</v>
      </c>
      <c r="I208" s="13">
        <v>0</v>
      </c>
      <c r="J208" s="13">
        <v>0</v>
      </c>
      <c r="K208" s="13">
        <v>0</v>
      </c>
    </row>
    <row r="209" spans="1:11">
      <c r="A209" s="15" t="s">
        <v>1487</v>
      </c>
      <c r="B209" s="13" t="s">
        <v>1794</v>
      </c>
      <c r="C209" s="13" t="s">
        <v>1795</v>
      </c>
      <c r="D209" s="13" t="s">
        <v>1628</v>
      </c>
      <c r="E209" s="13" t="s">
        <v>1490</v>
      </c>
      <c r="F209" s="13" t="s">
        <v>1629</v>
      </c>
      <c r="G209" s="13" t="s">
        <v>1630</v>
      </c>
      <c r="H209" s="13" t="s">
        <v>621</v>
      </c>
      <c r="I209" s="13">
        <v>0</v>
      </c>
      <c r="J209" s="13">
        <v>0</v>
      </c>
      <c r="K209" s="13">
        <v>0</v>
      </c>
    </row>
    <row r="210" spans="1:11">
      <c r="A210" s="15" t="e">
        <f>VLOOKUP(E210,Table1[[#All],[Campo]],1,0)</f>
        <v>#N/A</v>
      </c>
      <c r="B210" s="13" t="s">
        <v>1796</v>
      </c>
      <c r="C210" s="13" t="s">
        <v>1797</v>
      </c>
      <c r="D210" s="13" t="s">
        <v>1628</v>
      </c>
      <c r="E210" s="13" t="s">
        <v>1496</v>
      </c>
      <c r="F210" s="13" t="s">
        <v>1629</v>
      </c>
      <c r="G210" s="13" t="s">
        <v>1630</v>
      </c>
      <c r="H210" s="13" t="s">
        <v>621</v>
      </c>
      <c r="I210" s="13">
        <v>0</v>
      </c>
      <c r="J210" s="13">
        <v>0</v>
      </c>
      <c r="K210" s="13">
        <v>0</v>
      </c>
    </row>
    <row r="211" spans="1:11">
      <c r="A211" s="15" t="e">
        <f>VLOOKUP(E211,Table1[[#All],[Campo]],1,0)</f>
        <v>#N/A</v>
      </c>
      <c r="B211" s="13" t="s">
        <v>1798</v>
      </c>
      <c r="C211" s="13" t="s">
        <v>1799</v>
      </c>
      <c r="D211" s="13" t="s">
        <v>1628</v>
      </c>
      <c r="E211" s="13" t="s">
        <v>1496</v>
      </c>
      <c r="F211" s="13" t="s">
        <v>1629</v>
      </c>
      <c r="G211" s="13" t="s">
        <v>1630</v>
      </c>
      <c r="H211" s="13" t="s">
        <v>621</v>
      </c>
      <c r="I211" s="13">
        <v>0</v>
      </c>
      <c r="J211" s="13">
        <v>0</v>
      </c>
      <c r="K211" s="13">
        <v>0</v>
      </c>
    </row>
    <row r="212" spans="1:11">
      <c r="A212" s="15" t="e">
        <f>VLOOKUP(E212,Table1[[#All],[Campo]],1,0)</f>
        <v>#N/A</v>
      </c>
      <c r="B212" s="13" t="s">
        <v>1800</v>
      </c>
      <c r="C212" s="13" t="s">
        <v>1801</v>
      </c>
      <c r="D212" s="13" t="s">
        <v>1628</v>
      </c>
      <c r="E212" s="13" t="s">
        <v>1499</v>
      </c>
      <c r="F212" s="13" t="s">
        <v>1629</v>
      </c>
      <c r="G212" s="13" t="s">
        <v>1630</v>
      </c>
      <c r="H212" s="13" t="s">
        <v>621</v>
      </c>
      <c r="I212" s="13">
        <v>0</v>
      </c>
      <c r="J212" s="13">
        <v>0</v>
      </c>
      <c r="K212" s="13">
        <v>0</v>
      </c>
    </row>
    <row r="213" spans="1:11">
      <c r="A213" s="15" t="str">
        <f>VLOOKUP(E213,Table1[[#All],[Campo]],1,0)</f>
        <v>cod_soc</v>
      </c>
      <c r="B213" s="13" t="s">
        <v>1802</v>
      </c>
      <c r="C213" s="13" t="s">
        <v>1803</v>
      </c>
      <c r="D213" s="13" t="s">
        <v>1374</v>
      </c>
      <c r="E213" s="13" t="s">
        <v>1298</v>
      </c>
      <c r="F213" s="13" t="s">
        <v>1804</v>
      </c>
      <c r="G213" s="13" t="s">
        <v>1805</v>
      </c>
      <c r="H213" s="13" t="s">
        <v>621</v>
      </c>
      <c r="I213" s="13">
        <v>1096295</v>
      </c>
      <c r="J213" s="13">
        <v>0</v>
      </c>
      <c r="K213" s="13">
        <v>0</v>
      </c>
    </row>
    <row r="214" spans="1:11">
      <c r="A214" s="15" t="str">
        <f>VLOOKUP(E214,Table1[[#All],[Campo]],1,0)</f>
        <v>dt_rfrnc</v>
      </c>
      <c r="B214" s="13" t="s">
        <v>1806</v>
      </c>
      <c r="C214" s="13" t="s">
        <v>1807</v>
      </c>
      <c r="D214" s="13" t="s">
        <v>1374</v>
      </c>
      <c r="E214" s="13" t="s">
        <v>1303</v>
      </c>
      <c r="F214" s="13" t="s">
        <v>1804</v>
      </c>
      <c r="G214" s="13" t="s">
        <v>1805</v>
      </c>
      <c r="H214" s="13" t="s">
        <v>621</v>
      </c>
      <c r="I214" s="13">
        <v>1096295</v>
      </c>
      <c r="J214" s="13">
        <v>0</v>
      </c>
      <c r="K214" s="13">
        <v>0</v>
      </c>
    </row>
    <row r="215" spans="1:11">
      <c r="A215" s="15" t="str">
        <f>VLOOKUP(E215,Table1[[#All],[Campo]],1,0)</f>
        <v>cod_soc</v>
      </c>
      <c r="B215" s="13" t="s">
        <v>1808</v>
      </c>
      <c r="C215" s="13" t="s">
        <v>1809</v>
      </c>
      <c r="D215" s="13" t="s">
        <v>1381</v>
      </c>
      <c r="E215" s="13" t="s">
        <v>1298</v>
      </c>
      <c r="F215" s="13" t="s">
        <v>1804</v>
      </c>
      <c r="G215" s="13" t="s">
        <v>1810</v>
      </c>
      <c r="H215" s="13" t="s">
        <v>621</v>
      </c>
      <c r="I215" s="13">
        <v>2490665</v>
      </c>
      <c r="J215" s="13">
        <v>0</v>
      </c>
      <c r="K215" s="13">
        <v>0</v>
      </c>
    </row>
    <row r="216" spans="1:11">
      <c r="A216" s="15" t="str">
        <f>VLOOKUP(E216,Table1[[#All],[Campo]],1,0)</f>
        <v>dt_rfrnc</v>
      </c>
      <c r="B216" s="13" t="s">
        <v>1811</v>
      </c>
      <c r="C216" s="13" t="s">
        <v>1812</v>
      </c>
      <c r="D216" s="13" t="s">
        <v>1381</v>
      </c>
      <c r="E216" s="13" t="s">
        <v>1303</v>
      </c>
      <c r="F216" s="13" t="s">
        <v>1804</v>
      </c>
      <c r="G216" s="13" t="s">
        <v>1810</v>
      </c>
      <c r="H216" s="13" t="s">
        <v>621</v>
      </c>
      <c r="I216" s="13">
        <v>2490665</v>
      </c>
      <c r="J216" s="13">
        <v>0</v>
      </c>
      <c r="K216" s="13">
        <v>0</v>
      </c>
    </row>
    <row r="217" spans="1:11">
      <c r="A217" s="15" t="str">
        <f>VLOOKUP(E217,Table1[[#All],[Campo]],1,0)</f>
        <v>cod_soc</v>
      </c>
      <c r="B217" s="13" t="s">
        <v>1813</v>
      </c>
      <c r="C217" s="13" t="s">
        <v>1814</v>
      </c>
      <c r="D217" s="13" t="s">
        <v>1320</v>
      </c>
      <c r="E217" s="13" t="s">
        <v>1298</v>
      </c>
      <c r="F217" s="13" t="s">
        <v>1804</v>
      </c>
      <c r="G217" s="13" t="s">
        <v>1815</v>
      </c>
      <c r="H217" s="13" t="s">
        <v>621</v>
      </c>
      <c r="I217" s="13">
        <v>2003033</v>
      </c>
      <c r="J217" s="13">
        <v>0</v>
      </c>
      <c r="K217" s="13">
        <v>0</v>
      </c>
    </row>
    <row r="218" spans="1:11">
      <c r="A218" s="15" t="str">
        <f>VLOOKUP(E218,Table1[[#All],[Campo]],1,0)</f>
        <v>dt_rfrnc</v>
      </c>
      <c r="B218" s="13" t="s">
        <v>1816</v>
      </c>
      <c r="C218" s="13" t="s">
        <v>1817</v>
      </c>
      <c r="D218" s="13" t="s">
        <v>1320</v>
      </c>
      <c r="E218" s="13" t="s">
        <v>1303</v>
      </c>
      <c r="F218" s="13" t="s">
        <v>1804</v>
      </c>
      <c r="G218" s="13" t="s">
        <v>1815</v>
      </c>
      <c r="H218" s="13" t="s">
        <v>621</v>
      </c>
      <c r="I218" s="13">
        <v>2003033</v>
      </c>
      <c r="J218" s="13">
        <v>0</v>
      </c>
      <c r="K218" s="13">
        <v>0</v>
      </c>
    </row>
    <row r="219" spans="1:11">
      <c r="A219" s="15" t="str">
        <f>VLOOKUP(E219,Table1[[#All],[Campo]],1,0)</f>
        <v>cod_soc</v>
      </c>
      <c r="B219" s="13" t="s">
        <v>1818</v>
      </c>
      <c r="C219" s="13" t="s">
        <v>1819</v>
      </c>
      <c r="D219" s="13" t="s">
        <v>1371</v>
      </c>
      <c r="E219" s="13" t="s">
        <v>1298</v>
      </c>
      <c r="F219" s="13" t="s">
        <v>1804</v>
      </c>
      <c r="G219" s="13" t="s">
        <v>1820</v>
      </c>
      <c r="H219" s="13" t="s">
        <v>621</v>
      </c>
      <c r="I219" s="13">
        <v>731165</v>
      </c>
      <c r="J219" s="13">
        <v>0</v>
      </c>
      <c r="K219" s="13">
        <v>0</v>
      </c>
    </row>
    <row r="220" spans="1:11">
      <c r="A220" s="15" t="str">
        <f>VLOOKUP(E220,Table1[[#All],[Campo]],1,0)</f>
        <v>dt_rfrnc</v>
      </c>
      <c r="B220" s="13" t="s">
        <v>1821</v>
      </c>
      <c r="C220" s="13" t="s">
        <v>1822</v>
      </c>
      <c r="D220" s="13" t="s">
        <v>1371</v>
      </c>
      <c r="E220" s="13" t="s">
        <v>1303</v>
      </c>
      <c r="F220" s="13" t="s">
        <v>1804</v>
      </c>
      <c r="G220" s="13" t="s">
        <v>1820</v>
      </c>
      <c r="H220" s="13" t="s">
        <v>621</v>
      </c>
      <c r="I220" s="13">
        <v>731165</v>
      </c>
      <c r="J220" s="13">
        <v>0</v>
      </c>
      <c r="K220" s="13">
        <v>0</v>
      </c>
    </row>
    <row r="221" spans="1:11">
      <c r="A221" s="15" t="str">
        <f>VLOOKUP(E221,Table1[[#All],[Campo]],1,0)</f>
        <v>cod_soc</v>
      </c>
      <c r="B221" s="13" t="s">
        <v>1823</v>
      </c>
      <c r="C221" s="13" t="s">
        <v>1824</v>
      </c>
      <c r="D221" s="13" t="s">
        <v>1536</v>
      </c>
      <c r="E221" s="13" t="s">
        <v>1298</v>
      </c>
      <c r="F221" s="13" t="s">
        <v>1804</v>
      </c>
      <c r="G221" s="13" t="s">
        <v>1825</v>
      </c>
      <c r="H221" s="13" t="s">
        <v>621</v>
      </c>
      <c r="I221" s="13">
        <v>456960</v>
      </c>
      <c r="J221" s="13">
        <v>0</v>
      </c>
      <c r="K221" s="13">
        <v>0</v>
      </c>
    </row>
    <row r="222" spans="1:11">
      <c r="A222" s="15" t="str">
        <f>VLOOKUP(E222,Table1[[#All],[Campo]],1,0)</f>
        <v>dt_rfrnc</v>
      </c>
      <c r="B222" s="13" t="s">
        <v>1826</v>
      </c>
      <c r="C222" s="13" t="s">
        <v>1827</v>
      </c>
      <c r="D222" s="13" t="s">
        <v>1536</v>
      </c>
      <c r="E222" s="13" t="s">
        <v>1303</v>
      </c>
      <c r="F222" s="13" t="s">
        <v>1804</v>
      </c>
      <c r="G222" s="13" t="s">
        <v>1825</v>
      </c>
      <c r="H222" s="13" t="s">
        <v>621</v>
      </c>
      <c r="I222" s="13">
        <v>456960</v>
      </c>
      <c r="J222" s="13">
        <v>0</v>
      </c>
      <c r="K222" s="13">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P10" zoomScale="70" zoomScaleNormal="70" workbookViewId="0">
      <selection activeCell="E21" sqref="E21"/>
    </sheetView>
  </sheetViews>
  <sheetFormatPr defaultColWidth="0" defaultRowHeight="13.8" outlineLevelRow="1" outlineLevelCol="1"/>
  <cols>
    <col min="1" max="1" width="2.59765625" customWidth="1"/>
    <col min="2" max="2" width="9.59765625" customWidth="1"/>
    <col min="3" max="3" width="19.59765625" customWidth="1"/>
    <col min="4" max="4" width="14.796875" hidden="1" customWidth="1"/>
    <col min="5" max="5" width="39.59765625" customWidth="1"/>
    <col min="6" max="6" width="23.09765625" bestFit="1" customWidth="1"/>
    <col min="7" max="7" width="11.296875" customWidth="1"/>
    <col min="8" max="8" width="30.59765625" customWidth="1"/>
    <col min="9" max="9" width="27.59765625" hidden="1" customWidth="1"/>
    <col min="10" max="11" width="21" hidden="1" customWidth="1"/>
    <col min="12" max="12" width="21" style="172" hidden="1" customWidth="1"/>
    <col min="13" max="13" width="19" style="172" hidden="1" customWidth="1"/>
    <col min="14" max="14" width="19" style="172" customWidth="1"/>
    <col min="15" max="17" width="17.796875" style="240" customWidth="1"/>
    <col min="18" max="18" width="52.59765625" style="253" customWidth="1"/>
    <col min="19" max="19" width="6.296875" hidden="1" customWidth="1"/>
    <col min="20" max="22" width="8.59765625" hidden="1" customWidth="1"/>
    <col min="23" max="38" width="5.59765625" customWidth="1"/>
    <col min="39" max="39" width="9.765625E-2" customWidth="1"/>
    <col min="40" max="40" width="5.59765625" customWidth="1"/>
    <col min="41" max="44" width="5.59765625" hidden="1" customWidth="1" outlineLevel="1"/>
    <col min="45" max="45" width="5.59765625" customWidth="1" collapsed="1"/>
    <col min="46" max="49" width="5.59765625" hidden="1" customWidth="1" outlineLevel="1"/>
    <col min="50" max="50" width="5.59765625" customWidth="1" collapsed="1"/>
    <col min="51" max="54" width="5.59765625" hidden="1" customWidth="1" outlineLevel="1"/>
    <col min="55" max="55" width="5.59765625" customWidth="1" collapsed="1"/>
    <col min="56" max="59" width="5.59765625" hidden="1" customWidth="1" outlineLevel="1"/>
    <col min="60" max="60" width="5.59765625" customWidth="1" collapsed="1"/>
    <col min="61" max="64" width="5.59765625" hidden="1" customWidth="1" outlineLevel="1"/>
    <col min="65" max="65" width="5.59765625" customWidth="1" collapsed="1"/>
    <col min="66" max="66" width="5.59765625" customWidth="1"/>
    <col min="67" max="69" width="5.59765625" hidden="1" customWidth="1" outlineLevel="1"/>
    <col min="70" max="70" width="5.59765625" customWidth="1" collapsed="1"/>
    <col min="71" max="74" width="5.59765625" hidden="1" customWidth="1" outlineLevel="1"/>
    <col min="75" max="75" width="5.59765625" customWidth="1" collapsed="1"/>
    <col min="76" max="79" width="5.59765625" hidden="1" customWidth="1" outlineLevel="1"/>
    <col min="80" max="80" width="5.59765625" customWidth="1" collapsed="1"/>
    <col min="81" max="84" width="5.59765625" hidden="1" customWidth="1" outlineLevel="1"/>
    <col min="85" max="85" width="5.59765625" customWidth="1" collapsed="1"/>
    <col min="86" max="86" width="5.59765625" hidden="1" customWidth="1" outlineLevel="1"/>
    <col min="87" max="87" width="5.59765625" customWidth="1" collapsed="1"/>
    <col min="88" max="88" width="8.59765625" customWidth="1"/>
    <col min="89" max="93" width="0" hidden="1" customWidth="1"/>
    <col min="94" max="16384" width="8.59765625" hidden="1"/>
  </cols>
  <sheetData>
    <row r="1" spans="1:87" ht="16.350000000000001" customHeight="1">
      <c r="O1"/>
      <c r="P1"/>
      <c r="Q1"/>
      <c r="R1" s="247"/>
    </row>
    <row r="2" spans="1:87">
      <c r="A2" s="6"/>
      <c r="B2" s="6"/>
      <c r="C2" s="6"/>
      <c r="D2" s="6"/>
      <c r="E2" s="6"/>
      <c r="F2" s="6"/>
      <c r="G2" s="6"/>
      <c r="H2" s="6"/>
      <c r="I2" s="6"/>
      <c r="J2" s="6"/>
      <c r="K2" s="6"/>
      <c r="L2" s="235"/>
      <c r="M2" s="235"/>
      <c r="N2" s="235"/>
      <c r="O2" s="6"/>
      <c r="P2" s="6"/>
      <c r="Q2" s="6"/>
      <c r="R2" s="248"/>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c r="A3" s="9"/>
      <c r="B3" s="9"/>
      <c r="C3" s="9"/>
      <c r="D3" s="9"/>
      <c r="E3" s="9"/>
      <c r="F3" s="9"/>
      <c r="G3" s="9"/>
      <c r="H3" s="8"/>
      <c r="I3" s="8"/>
      <c r="J3" s="8"/>
      <c r="K3" s="8"/>
      <c r="L3" s="236"/>
      <c r="M3" s="236"/>
      <c r="N3" s="236"/>
      <c r="O3" s="8"/>
      <c r="P3" s="8"/>
      <c r="Q3" s="8"/>
      <c r="R3" s="249"/>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c r="A4" s="6"/>
      <c r="B4" s="6"/>
      <c r="C4" s="6"/>
      <c r="D4" s="6"/>
      <c r="E4" s="6"/>
      <c r="F4" s="6"/>
      <c r="G4" s="6"/>
      <c r="H4" s="6"/>
      <c r="I4" s="6"/>
      <c r="J4" s="6"/>
      <c r="K4" s="6"/>
      <c r="L4" s="235"/>
      <c r="M4" s="235"/>
      <c r="N4" s="235"/>
      <c r="O4" s="6"/>
      <c r="P4" s="6"/>
      <c r="Q4" s="6"/>
      <c r="R4" s="248"/>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c r="A5" s="5"/>
      <c r="B5" s="5"/>
      <c r="C5" s="5"/>
      <c r="D5" s="5"/>
      <c r="E5" s="5"/>
      <c r="F5" s="5"/>
      <c r="G5" s="5"/>
      <c r="H5" s="5"/>
      <c r="I5" s="5"/>
      <c r="J5" s="5"/>
      <c r="K5" s="5"/>
      <c r="L5" s="237"/>
      <c r="M5" s="237"/>
      <c r="N5" s="237"/>
      <c r="O5" s="5"/>
      <c r="P5" s="5"/>
      <c r="Q5" s="5"/>
      <c r="R5" s="250"/>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47"/>
      <c r="X6" t="s">
        <v>1918</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47"/>
      <c r="Y7" s="243">
        <f t="shared" ref="Y7:AD7" si="2">SUM(Y17:Y258)</f>
        <v>0</v>
      </c>
      <c r="Z7" s="243">
        <f t="shared" si="2"/>
        <v>0.5</v>
      </c>
      <c r="AA7" s="243">
        <f t="shared" si="2"/>
        <v>0</v>
      </c>
      <c r="AB7" s="243">
        <f t="shared" si="2"/>
        <v>0</v>
      </c>
      <c r="AC7" s="243">
        <f t="shared" si="2"/>
        <v>0</v>
      </c>
      <c r="AD7" s="243">
        <f t="shared" si="2"/>
        <v>0</v>
      </c>
      <c r="AE7" s="243"/>
      <c r="AF7" s="243"/>
      <c r="AG7" s="243"/>
      <c r="AH7" s="243"/>
      <c r="AI7" s="243"/>
      <c r="AJ7" s="243"/>
      <c r="AK7" s="243"/>
      <c r="AL7" s="243"/>
      <c r="AM7" s="243"/>
      <c r="AN7" s="243"/>
      <c r="AO7" s="243"/>
      <c r="AP7" s="243"/>
      <c r="AQ7" s="243"/>
      <c r="AR7" s="243"/>
      <c r="AS7" s="243"/>
      <c r="AT7" s="243"/>
      <c r="AU7" s="243"/>
      <c r="AV7" s="243"/>
      <c r="AW7" s="243"/>
      <c r="AX7" s="243"/>
      <c r="AY7" s="243">
        <f t="shared" ref="AY7:CI7" si="3">SUM(AY17:AY258)</f>
        <v>3</v>
      </c>
      <c r="AZ7" s="243">
        <f t="shared" si="3"/>
        <v>3.0000000000000004</v>
      </c>
      <c r="BA7" s="243">
        <f t="shared" si="3"/>
        <v>3</v>
      </c>
      <c r="BB7" s="243">
        <f t="shared" si="3"/>
        <v>2</v>
      </c>
      <c r="BC7" s="243">
        <f t="shared" si="3"/>
        <v>2.6</v>
      </c>
      <c r="BD7" s="243">
        <f t="shared" si="3"/>
        <v>1</v>
      </c>
      <c r="BE7" s="243">
        <f t="shared" si="3"/>
        <v>1.5</v>
      </c>
      <c r="BF7" s="243">
        <f t="shared" si="3"/>
        <v>2</v>
      </c>
      <c r="BG7" s="243">
        <f t="shared" si="3"/>
        <v>2.5</v>
      </c>
      <c r="BH7" s="243">
        <f t="shared" si="3"/>
        <v>6.1</v>
      </c>
      <c r="BI7" s="243">
        <f t="shared" si="3"/>
        <v>3</v>
      </c>
      <c r="BJ7" s="243">
        <f t="shared" si="3"/>
        <v>3</v>
      </c>
      <c r="BK7" s="243">
        <f t="shared" si="3"/>
        <v>3</v>
      </c>
      <c r="BL7" s="243">
        <f t="shared" si="3"/>
        <v>4</v>
      </c>
      <c r="BM7" s="243">
        <f t="shared" si="3"/>
        <v>3.0000000000000009</v>
      </c>
      <c r="BN7" s="243">
        <f t="shared" si="3"/>
        <v>3</v>
      </c>
      <c r="BO7" s="243">
        <f t="shared" si="3"/>
        <v>0</v>
      </c>
      <c r="BP7" s="243">
        <f t="shared" si="3"/>
        <v>0</v>
      </c>
      <c r="BQ7" s="243">
        <f t="shared" si="3"/>
        <v>0</v>
      </c>
      <c r="BR7" s="243">
        <f t="shared" si="3"/>
        <v>0</v>
      </c>
      <c r="BS7" s="243">
        <f t="shared" si="3"/>
        <v>0</v>
      </c>
      <c r="BT7" s="243">
        <f t="shared" si="3"/>
        <v>0</v>
      </c>
      <c r="BU7" s="243">
        <f t="shared" si="3"/>
        <v>0</v>
      </c>
      <c r="BV7" s="243">
        <f t="shared" si="3"/>
        <v>0.2</v>
      </c>
      <c r="BW7" s="243">
        <f t="shared" si="3"/>
        <v>0</v>
      </c>
      <c r="BX7" s="243">
        <f t="shared" si="3"/>
        <v>3</v>
      </c>
      <c r="BY7" s="243">
        <f t="shared" si="3"/>
        <v>3</v>
      </c>
      <c r="BZ7" s="243">
        <f t="shared" si="3"/>
        <v>2</v>
      </c>
      <c r="CA7" s="243">
        <f t="shared" si="3"/>
        <v>1</v>
      </c>
      <c r="CB7" s="243">
        <f t="shared" si="3"/>
        <v>0.5</v>
      </c>
      <c r="CC7" s="243">
        <f t="shared" si="3"/>
        <v>0</v>
      </c>
      <c r="CD7" s="243">
        <f t="shared" si="3"/>
        <v>1</v>
      </c>
      <c r="CE7" s="243">
        <f t="shared" si="3"/>
        <v>1</v>
      </c>
      <c r="CF7" s="243">
        <f t="shared" si="3"/>
        <v>0</v>
      </c>
      <c r="CG7" s="243">
        <f t="shared" si="3"/>
        <v>1</v>
      </c>
      <c r="CH7" s="243">
        <f t="shared" si="3"/>
        <v>1</v>
      </c>
      <c r="CI7" s="243">
        <f t="shared" si="3"/>
        <v>0</v>
      </c>
    </row>
    <row r="8" spans="1:87" hidden="1">
      <c r="O8"/>
      <c r="P8"/>
      <c r="Q8"/>
      <c r="R8" s="247"/>
      <c r="Y8" s="243">
        <v>2</v>
      </c>
      <c r="Z8" s="243">
        <v>3</v>
      </c>
      <c r="AA8" s="243">
        <v>3</v>
      </c>
      <c r="AB8" s="243">
        <v>3</v>
      </c>
      <c r="AC8" s="243">
        <v>2</v>
      </c>
      <c r="AD8" s="243"/>
      <c r="AE8" s="243"/>
      <c r="AF8" s="243"/>
      <c r="AG8" s="243"/>
      <c r="AH8" s="243"/>
      <c r="AI8" s="243"/>
      <c r="AJ8" s="243"/>
      <c r="AK8" s="243"/>
      <c r="AL8" s="243"/>
      <c r="AM8" s="243"/>
      <c r="AN8" s="243"/>
      <c r="AO8" s="243"/>
      <c r="AP8" s="243"/>
      <c r="AQ8" s="243"/>
      <c r="AR8" s="243"/>
      <c r="AS8" s="243"/>
      <c r="AT8" s="243"/>
      <c r="AU8" s="243"/>
      <c r="AV8" s="243"/>
      <c r="AW8" s="243"/>
      <c r="AX8" s="243"/>
      <c r="AY8" s="243">
        <v>3</v>
      </c>
      <c r="AZ8" s="243">
        <v>3</v>
      </c>
      <c r="BA8" s="243">
        <v>3</v>
      </c>
      <c r="BB8" s="243">
        <v>3</v>
      </c>
      <c r="BC8" s="243">
        <v>3</v>
      </c>
      <c r="BD8" s="243">
        <v>3</v>
      </c>
      <c r="BE8" s="243">
        <v>3</v>
      </c>
      <c r="BF8" s="243">
        <v>3</v>
      </c>
      <c r="BG8" s="243">
        <v>3</v>
      </c>
      <c r="BH8" s="243">
        <v>3</v>
      </c>
      <c r="BI8" s="243">
        <v>3</v>
      </c>
      <c r="BJ8" s="243">
        <v>3</v>
      </c>
      <c r="BK8" s="243">
        <v>3</v>
      </c>
      <c r="BL8" s="243">
        <v>3</v>
      </c>
      <c r="BM8" s="243">
        <v>3</v>
      </c>
      <c r="BN8" s="243">
        <v>3</v>
      </c>
      <c r="BO8" s="243">
        <v>3</v>
      </c>
      <c r="BP8" s="243">
        <v>3</v>
      </c>
      <c r="BQ8" s="243">
        <v>3</v>
      </c>
      <c r="BR8" s="243">
        <v>3</v>
      </c>
      <c r="BS8" s="243">
        <v>3</v>
      </c>
      <c r="BT8" s="243">
        <v>3</v>
      </c>
      <c r="BU8" s="243">
        <v>3</v>
      </c>
      <c r="BV8" s="243">
        <v>3</v>
      </c>
      <c r="BW8" s="243">
        <v>3</v>
      </c>
      <c r="BX8" s="243">
        <v>3</v>
      </c>
      <c r="BY8" s="243">
        <v>3</v>
      </c>
      <c r="BZ8" s="243">
        <v>3</v>
      </c>
      <c r="CA8" s="243">
        <v>3</v>
      </c>
      <c r="CB8" s="243">
        <v>3</v>
      </c>
      <c r="CC8" s="243">
        <v>3</v>
      </c>
      <c r="CD8" s="243">
        <v>3</v>
      </c>
      <c r="CE8" s="243">
        <v>3</v>
      </c>
      <c r="CF8" s="243">
        <v>3</v>
      </c>
      <c r="CG8" s="243">
        <v>3</v>
      </c>
      <c r="CH8" s="243">
        <v>3</v>
      </c>
      <c r="CI8" s="243">
        <v>3</v>
      </c>
    </row>
    <row r="9" spans="1:87" hidden="1">
      <c r="O9"/>
      <c r="P9"/>
      <c r="Q9"/>
      <c r="R9" s="247"/>
    </row>
    <row r="10" spans="1:87">
      <c r="O10"/>
      <c r="P10"/>
      <c r="Q10"/>
      <c r="R10" s="247"/>
    </row>
    <row r="11" spans="1:87">
      <c r="A11" s="254"/>
      <c r="B11" s="255"/>
      <c r="C11" s="254" t="s">
        <v>572</v>
      </c>
      <c r="D11" s="254"/>
      <c r="E11" s="254"/>
      <c r="F11" s="254"/>
      <c r="G11" s="254"/>
      <c r="H11" s="254"/>
      <c r="I11" s="254"/>
      <c r="J11" s="254"/>
      <c r="K11" s="254"/>
      <c r="L11" s="256"/>
      <c r="M11" s="256"/>
      <c r="N11" s="256"/>
      <c r="O11" s="254"/>
      <c r="P11" s="254"/>
      <c r="Q11" s="254"/>
      <c r="R11" s="257"/>
      <c r="S11" s="254"/>
      <c r="T11" s="254"/>
      <c r="U11" s="254"/>
      <c r="V11" s="254"/>
      <c r="W11" s="254"/>
      <c r="X11" s="254"/>
      <c r="Y11" s="254"/>
      <c r="Z11" s="254"/>
      <c r="AA11" s="254"/>
      <c r="AB11" s="254"/>
      <c r="AC11" s="254"/>
      <c r="AD11" s="254"/>
      <c r="AE11" s="254"/>
      <c r="AF11" s="254"/>
      <c r="AG11" s="254"/>
      <c r="AH11" s="254"/>
      <c r="AI11" s="254"/>
      <c r="AJ11" s="254"/>
      <c r="AK11" s="254"/>
      <c r="AL11" s="254"/>
      <c r="AM11" s="254"/>
      <c r="AN11" s="254"/>
      <c r="AO11" s="254"/>
      <c r="AP11" s="254"/>
      <c r="AQ11" s="254"/>
      <c r="AR11" s="254"/>
      <c r="AS11" s="254"/>
      <c r="AT11" s="254"/>
      <c r="AU11" s="254"/>
      <c r="AV11" s="254"/>
      <c r="AW11" s="254"/>
      <c r="AX11" s="254"/>
      <c r="AY11" s="254"/>
      <c r="AZ11" s="254"/>
      <c r="BA11" s="254"/>
      <c r="BB11" s="254"/>
      <c r="BC11" s="254"/>
      <c r="BD11" s="254"/>
      <c r="BE11" s="254"/>
      <c r="BF11" s="254"/>
      <c r="BG11" s="254"/>
      <c r="BH11" s="254"/>
      <c r="BI11" s="254"/>
      <c r="BJ11" s="254"/>
      <c r="BK11" s="254"/>
      <c r="BL11" s="254"/>
      <c r="BM11" s="254"/>
      <c r="BN11" s="254"/>
      <c r="BO11" s="254"/>
      <c r="BP11" s="254"/>
      <c r="BQ11" s="254"/>
      <c r="BR11" s="254"/>
      <c r="BS11" s="254"/>
      <c r="BT11" s="254"/>
      <c r="BU11" s="254"/>
      <c r="BV11" s="254"/>
      <c r="BW11" s="254"/>
      <c r="BX11" s="254"/>
      <c r="BY11" s="254"/>
      <c r="BZ11" s="254"/>
      <c r="CA11" s="254"/>
      <c r="CB11" s="254"/>
      <c r="CC11" s="254"/>
      <c r="CD11" s="254"/>
      <c r="CE11" s="254"/>
      <c r="CF11" s="254"/>
      <c r="CG11" s="254"/>
      <c r="CH11" s="254"/>
      <c r="CI11" s="254"/>
    </row>
    <row r="12" spans="1:87">
      <c r="A12" s="254"/>
      <c r="B12" s="258"/>
      <c r="C12" s="254" t="s">
        <v>1855</v>
      </c>
      <c r="D12" s="254"/>
      <c r="E12" s="254"/>
      <c r="F12" s="254"/>
      <c r="G12" s="254"/>
      <c r="H12" s="254"/>
      <c r="I12" s="254"/>
      <c r="J12" s="256"/>
      <c r="K12" s="254"/>
      <c r="L12" s="256"/>
      <c r="M12" s="256"/>
      <c r="N12" s="256"/>
      <c r="O12" s="254"/>
      <c r="P12" s="254"/>
      <c r="Q12" s="254"/>
      <c r="R12" s="257"/>
      <c r="S12" s="254"/>
      <c r="T12" s="254"/>
      <c r="U12" s="254"/>
      <c r="V12" s="254"/>
      <c r="W12" s="254"/>
      <c r="X12" s="254"/>
      <c r="Y12" s="254"/>
      <c r="Z12" s="254"/>
      <c r="AA12" s="254"/>
      <c r="AB12" s="254"/>
      <c r="AC12" s="254"/>
      <c r="AD12" s="254"/>
      <c r="AE12" s="254"/>
      <c r="AF12" s="254"/>
      <c r="AG12" s="254"/>
      <c r="AH12" s="254"/>
      <c r="AI12" s="254"/>
      <c r="AJ12" s="254"/>
      <c r="AK12" s="254"/>
      <c r="AL12" s="254"/>
      <c r="AM12" s="254"/>
      <c r="AN12" s="254"/>
      <c r="AO12" s="254"/>
      <c r="AP12" s="254"/>
      <c r="AQ12" s="254"/>
      <c r="AR12" s="254"/>
      <c r="AS12" s="254"/>
      <c r="AT12" s="254"/>
      <c r="AU12" s="254"/>
      <c r="AV12" s="254"/>
      <c r="AW12" s="254"/>
      <c r="AX12" s="254"/>
      <c r="AY12" s="254"/>
      <c r="AZ12" s="254"/>
      <c r="BA12" s="254"/>
      <c r="BB12" s="254"/>
      <c r="BC12" s="254"/>
      <c r="BD12" s="254"/>
      <c r="BE12" s="254"/>
      <c r="BF12" s="254"/>
      <c r="BG12" s="254"/>
      <c r="BH12" s="254"/>
      <c r="BI12" s="254"/>
      <c r="BJ12" s="254"/>
      <c r="BK12" s="254"/>
      <c r="BL12" s="254"/>
      <c r="BM12" s="254"/>
      <c r="BN12" s="254"/>
      <c r="BO12" s="254"/>
      <c r="BP12" s="254"/>
      <c r="BQ12" s="254"/>
      <c r="BR12" s="254"/>
      <c r="BS12" s="254"/>
      <c r="BT12" s="254"/>
      <c r="BU12" s="254"/>
      <c r="BV12" s="254"/>
      <c r="BW12" s="254"/>
      <c r="BX12" s="254"/>
      <c r="BY12" s="254"/>
      <c r="BZ12" s="254"/>
      <c r="CA12" s="254"/>
      <c r="CB12" s="254"/>
      <c r="CC12" s="254"/>
      <c r="CD12" s="254"/>
      <c r="CE12" s="254"/>
      <c r="CF12" s="254"/>
      <c r="CG12" s="254"/>
      <c r="CH12" s="254"/>
      <c r="CI12" s="254"/>
    </row>
    <row r="13" spans="1:87">
      <c r="A13" s="254"/>
      <c r="B13" s="259"/>
      <c r="C13" s="254" t="s">
        <v>1856</v>
      </c>
      <c r="D13" s="254"/>
      <c r="E13" s="254"/>
      <c r="F13" s="254"/>
      <c r="G13" s="254"/>
      <c r="H13" s="254"/>
      <c r="I13" s="254"/>
      <c r="J13" s="254"/>
      <c r="K13" s="254"/>
      <c r="L13" s="256"/>
      <c r="M13" s="256"/>
      <c r="N13" s="256"/>
      <c r="O13" s="254"/>
      <c r="P13" s="254"/>
      <c r="Q13" s="254"/>
      <c r="R13" s="257"/>
      <c r="S13" s="254"/>
      <c r="T13" s="254"/>
      <c r="U13" s="254"/>
      <c r="V13" s="254"/>
      <c r="W13" s="254"/>
      <c r="X13" s="254"/>
      <c r="Y13" s="260"/>
      <c r="Z13" s="260"/>
      <c r="AA13" s="260"/>
      <c r="AB13" s="260"/>
      <c r="AC13" s="260"/>
      <c r="AD13" s="260"/>
      <c r="AE13" s="260"/>
      <c r="AF13" s="260"/>
      <c r="AG13" s="260"/>
      <c r="AH13" s="260"/>
      <c r="AI13" s="260"/>
      <c r="AJ13" s="260"/>
      <c r="AK13" s="260"/>
      <c r="AL13" s="260"/>
      <c r="AM13" s="260"/>
      <c r="AN13" s="260"/>
      <c r="AO13" s="260"/>
      <c r="AP13" s="260"/>
      <c r="AQ13" s="260"/>
      <c r="AR13" s="260"/>
      <c r="AS13" s="260"/>
      <c r="AT13" s="260"/>
      <c r="AU13" s="260"/>
      <c r="AV13" s="260"/>
      <c r="AW13" s="260"/>
      <c r="AX13" s="260"/>
      <c r="AY13" s="260"/>
      <c r="AZ13" s="260"/>
      <c r="BA13" s="260"/>
      <c r="BB13" s="260"/>
      <c r="BC13" s="260"/>
      <c r="BD13" s="260"/>
      <c r="BE13" s="260"/>
      <c r="BF13" s="260"/>
      <c r="BG13" s="260"/>
      <c r="BH13" s="260"/>
      <c r="BI13" s="260"/>
      <c r="BJ13" s="260"/>
      <c r="BK13" s="260"/>
      <c r="BL13" s="260"/>
      <c r="BM13" s="260"/>
      <c r="BN13" s="260"/>
      <c r="BO13" s="260"/>
      <c r="BP13" s="260"/>
      <c r="BQ13" s="260"/>
      <c r="BR13" s="260"/>
      <c r="BS13" s="260"/>
      <c r="BT13" s="260"/>
      <c r="BU13" s="260"/>
      <c r="BV13" s="260"/>
      <c r="BW13" s="260"/>
      <c r="BX13" s="260"/>
      <c r="BY13" s="260"/>
      <c r="BZ13" s="260"/>
      <c r="CA13" s="260"/>
      <c r="CB13" s="260"/>
      <c r="CC13" s="260"/>
      <c r="CD13" s="260"/>
      <c r="CE13" s="260"/>
      <c r="CF13" s="260"/>
      <c r="CG13" s="260"/>
      <c r="CH13" s="260"/>
      <c r="CI13" s="260"/>
    </row>
    <row r="14" spans="1:87" ht="17.399999999999999">
      <c r="A14" s="254"/>
      <c r="B14" s="261"/>
      <c r="C14" s="254" t="s">
        <v>573</v>
      </c>
      <c r="D14" s="254"/>
      <c r="E14" s="254"/>
      <c r="F14" s="254"/>
      <c r="G14" s="254"/>
      <c r="H14" s="254"/>
      <c r="I14" s="254"/>
      <c r="J14" s="254"/>
      <c r="K14" s="254"/>
      <c r="L14" s="256"/>
      <c r="M14" s="256"/>
      <c r="N14" s="256"/>
      <c r="O14" s="254"/>
      <c r="P14" s="254"/>
      <c r="Q14" s="254"/>
      <c r="R14" s="257"/>
      <c r="S14" s="254"/>
      <c r="T14" s="254"/>
      <c r="U14" s="254"/>
      <c r="V14" s="254"/>
      <c r="W14" s="262" t="s">
        <v>5</v>
      </c>
      <c r="X14" s="262"/>
      <c r="Y14" s="262"/>
      <c r="Z14" s="262"/>
      <c r="AA14" s="262"/>
      <c r="AB14" s="262"/>
      <c r="AC14" s="262"/>
      <c r="AD14" s="262" t="s">
        <v>6</v>
      </c>
      <c r="AE14" s="262"/>
      <c r="AF14" s="262"/>
      <c r="AG14" s="262"/>
      <c r="AH14" s="262"/>
      <c r="AI14" s="262"/>
      <c r="AJ14" s="262"/>
      <c r="AK14" s="262"/>
      <c r="AL14" s="262"/>
      <c r="AM14" s="262"/>
      <c r="AN14" s="262" t="s">
        <v>6</v>
      </c>
      <c r="AO14" s="262"/>
      <c r="AP14" s="262"/>
      <c r="AQ14" s="262"/>
      <c r="AR14" s="262"/>
      <c r="AS14" s="262"/>
      <c r="AT14" s="262"/>
      <c r="AU14" s="262"/>
      <c r="AV14" s="262"/>
      <c r="AW14" s="262"/>
      <c r="AX14" s="262"/>
      <c r="AY14" s="262" t="s">
        <v>7</v>
      </c>
      <c r="AZ14" s="262"/>
      <c r="BA14" s="262"/>
      <c r="BB14" s="262"/>
      <c r="BC14" s="262" t="s">
        <v>7</v>
      </c>
      <c r="BD14" s="262"/>
      <c r="BE14" s="262"/>
      <c r="BF14" s="262"/>
      <c r="BG14" s="262"/>
      <c r="BH14" s="262"/>
      <c r="BI14" s="262"/>
      <c r="BJ14" s="262"/>
      <c r="BK14" s="262"/>
      <c r="BL14" s="262"/>
      <c r="BM14" s="262"/>
      <c r="BN14" s="262"/>
      <c r="BO14" s="262"/>
      <c r="BP14" s="262"/>
      <c r="BQ14" s="262"/>
      <c r="BR14" s="262"/>
      <c r="BS14" s="262"/>
      <c r="BT14" s="262"/>
      <c r="BU14" s="262" t="s">
        <v>445</v>
      </c>
      <c r="BV14" s="262"/>
      <c r="BW14" s="262" t="s">
        <v>445</v>
      </c>
      <c r="BX14" s="262"/>
      <c r="BY14" s="262"/>
      <c r="BZ14" s="262"/>
      <c r="CA14" s="262"/>
      <c r="CB14" s="262"/>
      <c r="CC14" s="262"/>
      <c r="CD14" s="262"/>
      <c r="CE14" s="262"/>
      <c r="CF14" s="262"/>
      <c r="CG14" s="262"/>
      <c r="CH14" s="262"/>
      <c r="CI14" s="262"/>
    </row>
    <row r="15" spans="1:87" ht="16.2">
      <c r="A15" s="254"/>
      <c r="B15" s="254"/>
      <c r="C15" s="254"/>
      <c r="D15" s="254"/>
      <c r="E15" s="254"/>
      <c r="F15" s="254"/>
      <c r="G15" s="254"/>
      <c r="H15" s="254"/>
      <c r="I15" s="256" t="s">
        <v>1931</v>
      </c>
      <c r="J15" s="256" t="s">
        <v>1931</v>
      </c>
      <c r="K15" s="256" t="s">
        <v>1931</v>
      </c>
      <c r="L15" s="256" t="s">
        <v>1931</v>
      </c>
      <c r="M15" s="256" t="s">
        <v>1931</v>
      </c>
      <c r="N15" s="256"/>
      <c r="O15" s="254"/>
      <c r="P15" s="254"/>
      <c r="Q15" s="254"/>
      <c r="R15" s="257"/>
      <c r="S15" s="254"/>
      <c r="T15" s="254"/>
      <c r="U15" s="254"/>
      <c r="V15" s="254"/>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4" customFormat="1" ht="17.399999999999999">
      <c r="A16" s="263"/>
      <c r="B16" s="205" t="s">
        <v>8</v>
      </c>
      <c r="C16" s="206" t="s">
        <v>9</v>
      </c>
      <c r="D16" s="206" t="s">
        <v>10</v>
      </c>
      <c r="E16" s="206" t="s">
        <v>11</v>
      </c>
      <c r="F16" s="206" t="s">
        <v>1888</v>
      </c>
      <c r="G16" s="206" t="s">
        <v>12</v>
      </c>
      <c r="H16" s="206" t="s">
        <v>636</v>
      </c>
      <c r="I16" s="308" t="s">
        <v>1857</v>
      </c>
      <c r="J16" s="308" t="s">
        <v>1933</v>
      </c>
      <c r="K16" s="207" t="s">
        <v>1934</v>
      </c>
      <c r="L16" s="308" t="s">
        <v>1916</v>
      </c>
      <c r="M16" s="308" t="s">
        <v>1917</v>
      </c>
      <c r="N16" s="308" t="s">
        <v>1932</v>
      </c>
      <c r="O16" s="206" t="s">
        <v>1914</v>
      </c>
      <c r="P16" s="206" t="s">
        <v>1915</v>
      </c>
      <c r="Q16" s="206" t="s">
        <v>1919</v>
      </c>
      <c r="R16" s="309" t="s">
        <v>22</v>
      </c>
      <c r="S16" s="209" t="s">
        <v>1161</v>
      </c>
      <c r="T16" s="209" t="s">
        <v>1858</v>
      </c>
      <c r="U16" s="209" t="s">
        <v>1859</v>
      </c>
      <c r="V16" s="208" t="s">
        <v>1860</v>
      </c>
      <c r="W16" s="310">
        <v>23</v>
      </c>
      <c r="X16" s="310">
        <v>45589</v>
      </c>
      <c r="Y16" s="310">
        <v>45590</v>
      </c>
      <c r="Z16" s="310">
        <v>45593</v>
      </c>
      <c r="AA16" s="310">
        <v>45594</v>
      </c>
      <c r="AB16" s="310">
        <v>45595</v>
      </c>
      <c r="AC16" s="310">
        <v>45596</v>
      </c>
      <c r="AD16" s="310">
        <v>45597</v>
      </c>
      <c r="AE16" s="310">
        <v>45600</v>
      </c>
      <c r="AF16" s="310">
        <v>45601</v>
      </c>
      <c r="AG16" s="310">
        <v>45602</v>
      </c>
      <c r="AH16" s="310">
        <v>45603</v>
      </c>
      <c r="AI16" s="310">
        <v>45604</v>
      </c>
      <c r="AJ16" s="310">
        <v>45607</v>
      </c>
      <c r="AK16" s="310">
        <v>45608</v>
      </c>
      <c r="AL16" s="310">
        <v>45609</v>
      </c>
      <c r="AM16" s="310">
        <v>45610</v>
      </c>
      <c r="AN16" s="310">
        <v>45611</v>
      </c>
      <c r="AO16" s="310">
        <v>45614</v>
      </c>
      <c r="AP16" s="310">
        <v>45615</v>
      </c>
      <c r="AQ16" s="310">
        <v>45616</v>
      </c>
      <c r="AR16" s="310">
        <v>45617</v>
      </c>
      <c r="AS16" s="310">
        <v>45618</v>
      </c>
      <c r="AT16" s="310">
        <v>45621</v>
      </c>
      <c r="AU16" s="310">
        <v>45622</v>
      </c>
      <c r="AV16" s="310">
        <v>45623</v>
      </c>
      <c r="AW16" s="310">
        <v>45624</v>
      </c>
      <c r="AX16" s="310">
        <v>45625</v>
      </c>
      <c r="AY16" s="310">
        <v>45628</v>
      </c>
      <c r="AZ16" s="310">
        <v>45629</v>
      </c>
      <c r="BA16" s="310">
        <v>45630</v>
      </c>
      <c r="BB16" s="310">
        <v>45631</v>
      </c>
      <c r="BC16" s="310">
        <v>45632</v>
      </c>
      <c r="BD16" s="310">
        <v>45635</v>
      </c>
      <c r="BE16" s="310">
        <v>45636</v>
      </c>
      <c r="BF16" s="310">
        <v>45637</v>
      </c>
      <c r="BG16" s="310">
        <v>45638</v>
      </c>
      <c r="BH16" s="310">
        <v>45639</v>
      </c>
      <c r="BI16" s="310">
        <v>45642</v>
      </c>
      <c r="BJ16" s="310">
        <v>45643</v>
      </c>
      <c r="BK16" s="310">
        <v>45644</v>
      </c>
      <c r="BL16" s="310">
        <v>45645</v>
      </c>
      <c r="BM16" s="310">
        <v>45646</v>
      </c>
      <c r="BN16" s="310">
        <v>45649</v>
      </c>
      <c r="BO16" s="310">
        <v>45650</v>
      </c>
      <c r="BP16" s="310">
        <v>45651</v>
      </c>
      <c r="BQ16" s="310">
        <v>45652</v>
      </c>
      <c r="BR16" s="310">
        <v>45653</v>
      </c>
      <c r="BS16" s="310">
        <v>45656</v>
      </c>
      <c r="BT16" s="310">
        <v>45657</v>
      </c>
      <c r="BU16" s="310">
        <f t="shared" ref="BU16:CI16" si="5">WORKDAY(BT16,1)</f>
        <v>45658</v>
      </c>
      <c r="BV16" s="310">
        <f t="shared" si="5"/>
        <v>45659</v>
      </c>
      <c r="BW16" s="310">
        <f t="shared" si="5"/>
        <v>45660</v>
      </c>
      <c r="BX16" s="310">
        <f t="shared" si="5"/>
        <v>45663</v>
      </c>
      <c r="BY16" s="310">
        <f t="shared" si="5"/>
        <v>45664</v>
      </c>
      <c r="BZ16" s="310">
        <f t="shared" si="5"/>
        <v>45665</v>
      </c>
      <c r="CA16" s="310">
        <f t="shared" si="5"/>
        <v>45666</v>
      </c>
      <c r="CB16" s="310">
        <f t="shared" si="5"/>
        <v>45667</v>
      </c>
      <c r="CC16" s="310">
        <f t="shared" si="5"/>
        <v>45670</v>
      </c>
      <c r="CD16" s="310">
        <f t="shared" si="5"/>
        <v>45671</v>
      </c>
      <c r="CE16" s="310">
        <f t="shared" si="5"/>
        <v>45672</v>
      </c>
      <c r="CF16" s="310">
        <f t="shared" si="5"/>
        <v>45673</v>
      </c>
      <c r="CG16" s="310">
        <f t="shared" si="5"/>
        <v>45674</v>
      </c>
      <c r="CH16" s="310">
        <f t="shared" si="5"/>
        <v>45677</v>
      </c>
      <c r="CI16" s="310">
        <f t="shared" si="5"/>
        <v>45678</v>
      </c>
    </row>
    <row r="17" spans="1:87" ht="15" customHeight="1">
      <c r="A17" s="264"/>
      <c r="B17" s="141" t="s">
        <v>26</v>
      </c>
      <c r="C17" s="137" t="s">
        <v>26</v>
      </c>
      <c r="D17" s="133"/>
      <c r="E17" s="232" t="s">
        <v>379</v>
      </c>
      <c r="F17" s="230" t="s">
        <v>1889</v>
      </c>
      <c r="G17" s="231">
        <f>COUNTA(G18)</f>
        <v>1</v>
      </c>
      <c r="H17" s="285" t="s">
        <v>1921</v>
      </c>
      <c r="I17" s="268">
        <f>MAX(I18)</f>
        <v>45583</v>
      </c>
      <c r="J17" s="267">
        <f>MIN(J18)</f>
        <v>45589</v>
      </c>
      <c r="K17" s="267">
        <f>MIN(K18)</f>
        <v>45589</v>
      </c>
      <c r="L17" s="267">
        <f>MIN(L18)</f>
        <v>45593</v>
      </c>
      <c r="M17" s="268">
        <f>MAX(M18)</f>
        <v>45593</v>
      </c>
      <c r="N17" s="312">
        <f t="array" ref="N17">MAX(IF(W17:CI17&gt;0,$W$16:$CI$16))</f>
        <v>45593</v>
      </c>
      <c r="O17" s="311">
        <f>O18</f>
        <v>1</v>
      </c>
      <c r="P17" s="311">
        <f ca="1">P18</f>
        <v>1</v>
      </c>
      <c r="Q17" s="238">
        <f t="shared" ref="Q17:Q43" ca="1" si="6">O17-P17</f>
        <v>0</v>
      </c>
      <c r="R17" s="252" t="s">
        <v>38</v>
      </c>
      <c r="S17" s="270"/>
      <c r="T17" s="260"/>
      <c r="U17" s="260"/>
      <c r="V17" s="260"/>
      <c r="W17" s="271"/>
      <c r="X17" s="278"/>
      <c r="Y17" s="271"/>
      <c r="Z17" s="274" t="s">
        <v>443</v>
      </c>
      <c r="AA17" s="271"/>
      <c r="AB17" s="271"/>
      <c r="AC17" s="271"/>
      <c r="AD17" s="272"/>
      <c r="AE17" s="271"/>
      <c r="AF17" s="271"/>
      <c r="AG17" s="271"/>
      <c r="AH17" s="271"/>
      <c r="AI17" s="271"/>
      <c r="AJ17" s="271"/>
      <c r="AK17" s="271"/>
      <c r="AL17" s="271"/>
      <c r="AM17" s="271"/>
      <c r="AN17" s="271"/>
      <c r="AO17" s="271"/>
      <c r="AP17" s="271"/>
      <c r="AQ17" s="271"/>
      <c r="AR17" s="271"/>
      <c r="AS17" s="271"/>
      <c r="AT17" s="271"/>
      <c r="AU17" s="271"/>
      <c r="AV17" s="271"/>
      <c r="AW17" s="271"/>
      <c r="AX17" s="271"/>
      <c r="AY17" s="271"/>
      <c r="AZ17" s="271"/>
      <c r="BA17" s="271"/>
      <c r="BB17" s="271"/>
      <c r="BC17" s="271"/>
      <c r="BD17" s="271"/>
      <c r="BE17" s="271"/>
      <c r="BF17" s="271"/>
      <c r="BG17" s="271"/>
      <c r="BH17" s="271"/>
      <c r="BI17" s="271"/>
      <c r="BJ17" s="271"/>
      <c r="BK17" s="271"/>
      <c r="BL17" s="271"/>
      <c r="BM17" s="271"/>
      <c r="BN17" s="271"/>
      <c r="BO17" s="272"/>
      <c r="BP17" s="272"/>
      <c r="BQ17" s="272"/>
      <c r="BR17" s="272"/>
      <c r="BS17" s="272"/>
      <c r="BT17" s="272"/>
      <c r="BU17" s="272"/>
      <c r="BV17" s="271"/>
      <c r="BW17" s="271"/>
      <c r="BX17" s="271"/>
      <c r="BY17" s="271"/>
      <c r="BZ17" s="271"/>
      <c r="CA17" s="271"/>
      <c r="CB17" s="271"/>
      <c r="CC17" s="271"/>
      <c r="CD17" s="271"/>
      <c r="CE17" s="271"/>
      <c r="CF17" s="271"/>
      <c r="CG17" s="271"/>
      <c r="CH17" s="271"/>
      <c r="CI17" s="271"/>
    </row>
    <row r="18" spans="1:87" ht="16.2" outlineLevel="1">
      <c r="A18" s="264" t="str">
        <f>E18&amp;G18</f>
        <v>lt002_instrumentlns_clltrlzd_clssfctn</v>
      </c>
      <c r="B18" s="141" t="s">
        <v>26</v>
      </c>
      <c r="C18" s="137" t="s">
        <v>26</v>
      </c>
      <c r="D18" s="226" t="s">
        <v>40</v>
      </c>
      <c r="E18" s="229" t="s">
        <v>379</v>
      </c>
      <c r="F18" s="229"/>
      <c r="G18" s="229" t="s">
        <v>384</v>
      </c>
      <c r="H18" s="226" t="str">
        <f>VLOOKUP(A18,'2. Status Detalhe Campos FY24'!$A$7:$G$732,7,0)</f>
        <v>1. Concluído</v>
      </c>
      <c r="I18" s="266">
        <v>45583</v>
      </c>
      <c r="J18" s="275">
        <v>45589</v>
      </c>
      <c r="K18" s="275">
        <v>45589</v>
      </c>
      <c r="L18" s="280">
        <f t="array" ref="L18">MIN(IF(W18:CI18&gt;0,$W$16:$CI$16))</f>
        <v>45593</v>
      </c>
      <c r="M18" s="281">
        <f t="array" ref="M18">MAX(IF(W18:CI18&gt;0,$W$16:$CI$16))</f>
        <v>45593</v>
      </c>
      <c r="N18" s="281"/>
      <c r="O18" s="239">
        <f>VLOOKUP(H18,Auxiliar!$B$16:$E$24,4,0)</f>
        <v>1</v>
      </c>
      <c r="P18" s="239">
        <f ca="1">IF(TODAY()&lt;=L18,0,MIN((TODAY()-L18)/(M18-L18+1),100%))</f>
        <v>1</v>
      </c>
      <c r="Q18" s="238">
        <f t="shared" ca="1" si="6"/>
        <v>0</v>
      </c>
      <c r="R18" s="252" t="s">
        <v>38</v>
      </c>
      <c r="S18" s="270"/>
      <c r="T18" s="260">
        <v>4.0999999999999996</v>
      </c>
      <c r="U18" s="260">
        <f>ROUND(T18/8,1)</f>
        <v>0.5</v>
      </c>
      <c r="V18" s="260">
        <f>SUM(W18:CI18)-U18</f>
        <v>0</v>
      </c>
      <c r="W18" s="271"/>
      <c r="X18" s="278"/>
      <c r="Y18" s="271"/>
      <c r="Z18" s="271">
        <v>0.5</v>
      </c>
      <c r="AA18" s="271"/>
      <c r="AB18" s="271"/>
      <c r="AC18" s="271"/>
      <c r="AD18" s="272"/>
      <c r="AE18" s="271"/>
      <c r="AF18" s="271"/>
      <c r="AG18" s="271"/>
      <c r="AH18" s="271"/>
      <c r="AI18" s="271"/>
      <c r="AJ18" s="271"/>
      <c r="AK18" s="271"/>
      <c r="AL18" s="271"/>
      <c r="AM18" s="271"/>
      <c r="AN18" s="271"/>
      <c r="AO18" s="271"/>
      <c r="AP18" s="271"/>
      <c r="AQ18" s="271"/>
      <c r="AR18" s="271"/>
      <c r="AS18" s="271"/>
      <c r="AT18" s="271"/>
      <c r="AU18" s="271"/>
      <c r="AV18" s="271"/>
      <c r="AW18" s="271"/>
      <c r="AX18" s="271"/>
      <c r="AY18" s="271"/>
      <c r="AZ18" s="271"/>
      <c r="BA18" s="271"/>
      <c r="BB18" s="271"/>
      <c r="BC18" s="271"/>
      <c r="BD18" s="271"/>
      <c r="BE18" s="271"/>
      <c r="BF18" s="271"/>
      <c r="BG18" s="271"/>
      <c r="BH18" s="271"/>
      <c r="BI18" s="271"/>
      <c r="BJ18" s="271"/>
      <c r="BK18" s="271"/>
      <c r="BL18" s="271"/>
      <c r="BM18" s="271"/>
      <c r="BN18" s="271"/>
      <c r="BO18" s="272"/>
      <c r="BP18" s="272"/>
      <c r="BQ18" s="272"/>
      <c r="BR18" s="272"/>
      <c r="BS18" s="272"/>
      <c r="BT18" s="272"/>
      <c r="BU18" s="272"/>
      <c r="BV18" s="271"/>
      <c r="BW18" s="271"/>
      <c r="BX18" s="271"/>
      <c r="BY18" s="271"/>
      <c r="BZ18" s="271"/>
      <c r="CA18" s="271"/>
      <c r="CB18" s="271"/>
      <c r="CC18" s="271"/>
      <c r="CD18" s="271"/>
      <c r="CE18" s="271"/>
      <c r="CF18" s="271"/>
      <c r="CG18" s="271"/>
      <c r="CH18" s="271"/>
      <c r="CI18" s="271"/>
    </row>
    <row r="19" spans="1:87" ht="15" customHeight="1">
      <c r="A19" s="264"/>
      <c r="B19" s="141" t="s">
        <v>26</v>
      </c>
      <c r="C19" s="137" t="s">
        <v>310</v>
      </c>
      <c r="D19" s="133"/>
      <c r="E19" s="230" t="s">
        <v>311</v>
      </c>
      <c r="F19" s="230" t="s">
        <v>1913</v>
      </c>
      <c r="G19" s="231">
        <f>COUNTA(G20:G27)</f>
        <v>8</v>
      </c>
      <c r="H19" s="285" t="s">
        <v>1921</v>
      </c>
      <c r="I19" s="266" t="s">
        <v>38</v>
      </c>
      <c r="J19" s="267">
        <f>MIN(J20:J27)</f>
        <v>45600</v>
      </c>
      <c r="K19" s="268">
        <f>MIN(K20:K27)</f>
        <v>45601</v>
      </c>
      <c r="L19" s="267">
        <f>MIN(L20:L27)</f>
        <v>45602</v>
      </c>
      <c r="M19" s="268">
        <f>MAX(M20:M27)</f>
        <v>45608</v>
      </c>
      <c r="N19" s="312">
        <f t="array" ref="N19">MAX(IF(W19:CI19&gt;0,$W$16:$CI$16))</f>
        <v>45611</v>
      </c>
      <c r="O19" s="311">
        <f>SUMPRODUCT(O20:O27,U20:U27)/SUM(U20:U27)</f>
        <v>1</v>
      </c>
      <c r="P19" s="311">
        <f ca="1">SUMPRODUCT(P20:P27,U20:U27)/SUM(U20:U27)</f>
        <v>1</v>
      </c>
      <c r="Q19" s="238">
        <f t="shared" ca="1" si="6"/>
        <v>0</v>
      </c>
      <c r="R19" s="252" t="s">
        <v>38</v>
      </c>
      <c r="S19" s="270"/>
      <c r="T19" s="260"/>
      <c r="U19" s="260"/>
      <c r="V19" s="260"/>
      <c r="W19" s="271"/>
      <c r="X19" s="271"/>
      <c r="Y19" s="271"/>
      <c r="Z19" s="271"/>
      <c r="AA19" s="271"/>
      <c r="AB19" s="271"/>
      <c r="AC19" s="271"/>
      <c r="AD19" s="272"/>
      <c r="AE19" s="273"/>
      <c r="AF19" s="278"/>
      <c r="AG19" s="271"/>
      <c r="AH19" s="271"/>
      <c r="AI19" s="271"/>
      <c r="AJ19" s="271"/>
      <c r="AK19" s="271"/>
      <c r="AL19" s="271"/>
      <c r="AM19" s="279"/>
      <c r="AN19" s="278" t="s">
        <v>443</v>
      </c>
      <c r="AO19" s="271"/>
      <c r="AP19" s="271"/>
      <c r="AQ19" s="271"/>
      <c r="AR19" s="271"/>
      <c r="AS19" s="271"/>
      <c r="AT19" s="271"/>
      <c r="AU19" s="271"/>
      <c r="AV19" s="271"/>
      <c r="AW19" s="271"/>
      <c r="AX19" s="271"/>
      <c r="AY19" s="271"/>
      <c r="AZ19" s="271"/>
      <c r="BA19" s="271"/>
      <c r="BB19" s="271"/>
      <c r="BC19" s="271"/>
      <c r="BD19" s="271"/>
      <c r="BE19" s="271"/>
      <c r="BF19" s="271"/>
      <c r="BG19" s="271"/>
      <c r="BH19" s="271"/>
      <c r="BI19" s="271"/>
      <c r="BJ19" s="271"/>
      <c r="BK19" s="271"/>
      <c r="BL19" s="271"/>
      <c r="BM19" s="271"/>
      <c r="BN19" s="271"/>
      <c r="BO19" s="272"/>
      <c r="BP19" s="272"/>
      <c r="BQ19" s="272"/>
      <c r="BR19" s="272"/>
      <c r="BS19" s="272"/>
      <c r="BT19" s="272"/>
      <c r="BU19" s="272"/>
      <c r="BV19" s="271"/>
      <c r="BW19" s="271"/>
      <c r="BX19" s="271"/>
      <c r="BY19" s="271"/>
      <c r="BZ19" s="271"/>
      <c r="CA19" s="271"/>
      <c r="CB19" s="271"/>
      <c r="CC19" s="271"/>
      <c r="CD19" s="271"/>
      <c r="CE19" s="271"/>
      <c r="CF19" s="271"/>
      <c r="CG19" s="271"/>
      <c r="CH19" s="271"/>
      <c r="CI19" s="271"/>
    </row>
    <row r="20" spans="1:87" ht="16.2" outlineLevel="1">
      <c r="A20" s="264" t="str">
        <f t="shared" ref="A20:A27" si="7">E20&amp;G20</f>
        <v>modesg_out_bens_imoveisorigem_scp1_emss</v>
      </c>
      <c r="B20" s="141" t="s">
        <v>26</v>
      </c>
      <c r="C20" s="137" t="s">
        <v>310</v>
      </c>
      <c r="D20" s="226" t="s">
        <v>40</v>
      </c>
      <c r="E20" s="227" t="s">
        <v>311</v>
      </c>
      <c r="F20" s="227"/>
      <c r="G20" s="226" t="s">
        <v>319</v>
      </c>
      <c r="H20" s="226" t="str">
        <f>VLOOKUP(A20,'2. Status Detalhe Campos FY24'!$A$7:$G$732,7,0)</f>
        <v>1. Concluído</v>
      </c>
      <c r="I20" s="266" t="s">
        <v>38</v>
      </c>
      <c r="J20" s="275">
        <v>45600</v>
      </c>
      <c r="K20" s="266">
        <v>45601</v>
      </c>
      <c r="L20" s="280">
        <f t="array" ref="L20">MIN(IF(W20:CI20&gt;0,$W$16:$CI$16))</f>
        <v>45602</v>
      </c>
      <c r="M20" s="281">
        <f t="array" ref="M20">MAX(IF(W20:CI20&gt;0,$W$16:$CI$16))</f>
        <v>45602</v>
      </c>
      <c r="N20" s="281"/>
      <c r="O20" s="239">
        <f>VLOOKUP(H20,Auxiliar!$B$16:$E$24,4,0)</f>
        <v>1</v>
      </c>
      <c r="P20" s="239">
        <f t="shared" ref="P20:P27" ca="1" si="8">IF(TODAY()&lt;=L20,0,MIN((TODAY()-L20)/(M20-L20+1),100%))</f>
        <v>1</v>
      </c>
      <c r="Q20" s="238">
        <f t="shared" ca="1" si="6"/>
        <v>0</v>
      </c>
      <c r="R20" s="251"/>
      <c r="S20" s="270" t="s">
        <v>1862</v>
      </c>
      <c r="T20" s="260">
        <v>4.0999999999999996</v>
      </c>
      <c r="U20" s="260">
        <f t="shared" ref="U20:U27" si="9">ROUND(T20/8,1)</f>
        <v>0.5</v>
      </c>
      <c r="V20" s="260">
        <f t="shared" ref="V20:V27" si="10">SUM(W20:CI20)-U20</f>
        <v>0</v>
      </c>
      <c r="W20" s="271"/>
      <c r="X20" s="271"/>
      <c r="Y20" s="271"/>
      <c r="Z20" s="271"/>
      <c r="AA20" s="271"/>
      <c r="AB20" s="271"/>
      <c r="AC20" s="271"/>
      <c r="AD20" s="272"/>
      <c r="AE20" s="273"/>
      <c r="AF20" s="278"/>
      <c r="AG20" s="271">
        <v>0.5</v>
      </c>
      <c r="AH20" s="271"/>
      <c r="AI20" s="271"/>
      <c r="AJ20" s="271"/>
      <c r="AK20" s="271"/>
      <c r="AL20" s="271"/>
      <c r="AM20" s="279"/>
      <c r="AN20" s="278"/>
      <c r="AO20" s="271"/>
      <c r="AP20" s="271"/>
      <c r="AQ20" s="271"/>
      <c r="AR20" s="271"/>
      <c r="AS20" s="271"/>
      <c r="AT20" s="271"/>
      <c r="AU20" s="271"/>
      <c r="AV20" s="271"/>
      <c r="AW20" s="271"/>
      <c r="AX20" s="271"/>
      <c r="AY20" s="271"/>
      <c r="AZ20" s="271"/>
      <c r="BA20" s="271"/>
      <c r="BB20" s="271"/>
      <c r="BC20" s="271"/>
      <c r="BD20" s="271"/>
      <c r="BE20" s="271"/>
      <c r="BF20" s="271"/>
      <c r="BG20" s="271"/>
      <c r="BH20" s="271"/>
      <c r="BI20" s="271"/>
      <c r="BJ20" s="271"/>
      <c r="BK20" s="271"/>
      <c r="BL20" s="271"/>
      <c r="BM20" s="271"/>
      <c r="BN20" s="271"/>
      <c r="BO20" s="272"/>
      <c r="BP20" s="272"/>
      <c r="BQ20" s="272"/>
      <c r="BR20" s="272"/>
      <c r="BS20" s="272"/>
      <c r="BT20" s="272"/>
      <c r="BU20" s="272"/>
      <c r="BV20" s="271"/>
      <c r="BW20" s="271"/>
      <c r="BX20" s="271"/>
      <c r="BY20" s="271"/>
      <c r="BZ20" s="271"/>
      <c r="CA20" s="271"/>
      <c r="CB20" s="271"/>
      <c r="CC20" s="271"/>
      <c r="CD20" s="271"/>
      <c r="CE20" s="271"/>
      <c r="CF20" s="271"/>
      <c r="CG20" s="271"/>
      <c r="CH20" s="271"/>
      <c r="CI20" s="271"/>
    </row>
    <row r="21" spans="1:87" ht="16.2" outlineLevel="1">
      <c r="A21" s="264" t="str">
        <f t="shared" si="7"/>
        <v>modesg_out_bens_imoveisorigem_scp2_emss</v>
      </c>
      <c r="B21" s="141" t="s">
        <v>26</v>
      </c>
      <c r="C21" s="137" t="s">
        <v>310</v>
      </c>
      <c r="D21" s="226" t="s">
        <v>40</v>
      </c>
      <c r="E21" s="227" t="s">
        <v>311</v>
      </c>
      <c r="F21" s="227"/>
      <c r="G21" s="226" t="s">
        <v>320</v>
      </c>
      <c r="H21" s="226" t="str">
        <f>VLOOKUP(A21,'2. Status Detalhe Campos FY24'!$A$7:$G$732,7,0)</f>
        <v>1. Concluído</v>
      </c>
      <c r="I21" s="266" t="s">
        <v>38</v>
      </c>
      <c r="J21" s="275">
        <v>45600</v>
      </c>
      <c r="K21" s="266">
        <v>45601</v>
      </c>
      <c r="L21" s="280">
        <f t="array" ref="L21">MIN(IF(W21:CI21&gt;0,$W$16:$CI$16))</f>
        <v>45602</v>
      </c>
      <c r="M21" s="281">
        <f t="array" ref="M21">MAX(IF(W21:CI21&gt;0,$W$16:$CI$16))</f>
        <v>45602</v>
      </c>
      <c r="N21" s="281"/>
      <c r="O21" s="239">
        <f>VLOOKUP(H21,Auxiliar!$B$16:$E$24,4,0)</f>
        <v>1</v>
      </c>
      <c r="P21" s="239">
        <f t="shared" ca="1" si="8"/>
        <v>1</v>
      </c>
      <c r="Q21" s="238">
        <f t="shared" ca="1" si="6"/>
        <v>0</v>
      </c>
      <c r="R21" s="251"/>
      <c r="S21" s="270" t="s">
        <v>1862</v>
      </c>
      <c r="T21" s="260">
        <v>4.0999999999999996</v>
      </c>
      <c r="U21" s="260">
        <f t="shared" si="9"/>
        <v>0.5</v>
      </c>
      <c r="V21" s="260">
        <f t="shared" si="10"/>
        <v>0</v>
      </c>
      <c r="W21" s="271"/>
      <c r="X21" s="271"/>
      <c r="Y21" s="271"/>
      <c r="Z21" s="271"/>
      <c r="AA21" s="271"/>
      <c r="AB21" s="271"/>
      <c r="AC21" s="271"/>
      <c r="AD21" s="272"/>
      <c r="AE21" s="273"/>
      <c r="AF21" s="278"/>
      <c r="AG21" s="271">
        <v>0.5</v>
      </c>
      <c r="AH21" s="271"/>
      <c r="AI21" s="271"/>
      <c r="AJ21" s="271"/>
      <c r="AK21" s="271"/>
      <c r="AL21" s="271"/>
      <c r="AM21" s="279"/>
      <c r="AN21" s="278"/>
      <c r="AO21" s="271"/>
      <c r="AP21" s="271"/>
      <c r="AQ21" s="271"/>
      <c r="AR21" s="271"/>
      <c r="AS21" s="271"/>
      <c r="AT21" s="271"/>
      <c r="AU21" s="271"/>
      <c r="AV21" s="271"/>
      <c r="AW21" s="271"/>
      <c r="AX21" s="271"/>
      <c r="AY21" s="271"/>
      <c r="AZ21" s="271"/>
      <c r="BA21" s="271"/>
      <c r="BB21" s="271"/>
      <c r="BC21" s="271"/>
      <c r="BD21" s="271"/>
      <c r="BE21" s="271"/>
      <c r="BF21" s="271"/>
      <c r="BG21" s="271"/>
      <c r="BH21" s="271"/>
      <c r="BI21" s="271"/>
      <c r="BJ21" s="271"/>
      <c r="BK21" s="271"/>
      <c r="BL21" s="271"/>
      <c r="BM21" s="271"/>
      <c r="BN21" s="271"/>
      <c r="BO21" s="272"/>
      <c r="BP21" s="272"/>
      <c r="BQ21" s="272"/>
      <c r="BR21" s="272"/>
      <c r="BS21" s="272"/>
      <c r="BT21" s="272"/>
      <c r="BU21" s="272"/>
      <c r="BV21" s="271"/>
      <c r="BW21" s="271"/>
      <c r="BX21" s="271"/>
      <c r="BY21" s="271"/>
      <c r="BZ21" s="271"/>
      <c r="CA21" s="271"/>
      <c r="CB21" s="271"/>
      <c r="CC21" s="271"/>
      <c r="CD21" s="271"/>
      <c r="CE21" s="271"/>
      <c r="CF21" s="271"/>
      <c r="CG21" s="271"/>
      <c r="CH21" s="271"/>
      <c r="CI21" s="271"/>
    </row>
    <row r="22" spans="1:87" ht="16.2" outlineLevel="1">
      <c r="A22" s="264" t="str">
        <f t="shared" si="7"/>
        <v>modesg_out_bens_imoveisorigem_scp3_emss</v>
      </c>
      <c r="B22" s="141" t="s">
        <v>26</v>
      </c>
      <c r="C22" s="137" t="s">
        <v>310</v>
      </c>
      <c r="D22" s="226" t="s">
        <v>40</v>
      </c>
      <c r="E22" s="227" t="s">
        <v>311</v>
      </c>
      <c r="F22" s="227"/>
      <c r="G22" s="226" t="s">
        <v>321</v>
      </c>
      <c r="H22" s="226" t="str">
        <f>VLOOKUP(A22,'2. Status Detalhe Campos FY24'!$A$7:$G$732,7,0)</f>
        <v>1. Concluído</v>
      </c>
      <c r="I22" s="266" t="s">
        <v>38</v>
      </c>
      <c r="J22" s="275">
        <v>45600</v>
      </c>
      <c r="K22" s="266">
        <v>45601</v>
      </c>
      <c r="L22" s="280">
        <f t="array" ref="L22">MIN(IF(W22:CI22&gt;0,$W$16:$CI$16))</f>
        <v>45603</v>
      </c>
      <c r="M22" s="281">
        <f t="array" ref="M22">MAX(IF(W22:CI22&gt;0,$W$16:$CI$16))</f>
        <v>45603</v>
      </c>
      <c r="N22" s="281"/>
      <c r="O22" s="239">
        <f>VLOOKUP(H22,Auxiliar!$B$16:$E$24,4,0)</f>
        <v>1</v>
      </c>
      <c r="P22" s="239">
        <f t="shared" ca="1" si="8"/>
        <v>1</v>
      </c>
      <c r="Q22" s="238">
        <f t="shared" ca="1" si="6"/>
        <v>0</v>
      </c>
      <c r="R22" s="251"/>
      <c r="S22" s="270" t="s">
        <v>1862</v>
      </c>
      <c r="T22" s="260">
        <v>4.0999999999999996</v>
      </c>
      <c r="U22" s="260">
        <f t="shared" si="9"/>
        <v>0.5</v>
      </c>
      <c r="V22" s="260">
        <f t="shared" si="10"/>
        <v>0</v>
      </c>
      <c r="W22" s="271"/>
      <c r="X22" s="271"/>
      <c r="Y22" s="271"/>
      <c r="Z22" s="271"/>
      <c r="AA22" s="271"/>
      <c r="AB22" s="271"/>
      <c r="AC22" s="271"/>
      <c r="AD22" s="272"/>
      <c r="AE22" s="273"/>
      <c r="AF22" s="278"/>
      <c r="AG22" s="271"/>
      <c r="AH22" s="271">
        <v>0.5</v>
      </c>
      <c r="AI22" s="271"/>
      <c r="AJ22" s="271"/>
      <c r="AK22" s="271"/>
      <c r="AL22" s="271"/>
      <c r="AM22" s="279"/>
      <c r="AN22" s="278"/>
      <c r="AO22" s="271"/>
      <c r="AP22" s="271"/>
      <c r="AQ22" s="271"/>
      <c r="AR22" s="271"/>
      <c r="AS22" s="271"/>
      <c r="AT22" s="271"/>
      <c r="AU22" s="271"/>
      <c r="AV22" s="271"/>
      <c r="AW22" s="271"/>
      <c r="AX22" s="271"/>
      <c r="AY22" s="271"/>
      <c r="AZ22" s="271"/>
      <c r="BA22" s="271"/>
      <c r="BB22" s="271"/>
      <c r="BC22" s="271"/>
      <c r="BD22" s="271"/>
      <c r="BE22" s="271"/>
      <c r="BF22" s="271"/>
      <c r="BG22" s="271"/>
      <c r="BH22" s="271"/>
      <c r="BI22" s="271"/>
      <c r="BJ22" s="271"/>
      <c r="BK22" s="271"/>
      <c r="BL22" s="271"/>
      <c r="BM22" s="271"/>
      <c r="BN22" s="271"/>
      <c r="BO22" s="272"/>
      <c r="BP22" s="272"/>
      <c r="BQ22" s="272"/>
      <c r="BR22" s="272"/>
      <c r="BS22" s="272"/>
      <c r="BT22" s="272"/>
      <c r="BU22" s="272"/>
      <c r="BV22" s="271"/>
      <c r="BW22" s="271"/>
      <c r="BX22" s="271"/>
      <c r="BY22" s="271"/>
      <c r="BZ22" s="271"/>
      <c r="CA22" s="271"/>
      <c r="CB22" s="271"/>
      <c r="CC22" s="271"/>
      <c r="CD22" s="271"/>
      <c r="CE22" s="271"/>
      <c r="CF22" s="271"/>
      <c r="CG22" s="271"/>
      <c r="CH22" s="271"/>
      <c r="CI22" s="271"/>
    </row>
    <row r="23" spans="1:87" ht="16.2" outlineLevel="1">
      <c r="A23" s="264" t="str">
        <f t="shared" si="7"/>
        <v>modesg_out_bens_imoveisscp1_emss</v>
      </c>
      <c r="B23" s="141" t="s">
        <v>26</v>
      </c>
      <c r="C23" s="137" t="s">
        <v>310</v>
      </c>
      <c r="D23" s="226" t="s">
        <v>40</v>
      </c>
      <c r="E23" s="227" t="s">
        <v>311</v>
      </c>
      <c r="F23" s="227"/>
      <c r="G23" s="226" t="s">
        <v>285</v>
      </c>
      <c r="H23" s="226" t="str">
        <f>VLOOKUP(A23,'2. Status Detalhe Campos FY24'!$A$7:$G$732,7,0)</f>
        <v>1. Concluído</v>
      </c>
      <c r="I23" s="266" t="s">
        <v>38</v>
      </c>
      <c r="J23" s="275">
        <v>45600</v>
      </c>
      <c r="K23" s="266">
        <v>45601</v>
      </c>
      <c r="L23" s="280">
        <f t="array" ref="L23">MIN(IF(W23:CI23&gt;0,$W$16:$CI$16))</f>
        <v>45603</v>
      </c>
      <c r="M23" s="281">
        <f t="array" ref="M23">MAX(IF(W23:CI23&gt;0,$W$16:$CI$16))</f>
        <v>45604</v>
      </c>
      <c r="N23" s="281"/>
      <c r="O23" s="239">
        <f>VLOOKUP(H23,Auxiliar!$B$16:$E$24,4,0)</f>
        <v>1</v>
      </c>
      <c r="P23" s="239">
        <f t="shared" ca="1" si="8"/>
        <v>1</v>
      </c>
      <c r="Q23" s="238">
        <f t="shared" ca="1" si="6"/>
        <v>0</v>
      </c>
      <c r="R23" s="251"/>
      <c r="S23" s="270" t="s">
        <v>1862</v>
      </c>
      <c r="T23" s="260">
        <v>8.1</v>
      </c>
      <c r="U23" s="260">
        <f t="shared" si="9"/>
        <v>1</v>
      </c>
      <c r="V23" s="260">
        <f t="shared" si="10"/>
        <v>0</v>
      </c>
      <c r="W23" s="271"/>
      <c r="X23" s="271"/>
      <c r="Y23" s="271"/>
      <c r="Z23" s="271"/>
      <c r="AA23" s="271"/>
      <c r="AB23" s="271"/>
      <c r="AC23" s="271"/>
      <c r="AD23" s="272"/>
      <c r="AE23" s="273"/>
      <c r="AF23" s="278"/>
      <c r="AG23" s="271"/>
      <c r="AH23" s="271">
        <v>0.5</v>
      </c>
      <c r="AI23" s="271">
        <v>0.5</v>
      </c>
      <c r="AJ23" s="271"/>
      <c r="AK23" s="271"/>
      <c r="AL23" s="271"/>
      <c r="AM23" s="279"/>
      <c r="AN23" s="278"/>
      <c r="AO23" s="271"/>
      <c r="AP23" s="271"/>
      <c r="AQ23" s="271"/>
      <c r="AR23" s="271"/>
      <c r="AS23" s="271"/>
      <c r="AT23" s="271"/>
      <c r="AU23" s="271"/>
      <c r="AV23" s="271"/>
      <c r="AW23" s="271"/>
      <c r="AX23" s="271"/>
      <c r="AY23" s="271"/>
      <c r="AZ23" s="271"/>
      <c r="BA23" s="271"/>
      <c r="BB23" s="271"/>
      <c r="BC23" s="271"/>
      <c r="BD23" s="271"/>
      <c r="BE23" s="271"/>
      <c r="BF23" s="271"/>
      <c r="BG23" s="271"/>
      <c r="BH23" s="271"/>
      <c r="BI23" s="271"/>
      <c r="BJ23" s="271"/>
      <c r="BK23" s="271"/>
      <c r="BL23" s="271"/>
      <c r="BM23" s="271"/>
      <c r="BN23" s="271"/>
      <c r="BO23" s="272"/>
      <c r="BP23" s="272"/>
      <c r="BQ23" s="272"/>
      <c r="BR23" s="272"/>
      <c r="BS23" s="272"/>
      <c r="BT23" s="272"/>
      <c r="BU23" s="272"/>
      <c r="BV23" s="271"/>
      <c r="BW23" s="271"/>
      <c r="BX23" s="271"/>
      <c r="BY23" s="271"/>
      <c r="BZ23" s="271"/>
      <c r="CA23" s="271"/>
      <c r="CB23" s="271"/>
      <c r="CC23" s="271"/>
      <c r="CD23" s="271"/>
      <c r="CE23" s="271"/>
      <c r="CF23" s="271"/>
      <c r="CG23" s="271"/>
      <c r="CH23" s="271"/>
      <c r="CI23" s="271"/>
    </row>
    <row r="24" spans="1:87" ht="16.2" outlineLevel="1">
      <c r="A24" s="264" t="str">
        <f t="shared" si="7"/>
        <v>modesg_out_bens_imoveisscp2_emss</v>
      </c>
      <c r="B24" s="141" t="s">
        <v>26</v>
      </c>
      <c r="C24" s="137" t="s">
        <v>310</v>
      </c>
      <c r="D24" s="226" t="s">
        <v>40</v>
      </c>
      <c r="E24" s="227" t="s">
        <v>311</v>
      </c>
      <c r="F24" s="227"/>
      <c r="G24" s="226" t="s">
        <v>286</v>
      </c>
      <c r="H24" s="226" t="str">
        <f>VLOOKUP(A24,'2. Status Detalhe Campos FY24'!$A$7:$G$732,7,0)</f>
        <v>1. Concluído</v>
      </c>
      <c r="I24" s="266" t="s">
        <v>38</v>
      </c>
      <c r="J24" s="275">
        <v>45600</v>
      </c>
      <c r="K24" s="266">
        <v>45601</v>
      </c>
      <c r="L24" s="280">
        <f t="array" ref="L24">MIN(IF(W24:CI24&gt;0,$W$16:$CI$16))</f>
        <v>45604</v>
      </c>
      <c r="M24" s="281">
        <f t="array" ref="M24">MAX(IF(W24:CI24&gt;0,$W$16:$CI$16))</f>
        <v>45607</v>
      </c>
      <c r="N24" s="281"/>
      <c r="O24" s="239">
        <f>VLOOKUP(H24,Auxiliar!$B$16:$E$24,4,0)</f>
        <v>1</v>
      </c>
      <c r="P24" s="239">
        <f t="shared" ca="1" si="8"/>
        <v>1</v>
      </c>
      <c r="Q24" s="238">
        <f t="shared" ca="1" si="6"/>
        <v>0</v>
      </c>
      <c r="R24" s="251"/>
      <c r="S24" s="270" t="s">
        <v>1862</v>
      </c>
      <c r="T24" s="260">
        <v>8.1</v>
      </c>
      <c r="U24" s="260">
        <f t="shared" si="9"/>
        <v>1</v>
      </c>
      <c r="V24" s="260">
        <f t="shared" si="10"/>
        <v>0</v>
      </c>
      <c r="W24" s="271"/>
      <c r="X24" s="271"/>
      <c r="Y24" s="271"/>
      <c r="Z24" s="271"/>
      <c r="AA24" s="271"/>
      <c r="AB24" s="271"/>
      <c r="AC24" s="271"/>
      <c r="AD24" s="272"/>
      <c r="AE24" s="273"/>
      <c r="AF24" s="278"/>
      <c r="AG24" s="271"/>
      <c r="AH24" s="271"/>
      <c r="AI24" s="271">
        <v>0.5</v>
      </c>
      <c r="AJ24" s="271">
        <v>0.5</v>
      </c>
      <c r="AK24" s="271"/>
      <c r="AL24" s="271"/>
      <c r="AM24" s="279"/>
      <c r="AN24" s="278"/>
      <c r="AO24" s="271"/>
      <c r="AP24" s="271"/>
      <c r="AQ24" s="271"/>
      <c r="AR24" s="271"/>
      <c r="AS24" s="271"/>
      <c r="AT24" s="271"/>
      <c r="AU24" s="271"/>
      <c r="AV24" s="271"/>
      <c r="AW24" s="271"/>
      <c r="AX24" s="271"/>
      <c r="AY24" s="271"/>
      <c r="AZ24" s="271"/>
      <c r="BA24" s="271"/>
      <c r="BB24" s="271"/>
      <c r="BC24" s="271"/>
      <c r="BD24" s="271"/>
      <c r="BE24" s="271"/>
      <c r="BF24" s="271"/>
      <c r="BG24" s="271"/>
      <c r="BH24" s="271"/>
      <c r="BI24" s="271"/>
      <c r="BJ24" s="271"/>
      <c r="BK24" s="271"/>
      <c r="BL24" s="271"/>
      <c r="BM24" s="271"/>
      <c r="BN24" s="271"/>
      <c r="BO24" s="272"/>
      <c r="BP24" s="272"/>
      <c r="BQ24" s="272"/>
      <c r="BR24" s="272"/>
      <c r="BS24" s="272"/>
      <c r="BT24" s="272"/>
      <c r="BU24" s="272"/>
      <c r="BV24" s="271"/>
      <c r="BW24" s="271"/>
      <c r="BX24" s="271"/>
      <c r="BY24" s="271"/>
      <c r="BZ24" s="271"/>
      <c r="CA24" s="271"/>
      <c r="CB24" s="271"/>
      <c r="CC24" s="271"/>
      <c r="CD24" s="271"/>
      <c r="CE24" s="271"/>
      <c r="CF24" s="271"/>
      <c r="CG24" s="271"/>
      <c r="CH24" s="271"/>
      <c r="CI24" s="271"/>
    </row>
    <row r="25" spans="1:87" ht="16.2" outlineLevel="1">
      <c r="A25" s="264" t="str">
        <f t="shared" si="7"/>
        <v>modesg_out_bens_imoveisunidade_funcional_scp1_emss</v>
      </c>
      <c r="B25" s="141" t="s">
        <v>26</v>
      </c>
      <c r="C25" s="137" t="s">
        <v>310</v>
      </c>
      <c r="D25" s="226" t="s">
        <v>40</v>
      </c>
      <c r="E25" s="227" t="s">
        <v>311</v>
      </c>
      <c r="F25" s="227"/>
      <c r="G25" s="226" t="s">
        <v>322</v>
      </c>
      <c r="H25" s="226" t="str">
        <f>VLOOKUP(A25,'2. Status Detalhe Campos FY24'!$A$7:$G$732,7,0)</f>
        <v>1. Concluído</v>
      </c>
      <c r="I25" s="266" t="s">
        <v>38</v>
      </c>
      <c r="J25" s="275">
        <v>45600</v>
      </c>
      <c r="K25" s="266">
        <v>45601</v>
      </c>
      <c r="L25" s="280">
        <f t="array" ref="L25">MIN(IF(W25:CI25&gt;0,$W$16:$CI$16))</f>
        <v>45607</v>
      </c>
      <c r="M25" s="281">
        <f t="array" ref="M25">MAX(IF(W25:CI25&gt;0,$W$16:$CI$16))</f>
        <v>45607</v>
      </c>
      <c r="N25" s="281"/>
      <c r="O25" s="239">
        <f>VLOOKUP(H25,Auxiliar!$B$16:$E$24,4,0)</f>
        <v>1</v>
      </c>
      <c r="P25" s="239">
        <f t="shared" ca="1" si="8"/>
        <v>1</v>
      </c>
      <c r="Q25" s="238">
        <f t="shared" ca="1" si="6"/>
        <v>0</v>
      </c>
      <c r="R25" s="251"/>
      <c r="S25" s="270" t="s">
        <v>1862</v>
      </c>
      <c r="T25" s="260">
        <v>4.0999999999999996</v>
      </c>
      <c r="U25" s="260">
        <f t="shared" si="9"/>
        <v>0.5</v>
      </c>
      <c r="V25" s="260">
        <f t="shared" si="10"/>
        <v>0</v>
      </c>
      <c r="W25" s="271"/>
      <c r="X25" s="271"/>
      <c r="Y25" s="271"/>
      <c r="Z25" s="271"/>
      <c r="AA25" s="271"/>
      <c r="AB25" s="271"/>
      <c r="AC25" s="271"/>
      <c r="AD25" s="272"/>
      <c r="AE25" s="273"/>
      <c r="AF25" s="278"/>
      <c r="AG25" s="271"/>
      <c r="AH25" s="271"/>
      <c r="AI25" s="271"/>
      <c r="AJ25" s="271">
        <v>0.5</v>
      </c>
      <c r="AK25" s="271"/>
      <c r="AL25" s="271"/>
      <c r="AM25" s="279"/>
      <c r="AN25" s="278"/>
      <c r="AO25" s="271"/>
      <c r="AP25" s="271"/>
      <c r="AQ25" s="271"/>
      <c r="AR25" s="271"/>
      <c r="AS25" s="271"/>
      <c r="AT25" s="271"/>
      <c r="AU25" s="271"/>
      <c r="AV25" s="271"/>
      <c r="AW25" s="271"/>
      <c r="AX25" s="271"/>
      <c r="AY25" s="271"/>
      <c r="AZ25" s="271"/>
      <c r="BA25" s="271"/>
      <c r="BB25" s="271"/>
      <c r="BC25" s="271"/>
      <c r="BD25" s="271"/>
      <c r="BE25" s="271"/>
      <c r="BF25" s="271"/>
      <c r="BG25" s="271"/>
      <c r="BH25" s="271"/>
      <c r="BI25" s="271"/>
      <c r="BJ25" s="271"/>
      <c r="BK25" s="271"/>
      <c r="BL25" s="271"/>
      <c r="BM25" s="271"/>
      <c r="BN25" s="271"/>
      <c r="BO25" s="272"/>
      <c r="BP25" s="272"/>
      <c r="BQ25" s="272"/>
      <c r="BR25" s="272"/>
      <c r="BS25" s="272"/>
      <c r="BT25" s="272"/>
      <c r="BU25" s="272"/>
      <c r="BV25" s="271"/>
      <c r="BW25" s="271"/>
      <c r="BX25" s="271"/>
      <c r="BY25" s="271"/>
      <c r="BZ25" s="271"/>
      <c r="CA25" s="271"/>
      <c r="CB25" s="271"/>
      <c r="CC25" s="271"/>
      <c r="CD25" s="271"/>
      <c r="CE25" s="271"/>
      <c r="CF25" s="271"/>
      <c r="CG25" s="271"/>
      <c r="CH25" s="271"/>
      <c r="CI25" s="271"/>
    </row>
    <row r="26" spans="1:87" ht="16.2" outlineLevel="1">
      <c r="A26" s="264" t="str">
        <f t="shared" si="7"/>
        <v>modesg_out_bens_imoveisunidade_funcional_scp2_emss</v>
      </c>
      <c r="B26" s="141" t="s">
        <v>26</v>
      </c>
      <c r="C26" s="137" t="s">
        <v>310</v>
      </c>
      <c r="D26" s="226" t="s">
        <v>40</v>
      </c>
      <c r="E26" s="227" t="s">
        <v>311</v>
      </c>
      <c r="F26" s="227"/>
      <c r="G26" s="226" t="s">
        <v>323</v>
      </c>
      <c r="H26" s="226" t="str">
        <f>VLOOKUP(A26,'2. Status Detalhe Campos FY24'!$A$7:$G$732,7,0)</f>
        <v>1. Concluído</v>
      </c>
      <c r="I26" s="266" t="s">
        <v>38</v>
      </c>
      <c r="J26" s="275">
        <v>45600</v>
      </c>
      <c r="K26" s="266">
        <v>45601</v>
      </c>
      <c r="L26" s="280">
        <f t="array" ref="L26">MIN(IF(W26:CI26&gt;0,$W$16:$CI$16))</f>
        <v>45608</v>
      </c>
      <c r="M26" s="281">
        <f t="array" ref="M26">MAX(IF(W26:CI26&gt;0,$W$16:$CI$16))</f>
        <v>45608</v>
      </c>
      <c r="N26" s="281"/>
      <c r="O26" s="239">
        <f>VLOOKUP(H26,Auxiliar!$B$16:$E$24,4,0)</f>
        <v>1</v>
      </c>
      <c r="P26" s="239">
        <f t="shared" ca="1" si="8"/>
        <v>1</v>
      </c>
      <c r="Q26" s="238">
        <f t="shared" ca="1" si="6"/>
        <v>0</v>
      </c>
      <c r="R26" s="251"/>
      <c r="S26" s="270" t="s">
        <v>1862</v>
      </c>
      <c r="T26" s="260">
        <v>4.0999999999999996</v>
      </c>
      <c r="U26" s="260">
        <f t="shared" si="9"/>
        <v>0.5</v>
      </c>
      <c r="V26" s="260">
        <f t="shared" si="10"/>
        <v>0</v>
      </c>
      <c r="W26" s="271"/>
      <c r="X26" s="271"/>
      <c r="Y26" s="271"/>
      <c r="Z26" s="271"/>
      <c r="AA26" s="271"/>
      <c r="AB26" s="271"/>
      <c r="AC26" s="271"/>
      <c r="AD26" s="272"/>
      <c r="AE26" s="273"/>
      <c r="AF26" s="278"/>
      <c r="AG26" s="271"/>
      <c r="AH26" s="271"/>
      <c r="AI26" s="271"/>
      <c r="AJ26" s="271"/>
      <c r="AK26" s="271">
        <v>0.5</v>
      </c>
      <c r="AL26" s="271"/>
      <c r="AM26" s="279"/>
      <c r="AN26" s="278"/>
      <c r="AO26" s="271"/>
      <c r="AP26" s="271"/>
      <c r="AQ26" s="271"/>
      <c r="AR26" s="271"/>
      <c r="AS26" s="271"/>
      <c r="AT26" s="271"/>
      <c r="AU26" s="271"/>
      <c r="AV26" s="271"/>
      <c r="AW26" s="271"/>
      <c r="AX26" s="271"/>
      <c r="AY26" s="271"/>
      <c r="AZ26" s="271"/>
      <c r="BA26" s="271"/>
      <c r="BB26" s="271"/>
      <c r="BC26" s="271"/>
      <c r="BD26" s="271"/>
      <c r="BE26" s="271"/>
      <c r="BF26" s="271"/>
      <c r="BG26" s="271"/>
      <c r="BH26" s="271"/>
      <c r="BI26" s="271"/>
      <c r="BJ26" s="271"/>
      <c r="BK26" s="271"/>
      <c r="BL26" s="271"/>
      <c r="BM26" s="271"/>
      <c r="BN26" s="271"/>
      <c r="BO26" s="272"/>
      <c r="BP26" s="272"/>
      <c r="BQ26" s="272"/>
      <c r="BR26" s="272"/>
      <c r="BS26" s="272"/>
      <c r="BT26" s="272"/>
      <c r="BU26" s="272"/>
      <c r="BV26" s="271"/>
      <c r="BW26" s="271"/>
      <c r="BX26" s="271"/>
      <c r="BY26" s="271"/>
      <c r="BZ26" s="271"/>
      <c r="CA26" s="271"/>
      <c r="CB26" s="271"/>
      <c r="CC26" s="271"/>
      <c r="CD26" s="271"/>
      <c r="CE26" s="271"/>
      <c r="CF26" s="271"/>
      <c r="CG26" s="271"/>
      <c r="CH26" s="271"/>
      <c r="CI26" s="271"/>
    </row>
    <row r="27" spans="1:87" ht="16.2" outlineLevel="1">
      <c r="A27" s="264" t="str">
        <f t="shared" si="7"/>
        <v>modesg_out_bens_imoveisunidade_funcional_scp3_emss</v>
      </c>
      <c r="B27" s="141" t="s">
        <v>26</v>
      </c>
      <c r="C27" s="137" t="s">
        <v>310</v>
      </c>
      <c r="D27" s="226" t="s">
        <v>40</v>
      </c>
      <c r="E27" s="227" t="s">
        <v>311</v>
      </c>
      <c r="F27" s="227"/>
      <c r="G27" s="226" t="s">
        <v>324</v>
      </c>
      <c r="H27" s="226" t="str">
        <f>VLOOKUP(A27,'2. Status Detalhe Campos FY24'!$A$7:$G$732,7,0)</f>
        <v>1. Concluído</v>
      </c>
      <c r="I27" s="266" t="s">
        <v>38</v>
      </c>
      <c r="J27" s="275">
        <v>45600</v>
      </c>
      <c r="K27" s="266">
        <v>45601</v>
      </c>
      <c r="L27" s="280">
        <f t="array" ref="L27">MIN(IF(W27:CI27&gt;0,$W$16:$CI$16))</f>
        <v>45608</v>
      </c>
      <c r="M27" s="281">
        <f t="array" ref="M27">MAX(IF(W27:CI27&gt;0,$W$16:$CI$16))</f>
        <v>45608</v>
      </c>
      <c r="N27" s="281"/>
      <c r="O27" s="239">
        <f>VLOOKUP(H27,Auxiliar!$B$16:$E$24,4,0)</f>
        <v>1</v>
      </c>
      <c r="P27" s="239">
        <f t="shared" ca="1" si="8"/>
        <v>1</v>
      </c>
      <c r="Q27" s="238">
        <f t="shared" ca="1" si="6"/>
        <v>0</v>
      </c>
      <c r="R27" s="251"/>
      <c r="S27" s="270" t="s">
        <v>1862</v>
      </c>
      <c r="T27" s="260">
        <v>4.0999999999999996</v>
      </c>
      <c r="U27" s="260">
        <f t="shared" si="9"/>
        <v>0.5</v>
      </c>
      <c r="V27" s="260">
        <f t="shared" si="10"/>
        <v>0</v>
      </c>
      <c r="W27" s="271"/>
      <c r="X27" s="271"/>
      <c r="Y27" s="271"/>
      <c r="Z27" s="271"/>
      <c r="AA27" s="271"/>
      <c r="AB27" s="271"/>
      <c r="AC27" s="271"/>
      <c r="AD27" s="272"/>
      <c r="AE27" s="273"/>
      <c r="AF27" s="278"/>
      <c r="AG27" s="271"/>
      <c r="AH27" s="271"/>
      <c r="AI27" s="271"/>
      <c r="AJ27" s="271"/>
      <c r="AK27" s="271">
        <v>0.5</v>
      </c>
      <c r="AL27" s="271"/>
      <c r="AM27" s="279"/>
      <c r="AN27" s="278"/>
      <c r="AO27" s="271"/>
      <c r="AP27" s="271"/>
      <c r="AQ27" s="271"/>
      <c r="AR27" s="271"/>
      <c r="AS27" s="271"/>
      <c r="AT27" s="271"/>
      <c r="AU27" s="271"/>
      <c r="AV27" s="271"/>
      <c r="AW27" s="271"/>
      <c r="AX27" s="271"/>
      <c r="AY27" s="271"/>
      <c r="AZ27" s="271"/>
      <c r="BA27" s="271"/>
      <c r="BB27" s="271"/>
      <c r="BC27" s="271"/>
      <c r="BD27" s="271"/>
      <c r="BE27" s="271"/>
      <c r="BF27" s="271"/>
      <c r="BG27" s="271"/>
      <c r="BH27" s="271"/>
      <c r="BI27" s="271"/>
      <c r="BJ27" s="271"/>
      <c r="BK27" s="271"/>
      <c r="BL27" s="271"/>
      <c r="BM27" s="271"/>
      <c r="BN27" s="271"/>
      <c r="BO27" s="272"/>
      <c r="BP27" s="272"/>
      <c r="BQ27" s="272"/>
      <c r="BR27" s="272"/>
      <c r="BS27" s="272"/>
      <c r="BT27" s="272"/>
      <c r="BU27" s="272"/>
      <c r="BV27" s="271"/>
      <c r="BW27" s="271"/>
      <c r="BX27" s="271"/>
      <c r="BY27" s="271"/>
      <c r="BZ27" s="271"/>
      <c r="CA27" s="271"/>
      <c r="CB27" s="271"/>
      <c r="CC27" s="271"/>
      <c r="CD27" s="271"/>
      <c r="CE27" s="271"/>
      <c r="CF27" s="271"/>
      <c r="CG27" s="271"/>
      <c r="CH27" s="271"/>
      <c r="CI27" s="271"/>
    </row>
    <row r="28" spans="1:87" ht="15" customHeight="1">
      <c r="A28" s="264"/>
      <c r="B28" s="141" t="s">
        <v>26</v>
      </c>
      <c r="C28" s="137" t="s">
        <v>181</v>
      </c>
      <c r="D28" s="133"/>
      <c r="E28" s="230" t="s">
        <v>182</v>
      </c>
      <c r="F28" s="230" t="s">
        <v>1889</v>
      </c>
      <c r="G28" s="231">
        <f>COUNTA(G29:G43)</f>
        <v>15</v>
      </c>
      <c r="H28" s="285" t="s">
        <v>1921</v>
      </c>
      <c r="I28" s="266" t="s">
        <v>38</v>
      </c>
      <c r="J28" s="267">
        <f>MIN(J29:J43)</f>
        <v>45603</v>
      </c>
      <c r="K28" s="267">
        <f>MIN(K29:K43)</f>
        <v>45604</v>
      </c>
      <c r="L28" s="267">
        <f>MIN(L29:L43)</f>
        <v>45609</v>
      </c>
      <c r="M28" s="267">
        <f>MIN(M29:M43)</f>
        <v>45609</v>
      </c>
      <c r="N28" s="312">
        <f t="array" ref="N28">MAX(IF(W28:CI28&gt;0,$W$16:$CI$16))</f>
        <v>45611</v>
      </c>
      <c r="O28" s="311" t="e">
        <f>SUMPRODUCT(O29:O43,U29:U43)/SUM(U29:U43)</f>
        <v>#N/A</v>
      </c>
      <c r="P28" s="311">
        <f ca="1">SUMPRODUCT(P29:P43,U29:U43)/SUM(U29:U43)</f>
        <v>1</v>
      </c>
      <c r="Q28" s="238" t="e">
        <f t="shared" ca="1" si="6"/>
        <v>#N/A</v>
      </c>
      <c r="R28" s="252" t="s">
        <v>38</v>
      </c>
      <c r="S28" s="270"/>
      <c r="T28" s="260"/>
      <c r="U28" s="260"/>
      <c r="V28" s="260"/>
      <c r="W28" s="271"/>
      <c r="X28" s="271"/>
      <c r="Y28" s="271"/>
      <c r="Z28" s="271"/>
      <c r="AA28" s="271"/>
      <c r="AB28" s="271"/>
      <c r="AC28" s="271"/>
      <c r="AD28" s="272"/>
      <c r="AE28" s="271"/>
      <c r="AF28" s="271"/>
      <c r="AG28" s="271"/>
      <c r="AH28" s="273"/>
      <c r="AI28" s="278"/>
      <c r="AJ28" s="271"/>
      <c r="AK28" s="271"/>
      <c r="AL28" s="271"/>
      <c r="AM28" s="271"/>
      <c r="AN28" s="271" t="s">
        <v>443</v>
      </c>
      <c r="AO28" s="271"/>
      <c r="AP28" s="271"/>
      <c r="AQ28" s="271"/>
      <c r="AR28" s="271"/>
      <c r="AS28" s="271"/>
      <c r="AT28" s="271"/>
      <c r="AU28" s="271"/>
      <c r="AV28" s="271"/>
      <c r="AW28" s="271"/>
      <c r="AX28" s="271"/>
      <c r="AY28" s="271"/>
      <c r="AZ28" s="271"/>
      <c r="BA28" s="271"/>
      <c r="BB28" s="271"/>
      <c r="BC28" s="271"/>
      <c r="BD28" s="271"/>
      <c r="BE28" s="271"/>
      <c r="BF28" s="271"/>
      <c r="BG28" s="271"/>
      <c r="BH28" s="271"/>
      <c r="BI28" s="271"/>
      <c r="BJ28" s="271"/>
      <c r="BK28" s="271"/>
      <c r="BL28" s="271"/>
      <c r="BM28" s="271"/>
      <c r="BN28" s="271"/>
      <c r="BO28" s="272"/>
      <c r="BP28" s="272"/>
      <c r="BQ28" s="272"/>
      <c r="BR28" s="272"/>
      <c r="BS28" s="272"/>
      <c r="BT28" s="272"/>
      <c r="BU28" s="272"/>
      <c r="BV28" s="271"/>
      <c r="BW28" s="271"/>
      <c r="BX28" s="271"/>
      <c r="BY28" s="271"/>
      <c r="BZ28" s="271"/>
      <c r="CA28" s="271"/>
      <c r="CB28" s="271"/>
      <c r="CC28" s="271"/>
      <c r="CD28" s="271"/>
      <c r="CE28" s="271"/>
      <c r="CF28" s="271"/>
      <c r="CG28" s="271"/>
      <c r="CH28" s="271"/>
      <c r="CI28" s="271"/>
    </row>
    <row r="29" spans="1:87" ht="16.2" outlineLevel="1">
      <c r="A29" s="264" t="str">
        <f t="shared" ref="A29:A43" si="11">E29&amp;G29</f>
        <v>modesg_param_sfcs_taxon_europeiacod_regra</v>
      </c>
      <c r="B29" s="141" t="s">
        <v>26</v>
      </c>
      <c r="C29" s="137" t="s">
        <v>181</v>
      </c>
      <c r="D29" s="226" t="s">
        <v>40</v>
      </c>
      <c r="E29" s="227" t="s">
        <v>182</v>
      </c>
      <c r="F29" s="227"/>
      <c r="G29" s="226" t="s">
        <v>191</v>
      </c>
      <c r="H29" s="226" t="e">
        <f>VLOOKUP(A29,'2. Status Detalhe Campos FY24'!$A$7:$G$732,7,0)</f>
        <v>#N/A</v>
      </c>
      <c r="I29" s="266" t="s">
        <v>38</v>
      </c>
      <c r="J29" s="275">
        <v>45603</v>
      </c>
      <c r="K29" s="266">
        <v>45604</v>
      </c>
      <c r="L29" s="280">
        <f t="array" ref="L29">MIN(IF(W29:CI29&gt;0,$W$16:$CI$16))</f>
        <v>45609</v>
      </c>
      <c r="M29" s="281">
        <f t="array" ref="M29">MAX(IF(W29:CI29&gt;0,$W$16:$CI$16))</f>
        <v>45609</v>
      </c>
      <c r="N29" s="281"/>
      <c r="O29" s="239" t="e">
        <f>VLOOKUP(H29,Auxiliar!$B$16:$E$24,4,0)</f>
        <v>#N/A</v>
      </c>
      <c r="P29" s="239">
        <f t="shared" ref="P29:P43" ca="1" si="12">IF(TODAY()&lt;=L29,0,MIN((TODAY()-L29)/(M29-L29+1),100%))</f>
        <v>1</v>
      </c>
      <c r="Q29" s="238" t="e">
        <f t="shared" ca="1" si="6"/>
        <v>#N/A</v>
      </c>
      <c r="R29" s="252" t="s">
        <v>38</v>
      </c>
      <c r="S29" s="270"/>
      <c r="T29" s="260">
        <v>0.6</v>
      </c>
      <c r="U29" s="260">
        <f t="shared" ref="U29:U43" si="13">ROUND(T29/8,1)</f>
        <v>0.1</v>
      </c>
      <c r="V29" s="260">
        <f t="shared" ref="V29:V43" si="14">SUM(W29:CI29)-U29</f>
        <v>0</v>
      </c>
      <c r="W29" s="271"/>
      <c r="X29" s="271"/>
      <c r="Y29" s="271"/>
      <c r="Z29" s="271"/>
      <c r="AA29" s="271"/>
      <c r="AB29" s="271"/>
      <c r="AC29" s="271"/>
      <c r="AD29" s="272"/>
      <c r="AE29" s="271"/>
      <c r="AF29" s="271"/>
      <c r="AG29" s="271"/>
      <c r="AH29" s="273"/>
      <c r="AI29" s="278"/>
      <c r="AJ29" s="271"/>
      <c r="AK29" s="271"/>
      <c r="AL29" s="271">
        <v>0.1</v>
      </c>
      <c r="AM29" s="271"/>
      <c r="AN29" s="271"/>
      <c r="AO29" s="271"/>
      <c r="AP29" s="271"/>
      <c r="AQ29" s="271"/>
      <c r="AR29" s="271"/>
      <c r="AS29" s="271"/>
      <c r="AT29" s="271"/>
      <c r="AU29" s="271"/>
      <c r="AV29" s="271"/>
      <c r="AW29" s="271"/>
      <c r="AX29" s="271"/>
      <c r="AY29" s="271"/>
      <c r="AZ29" s="271"/>
      <c r="BA29" s="271"/>
      <c r="BB29" s="271"/>
      <c r="BC29" s="271"/>
      <c r="BD29" s="271"/>
      <c r="BE29" s="271"/>
      <c r="BF29" s="271"/>
      <c r="BG29" s="271"/>
      <c r="BH29" s="271"/>
      <c r="BI29" s="271"/>
      <c r="BJ29" s="271"/>
      <c r="BK29" s="271"/>
      <c r="BL29" s="271"/>
      <c r="BM29" s="271"/>
      <c r="BN29" s="271"/>
      <c r="BO29" s="272"/>
      <c r="BP29" s="272"/>
      <c r="BQ29" s="272"/>
      <c r="BR29" s="272"/>
      <c r="BS29" s="272"/>
      <c r="BT29" s="272"/>
      <c r="BU29" s="272"/>
      <c r="BV29" s="271"/>
      <c r="BW29" s="271"/>
      <c r="BX29" s="271"/>
      <c r="BY29" s="271"/>
      <c r="BZ29" s="271"/>
      <c r="CA29" s="271"/>
      <c r="CB29" s="271"/>
      <c r="CC29" s="271"/>
      <c r="CD29" s="271"/>
      <c r="CE29" s="271"/>
      <c r="CF29" s="271"/>
      <c r="CG29" s="271"/>
      <c r="CH29" s="271"/>
      <c r="CI29" s="271"/>
    </row>
    <row r="30" spans="1:87" ht="16.2" outlineLevel="1">
      <c r="A30" s="264" t="str">
        <f t="shared" si="11"/>
        <v>modesg_param_sfcs_taxon_europeiacomite</v>
      </c>
      <c r="B30" s="141" t="s">
        <v>26</v>
      </c>
      <c r="C30" s="137" t="s">
        <v>181</v>
      </c>
      <c r="D30" s="226" t="s">
        <v>40</v>
      </c>
      <c r="E30" s="227" t="s">
        <v>182</v>
      </c>
      <c r="F30" s="227"/>
      <c r="G30" s="226" t="s">
        <v>192</v>
      </c>
      <c r="H30" s="226" t="e">
        <f>VLOOKUP(A30,'2. Status Detalhe Campos FY24'!$A$7:$G$732,7,0)</f>
        <v>#N/A</v>
      </c>
      <c r="I30" s="266" t="s">
        <v>38</v>
      </c>
      <c r="J30" s="275">
        <v>45603</v>
      </c>
      <c r="K30" s="266">
        <v>45604</v>
      </c>
      <c r="L30" s="280">
        <f t="array" ref="L30">MIN(IF(W30:CI30&gt;0,$W$16:$CI$16))</f>
        <v>45609</v>
      </c>
      <c r="M30" s="281">
        <f t="array" ref="M30">MAX(IF(W30:CI30&gt;0,$W$16:$CI$16))</f>
        <v>45609</v>
      </c>
      <c r="N30" s="281"/>
      <c r="O30" s="239" t="e">
        <f>VLOOKUP(H30,Auxiliar!$B$16:$E$24,4,0)</f>
        <v>#N/A</v>
      </c>
      <c r="P30" s="239">
        <f t="shared" ca="1" si="12"/>
        <v>1</v>
      </c>
      <c r="Q30" s="238" t="e">
        <f t="shared" ca="1" si="6"/>
        <v>#N/A</v>
      </c>
      <c r="R30" s="252" t="s">
        <v>38</v>
      </c>
      <c r="S30" s="270"/>
      <c r="T30" s="260">
        <v>0.6</v>
      </c>
      <c r="U30" s="260">
        <f t="shared" si="13"/>
        <v>0.1</v>
      </c>
      <c r="V30" s="260">
        <f t="shared" si="14"/>
        <v>0</v>
      </c>
      <c r="W30" s="271"/>
      <c r="X30" s="271"/>
      <c r="Y30" s="271"/>
      <c r="Z30" s="271"/>
      <c r="AA30" s="271"/>
      <c r="AB30" s="271"/>
      <c r="AC30" s="271"/>
      <c r="AD30" s="272"/>
      <c r="AE30" s="271"/>
      <c r="AF30" s="271"/>
      <c r="AG30" s="271"/>
      <c r="AH30" s="273"/>
      <c r="AI30" s="278"/>
      <c r="AJ30" s="271"/>
      <c r="AK30" s="271"/>
      <c r="AL30" s="271">
        <v>0.1</v>
      </c>
      <c r="AM30" s="271"/>
      <c r="AN30" s="271"/>
      <c r="AO30" s="271"/>
      <c r="AP30" s="271"/>
      <c r="AQ30" s="271"/>
      <c r="AR30" s="271"/>
      <c r="AS30" s="271"/>
      <c r="AT30" s="271"/>
      <c r="AU30" s="271"/>
      <c r="AV30" s="271"/>
      <c r="AW30" s="271"/>
      <c r="AX30" s="271"/>
      <c r="AY30" s="271"/>
      <c r="AZ30" s="271"/>
      <c r="BA30" s="271"/>
      <c r="BB30" s="271"/>
      <c r="BC30" s="271"/>
      <c r="BD30" s="271"/>
      <c r="BE30" s="271"/>
      <c r="BF30" s="271"/>
      <c r="BG30" s="271"/>
      <c r="BH30" s="271"/>
      <c r="BI30" s="271"/>
      <c r="BJ30" s="271"/>
      <c r="BK30" s="271"/>
      <c r="BL30" s="271"/>
      <c r="BM30" s="271"/>
      <c r="BN30" s="271"/>
      <c r="BO30" s="272"/>
      <c r="BP30" s="272"/>
      <c r="BQ30" s="272"/>
      <c r="BR30" s="272"/>
      <c r="BS30" s="272"/>
      <c r="BT30" s="272"/>
      <c r="BU30" s="272"/>
      <c r="BV30" s="271"/>
      <c r="BW30" s="271"/>
      <c r="BX30" s="271"/>
      <c r="BY30" s="271"/>
      <c r="BZ30" s="271"/>
      <c r="CA30" s="271"/>
      <c r="CB30" s="271"/>
      <c r="CC30" s="271"/>
      <c r="CD30" s="271"/>
      <c r="CE30" s="271"/>
      <c r="CF30" s="271"/>
      <c r="CG30" s="271"/>
      <c r="CH30" s="271"/>
      <c r="CI30" s="271"/>
    </row>
    <row r="31" spans="1:87" ht="16.2" outlineLevel="1">
      <c r="A31" s="264" t="str">
        <f t="shared" si="11"/>
        <v>modesg_param_sfcs_taxon_europeiadata_aprvc</v>
      </c>
      <c r="B31" s="141" t="s">
        <v>26</v>
      </c>
      <c r="C31" s="137" t="s">
        <v>181</v>
      </c>
      <c r="D31" s="226" t="s">
        <v>40</v>
      </c>
      <c r="E31" s="227" t="s">
        <v>182</v>
      </c>
      <c r="F31" s="227"/>
      <c r="G31" s="226" t="s">
        <v>193</v>
      </c>
      <c r="H31" s="226" t="e">
        <f>VLOOKUP(A31,'2. Status Detalhe Campos FY24'!$A$7:$G$732,7,0)</f>
        <v>#N/A</v>
      </c>
      <c r="I31" s="266" t="s">
        <v>38</v>
      </c>
      <c r="J31" s="275">
        <v>45603</v>
      </c>
      <c r="K31" s="266">
        <v>45604</v>
      </c>
      <c r="L31" s="280">
        <f t="array" ref="L31">MIN(IF(W31:CI31&gt;0,$W$16:$CI$16))</f>
        <v>45609</v>
      </c>
      <c r="M31" s="281">
        <f t="array" ref="M31">MAX(IF(W31:CI31&gt;0,$W$16:$CI$16))</f>
        <v>45609</v>
      </c>
      <c r="N31" s="281"/>
      <c r="O31" s="239" t="e">
        <f>VLOOKUP(H31,Auxiliar!$B$16:$E$24,4,0)</f>
        <v>#N/A</v>
      </c>
      <c r="P31" s="239">
        <f t="shared" ca="1" si="12"/>
        <v>1</v>
      </c>
      <c r="Q31" s="238" t="e">
        <f t="shared" ca="1" si="6"/>
        <v>#N/A</v>
      </c>
      <c r="R31" s="252" t="s">
        <v>38</v>
      </c>
      <c r="S31" s="270"/>
      <c r="T31" s="260">
        <v>0.6</v>
      </c>
      <c r="U31" s="260">
        <f t="shared" si="13"/>
        <v>0.1</v>
      </c>
      <c r="V31" s="260">
        <f t="shared" si="14"/>
        <v>0</v>
      </c>
      <c r="W31" s="271"/>
      <c r="X31" s="271"/>
      <c r="Y31" s="271"/>
      <c r="Z31" s="271"/>
      <c r="AA31" s="271"/>
      <c r="AB31" s="271"/>
      <c r="AC31" s="271"/>
      <c r="AD31" s="272"/>
      <c r="AE31" s="271"/>
      <c r="AF31" s="271"/>
      <c r="AG31" s="271"/>
      <c r="AH31" s="273"/>
      <c r="AI31" s="278"/>
      <c r="AJ31" s="271"/>
      <c r="AK31" s="271"/>
      <c r="AL31" s="271">
        <v>0.1</v>
      </c>
      <c r="AM31" s="271"/>
      <c r="AN31" s="271"/>
      <c r="AO31" s="271"/>
      <c r="AP31" s="271"/>
      <c r="AQ31" s="271"/>
      <c r="AR31" s="271"/>
      <c r="AS31" s="271"/>
      <c r="AT31" s="271"/>
      <c r="AU31" s="271"/>
      <c r="AV31" s="271"/>
      <c r="AW31" s="271"/>
      <c r="AX31" s="271"/>
      <c r="AY31" s="271"/>
      <c r="AZ31" s="271"/>
      <c r="BA31" s="271"/>
      <c r="BB31" s="271"/>
      <c r="BC31" s="271"/>
      <c r="BD31" s="271"/>
      <c r="BE31" s="271"/>
      <c r="BF31" s="271"/>
      <c r="BG31" s="271"/>
      <c r="BH31" s="271"/>
      <c r="BI31" s="271"/>
      <c r="BJ31" s="271"/>
      <c r="BK31" s="271"/>
      <c r="BL31" s="271"/>
      <c r="BM31" s="271"/>
      <c r="BN31" s="271"/>
      <c r="BO31" s="272"/>
      <c r="BP31" s="272"/>
      <c r="BQ31" s="272"/>
      <c r="BR31" s="272"/>
      <c r="BS31" s="272"/>
      <c r="BT31" s="272"/>
      <c r="BU31" s="272"/>
      <c r="BV31" s="271"/>
      <c r="BW31" s="271"/>
      <c r="BX31" s="271"/>
      <c r="BY31" s="271"/>
      <c r="BZ31" s="271"/>
      <c r="CA31" s="271"/>
      <c r="CB31" s="271"/>
      <c r="CC31" s="271"/>
      <c r="CD31" s="271"/>
      <c r="CE31" s="271"/>
      <c r="CF31" s="271"/>
      <c r="CG31" s="271"/>
      <c r="CH31" s="271"/>
      <c r="CI31" s="271"/>
    </row>
    <row r="32" spans="1:87" ht="16.2" outlineLevel="1">
      <c r="A32" s="264" t="str">
        <f t="shared" si="11"/>
        <v>modesg_param_sfcs_taxon_europeiadata_final</v>
      </c>
      <c r="B32" s="141" t="s">
        <v>26</v>
      </c>
      <c r="C32" s="137" t="s">
        <v>181</v>
      </c>
      <c r="D32" s="226" t="s">
        <v>40</v>
      </c>
      <c r="E32" s="227" t="s">
        <v>182</v>
      </c>
      <c r="F32" s="227"/>
      <c r="G32" s="226" t="s">
        <v>194</v>
      </c>
      <c r="H32" s="226" t="e">
        <f>VLOOKUP(A32,'2. Status Detalhe Campos FY24'!$A$7:$G$732,7,0)</f>
        <v>#N/A</v>
      </c>
      <c r="I32" s="266" t="s">
        <v>38</v>
      </c>
      <c r="J32" s="275">
        <v>45603</v>
      </c>
      <c r="K32" s="266">
        <v>45604</v>
      </c>
      <c r="L32" s="280">
        <f t="array" ref="L32">MIN(IF(W32:CI32&gt;0,$W$16:$CI$16))</f>
        <v>45609</v>
      </c>
      <c r="M32" s="281">
        <f t="array" ref="M32">MAX(IF(W32:CI32&gt;0,$W$16:$CI$16))</f>
        <v>45609</v>
      </c>
      <c r="N32" s="281"/>
      <c r="O32" s="239" t="e">
        <f>VLOOKUP(H32,Auxiliar!$B$16:$E$24,4,0)</f>
        <v>#N/A</v>
      </c>
      <c r="P32" s="239">
        <f t="shared" ca="1" si="12"/>
        <v>1</v>
      </c>
      <c r="Q32" s="238" t="e">
        <f t="shared" ca="1" si="6"/>
        <v>#N/A</v>
      </c>
      <c r="R32" s="252" t="s">
        <v>38</v>
      </c>
      <c r="S32" s="270"/>
      <c r="T32" s="260">
        <v>0.6</v>
      </c>
      <c r="U32" s="260">
        <f t="shared" si="13"/>
        <v>0.1</v>
      </c>
      <c r="V32" s="260">
        <f t="shared" si="14"/>
        <v>0</v>
      </c>
      <c r="W32" s="271"/>
      <c r="X32" s="271"/>
      <c r="Y32" s="271"/>
      <c r="Z32" s="271"/>
      <c r="AA32" s="271"/>
      <c r="AB32" s="271"/>
      <c r="AC32" s="271"/>
      <c r="AD32" s="272"/>
      <c r="AE32" s="271"/>
      <c r="AF32" s="271"/>
      <c r="AG32" s="271"/>
      <c r="AH32" s="273"/>
      <c r="AI32" s="278"/>
      <c r="AJ32" s="271"/>
      <c r="AK32" s="271"/>
      <c r="AL32" s="271">
        <v>0.1</v>
      </c>
      <c r="AM32" s="271"/>
      <c r="AN32" s="271"/>
      <c r="AO32" s="271"/>
      <c r="AP32" s="271"/>
      <c r="AQ32" s="271"/>
      <c r="AR32" s="271"/>
      <c r="AS32" s="271"/>
      <c r="AT32" s="271"/>
      <c r="AU32" s="271"/>
      <c r="AV32" s="271"/>
      <c r="AW32" s="271"/>
      <c r="AX32" s="271"/>
      <c r="AY32" s="271"/>
      <c r="AZ32" s="271"/>
      <c r="BA32" s="271"/>
      <c r="BB32" s="271"/>
      <c r="BC32" s="271"/>
      <c r="BD32" s="271"/>
      <c r="BE32" s="271"/>
      <c r="BF32" s="271"/>
      <c r="BG32" s="271"/>
      <c r="BH32" s="271"/>
      <c r="BI32" s="271"/>
      <c r="BJ32" s="271"/>
      <c r="BK32" s="271"/>
      <c r="BL32" s="271"/>
      <c r="BM32" s="271"/>
      <c r="BN32" s="271"/>
      <c r="BO32" s="272"/>
      <c r="BP32" s="272"/>
      <c r="BQ32" s="272"/>
      <c r="BR32" s="272"/>
      <c r="BS32" s="272"/>
      <c r="BT32" s="272"/>
      <c r="BU32" s="272"/>
      <c r="BV32" s="271"/>
      <c r="BW32" s="271"/>
      <c r="BX32" s="271"/>
      <c r="BY32" s="271"/>
      <c r="BZ32" s="271"/>
      <c r="CA32" s="271"/>
      <c r="CB32" s="271"/>
      <c r="CC32" s="271"/>
      <c r="CD32" s="271"/>
      <c r="CE32" s="271"/>
      <c r="CF32" s="271"/>
      <c r="CG32" s="271"/>
      <c r="CH32" s="271"/>
      <c r="CI32" s="271"/>
    </row>
    <row r="33" spans="1:87" ht="16.2" outlineLevel="1">
      <c r="A33" s="264" t="str">
        <f t="shared" si="11"/>
        <v>modesg_param_sfcs_taxon_europeiadata_inicial</v>
      </c>
      <c r="B33" s="141" t="s">
        <v>26</v>
      </c>
      <c r="C33" s="137" t="s">
        <v>181</v>
      </c>
      <c r="D33" s="226" t="s">
        <v>40</v>
      </c>
      <c r="E33" s="227" t="s">
        <v>182</v>
      </c>
      <c r="F33" s="227"/>
      <c r="G33" s="226" t="s">
        <v>195</v>
      </c>
      <c r="H33" s="226" t="e">
        <f>VLOOKUP(A33,'2. Status Detalhe Campos FY24'!$A$7:$G$732,7,0)</f>
        <v>#N/A</v>
      </c>
      <c r="I33" s="266" t="s">
        <v>38</v>
      </c>
      <c r="J33" s="275">
        <v>45603</v>
      </c>
      <c r="K33" s="266">
        <v>45604</v>
      </c>
      <c r="L33" s="280">
        <f t="array" ref="L33">MIN(IF(W33:CI33&gt;0,$W$16:$CI$16))</f>
        <v>45609</v>
      </c>
      <c r="M33" s="281">
        <f t="array" ref="M33">MAX(IF(W33:CI33&gt;0,$W$16:$CI$16))</f>
        <v>45609</v>
      </c>
      <c r="N33" s="281"/>
      <c r="O33" s="239" t="e">
        <f>VLOOKUP(H33,Auxiliar!$B$16:$E$24,4,0)</f>
        <v>#N/A</v>
      </c>
      <c r="P33" s="239">
        <f t="shared" ca="1" si="12"/>
        <v>1</v>
      </c>
      <c r="Q33" s="238" t="e">
        <f t="shared" ca="1" si="6"/>
        <v>#N/A</v>
      </c>
      <c r="R33" s="252" t="s">
        <v>38</v>
      </c>
      <c r="S33" s="270"/>
      <c r="T33" s="260">
        <v>0.6</v>
      </c>
      <c r="U33" s="260">
        <f t="shared" si="13"/>
        <v>0.1</v>
      </c>
      <c r="V33" s="260">
        <f t="shared" si="14"/>
        <v>0</v>
      </c>
      <c r="W33" s="271"/>
      <c r="X33" s="271"/>
      <c r="Y33" s="271"/>
      <c r="Z33" s="271"/>
      <c r="AA33" s="271"/>
      <c r="AB33" s="271"/>
      <c r="AC33" s="271"/>
      <c r="AD33" s="272"/>
      <c r="AE33" s="271"/>
      <c r="AF33" s="271"/>
      <c r="AG33" s="271"/>
      <c r="AH33" s="273"/>
      <c r="AI33" s="278"/>
      <c r="AJ33" s="271"/>
      <c r="AK33" s="271"/>
      <c r="AL33" s="271">
        <v>0.1</v>
      </c>
      <c r="AM33" s="271"/>
      <c r="AN33" s="271"/>
      <c r="AO33" s="271"/>
      <c r="AP33" s="271"/>
      <c r="AQ33" s="271"/>
      <c r="AR33" s="271"/>
      <c r="AS33" s="271"/>
      <c r="AT33" s="271"/>
      <c r="AU33" s="271"/>
      <c r="AV33" s="271"/>
      <c r="AW33" s="271"/>
      <c r="AX33" s="271"/>
      <c r="AY33" s="271"/>
      <c r="AZ33" s="271"/>
      <c r="BA33" s="271"/>
      <c r="BB33" s="271"/>
      <c r="BC33" s="271"/>
      <c r="BD33" s="271"/>
      <c r="BE33" s="271"/>
      <c r="BF33" s="271"/>
      <c r="BG33" s="271"/>
      <c r="BH33" s="271"/>
      <c r="BI33" s="271"/>
      <c r="BJ33" s="271"/>
      <c r="BK33" s="271"/>
      <c r="BL33" s="271"/>
      <c r="BM33" s="271"/>
      <c r="BN33" s="271"/>
      <c r="BO33" s="272"/>
      <c r="BP33" s="272"/>
      <c r="BQ33" s="272"/>
      <c r="BR33" s="272"/>
      <c r="BS33" s="272"/>
      <c r="BT33" s="272"/>
      <c r="BU33" s="272"/>
      <c r="BV33" s="271"/>
      <c r="BW33" s="271"/>
      <c r="BX33" s="271"/>
      <c r="BY33" s="271"/>
      <c r="BZ33" s="271"/>
      <c r="CA33" s="271"/>
      <c r="CB33" s="271"/>
      <c r="CC33" s="271"/>
      <c r="CD33" s="271"/>
      <c r="CE33" s="271"/>
      <c r="CF33" s="271"/>
      <c r="CG33" s="271"/>
      <c r="CH33" s="271"/>
      <c r="CI33" s="271"/>
    </row>
    <row r="34" spans="1:87" ht="16.2" outlineLevel="1">
      <c r="A34" s="264" t="str">
        <f t="shared" si="11"/>
        <v>modesg_param_sfcs_taxon_europeiaflag_project_finance</v>
      </c>
      <c r="B34" s="141" t="s">
        <v>26</v>
      </c>
      <c r="C34" s="137" t="s">
        <v>181</v>
      </c>
      <c r="D34" s="226" t="s">
        <v>40</v>
      </c>
      <c r="E34" s="227" t="s">
        <v>182</v>
      </c>
      <c r="F34" s="227"/>
      <c r="G34" s="226" t="s">
        <v>199</v>
      </c>
      <c r="H34" s="226" t="e">
        <f>VLOOKUP(A34,'2. Status Detalhe Campos FY24'!$A$7:$G$732,7,0)</f>
        <v>#N/A</v>
      </c>
      <c r="I34" s="266" t="s">
        <v>38</v>
      </c>
      <c r="J34" s="275">
        <v>45603</v>
      </c>
      <c r="K34" s="266">
        <v>45604</v>
      </c>
      <c r="L34" s="280">
        <f t="array" ref="L34">MIN(IF(W34:CI34&gt;0,$W$16:$CI$16))</f>
        <v>45609</v>
      </c>
      <c r="M34" s="281">
        <f t="array" ref="M34">MAX(IF(W34:CI34&gt;0,$W$16:$CI$16))</f>
        <v>45609</v>
      </c>
      <c r="N34" s="281"/>
      <c r="O34" s="239" t="e">
        <f>VLOOKUP(H34,Auxiliar!$B$16:$E$24,4,0)</f>
        <v>#N/A</v>
      </c>
      <c r="P34" s="239">
        <f t="shared" ca="1" si="12"/>
        <v>1</v>
      </c>
      <c r="Q34" s="238" t="e">
        <f t="shared" ca="1" si="6"/>
        <v>#N/A</v>
      </c>
      <c r="R34" s="252" t="s">
        <v>38</v>
      </c>
      <c r="S34" s="270"/>
      <c r="T34" s="260">
        <v>0.6</v>
      </c>
      <c r="U34" s="260">
        <f t="shared" si="13"/>
        <v>0.1</v>
      </c>
      <c r="V34" s="260">
        <f t="shared" si="14"/>
        <v>0</v>
      </c>
      <c r="W34" s="271"/>
      <c r="X34" s="271"/>
      <c r="Y34" s="271"/>
      <c r="Z34" s="271"/>
      <c r="AA34" s="271"/>
      <c r="AB34" s="271"/>
      <c r="AC34" s="271"/>
      <c r="AD34" s="272"/>
      <c r="AE34" s="271"/>
      <c r="AF34" s="271"/>
      <c r="AG34" s="271"/>
      <c r="AH34" s="273"/>
      <c r="AI34" s="278"/>
      <c r="AJ34" s="271"/>
      <c r="AK34" s="271"/>
      <c r="AL34" s="271">
        <v>0.1</v>
      </c>
      <c r="AM34" s="271"/>
      <c r="AN34" s="271"/>
      <c r="AO34" s="271"/>
      <c r="AP34" s="271"/>
      <c r="AQ34" s="271"/>
      <c r="AR34" s="271"/>
      <c r="AS34" s="271"/>
      <c r="AT34" s="271"/>
      <c r="AU34" s="271"/>
      <c r="AV34" s="271"/>
      <c r="AW34" s="271"/>
      <c r="AX34" s="271"/>
      <c r="AY34" s="271"/>
      <c r="AZ34" s="271"/>
      <c r="BA34" s="271"/>
      <c r="BB34" s="271"/>
      <c r="BC34" s="271"/>
      <c r="BD34" s="271"/>
      <c r="BE34" s="271"/>
      <c r="BF34" s="271"/>
      <c r="BG34" s="271"/>
      <c r="BH34" s="271"/>
      <c r="BI34" s="271"/>
      <c r="BJ34" s="271"/>
      <c r="BK34" s="271"/>
      <c r="BL34" s="271"/>
      <c r="BM34" s="271"/>
      <c r="BN34" s="271"/>
      <c r="BO34" s="272"/>
      <c r="BP34" s="272"/>
      <c r="BQ34" s="272"/>
      <c r="BR34" s="272"/>
      <c r="BS34" s="272"/>
      <c r="BT34" s="272"/>
      <c r="BU34" s="272"/>
      <c r="BV34" s="271"/>
      <c r="BW34" s="271"/>
      <c r="BX34" s="271"/>
      <c r="BY34" s="271"/>
      <c r="BZ34" s="271"/>
      <c r="CA34" s="271"/>
      <c r="CB34" s="271"/>
      <c r="CC34" s="271"/>
      <c r="CD34" s="271"/>
      <c r="CE34" s="271"/>
      <c r="CF34" s="271"/>
      <c r="CG34" s="271"/>
      <c r="CH34" s="271"/>
      <c r="CI34" s="271"/>
    </row>
    <row r="35" spans="1:87" ht="16.2" outlineLevel="1">
      <c r="A35" s="264" t="str">
        <f t="shared" si="11"/>
        <v>modesg_param_sfcs_taxon_europeiacfinalidad</v>
      </c>
      <c r="B35" s="141" t="s">
        <v>26</v>
      </c>
      <c r="C35" s="137" t="s">
        <v>181</v>
      </c>
      <c r="D35" s="226" t="s">
        <v>40</v>
      </c>
      <c r="E35" s="227" t="s">
        <v>182</v>
      </c>
      <c r="F35" s="227"/>
      <c r="G35" s="226" t="s">
        <v>200</v>
      </c>
      <c r="H35" s="226" t="e">
        <f>VLOOKUP(A35,'2. Status Detalhe Campos FY24'!$A$7:$G$732,7,0)</f>
        <v>#N/A</v>
      </c>
      <c r="I35" s="266" t="s">
        <v>38</v>
      </c>
      <c r="J35" s="275">
        <v>45603</v>
      </c>
      <c r="K35" s="266">
        <v>45604</v>
      </c>
      <c r="L35" s="280">
        <f t="array" ref="L35">MIN(IF(W35:CI35&gt;0,$W$16:$CI$16))</f>
        <v>45609</v>
      </c>
      <c r="M35" s="281">
        <f t="array" ref="M35">MAX(IF(W35:CI35&gt;0,$W$16:$CI$16))</f>
        <v>45609</v>
      </c>
      <c r="N35" s="281"/>
      <c r="O35" s="239" t="e">
        <f>VLOOKUP(H35,Auxiliar!$B$16:$E$24,4,0)</f>
        <v>#N/A</v>
      </c>
      <c r="P35" s="239">
        <f t="shared" ca="1" si="12"/>
        <v>1</v>
      </c>
      <c r="Q35" s="238" t="e">
        <f t="shared" ca="1" si="6"/>
        <v>#N/A</v>
      </c>
      <c r="R35" s="252" t="s">
        <v>38</v>
      </c>
      <c r="S35" s="270"/>
      <c r="T35" s="260">
        <v>0.6</v>
      </c>
      <c r="U35" s="260">
        <f t="shared" si="13"/>
        <v>0.1</v>
      </c>
      <c r="V35" s="260">
        <f t="shared" si="14"/>
        <v>0</v>
      </c>
      <c r="W35" s="271"/>
      <c r="X35" s="271"/>
      <c r="Y35" s="271"/>
      <c r="Z35" s="271"/>
      <c r="AA35" s="271"/>
      <c r="AB35" s="271"/>
      <c r="AC35" s="271"/>
      <c r="AD35" s="272"/>
      <c r="AE35" s="271"/>
      <c r="AF35" s="271"/>
      <c r="AG35" s="271"/>
      <c r="AH35" s="273"/>
      <c r="AI35" s="278"/>
      <c r="AJ35" s="271"/>
      <c r="AK35" s="271"/>
      <c r="AL35" s="271">
        <v>0.1</v>
      </c>
      <c r="AM35" s="271"/>
      <c r="AN35" s="271"/>
      <c r="AO35" s="271"/>
      <c r="AP35" s="271"/>
      <c r="AQ35" s="271"/>
      <c r="AR35" s="271"/>
      <c r="AS35" s="271"/>
      <c r="AT35" s="271"/>
      <c r="AU35" s="271"/>
      <c r="AV35" s="271"/>
      <c r="AW35" s="271"/>
      <c r="AX35" s="271"/>
      <c r="AY35" s="271"/>
      <c r="AZ35" s="271"/>
      <c r="BA35" s="271"/>
      <c r="BB35" s="271"/>
      <c r="BC35" s="271"/>
      <c r="BD35" s="271"/>
      <c r="BE35" s="271"/>
      <c r="BF35" s="271"/>
      <c r="BG35" s="271"/>
      <c r="BH35" s="271"/>
      <c r="BI35" s="271"/>
      <c r="BJ35" s="271"/>
      <c r="BK35" s="271"/>
      <c r="BL35" s="271"/>
      <c r="BM35" s="271"/>
      <c r="BN35" s="271"/>
      <c r="BO35" s="272"/>
      <c r="BP35" s="272"/>
      <c r="BQ35" s="272"/>
      <c r="BR35" s="272"/>
      <c r="BS35" s="272"/>
      <c r="BT35" s="272"/>
      <c r="BU35" s="272"/>
      <c r="BV35" s="271"/>
      <c r="BW35" s="271"/>
      <c r="BX35" s="271"/>
      <c r="BY35" s="271"/>
      <c r="BZ35" s="271"/>
      <c r="CA35" s="271"/>
      <c r="CB35" s="271"/>
      <c r="CC35" s="271"/>
      <c r="CD35" s="271"/>
      <c r="CE35" s="271"/>
      <c r="CF35" s="271"/>
      <c r="CG35" s="271"/>
      <c r="CH35" s="271"/>
      <c r="CI35" s="271"/>
    </row>
    <row r="36" spans="1:87" ht="16.2" outlineLevel="1">
      <c r="A36" s="264" t="str">
        <f t="shared" si="11"/>
        <v>modesg_param_sfcs_taxon_europeiatipo_combust</v>
      </c>
      <c r="B36" s="141" t="s">
        <v>26</v>
      </c>
      <c r="C36" s="137" t="s">
        <v>181</v>
      </c>
      <c r="D36" s="226" t="s">
        <v>40</v>
      </c>
      <c r="E36" s="227" t="s">
        <v>182</v>
      </c>
      <c r="F36" s="227"/>
      <c r="G36" s="226" t="s">
        <v>201</v>
      </c>
      <c r="H36" s="226" t="e">
        <f>VLOOKUP(A36,'2. Status Detalhe Campos FY24'!$A$7:$G$732,7,0)</f>
        <v>#N/A</v>
      </c>
      <c r="I36" s="266" t="s">
        <v>38</v>
      </c>
      <c r="J36" s="275">
        <v>45603</v>
      </c>
      <c r="K36" s="266">
        <v>45604</v>
      </c>
      <c r="L36" s="280">
        <f t="array" ref="L36">MIN(IF(W36:CI36&gt;0,$W$16:$CI$16))</f>
        <v>45609</v>
      </c>
      <c r="M36" s="281">
        <f t="array" ref="M36">MAX(IF(W36:CI36&gt;0,$W$16:$CI$16))</f>
        <v>45609</v>
      </c>
      <c r="N36" s="281"/>
      <c r="O36" s="239" t="e">
        <f>VLOOKUP(H36,Auxiliar!$B$16:$E$24,4,0)</f>
        <v>#N/A</v>
      </c>
      <c r="P36" s="239">
        <f t="shared" ca="1" si="12"/>
        <v>1</v>
      </c>
      <c r="Q36" s="238" t="e">
        <f t="shared" ca="1" si="6"/>
        <v>#N/A</v>
      </c>
      <c r="R36" s="252" t="s">
        <v>38</v>
      </c>
      <c r="S36" s="270"/>
      <c r="T36" s="260">
        <v>0.6</v>
      </c>
      <c r="U36" s="260">
        <f t="shared" si="13"/>
        <v>0.1</v>
      </c>
      <c r="V36" s="260">
        <f t="shared" si="14"/>
        <v>0</v>
      </c>
      <c r="W36" s="271"/>
      <c r="X36" s="271"/>
      <c r="Y36" s="271"/>
      <c r="Z36" s="271"/>
      <c r="AA36" s="271"/>
      <c r="AB36" s="271"/>
      <c r="AC36" s="271"/>
      <c r="AD36" s="272"/>
      <c r="AE36" s="271"/>
      <c r="AF36" s="271"/>
      <c r="AG36" s="271"/>
      <c r="AH36" s="273"/>
      <c r="AI36" s="278"/>
      <c r="AJ36" s="271"/>
      <c r="AK36" s="271"/>
      <c r="AL36" s="271">
        <v>0.1</v>
      </c>
      <c r="AM36" s="271"/>
      <c r="AN36" s="271"/>
      <c r="AO36" s="271"/>
      <c r="AP36" s="271"/>
      <c r="AQ36" s="271"/>
      <c r="AR36" s="271"/>
      <c r="AS36" s="271"/>
      <c r="AT36" s="271"/>
      <c r="AU36" s="271"/>
      <c r="AV36" s="271"/>
      <c r="AW36" s="271"/>
      <c r="AX36" s="271"/>
      <c r="AY36" s="271"/>
      <c r="AZ36" s="271"/>
      <c r="BA36" s="271"/>
      <c r="BB36" s="271"/>
      <c r="BC36" s="271"/>
      <c r="BD36" s="271"/>
      <c r="BE36" s="271"/>
      <c r="BF36" s="271"/>
      <c r="BG36" s="271"/>
      <c r="BH36" s="271"/>
      <c r="BI36" s="271"/>
      <c r="BJ36" s="271"/>
      <c r="BK36" s="271"/>
      <c r="BL36" s="271"/>
      <c r="BM36" s="271"/>
      <c r="BN36" s="271"/>
      <c r="BO36" s="272"/>
      <c r="BP36" s="272"/>
      <c r="BQ36" s="272"/>
      <c r="BR36" s="272"/>
      <c r="BS36" s="272"/>
      <c r="BT36" s="272"/>
      <c r="BU36" s="272"/>
      <c r="BV36" s="271"/>
      <c r="BW36" s="271"/>
      <c r="BX36" s="271"/>
      <c r="BY36" s="271"/>
      <c r="BZ36" s="271"/>
      <c r="CA36" s="271"/>
      <c r="CB36" s="271"/>
      <c r="CC36" s="271"/>
      <c r="CD36" s="271"/>
      <c r="CE36" s="271"/>
      <c r="CF36" s="271"/>
      <c r="CG36" s="271"/>
      <c r="CH36" s="271"/>
      <c r="CI36" s="271"/>
    </row>
    <row r="37" spans="1:87" ht="16.2" outlineLevel="1">
      <c r="A37" s="264" t="str">
        <f t="shared" si="11"/>
        <v>modesg_param_sfcs_taxon_europeiamontante_pndrc</v>
      </c>
      <c r="B37" s="141" t="s">
        <v>26</v>
      </c>
      <c r="C37" s="137" t="s">
        <v>181</v>
      </c>
      <c r="D37" s="226" t="s">
        <v>40</v>
      </c>
      <c r="E37" s="227" t="s">
        <v>182</v>
      </c>
      <c r="F37" s="227"/>
      <c r="G37" s="226" t="s">
        <v>202</v>
      </c>
      <c r="H37" s="226" t="e">
        <f>VLOOKUP(A37,'2. Status Detalhe Campos FY24'!$A$7:$G$732,7,0)</f>
        <v>#N/A</v>
      </c>
      <c r="I37" s="266" t="s">
        <v>38</v>
      </c>
      <c r="J37" s="275">
        <v>45603</v>
      </c>
      <c r="K37" s="266">
        <v>45604</v>
      </c>
      <c r="L37" s="280">
        <f t="array" ref="L37">MIN(IF(W37:CI37&gt;0,$W$16:$CI$16))</f>
        <v>45609</v>
      </c>
      <c r="M37" s="281">
        <f t="array" ref="M37">MAX(IF(W37:CI37&gt;0,$W$16:$CI$16))</f>
        <v>45609</v>
      </c>
      <c r="N37" s="281"/>
      <c r="O37" s="239" t="e">
        <f>VLOOKUP(H37,Auxiliar!$B$16:$E$24,4,0)</f>
        <v>#N/A</v>
      </c>
      <c r="P37" s="239">
        <f t="shared" ca="1" si="12"/>
        <v>1</v>
      </c>
      <c r="Q37" s="238" t="e">
        <f t="shared" ca="1" si="6"/>
        <v>#N/A</v>
      </c>
      <c r="R37" s="252" t="s">
        <v>38</v>
      </c>
      <c r="S37" s="270"/>
      <c r="T37" s="260">
        <v>0.6</v>
      </c>
      <c r="U37" s="260">
        <f t="shared" si="13"/>
        <v>0.1</v>
      </c>
      <c r="V37" s="260">
        <f t="shared" si="14"/>
        <v>0</v>
      </c>
      <c r="W37" s="271"/>
      <c r="X37" s="271"/>
      <c r="Y37" s="271"/>
      <c r="Z37" s="271"/>
      <c r="AA37" s="271"/>
      <c r="AB37" s="271"/>
      <c r="AC37" s="271"/>
      <c r="AD37" s="272"/>
      <c r="AE37" s="271"/>
      <c r="AF37" s="271"/>
      <c r="AG37" s="271"/>
      <c r="AH37" s="273"/>
      <c r="AI37" s="278"/>
      <c r="AJ37" s="271"/>
      <c r="AK37" s="271"/>
      <c r="AL37" s="271">
        <v>0.1</v>
      </c>
      <c r="AM37" s="271"/>
      <c r="AN37" s="271"/>
      <c r="AO37" s="271"/>
      <c r="AP37" s="271"/>
      <c r="AQ37" s="271"/>
      <c r="AR37" s="271"/>
      <c r="AS37" s="271"/>
      <c r="AT37" s="271"/>
      <c r="AU37" s="271"/>
      <c r="AV37" s="271"/>
      <c r="AW37" s="271"/>
      <c r="AX37" s="271"/>
      <c r="AY37" s="271"/>
      <c r="AZ37" s="271"/>
      <c r="BA37" s="271"/>
      <c r="BB37" s="271"/>
      <c r="BC37" s="271"/>
      <c r="BD37" s="271"/>
      <c r="BE37" s="271"/>
      <c r="BF37" s="271"/>
      <c r="BG37" s="271"/>
      <c r="BH37" s="271"/>
      <c r="BI37" s="271"/>
      <c r="BJ37" s="271"/>
      <c r="BK37" s="271"/>
      <c r="BL37" s="271"/>
      <c r="BM37" s="271"/>
      <c r="BN37" s="271"/>
      <c r="BO37" s="272"/>
      <c r="BP37" s="272"/>
      <c r="BQ37" s="272"/>
      <c r="BR37" s="272"/>
      <c r="BS37" s="272"/>
      <c r="BT37" s="272"/>
      <c r="BU37" s="272"/>
      <c r="BV37" s="271"/>
      <c r="BW37" s="271"/>
      <c r="BX37" s="271"/>
      <c r="BY37" s="271"/>
      <c r="BZ37" s="271"/>
      <c r="CA37" s="271"/>
      <c r="CB37" s="271"/>
      <c r="CC37" s="271"/>
      <c r="CD37" s="271"/>
      <c r="CE37" s="271"/>
      <c r="CF37" s="271"/>
      <c r="CG37" s="271"/>
      <c r="CH37" s="271"/>
      <c r="CI37" s="271"/>
    </row>
    <row r="38" spans="1:87" ht="16.2" outlineLevel="1">
      <c r="A38" s="264" t="str">
        <f t="shared" si="11"/>
        <v>modesg_param_sfcs_taxon_europeianome_general_specific_purpose</v>
      </c>
      <c r="B38" s="141" t="s">
        <v>26</v>
      </c>
      <c r="C38" s="137" t="s">
        <v>181</v>
      </c>
      <c r="D38" s="226" t="s">
        <v>40</v>
      </c>
      <c r="E38" s="227" t="s">
        <v>182</v>
      </c>
      <c r="F38" s="227"/>
      <c r="G38" s="226" t="s">
        <v>204</v>
      </c>
      <c r="H38" s="226" t="e">
        <f>VLOOKUP(A38,'2. Status Detalhe Campos FY24'!$A$7:$G$732,7,0)</f>
        <v>#N/A</v>
      </c>
      <c r="I38" s="266" t="s">
        <v>38</v>
      </c>
      <c r="J38" s="275">
        <v>45603</v>
      </c>
      <c r="K38" s="266">
        <v>45604</v>
      </c>
      <c r="L38" s="280">
        <f t="array" ref="L38">MIN(IF(W38:CI38&gt;0,$W$16:$CI$16))</f>
        <v>45609</v>
      </c>
      <c r="M38" s="281">
        <f t="array" ref="M38">MAX(IF(W38:CI38&gt;0,$W$16:$CI$16))</f>
        <v>45609</v>
      </c>
      <c r="N38" s="281"/>
      <c r="O38" s="239" t="e">
        <f>VLOOKUP(H38,Auxiliar!$B$16:$E$24,4,0)</f>
        <v>#N/A</v>
      </c>
      <c r="P38" s="239">
        <f t="shared" ca="1" si="12"/>
        <v>1</v>
      </c>
      <c r="Q38" s="238" t="e">
        <f t="shared" ca="1" si="6"/>
        <v>#N/A</v>
      </c>
      <c r="R38" s="252" t="s">
        <v>38</v>
      </c>
      <c r="S38" s="270"/>
      <c r="T38" s="260">
        <v>0.6</v>
      </c>
      <c r="U38" s="260">
        <f t="shared" si="13"/>
        <v>0.1</v>
      </c>
      <c r="V38" s="260">
        <f t="shared" si="14"/>
        <v>0</v>
      </c>
      <c r="W38" s="271"/>
      <c r="X38" s="271"/>
      <c r="Y38" s="271"/>
      <c r="Z38" s="271"/>
      <c r="AA38" s="271"/>
      <c r="AB38" s="271"/>
      <c r="AC38" s="271"/>
      <c r="AD38" s="272"/>
      <c r="AE38" s="271"/>
      <c r="AF38" s="271"/>
      <c r="AG38" s="271"/>
      <c r="AH38" s="273"/>
      <c r="AI38" s="278"/>
      <c r="AJ38" s="271"/>
      <c r="AK38" s="271"/>
      <c r="AL38" s="271">
        <v>0.1</v>
      </c>
      <c r="AM38" s="271"/>
      <c r="AN38" s="271"/>
      <c r="AO38" s="271"/>
      <c r="AP38" s="271"/>
      <c r="AQ38" s="271"/>
      <c r="AR38" s="271"/>
      <c r="AS38" s="271"/>
      <c r="AT38" s="271"/>
      <c r="AU38" s="271"/>
      <c r="AV38" s="271"/>
      <c r="AW38" s="271"/>
      <c r="AX38" s="271"/>
      <c r="AY38" s="271"/>
      <c r="AZ38" s="271"/>
      <c r="BA38" s="271"/>
      <c r="BB38" s="271"/>
      <c r="BC38" s="271"/>
      <c r="BD38" s="271"/>
      <c r="BE38" s="271"/>
      <c r="BF38" s="271"/>
      <c r="BG38" s="271"/>
      <c r="BH38" s="271"/>
      <c r="BI38" s="271"/>
      <c r="BJ38" s="271"/>
      <c r="BK38" s="271"/>
      <c r="BL38" s="271"/>
      <c r="BM38" s="271"/>
      <c r="BN38" s="271"/>
      <c r="BO38" s="272"/>
      <c r="BP38" s="272"/>
      <c r="BQ38" s="272"/>
      <c r="BR38" s="272"/>
      <c r="BS38" s="272"/>
      <c r="BT38" s="272"/>
      <c r="BU38" s="272"/>
      <c r="BV38" s="271"/>
      <c r="BW38" s="271"/>
      <c r="BX38" s="271"/>
      <c r="BY38" s="271"/>
      <c r="BZ38" s="271"/>
      <c r="CA38" s="271"/>
      <c r="CB38" s="271"/>
      <c r="CC38" s="271"/>
      <c r="CD38" s="271"/>
      <c r="CE38" s="271"/>
      <c r="CF38" s="271"/>
      <c r="CG38" s="271"/>
      <c r="CH38" s="271"/>
      <c r="CI38" s="271"/>
    </row>
    <row r="39" spans="1:87" ht="16.2" outlineLevel="1">
      <c r="A39" s="264" t="str">
        <f t="shared" si="11"/>
        <v>modesg_param_sfcs_taxon_europeianome_purpose_esg</v>
      </c>
      <c r="B39" s="141" t="s">
        <v>26</v>
      </c>
      <c r="C39" s="137" t="s">
        <v>181</v>
      </c>
      <c r="D39" s="226" t="s">
        <v>40</v>
      </c>
      <c r="E39" s="227" t="s">
        <v>182</v>
      </c>
      <c r="F39" s="227"/>
      <c r="G39" s="226" t="s">
        <v>205</v>
      </c>
      <c r="H39" s="226" t="e">
        <f>VLOOKUP(A39,'2. Status Detalhe Campos FY24'!$A$7:$G$732,7,0)</f>
        <v>#N/A</v>
      </c>
      <c r="I39" s="266" t="s">
        <v>38</v>
      </c>
      <c r="J39" s="275">
        <v>45603</v>
      </c>
      <c r="K39" s="266">
        <v>45604</v>
      </c>
      <c r="L39" s="280">
        <f t="array" ref="L39">MIN(IF(W39:CI39&gt;0,$W$16:$CI$16))</f>
        <v>45609</v>
      </c>
      <c r="M39" s="281">
        <f t="array" ref="M39">MAX(IF(W39:CI39&gt;0,$W$16:$CI$16))</f>
        <v>45609</v>
      </c>
      <c r="N39" s="281"/>
      <c r="O39" s="239" t="e">
        <f>VLOOKUP(H39,Auxiliar!$B$16:$E$24,4,0)</f>
        <v>#N/A</v>
      </c>
      <c r="P39" s="239">
        <f t="shared" ca="1" si="12"/>
        <v>1</v>
      </c>
      <c r="Q39" s="238" t="e">
        <f t="shared" ca="1" si="6"/>
        <v>#N/A</v>
      </c>
      <c r="R39" s="252" t="s">
        <v>38</v>
      </c>
      <c r="S39" s="270"/>
      <c r="T39" s="260">
        <v>0.6</v>
      </c>
      <c r="U39" s="260">
        <f t="shared" si="13"/>
        <v>0.1</v>
      </c>
      <c r="V39" s="260">
        <f t="shared" si="14"/>
        <v>0</v>
      </c>
      <c r="W39" s="271"/>
      <c r="X39" s="271"/>
      <c r="Y39" s="271"/>
      <c r="Z39" s="271"/>
      <c r="AA39" s="271"/>
      <c r="AB39" s="271"/>
      <c r="AC39" s="271"/>
      <c r="AD39" s="272"/>
      <c r="AE39" s="271"/>
      <c r="AF39" s="271"/>
      <c r="AG39" s="271"/>
      <c r="AH39" s="273"/>
      <c r="AI39" s="278"/>
      <c r="AJ39" s="271"/>
      <c r="AK39" s="271"/>
      <c r="AL39" s="271">
        <v>0.1</v>
      </c>
      <c r="AM39" s="271"/>
      <c r="AN39" s="271"/>
      <c r="AO39" s="271"/>
      <c r="AP39" s="271"/>
      <c r="AQ39" s="271"/>
      <c r="AR39" s="271"/>
      <c r="AS39" s="271"/>
      <c r="AT39" s="271"/>
      <c r="AU39" s="271"/>
      <c r="AV39" s="271"/>
      <c r="AW39" s="271"/>
      <c r="AX39" s="271"/>
      <c r="AY39" s="271"/>
      <c r="AZ39" s="271"/>
      <c r="BA39" s="271"/>
      <c r="BB39" s="271"/>
      <c r="BC39" s="271"/>
      <c r="BD39" s="271"/>
      <c r="BE39" s="271"/>
      <c r="BF39" s="271"/>
      <c r="BG39" s="271"/>
      <c r="BH39" s="271"/>
      <c r="BI39" s="271"/>
      <c r="BJ39" s="271"/>
      <c r="BK39" s="271"/>
      <c r="BL39" s="271"/>
      <c r="BM39" s="271"/>
      <c r="BN39" s="271"/>
      <c r="BO39" s="272"/>
      <c r="BP39" s="272"/>
      <c r="BQ39" s="272"/>
      <c r="BR39" s="272"/>
      <c r="BS39" s="272"/>
      <c r="BT39" s="272"/>
      <c r="BU39" s="272"/>
      <c r="BV39" s="271"/>
      <c r="BW39" s="271"/>
      <c r="BX39" s="271"/>
      <c r="BY39" s="271"/>
      <c r="BZ39" s="271"/>
      <c r="CA39" s="271"/>
      <c r="CB39" s="271"/>
      <c r="CC39" s="271"/>
      <c r="CD39" s="271"/>
      <c r="CE39" s="271"/>
      <c r="CF39" s="271"/>
      <c r="CG39" s="271"/>
      <c r="CH39" s="271"/>
      <c r="CI39" s="271"/>
    </row>
    <row r="40" spans="1:87" ht="16.2" outlineLevel="1">
      <c r="A40" s="264" t="str">
        <f t="shared" si="11"/>
        <v>modesg_param_sfcs_taxon_europeianome_specific_eligible</v>
      </c>
      <c r="B40" s="141" t="s">
        <v>26</v>
      </c>
      <c r="C40" s="137" t="s">
        <v>181</v>
      </c>
      <c r="D40" s="226" t="s">
        <v>40</v>
      </c>
      <c r="E40" s="227" t="s">
        <v>182</v>
      </c>
      <c r="F40" s="227"/>
      <c r="G40" s="226" t="s">
        <v>206</v>
      </c>
      <c r="H40" s="226" t="e">
        <f>VLOOKUP(A40,'2. Status Detalhe Campos FY24'!$A$7:$G$732,7,0)</f>
        <v>#N/A</v>
      </c>
      <c r="I40" s="266" t="s">
        <v>38</v>
      </c>
      <c r="J40" s="275">
        <v>45603</v>
      </c>
      <c r="K40" s="266">
        <v>45604</v>
      </c>
      <c r="L40" s="280">
        <f t="array" ref="L40">MIN(IF(W40:CI40&gt;0,$W$16:$CI$16))</f>
        <v>45609</v>
      </c>
      <c r="M40" s="281">
        <f t="array" ref="M40">MAX(IF(W40:CI40&gt;0,$W$16:$CI$16))</f>
        <v>45609</v>
      </c>
      <c r="N40" s="281"/>
      <c r="O40" s="239" t="e">
        <f>VLOOKUP(H40,Auxiliar!$B$16:$E$24,4,0)</f>
        <v>#N/A</v>
      </c>
      <c r="P40" s="239">
        <f t="shared" ca="1" si="12"/>
        <v>1</v>
      </c>
      <c r="Q40" s="238" t="e">
        <f t="shared" ca="1" si="6"/>
        <v>#N/A</v>
      </c>
      <c r="R40" s="252" t="s">
        <v>38</v>
      </c>
      <c r="S40" s="270"/>
      <c r="T40" s="260">
        <v>0.6</v>
      </c>
      <c r="U40" s="260">
        <f t="shared" si="13"/>
        <v>0.1</v>
      </c>
      <c r="V40" s="260">
        <f t="shared" si="14"/>
        <v>0</v>
      </c>
      <c r="W40" s="271"/>
      <c r="X40" s="271"/>
      <c r="Y40" s="271"/>
      <c r="Z40" s="271"/>
      <c r="AA40" s="271"/>
      <c r="AB40" s="271"/>
      <c r="AC40" s="271"/>
      <c r="AD40" s="272"/>
      <c r="AE40" s="271"/>
      <c r="AF40" s="271"/>
      <c r="AG40" s="271"/>
      <c r="AH40" s="273"/>
      <c r="AI40" s="278"/>
      <c r="AJ40" s="271"/>
      <c r="AK40" s="271"/>
      <c r="AL40" s="271">
        <v>0.1</v>
      </c>
      <c r="AM40" s="271"/>
      <c r="AN40" s="271"/>
      <c r="AO40" s="271"/>
      <c r="AP40" s="271"/>
      <c r="AQ40" s="271"/>
      <c r="AR40" s="271"/>
      <c r="AS40" s="271"/>
      <c r="AT40" s="271"/>
      <c r="AU40" s="271"/>
      <c r="AV40" s="271"/>
      <c r="AW40" s="271"/>
      <c r="AX40" s="271"/>
      <c r="AY40" s="271"/>
      <c r="AZ40" s="271"/>
      <c r="BA40" s="271"/>
      <c r="BB40" s="271"/>
      <c r="BC40" s="271"/>
      <c r="BD40" s="271"/>
      <c r="BE40" s="271"/>
      <c r="BF40" s="271"/>
      <c r="BG40" s="271"/>
      <c r="BH40" s="271"/>
      <c r="BI40" s="271"/>
      <c r="BJ40" s="271"/>
      <c r="BK40" s="271"/>
      <c r="BL40" s="271"/>
      <c r="BM40" s="271"/>
      <c r="BN40" s="271"/>
      <c r="BO40" s="272"/>
      <c r="BP40" s="272"/>
      <c r="BQ40" s="272"/>
      <c r="BR40" s="272"/>
      <c r="BS40" s="272"/>
      <c r="BT40" s="272"/>
      <c r="BU40" s="272"/>
      <c r="BV40" s="271"/>
      <c r="BW40" s="271"/>
      <c r="BX40" s="271"/>
      <c r="BY40" s="271"/>
      <c r="BZ40" s="271"/>
      <c r="CA40" s="271"/>
      <c r="CB40" s="271"/>
      <c r="CC40" s="271"/>
      <c r="CD40" s="271"/>
      <c r="CE40" s="271"/>
      <c r="CF40" s="271"/>
      <c r="CG40" s="271"/>
      <c r="CH40" s="271"/>
      <c r="CI40" s="271"/>
    </row>
    <row r="41" spans="1:87" ht="16.2" outlineLevel="1">
      <c r="A41" s="264" t="str">
        <f t="shared" si="11"/>
        <v>modesg_param_sfcs_taxon_europeianome_specific_sustainable</v>
      </c>
      <c r="B41" s="141" t="s">
        <v>26</v>
      </c>
      <c r="C41" s="137" t="s">
        <v>181</v>
      </c>
      <c r="D41" s="226" t="s">
        <v>40</v>
      </c>
      <c r="E41" s="227" t="s">
        <v>182</v>
      </c>
      <c r="F41" s="227"/>
      <c r="G41" s="226" t="s">
        <v>207</v>
      </c>
      <c r="H41" s="226" t="e">
        <f>VLOOKUP(A41,'2. Status Detalhe Campos FY24'!$A$7:$G$732,7,0)</f>
        <v>#N/A</v>
      </c>
      <c r="I41" s="266" t="s">
        <v>38</v>
      </c>
      <c r="J41" s="275">
        <v>45603</v>
      </c>
      <c r="K41" s="266">
        <v>45604</v>
      </c>
      <c r="L41" s="280">
        <f t="array" ref="L41">MIN(IF(W41:CI41&gt;0,$W$16:$CI$16))</f>
        <v>45609</v>
      </c>
      <c r="M41" s="281">
        <f t="array" ref="M41">MAX(IF(W41:CI41&gt;0,$W$16:$CI$16))</f>
        <v>45609</v>
      </c>
      <c r="N41" s="281"/>
      <c r="O41" s="239" t="e">
        <f>VLOOKUP(H41,Auxiliar!$B$16:$E$24,4,0)</f>
        <v>#N/A</v>
      </c>
      <c r="P41" s="239">
        <f t="shared" ca="1" si="12"/>
        <v>1</v>
      </c>
      <c r="Q41" s="238" t="e">
        <f t="shared" ca="1" si="6"/>
        <v>#N/A</v>
      </c>
      <c r="R41" s="252" t="s">
        <v>38</v>
      </c>
      <c r="S41" s="270"/>
      <c r="T41" s="260">
        <v>0.6</v>
      </c>
      <c r="U41" s="260">
        <f t="shared" si="13"/>
        <v>0.1</v>
      </c>
      <c r="V41" s="260">
        <f t="shared" si="14"/>
        <v>0</v>
      </c>
      <c r="W41" s="271"/>
      <c r="X41" s="271"/>
      <c r="Y41" s="271"/>
      <c r="Z41" s="271"/>
      <c r="AA41" s="271"/>
      <c r="AB41" s="271"/>
      <c r="AC41" s="271"/>
      <c r="AD41" s="272"/>
      <c r="AE41" s="271"/>
      <c r="AF41" s="271"/>
      <c r="AG41" s="271"/>
      <c r="AH41" s="273"/>
      <c r="AI41" s="278"/>
      <c r="AJ41" s="271"/>
      <c r="AK41" s="271"/>
      <c r="AL41" s="271">
        <v>0.1</v>
      </c>
      <c r="AM41" s="271"/>
      <c r="AN41" s="271"/>
      <c r="AO41" s="271"/>
      <c r="AP41" s="271"/>
      <c r="AQ41" s="271"/>
      <c r="AR41" s="271"/>
      <c r="AS41" s="271"/>
      <c r="AT41" s="271"/>
      <c r="AU41" s="271"/>
      <c r="AV41" s="271"/>
      <c r="AW41" s="271"/>
      <c r="AX41" s="271"/>
      <c r="AY41" s="271"/>
      <c r="AZ41" s="271"/>
      <c r="BA41" s="271"/>
      <c r="BB41" s="271"/>
      <c r="BC41" s="271"/>
      <c r="BD41" s="271"/>
      <c r="BE41" s="271"/>
      <c r="BF41" s="271"/>
      <c r="BG41" s="271"/>
      <c r="BH41" s="271"/>
      <c r="BI41" s="271"/>
      <c r="BJ41" s="271"/>
      <c r="BK41" s="271"/>
      <c r="BL41" s="271"/>
      <c r="BM41" s="271"/>
      <c r="BN41" s="271"/>
      <c r="BO41" s="272"/>
      <c r="BP41" s="272"/>
      <c r="BQ41" s="272"/>
      <c r="BR41" s="272"/>
      <c r="BS41" s="272"/>
      <c r="BT41" s="272"/>
      <c r="BU41" s="272"/>
      <c r="BV41" s="271"/>
      <c r="BW41" s="271"/>
      <c r="BX41" s="271"/>
      <c r="BY41" s="271"/>
      <c r="BZ41" s="271"/>
      <c r="CA41" s="271"/>
      <c r="CB41" s="271"/>
      <c r="CC41" s="271"/>
      <c r="CD41" s="271"/>
      <c r="CE41" s="271"/>
      <c r="CF41" s="271"/>
      <c r="CG41" s="271"/>
      <c r="CH41" s="271"/>
      <c r="CI41" s="271"/>
    </row>
    <row r="42" spans="1:87" ht="16.2" outlineLevel="1">
      <c r="A42" s="264" t="str">
        <f t="shared" si="11"/>
        <v>modesg_param_sfcs_taxon_europeiazcliente</v>
      </c>
      <c r="B42" s="141" t="s">
        <v>26</v>
      </c>
      <c r="C42" s="137" t="s">
        <v>181</v>
      </c>
      <c r="D42" s="226" t="s">
        <v>40</v>
      </c>
      <c r="E42" s="227" t="s">
        <v>182</v>
      </c>
      <c r="F42" s="227"/>
      <c r="G42" s="226" t="s">
        <v>209</v>
      </c>
      <c r="H42" s="226" t="e">
        <f>VLOOKUP(A42,'2. Status Detalhe Campos FY24'!$A$7:$G$732,7,0)</f>
        <v>#N/A</v>
      </c>
      <c r="I42" s="266" t="s">
        <v>38</v>
      </c>
      <c r="J42" s="275">
        <v>45603</v>
      </c>
      <c r="K42" s="266">
        <v>45604</v>
      </c>
      <c r="L42" s="280">
        <f t="array" ref="L42">MIN(IF(W42:CI42&gt;0,$W$16:$CI$16))</f>
        <v>45609</v>
      </c>
      <c r="M42" s="281">
        <f t="array" ref="M42">MAX(IF(W42:CI42&gt;0,$W$16:$CI$16))</f>
        <v>45609</v>
      </c>
      <c r="N42" s="281"/>
      <c r="O42" s="239" t="e">
        <f>VLOOKUP(H42,Auxiliar!$B$16:$E$24,4,0)</f>
        <v>#N/A</v>
      </c>
      <c r="P42" s="239">
        <f t="shared" ca="1" si="12"/>
        <v>1</v>
      </c>
      <c r="Q42" s="238" t="e">
        <f t="shared" ca="1" si="6"/>
        <v>#N/A</v>
      </c>
      <c r="R42" s="252" t="s">
        <v>38</v>
      </c>
      <c r="S42" s="270"/>
      <c r="T42" s="260">
        <v>0.6</v>
      </c>
      <c r="U42" s="260">
        <f t="shared" si="13"/>
        <v>0.1</v>
      </c>
      <c r="V42" s="260">
        <f t="shared" si="14"/>
        <v>0</v>
      </c>
      <c r="W42" s="271"/>
      <c r="X42" s="271"/>
      <c r="Y42" s="271"/>
      <c r="Z42" s="271"/>
      <c r="AA42" s="271"/>
      <c r="AB42" s="271"/>
      <c r="AC42" s="271"/>
      <c r="AD42" s="272"/>
      <c r="AE42" s="271"/>
      <c r="AF42" s="271"/>
      <c r="AG42" s="271"/>
      <c r="AH42" s="273"/>
      <c r="AI42" s="278"/>
      <c r="AJ42" s="271"/>
      <c r="AK42" s="271"/>
      <c r="AL42" s="271">
        <v>0.1</v>
      </c>
      <c r="AM42" s="271"/>
      <c r="AN42" s="271"/>
      <c r="AO42" s="271"/>
      <c r="AP42" s="271"/>
      <c r="AQ42" s="271"/>
      <c r="AR42" s="271"/>
      <c r="AS42" s="271"/>
      <c r="AT42" s="271"/>
      <c r="AU42" s="271"/>
      <c r="AV42" s="271"/>
      <c r="AW42" s="271"/>
      <c r="AX42" s="271"/>
      <c r="AY42" s="271"/>
      <c r="AZ42" s="271"/>
      <c r="BA42" s="271"/>
      <c r="BB42" s="271"/>
      <c r="BC42" s="271"/>
      <c r="BD42" s="271"/>
      <c r="BE42" s="271"/>
      <c r="BF42" s="271"/>
      <c r="BG42" s="271"/>
      <c r="BH42" s="271"/>
      <c r="BI42" s="271"/>
      <c r="BJ42" s="271"/>
      <c r="BK42" s="271"/>
      <c r="BL42" s="271"/>
      <c r="BM42" s="271"/>
      <c r="BN42" s="271"/>
      <c r="BO42" s="272"/>
      <c r="BP42" s="272"/>
      <c r="BQ42" s="272"/>
      <c r="BR42" s="272"/>
      <c r="BS42" s="272"/>
      <c r="BT42" s="272"/>
      <c r="BU42" s="272"/>
      <c r="BV42" s="271"/>
      <c r="BW42" s="271"/>
      <c r="BX42" s="271"/>
      <c r="BY42" s="271"/>
      <c r="BZ42" s="271"/>
      <c r="CA42" s="271"/>
      <c r="CB42" s="271"/>
      <c r="CC42" s="271"/>
      <c r="CD42" s="271"/>
      <c r="CE42" s="271"/>
      <c r="CF42" s="271"/>
      <c r="CG42" s="271"/>
      <c r="CH42" s="271"/>
      <c r="CI42" s="271"/>
    </row>
    <row r="43" spans="1:87" ht="16.2" outlineLevel="1">
      <c r="A43" s="264" t="str">
        <f t="shared" si="11"/>
        <v>modesg_param_sfcs_taxon_europeiazdeposit</v>
      </c>
      <c r="B43" s="141" t="s">
        <v>26</v>
      </c>
      <c r="C43" s="137" t="s">
        <v>181</v>
      </c>
      <c r="D43" s="226" t="s">
        <v>40</v>
      </c>
      <c r="E43" s="227" t="s">
        <v>182</v>
      </c>
      <c r="F43" s="227"/>
      <c r="G43" s="226" t="s">
        <v>210</v>
      </c>
      <c r="H43" s="226" t="e">
        <f>VLOOKUP(A43,'2. Status Detalhe Campos FY24'!$A$7:$G$732,7,0)</f>
        <v>#N/A</v>
      </c>
      <c r="I43" s="266" t="s">
        <v>38</v>
      </c>
      <c r="J43" s="275">
        <v>45603</v>
      </c>
      <c r="K43" s="266">
        <v>45604</v>
      </c>
      <c r="L43" s="280">
        <f t="array" ref="L43">MIN(IF(W43:CI43&gt;0,$W$16:$CI$16))</f>
        <v>45609</v>
      </c>
      <c r="M43" s="281">
        <f t="array" ref="M43">MAX(IF(W43:CI43&gt;0,$W$16:$CI$16))</f>
        <v>45609</v>
      </c>
      <c r="N43" s="281"/>
      <c r="O43" s="239" t="e">
        <f>VLOOKUP(H43,Auxiliar!$B$16:$E$24,4,0)</f>
        <v>#N/A</v>
      </c>
      <c r="P43" s="239">
        <f t="shared" ca="1" si="12"/>
        <v>1</v>
      </c>
      <c r="Q43" s="238" t="e">
        <f t="shared" ca="1" si="6"/>
        <v>#N/A</v>
      </c>
      <c r="R43" s="252" t="s">
        <v>38</v>
      </c>
      <c r="S43" s="270"/>
      <c r="T43" s="260">
        <v>0.6</v>
      </c>
      <c r="U43" s="260">
        <f t="shared" si="13"/>
        <v>0.1</v>
      </c>
      <c r="V43" s="260">
        <f t="shared" si="14"/>
        <v>0</v>
      </c>
      <c r="W43" s="271"/>
      <c r="X43" s="271"/>
      <c r="Y43" s="271"/>
      <c r="Z43" s="271"/>
      <c r="AA43" s="271"/>
      <c r="AB43" s="271"/>
      <c r="AC43" s="271"/>
      <c r="AD43" s="272"/>
      <c r="AE43" s="271"/>
      <c r="AF43" s="271"/>
      <c r="AG43" s="271"/>
      <c r="AH43" s="273"/>
      <c r="AI43" s="278"/>
      <c r="AJ43" s="271"/>
      <c r="AK43" s="271"/>
      <c r="AL43" s="271">
        <v>0.1</v>
      </c>
      <c r="AM43" s="271"/>
      <c r="AN43" s="271"/>
      <c r="AO43" s="271"/>
      <c r="AP43" s="271"/>
      <c r="AQ43" s="271"/>
      <c r="AR43" s="271"/>
      <c r="AS43" s="271"/>
      <c r="AT43" s="271"/>
      <c r="AU43" s="271"/>
      <c r="AV43" s="271"/>
      <c r="AW43" s="271"/>
      <c r="AX43" s="271"/>
      <c r="AY43" s="271"/>
      <c r="AZ43" s="271"/>
      <c r="BA43" s="271"/>
      <c r="BB43" s="271"/>
      <c r="BC43" s="271"/>
      <c r="BD43" s="271"/>
      <c r="BE43" s="271"/>
      <c r="BF43" s="271"/>
      <c r="BG43" s="271"/>
      <c r="BH43" s="271"/>
      <c r="BI43" s="271"/>
      <c r="BJ43" s="271"/>
      <c r="BK43" s="271"/>
      <c r="BL43" s="271"/>
      <c r="BM43" s="271"/>
      <c r="BN43" s="271"/>
      <c r="BO43" s="272"/>
      <c r="BP43" s="272"/>
      <c r="BQ43" s="272"/>
      <c r="BR43" s="272"/>
      <c r="BS43" s="272"/>
      <c r="BT43" s="272"/>
      <c r="BU43" s="272"/>
      <c r="BV43" s="271"/>
      <c r="BW43" s="271"/>
      <c r="BX43" s="271"/>
      <c r="BY43" s="271"/>
      <c r="BZ43" s="271"/>
      <c r="CA43" s="271"/>
      <c r="CB43" s="271"/>
      <c r="CC43" s="271"/>
      <c r="CD43" s="271"/>
      <c r="CE43" s="271"/>
      <c r="CF43" s="271"/>
      <c r="CG43" s="271"/>
      <c r="CH43" s="271"/>
      <c r="CI43" s="271"/>
    </row>
    <row r="44" spans="1:87" ht="15" customHeight="1">
      <c r="A44" s="264"/>
      <c r="B44" s="141" t="s">
        <v>26</v>
      </c>
      <c r="C44" s="137" t="s">
        <v>181</v>
      </c>
      <c r="D44" s="133"/>
      <c r="E44" s="230" t="s">
        <v>182</v>
      </c>
      <c r="F44" s="230" t="s">
        <v>1953</v>
      </c>
      <c r="G44" s="231">
        <f>COUNTA(G45:G45)</f>
        <v>1</v>
      </c>
      <c r="H44" s="284" t="s">
        <v>1950</v>
      </c>
      <c r="I44" s="266" t="s">
        <v>38</v>
      </c>
      <c r="J44" s="267">
        <f>MIN(J45)</f>
        <v>45603</v>
      </c>
      <c r="K44" s="267">
        <f>MIN(K45)</f>
        <v>45604</v>
      </c>
      <c r="L44" s="267">
        <f>MIN(L45:L224)</f>
        <v>45600</v>
      </c>
      <c r="M44" s="267">
        <f>MIN(M45:M224)</f>
        <v>45600</v>
      </c>
      <c r="N44" s="312" t="s">
        <v>1868</v>
      </c>
      <c r="O44" s="304" t="e">
        <f>SUMPRODUCT(O45,U45)/SUM(U45)</f>
        <v>#N/A</v>
      </c>
      <c r="P44" s="304">
        <f ca="1">SUMPRODUCT(P45,U45)/SUM(U45)</f>
        <v>1</v>
      </c>
      <c r="Q44" s="238" t="e">
        <f t="shared" ref="Q44:Q49" ca="1" si="15">O44-P44</f>
        <v>#N/A</v>
      </c>
      <c r="R44" s="252" t="s">
        <v>1969</v>
      </c>
      <c r="S44" s="270"/>
      <c r="T44" s="260"/>
      <c r="U44" s="260"/>
      <c r="V44" s="260"/>
      <c r="W44" s="271"/>
      <c r="X44" s="271"/>
      <c r="Y44" s="271"/>
      <c r="Z44" s="271"/>
      <c r="AA44" s="271"/>
      <c r="AB44" s="271"/>
      <c r="AC44" s="271"/>
      <c r="AD44" s="272"/>
      <c r="AE44" s="271"/>
      <c r="AF44" s="271"/>
      <c r="AG44" s="271"/>
      <c r="AH44" s="273"/>
      <c r="AI44" s="278"/>
      <c r="AJ44" s="271"/>
      <c r="AK44" s="271"/>
      <c r="AL44" s="271"/>
      <c r="AM44" s="271"/>
      <c r="AN44" s="271" t="s">
        <v>443</v>
      </c>
      <c r="AO44" s="271"/>
      <c r="AP44" s="271"/>
      <c r="AQ44" s="271"/>
      <c r="AR44" s="271"/>
      <c r="AS44" s="271"/>
      <c r="AT44" s="271"/>
      <c r="AU44" s="271"/>
      <c r="AV44" s="271"/>
      <c r="AW44" s="271"/>
      <c r="AX44" s="271"/>
      <c r="AY44" s="271"/>
      <c r="AZ44" s="271"/>
      <c r="BA44" s="271"/>
      <c r="BB44" s="271"/>
      <c r="BC44" s="271"/>
      <c r="BD44" s="271"/>
      <c r="BE44" s="271"/>
      <c r="BF44" s="271"/>
      <c r="BG44" s="271"/>
      <c r="BH44" s="271"/>
      <c r="BI44" s="271"/>
      <c r="BJ44" s="271"/>
      <c r="BK44" s="271"/>
      <c r="BL44" s="271"/>
      <c r="BM44" s="271"/>
      <c r="BN44" s="271"/>
      <c r="BO44" s="272"/>
      <c r="BP44" s="272"/>
      <c r="BQ44" s="272"/>
      <c r="BR44" s="272"/>
      <c r="BS44" s="272"/>
      <c r="BT44" s="272"/>
      <c r="BU44" s="272"/>
      <c r="BV44" s="271"/>
      <c r="BW44" s="271"/>
      <c r="BX44" s="271"/>
      <c r="BY44" s="271"/>
      <c r="BZ44" s="271"/>
      <c r="CA44" s="271"/>
      <c r="CB44" s="271"/>
      <c r="CC44" s="271"/>
      <c r="CD44" s="271"/>
      <c r="CE44" s="271"/>
      <c r="CF44" s="271"/>
      <c r="CG44" s="271"/>
      <c r="CH44" s="271"/>
      <c r="CI44" s="271"/>
    </row>
    <row r="45" spans="1:87" ht="16.2" outlineLevel="1">
      <c r="A45" s="264" t="str">
        <f>E45&amp;G45</f>
        <v>modesg_param_sfcs_taxon_europeianome_ctgr_sfcs</v>
      </c>
      <c r="B45" s="141" t="s">
        <v>26</v>
      </c>
      <c r="C45" s="137" t="s">
        <v>181</v>
      </c>
      <c r="D45" s="226" t="s">
        <v>40</v>
      </c>
      <c r="E45" s="227" t="s">
        <v>182</v>
      </c>
      <c r="F45" s="227"/>
      <c r="G45" s="226" t="s">
        <v>203</v>
      </c>
      <c r="H45" s="226" t="e">
        <f>VLOOKUP(A45,'2. Status Detalhe Campos FY24'!$A$7:$G$732,7,0)</f>
        <v>#N/A</v>
      </c>
      <c r="I45" s="266" t="s">
        <v>38</v>
      </c>
      <c r="J45" s="275">
        <v>45603</v>
      </c>
      <c r="K45" s="266">
        <v>45604</v>
      </c>
      <c r="L45" s="280">
        <f t="array" ref="L45">MIN(IF(W45:CI45&gt;0,$W$16:$CI$16))</f>
        <v>45609</v>
      </c>
      <c r="M45" s="281">
        <f t="array" ref="M45">MAX(IF(W45:CI45&gt;0,$W$16:$CI$16))</f>
        <v>45609</v>
      </c>
      <c r="N45" s="281"/>
      <c r="O45" s="239" t="e">
        <f>VLOOKUP(H45,Auxiliar!$B$16:$E$24,4,0)</f>
        <v>#N/A</v>
      </c>
      <c r="P45" s="239">
        <f ca="1">IF(TODAY()&lt;=L45,0,MIN((TODAY()-L45)/(M45-L45+1),100%))</f>
        <v>1</v>
      </c>
      <c r="Q45" s="238" t="e">
        <f t="shared" ca="1" si="15"/>
        <v>#N/A</v>
      </c>
      <c r="R45" s="252" t="s">
        <v>38</v>
      </c>
      <c r="S45" s="270"/>
      <c r="T45" s="260">
        <v>0.6</v>
      </c>
      <c r="U45" s="260">
        <f>ROUND(T45/8,1)</f>
        <v>0.1</v>
      </c>
      <c r="V45" s="260">
        <f>SUM(W45:CI45)-U45</f>
        <v>0</v>
      </c>
      <c r="W45" s="271"/>
      <c r="X45" s="271"/>
      <c r="Y45" s="271"/>
      <c r="Z45" s="271"/>
      <c r="AA45" s="271"/>
      <c r="AB45" s="271"/>
      <c r="AC45" s="271"/>
      <c r="AD45" s="272"/>
      <c r="AE45" s="271"/>
      <c r="AF45" s="271"/>
      <c r="AG45" s="271"/>
      <c r="AH45" s="273"/>
      <c r="AI45" s="278"/>
      <c r="AJ45" s="271"/>
      <c r="AK45" s="271"/>
      <c r="AL45" s="271">
        <v>0.1</v>
      </c>
      <c r="AM45" s="271"/>
      <c r="AN45" s="271"/>
      <c r="AO45" s="271"/>
      <c r="AP45" s="271"/>
      <c r="AQ45" s="271"/>
      <c r="AR45" s="271"/>
      <c r="AS45" s="271"/>
      <c r="AT45" s="271"/>
      <c r="AU45" s="271"/>
      <c r="AV45" s="271"/>
      <c r="AW45" s="271"/>
      <c r="AX45" s="271"/>
      <c r="AY45" s="271"/>
      <c r="AZ45" s="271"/>
      <c r="BA45" s="271"/>
      <c r="BB45" s="271"/>
      <c r="BC45" s="271"/>
      <c r="BD45" s="271"/>
      <c r="BE45" s="271"/>
      <c r="BF45" s="271"/>
      <c r="BG45" s="271"/>
      <c r="BH45" s="271"/>
      <c r="BI45" s="271"/>
      <c r="BJ45" s="271"/>
      <c r="BK45" s="271"/>
      <c r="BL45" s="271"/>
      <c r="BM45" s="271"/>
      <c r="BN45" s="271"/>
      <c r="BO45" s="272"/>
      <c r="BP45" s="272"/>
      <c r="BQ45" s="272"/>
      <c r="BR45" s="272"/>
      <c r="BS45" s="272"/>
      <c r="BT45" s="272"/>
      <c r="BU45" s="272"/>
      <c r="BV45" s="271"/>
      <c r="BW45" s="271"/>
      <c r="BX45" s="271"/>
      <c r="BY45" s="271"/>
      <c r="BZ45" s="271"/>
      <c r="CA45" s="271"/>
      <c r="CB45" s="271"/>
      <c r="CC45" s="271"/>
      <c r="CD45" s="271"/>
      <c r="CE45" s="271"/>
      <c r="CF45" s="271"/>
      <c r="CG45" s="271"/>
      <c r="CH45" s="271"/>
      <c r="CI45" s="271"/>
    </row>
    <row r="46" spans="1:87" ht="16.2">
      <c r="A46" s="264"/>
      <c r="B46" s="141" t="s">
        <v>26</v>
      </c>
      <c r="C46" s="137" t="s">
        <v>310</v>
      </c>
      <c r="D46" s="133"/>
      <c r="E46" s="230" t="s">
        <v>331</v>
      </c>
      <c r="F46" s="230" t="s">
        <v>1889</v>
      </c>
      <c r="G46" s="231">
        <f>COUNTA(G47:G49)</f>
        <v>3</v>
      </c>
      <c r="H46" s="285" t="s">
        <v>1921</v>
      </c>
      <c r="I46" s="266" t="s">
        <v>38</v>
      </c>
      <c r="J46" s="267">
        <f>MIN(J47:J49)</f>
        <v>45607</v>
      </c>
      <c r="K46" s="267">
        <f>MIN(K47:K49)</f>
        <v>45608</v>
      </c>
      <c r="L46" s="267">
        <f>MIN(L47:L49)</f>
        <v>45609</v>
      </c>
      <c r="M46" s="268">
        <f>MAX(M47:M49)</f>
        <v>45618</v>
      </c>
      <c r="N46" s="312">
        <f t="array" ref="N46">MAX(IF(W46:CI46&gt;0,$W$16:$CI$16))</f>
        <v>45618</v>
      </c>
      <c r="O46" s="311">
        <f>SUMPRODUCT(O47:O49,U47:U49)/SUM(U47:U49)</f>
        <v>1</v>
      </c>
      <c r="P46" s="311">
        <f ca="1">SUMPRODUCT(P47:P49,U47:U49)/SUM(U47:U49)</f>
        <v>1</v>
      </c>
      <c r="Q46" s="303">
        <f t="shared" ca="1" si="15"/>
        <v>0</v>
      </c>
      <c r="R46" s="252" t="s">
        <v>38</v>
      </c>
      <c r="S46" s="270"/>
      <c r="T46" s="260"/>
      <c r="U46" s="260"/>
      <c r="V46" s="260"/>
      <c r="W46" s="271"/>
      <c r="X46" s="271"/>
      <c r="Y46" s="271"/>
      <c r="Z46" s="271"/>
      <c r="AA46" s="271"/>
      <c r="AB46" s="271"/>
      <c r="AC46" s="271"/>
      <c r="AD46" s="272"/>
      <c r="AE46" s="271"/>
      <c r="AF46" s="271"/>
      <c r="AG46" s="271"/>
      <c r="AH46" s="271"/>
      <c r="AI46" s="271"/>
      <c r="AJ46" s="273"/>
      <c r="AK46" s="278"/>
      <c r="AL46" s="271"/>
      <c r="AM46" s="271"/>
      <c r="AN46" s="271"/>
      <c r="AO46" s="271"/>
      <c r="AP46" s="271"/>
      <c r="AQ46" s="271"/>
      <c r="AR46" s="271"/>
      <c r="AS46" s="271" t="s">
        <v>443</v>
      </c>
      <c r="AT46" s="271"/>
      <c r="AU46" s="271"/>
      <c r="AV46" s="271"/>
      <c r="AW46" s="271"/>
      <c r="AX46" s="271"/>
      <c r="AY46" s="271"/>
      <c r="AZ46" s="271"/>
      <c r="BA46" s="271"/>
      <c r="BB46" s="271"/>
      <c r="BC46" s="271"/>
      <c r="BD46" s="271"/>
      <c r="BE46" s="271"/>
      <c r="BF46" s="271"/>
      <c r="BG46" s="271"/>
      <c r="BH46" s="271"/>
      <c r="BI46" s="271"/>
      <c r="BJ46" s="271"/>
      <c r="BK46" s="271"/>
      <c r="BL46" s="271"/>
      <c r="BM46" s="271"/>
      <c r="BN46" s="271"/>
      <c r="BO46" s="272"/>
      <c r="BP46" s="272"/>
      <c r="BQ46" s="272"/>
      <c r="BR46" s="272"/>
      <c r="BS46" s="272"/>
      <c r="BT46" s="272"/>
      <c r="BU46" s="272"/>
      <c r="BV46" s="271"/>
      <c r="BW46" s="271"/>
      <c r="BX46" s="271"/>
      <c r="BY46" s="271"/>
      <c r="BZ46" s="271"/>
      <c r="CA46" s="271"/>
      <c r="CB46" s="271"/>
      <c r="CC46" s="271"/>
      <c r="CD46" s="271"/>
      <c r="CE46" s="271"/>
      <c r="CF46" s="271"/>
      <c r="CG46" s="271"/>
      <c r="CH46" s="271"/>
      <c r="CI46" s="271"/>
    </row>
    <row r="47" spans="1:87" ht="16.2" outlineLevel="1">
      <c r="A47" s="264" t="str">
        <f>E47&amp;G47</f>
        <v>modesg_out_emss_vclscnsm_co2</v>
      </c>
      <c r="B47" s="141" t="s">
        <v>26</v>
      </c>
      <c r="C47" s="137" t="s">
        <v>310</v>
      </c>
      <c r="D47" s="226" t="s">
        <v>40</v>
      </c>
      <c r="E47" s="227" t="s">
        <v>331</v>
      </c>
      <c r="F47" s="227"/>
      <c r="G47" s="226" t="s">
        <v>188</v>
      </c>
      <c r="H47" s="226" t="str">
        <f>VLOOKUP(A47,'2. Status Detalhe Campos FY24'!$A$7:$G$732,7,0)</f>
        <v>1. Concluído</v>
      </c>
      <c r="I47" s="266" t="s">
        <v>38</v>
      </c>
      <c r="J47" s="275">
        <v>45607</v>
      </c>
      <c r="K47" s="275">
        <v>45608</v>
      </c>
      <c r="L47" s="280">
        <f t="array" ref="L47">MIN(IF(W47:CI47&gt;0,$W$16:$CI$16))</f>
        <v>45618</v>
      </c>
      <c r="M47" s="281">
        <f t="array" ref="M47">MAX(IF(W47:CI47&gt;0,$W$16:$CI$16))</f>
        <v>45618</v>
      </c>
      <c r="N47" s="281"/>
      <c r="O47" s="239">
        <f>VLOOKUP(H47,Auxiliar!$B$16:$E$24,4,0)</f>
        <v>1</v>
      </c>
      <c r="P47" s="239">
        <f ca="1">IF(TODAY()&lt;=L47,0,MIN((TODAY()-L47)/(M47-L47+1),100%))</f>
        <v>1</v>
      </c>
      <c r="Q47" s="238">
        <f t="shared" ca="1" si="15"/>
        <v>0</v>
      </c>
      <c r="R47" s="252" t="s">
        <v>38</v>
      </c>
      <c r="S47" s="270" t="s">
        <v>1862</v>
      </c>
      <c r="T47" s="260">
        <v>8.1</v>
      </c>
      <c r="U47" s="260">
        <f>ROUND(T47/8,1)</f>
        <v>1</v>
      </c>
      <c r="V47" s="260">
        <f>SUM(W47:CI47)-U47</f>
        <v>0</v>
      </c>
      <c r="W47" s="271"/>
      <c r="X47" s="271"/>
      <c r="Y47" s="271"/>
      <c r="Z47" s="271"/>
      <c r="AA47" s="271"/>
      <c r="AB47" s="271"/>
      <c r="AC47" s="271"/>
      <c r="AD47" s="272"/>
      <c r="AE47" s="271"/>
      <c r="AF47" s="271"/>
      <c r="AG47" s="271"/>
      <c r="AH47" s="271"/>
      <c r="AI47" s="271"/>
      <c r="AJ47" s="273"/>
      <c r="AK47" s="278"/>
      <c r="AL47" s="271"/>
      <c r="AM47" s="271"/>
      <c r="AN47" s="271"/>
      <c r="AO47" s="271"/>
      <c r="AP47" s="271"/>
      <c r="AQ47" s="271"/>
      <c r="AR47" s="271"/>
      <c r="AS47" s="271">
        <v>1</v>
      </c>
      <c r="AT47" s="271"/>
      <c r="AU47" s="271"/>
      <c r="AV47" s="271"/>
      <c r="AW47" s="271"/>
      <c r="AX47" s="271"/>
      <c r="AY47" s="271"/>
      <c r="AZ47" s="271"/>
      <c r="BA47" s="271"/>
      <c r="BB47" s="271"/>
      <c r="BC47" s="271"/>
      <c r="BD47" s="271"/>
      <c r="BE47" s="271"/>
      <c r="BF47" s="271"/>
      <c r="BG47" s="271"/>
      <c r="BH47" s="271"/>
      <c r="BI47" s="271"/>
      <c r="BJ47" s="271"/>
      <c r="BK47" s="271"/>
      <c r="BL47" s="271"/>
      <c r="BM47" s="271"/>
      <c r="BN47" s="271"/>
      <c r="BO47" s="272"/>
      <c r="BP47" s="272"/>
      <c r="BQ47" s="272"/>
      <c r="BR47" s="272"/>
      <c r="BS47" s="272"/>
      <c r="BT47" s="272"/>
      <c r="BU47" s="272"/>
      <c r="BV47" s="271"/>
      <c r="BW47" s="271"/>
      <c r="BX47" s="271"/>
      <c r="BY47" s="271"/>
      <c r="BZ47" s="271"/>
      <c r="CA47" s="271"/>
      <c r="CB47" s="271"/>
      <c r="CC47" s="271"/>
      <c r="CD47" s="271"/>
      <c r="CE47" s="271"/>
      <c r="CF47" s="271"/>
      <c r="CG47" s="271"/>
      <c r="CH47" s="271"/>
      <c r="CI47" s="271"/>
    </row>
    <row r="48" spans="1:87" ht="16.2" outlineLevel="1">
      <c r="A48" s="264" t="str">
        <f>E48&amp;G48</f>
        <v>modesg_out_emss_vclsorigem_scp3_emss</v>
      </c>
      <c r="B48" s="141" t="s">
        <v>26</v>
      </c>
      <c r="C48" s="137" t="s">
        <v>310</v>
      </c>
      <c r="D48" s="226" t="s">
        <v>40</v>
      </c>
      <c r="E48" s="227" t="s">
        <v>331</v>
      </c>
      <c r="F48" s="227"/>
      <c r="G48" s="226" t="s">
        <v>321</v>
      </c>
      <c r="H48" s="226" t="str">
        <f>VLOOKUP(A48,'2. Status Detalhe Campos FY24'!$A$7:$G$732,7,0)</f>
        <v>1. Concluído</v>
      </c>
      <c r="I48" s="266" t="s">
        <v>38</v>
      </c>
      <c r="J48" s="275">
        <v>45607</v>
      </c>
      <c r="K48" s="275">
        <v>45608</v>
      </c>
      <c r="L48" s="280">
        <f t="array" ref="L48">MIN(IF(W48:CI48&gt;0,$W$16:$CI$16))</f>
        <v>45609</v>
      </c>
      <c r="M48" s="281">
        <f t="array" ref="M48">MAX(IF(W48:CI48&gt;0,$W$16:$CI$16))</f>
        <v>45609</v>
      </c>
      <c r="N48" s="281"/>
      <c r="O48" s="239">
        <f>VLOOKUP(H48,Auxiliar!$B$16:$E$24,4,0)</f>
        <v>1</v>
      </c>
      <c r="P48" s="239">
        <f ca="1">IF(TODAY()&lt;=L48,0,MIN((TODAY()-L48)/(M48-L48+1),100%))</f>
        <v>1</v>
      </c>
      <c r="Q48" s="238">
        <f t="shared" ca="1" si="15"/>
        <v>0</v>
      </c>
      <c r="R48" s="252" t="s">
        <v>38</v>
      </c>
      <c r="S48" s="270" t="s">
        <v>1862</v>
      </c>
      <c r="T48" s="290">
        <v>3</v>
      </c>
      <c r="U48" s="260">
        <f>ROUND(T48/8,1)</f>
        <v>0.4</v>
      </c>
      <c r="V48" s="260">
        <f>SUM(W48:CI48)-U48</f>
        <v>0</v>
      </c>
      <c r="W48" s="271"/>
      <c r="X48" s="271"/>
      <c r="Y48" s="271"/>
      <c r="Z48" s="271"/>
      <c r="AA48" s="271"/>
      <c r="AB48" s="271"/>
      <c r="AC48" s="271"/>
      <c r="AD48" s="272"/>
      <c r="AE48" s="271"/>
      <c r="AF48" s="271"/>
      <c r="AG48" s="271"/>
      <c r="AH48" s="271"/>
      <c r="AI48" s="271"/>
      <c r="AJ48" s="273"/>
      <c r="AK48" s="278"/>
      <c r="AL48" s="271">
        <v>0.4</v>
      </c>
      <c r="AM48" s="271"/>
      <c r="AN48" s="271"/>
      <c r="AO48" s="271"/>
      <c r="AP48" s="271"/>
      <c r="AQ48" s="271"/>
      <c r="AR48" s="271"/>
      <c r="AS48" s="271"/>
      <c r="AT48" s="271"/>
      <c r="AU48" s="271"/>
      <c r="AV48" s="271"/>
      <c r="AW48" s="271"/>
      <c r="AX48" s="271"/>
      <c r="AY48" s="271"/>
      <c r="AZ48" s="271"/>
      <c r="BA48" s="271"/>
      <c r="BB48" s="271"/>
      <c r="BC48" s="271"/>
      <c r="BD48" s="271"/>
      <c r="BE48" s="271"/>
      <c r="BF48" s="271"/>
      <c r="BG48" s="271"/>
      <c r="BH48" s="271"/>
      <c r="BI48" s="271"/>
      <c r="BJ48" s="271"/>
      <c r="BK48" s="271"/>
      <c r="BL48" s="271"/>
      <c r="BM48" s="271"/>
      <c r="BN48" s="271"/>
      <c r="BO48" s="272"/>
      <c r="BP48" s="272"/>
      <c r="BQ48" s="272"/>
      <c r="BR48" s="272"/>
      <c r="BS48" s="272"/>
      <c r="BT48" s="272"/>
      <c r="BU48" s="272"/>
      <c r="BV48" s="271"/>
      <c r="BW48" s="271"/>
      <c r="BX48" s="271"/>
      <c r="BY48" s="271"/>
      <c r="BZ48" s="271"/>
      <c r="CA48" s="271"/>
      <c r="CB48" s="271"/>
      <c r="CC48" s="271"/>
      <c r="CD48" s="271"/>
      <c r="CE48" s="271"/>
      <c r="CF48" s="271"/>
      <c r="CG48" s="271"/>
      <c r="CH48" s="271"/>
      <c r="CI48" s="271"/>
    </row>
    <row r="49" spans="1:87" ht="16.2" outlineLevel="1">
      <c r="A49" s="264" t="str">
        <f>E49&amp;G49</f>
        <v>modesg_out_emss_vclsscp3_emss</v>
      </c>
      <c r="B49" s="141" t="s">
        <v>26</v>
      </c>
      <c r="C49" s="137" t="s">
        <v>310</v>
      </c>
      <c r="D49" s="226" t="s">
        <v>40</v>
      </c>
      <c r="E49" s="227" t="s">
        <v>331</v>
      </c>
      <c r="F49" s="227"/>
      <c r="G49" s="226" t="s">
        <v>287</v>
      </c>
      <c r="H49" s="226" t="str">
        <f>VLOOKUP(A49,'2. Status Detalhe Campos FY24'!$A$7:$G$732,7,0)</f>
        <v>1. Concluído</v>
      </c>
      <c r="I49" s="266" t="s">
        <v>38</v>
      </c>
      <c r="J49" s="275">
        <v>45607</v>
      </c>
      <c r="K49" s="275">
        <v>45608</v>
      </c>
      <c r="L49" s="280">
        <f t="array" ref="L49">MIN(IF(W49:CI49&gt;0,$W$16:$CI$16))</f>
        <v>45615</v>
      </c>
      <c r="M49" s="281">
        <f t="array" ref="M49">MAX(IF(W49:CI49&gt;0,$W$16:$CI$16))</f>
        <v>45617</v>
      </c>
      <c r="N49" s="281"/>
      <c r="O49" s="239">
        <f>VLOOKUP(H49,Auxiliar!$B$16:$E$24,4,0)</f>
        <v>1</v>
      </c>
      <c r="P49" s="239">
        <f ca="1">IF(TODAY()&lt;=L49,0,MIN((TODAY()-L49)/(M49-L49+1),100%))</f>
        <v>1</v>
      </c>
      <c r="Q49" s="238">
        <f t="shared" ca="1" si="15"/>
        <v>0</v>
      </c>
      <c r="R49" s="252" t="s">
        <v>38</v>
      </c>
      <c r="S49" s="270" t="s">
        <v>1862</v>
      </c>
      <c r="T49" s="260">
        <v>16.100000000000001</v>
      </c>
      <c r="U49" s="260">
        <f>ROUND(T49/8,1)</f>
        <v>2</v>
      </c>
      <c r="V49" s="289">
        <f>SUM(W49:CI49)-U49</f>
        <v>0.29999999999999982</v>
      </c>
      <c r="W49" s="271"/>
      <c r="X49" s="271"/>
      <c r="Y49" s="271"/>
      <c r="Z49" s="271"/>
      <c r="AA49" s="271"/>
      <c r="AB49" s="271"/>
      <c r="AC49" s="271"/>
      <c r="AD49" s="272"/>
      <c r="AE49" s="271"/>
      <c r="AF49" s="271"/>
      <c r="AG49" s="271"/>
      <c r="AH49" s="271"/>
      <c r="AI49" s="271"/>
      <c r="AJ49" s="273"/>
      <c r="AK49" s="278"/>
      <c r="AL49" s="271"/>
      <c r="AM49" s="271"/>
      <c r="AN49" s="271"/>
      <c r="AO49" s="271"/>
      <c r="AP49" s="271">
        <v>0.3</v>
      </c>
      <c r="AQ49" s="271">
        <v>1</v>
      </c>
      <c r="AR49" s="271">
        <v>1</v>
      </c>
      <c r="AS49" s="271"/>
      <c r="AT49" s="271"/>
      <c r="AU49" s="271"/>
      <c r="AV49" s="271"/>
      <c r="AW49" s="271"/>
      <c r="AX49" s="271"/>
      <c r="AY49" s="271"/>
      <c r="AZ49" s="271"/>
      <c r="BA49" s="271"/>
      <c r="BB49" s="271"/>
      <c r="BC49" s="271"/>
      <c r="BD49" s="271"/>
      <c r="BE49" s="271"/>
      <c r="BF49" s="271"/>
      <c r="BG49" s="271"/>
      <c r="BH49" s="271"/>
      <c r="BI49" s="271"/>
      <c r="BJ49" s="271"/>
      <c r="BK49" s="271"/>
      <c r="BL49" s="271"/>
      <c r="BM49" s="271"/>
      <c r="BN49" s="271"/>
      <c r="BO49" s="272"/>
      <c r="BP49" s="272"/>
      <c r="BQ49" s="272"/>
      <c r="BR49" s="272"/>
      <c r="BS49" s="272"/>
      <c r="BT49" s="272"/>
      <c r="BU49" s="272"/>
      <c r="BV49" s="271"/>
      <c r="BW49" s="271"/>
      <c r="BX49" s="271"/>
      <c r="BY49" s="271"/>
      <c r="BZ49" s="271"/>
      <c r="CA49" s="271"/>
      <c r="CB49" s="271"/>
      <c r="CC49" s="271"/>
      <c r="CD49" s="271"/>
      <c r="CE49" s="271"/>
      <c r="CF49" s="271"/>
      <c r="CG49" s="271"/>
      <c r="CH49" s="271"/>
      <c r="CI49" s="271"/>
    </row>
    <row r="50" spans="1:87" ht="15" customHeight="1">
      <c r="A50" s="264"/>
      <c r="B50" s="141" t="s">
        <v>26</v>
      </c>
      <c r="C50" s="137" t="s">
        <v>26</v>
      </c>
      <c r="D50" s="133"/>
      <c r="E50" s="232" t="s">
        <v>1866</v>
      </c>
      <c r="F50" s="230" t="s">
        <v>1913</v>
      </c>
      <c r="G50" s="231">
        <f>COUNTA(G51:G60)</f>
        <v>10</v>
      </c>
      <c r="H50" s="285" t="s">
        <v>1921</v>
      </c>
      <c r="I50" s="294">
        <f>MAX(I51:I60)</f>
        <v>45603</v>
      </c>
      <c r="J50" s="267">
        <f>MIN(J51:J60)</f>
        <v>45611</v>
      </c>
      <c r="K50" s="267">
        <f>MIN(K51:K60)</f>
        <v>45611</v>
      </c>
      <c r="L50" s="268">
        <f>MIN(L51:L60)</f>
        <v>45624</v>
      </c>
      <c r="M50" s="268">
        <f>MAX(M51:M60)</f>
        <v>45624</v>
      </c>
      <c r="N50" s="312">
        <f t="array" ref="N50">MAX(IF(W50:CI50&gt;0,$W$16:$CI$16))</f>
        <v>45625</v>
      </c>
      <c r="O50" s="311">
        <f>SUMPRODUCT(O51:O60,U51:U60)/SUM(U51:U60)</f>
        <v>1</v>
      </c>
      <c r="P50" s="311">
        <f ca="1">SUMPRODUCT(P51:P60,U51:U60)/SUM(U51:U60)</f>
        <v>1</v>
      </c>
      <c r="Q50" s="238">
        <f t="shared" ref="Q50:Q60" ca="1" si="16">O50-P50</f>
        <v>0</v>
      </c>
      <c r="R50" s="252" t="s">
        <v>1930</v>
      </c>
      <c r="S50" s="270"/>
      <c r="T50" s="260"/>
      <c r="U50" s="260"/>
      <c r="V50" s="260"/>
      <c r="W50" s="271"/>
      <c r="X50" s="271"/>
      <c r="Y50" s="271"/>
      <c r="Z50" s="279"/>
      <c r="AA50" s="271"/>
      <c r="AB50" s="271"/>
      <c r="AC50" s="271"/>
      <c r="AD50" s="272"/>
      <c r="AE50" s="271"/>
      <c r="AF50" s="271"/>
      <c r="AG50" s="271"/>
      <c r="AH50" s="279"/>
      <c r="AI50" s="271"/>
      <c r="AJ50" s="271"/>
      <c r="AK50" s="271"/>
      <c r="AL50" s="271"/>
      <c r="AM50" s="271"/>
      <c r="AN50" s="278"/>
      <c r="AO50" s="271"/>
      <c r="AP50" s="271"/>
      <c r="AQ50" s="271"/>
      <c r="AR50" s="271"/>
      <c r="AS50" s="271"/>
      <c r="AT50" s="271"/>
      <c r="AU50" s="271"/>
      <c r="AV50" s="271"/>
      <c r="AW50" s="271"/>
      <c r="AX50" s="271" t="s">
        <v>443</v>
      </c>
      <c r="AY50" s="271"/>
      <c r="AZ50" s="271"/>
      <c r="BA50" s="271"/>
      <c r="BB50" s="271"/>
      <c r="BC50" s="271"/>
      <c r="BD50" s="271"/>
      <c r="BE50" s="271"/>
      <c r="BF50" s="271"/>
      <c r="BG50" s="271"/>
      <c r="BH50" s="271"/>
      <c r="BI50" s="271"/>
      <c r="BJ50" s="271"/>
      <c r="BK50" s="271"/>
      <c r="BL50" s="271"/>
      <c r="BM50" s="271"/>
      <c r="BN50" s="271"/>
      <c r="BO50" s="272"/>
      <c r="BP50" s="272"/>
      <c r="BQ50" s="272"/>
      <c r="BR50" s="272"/>
      <c r="BS50" s="272"/>
      <c r="BT50" s="272"/>
      <c r="BU50" s="272"/>
      <c r="BV50" s="271"/>
      <c r="BW50" s="271"/>
      <c r="BX50" s="271"/>
      <c r="BY50" s="271"/>
      <c r="BZ50" s="271"/>
      <c r="CA50" s="271"/>
      <c r="CB50" s="271"/>
      <c r="CC50" s="271"/>
      <c r="CD50" s="271"/>
      <c r="CE50" s="271"/>
      <c r="CF50" s="271"/>
      <c r="CG50" s="271"/>
      <c r="CH50" s="271"/>
      <c r="CI50" s="271"/>
    </row>
    <row r="51" spans="1:87" ht="16.2" outlineLevel="1">
      <c r="A51" s="264" t="str">
        <f t="shared" ref="A51:A60" si="17">E51&amp;G51</f>
        <v>lt827_mthd_usd_instrmntambito</v>
      </c>
      <c r="B51" s="141" t="s">
        <v>26</v>
      </c>
      <c r="C51" s="137" t="s">
        <v>26</v>
      </c>
      <c r="D51" s="226" t="s">
        <v>40</v>
      </c>
      <c r="E51" s="229" t="s">
        <v>1866</v>
      </c>
      <c r="F51" s="229"/>
      <c r="G51" s="229" t="s">
        <v>390</v>
      </c>
      <c r="H51" s="226" t="str">
        <f>VLOOKUP(A51,'2. Status Detalhe Campos FY24'!$A$7:$G$732,7,0)</f>
        <v>1. Concluído</v>
      </c>
      <c r="I51" s="298">
        <v>45603</v>
      </c>
      <c r="J51" s="313">
        <v>45611</v>
      </c>
      <c r="K51" s="313">
        <v>45611</v>
      </c>
      <c r="L51" s="280">
        <f t="array" ref="L51">MIN(IF(W51:CI51&gt;0,$W$16:$CI$16))</f>
        <v>45624</v>
      </c>
      <c r="M51" s="281">
        <f t="array" ref="M51">MAX(IF(W51:CI51&gt;0,$W$16:$CI$16))</f>
        <v>45624</v>
      </c>
      <c r="N51" s="281"/>
      <c r="O51" s="239">
        <f>VLOOKUP(H51,Auxiliar!$B$16:$E$24,4,0)</f>
        <v>1</v>
      </c>
      <c r="P51" s="239">
        <f t="shared" ref="P51:P60" ca="1" si="18">IF(TODAY()&lt;=L51,0,MIN((TODAY()-L51)/(M51-L51+1),100%))</f>
        <v>1</v>
      </c>
      <c r="Q51" s="238">
        <f t="shared" ca="1" si="16"/>
        <v>0</v>
      </c>
      <c r="R51" s="252" t="s">
        <v>38</v>
      </c>
      <c r="S51" s="270"/>
      <c r="T51" s="260">
        <v>4.0999999999999996</v>
      </c>
      <c r="U51" s="260">
        <f t="shared" ref="U51:U60" si="19">ROUND(T51/8,1)</f>
        <v>0.5</v>
      </c>
      <c r="V51" s="260">
        <f t="shared" ref="V51:V60" si="20">SUM(W51:CI51)-U51</f>
        <v>0</v>
      </c>
      <c r="W51" s="271"/>
      <c r="X51" s="271"/>
      <c r="Y51" s="271"/>
      <c r="Z51" s="279"/>
      <c r="AA51" s="271"/>
      <c r="AB51" s="271"/>
      <c r="AC51" s="271"/>
      <c r="AD51" s="272"/>
      <c r="AE51" s="271"/>
      <c r="AF51" s="271"/>
      <c r="AG51" s="271"/>
      <c r="AH51" s="279"/>
      <c r="AI51" s="271"/>
      <c r="AJ51" s="271"/>
      <c r="AK51" s="271"/>
      <c r="AL51" s="271"/>
      <c r="AM51" s="271"/>
      <c r="AN51" s="278"/>
      <c r="AO51" s="271"/>
      <c r="AP51" s="271"/>
      <c r="AQ51" s="271"/>
      <c r="AR51" s="271"/>
      <c r="AS51" s="271"/>
      <c r="AT51" s="271"/>
      <c r="AU51" s="271"/>
      <c r="AV51" s="271"/>
      <c r="AW51" s="271">
        <v>0.5</v>
      </c>
      <c r="AX51" s="271"/>
      <c r="AY51" s="271"/>
      <c r="AZ51" s="271"/>
      <c r="BA51" s="271"/>
      <c r="BB51" s="271"/>
      <c r="BC51" s="271"/>
      <c r="BD51" s="271"/>
      <c r="BE51" s="271"/>
      <c r="BF51" s="271"/>
      <c r="BG51" s="271"/>
      <c r="BH51" s="271"/>
      <c r="BI51" s="271"/>
      <c r="BJ51" s="271"/>
      <c r="BK51" s="271"/>
      <c r="BL51" s="271"/>
      <c r="BM51" s="271"/>
      <c r="BN51" s="271"/>
      <c r="BO51" s="272"/>
      <c r="BP51" s="272"/>
      <c r="BQ51" s="272"/>
      <c r="BR51" s="272"/>
      <c r="BS51" s="272"/>
      <c r="BT51" s="272"/>
      <c r="BU51" s="272"/>
      <c r="BV51" s="271"/>
      <c r="BW51" s="271"/>
      <c r="BX51" s="271"/>
      <c r="BY51" s="271"/>
      <c r="BZ51" s="271"/>
      <c r="CA51" s="271"/>
      <c r="CB51" s="271"/>
      <c r="CC51" s="271"/>
      <c r="CD51" s="271"/>
      <c r="CE51" s="271"/>
      <c r="CF51" s="271"/>
      <c r="CG51" s="271"/>
      <c r="CH51" s="271"/>
      <c r="CI51" s="271"/>
    </row>
    <row r="52" spans="1:87" ht="16.2" outlineLevel="1">
      <c r="A52" s="264" t="str">
        <f t="shared" si="17"/>
        <v>lt827_mthd_usd_instrmntref_date</v>
      </c>
      <c r="B52" s="141" t="s">
        <v>26</v>
      </c>
      <c r="C52" s="137" t="s">
        <v>26</v>
      </c>
      <c r="D52" s="226" t="s">
        <v>40</v>
      </c>
      <c r="E52" s="229" t="s">
        <v>1866</v>
      </c>
      <c r="F52" s="229"/>
      <c r="G52" s="229" t="s">
        <v>208</v>
      </c>
      <c r="H52" s="226" t="str">
        <f>VLOOKUP(A52,'2. Status Detalhe Campos FY24'!$A$7:$G$732,7,0)</f>
        <v>1. Concluído</v>
      </c>
      <c r="I52" s="298">
        <v>45603</v>
      </c>
      <c r="J52" s="313">
        <v>45611</v>
      </c>
      <c r="K52" s="313">
        <v>45611</v>
      </c>
      <c r="L52" s="280">
        <f t="array" ref="L52">MIN(IF(W52:CI52&gt;0,$W$16:$CI$16))</f>
        <v>45624</v>
      </c>
      <c r="M52" s="281">
        <f t="array" ref="M52">MAX(IF(W52:CI52&gt;0,$W$16:$CI$16))</f>
        <v>45624</v>
      </c>
      <c r="N52" s="281"/>
      <c r="O52" s="239">
        <f>VLOOKUP(H52,Auxiliar!$B$16:$E$24,4,0)</f>
        <v>1</v>
      </c>
      <c r="P52" s="239">
        <f t="shared" ca="1" si="18"/>
        <v>1</v>
      </c>
      <c r="Q52" s="238">
        <f t="shared" ca="1" si="16"/>
        <v>0</v>
      </c>
      <c r="R52" s="252" t="s">
        <v>38</v>
      </c>
      <c r="S52" s="270"/>
      <c r="T52" s="260">
        <v>4.0999999999999996</v>
      </c>
      <c r="U52" s="260">
        <f t="shared" si="19"/>
        <v>0.5</v>
      </c>
      <c r="V52" s="260">
        <f t="shared" si="20"/>
        <v>0</v>
      </c>
      <c r="W52" s="271"/>
      <c r="X52" s="271"/>
      <c r="Y52" s="271"/>
      <c r="Z52" s="279"/>
      <c r="AA52" s="271"/>
      <c r="AB52" s="271"/>
      <c r="AC52" s="271"/>
      <c r="AD52" s="272"/>
      <c r="AE52" s="271"/>
      <c r="AF52" s="271"/>
      <c r="AG52" s="271"/>
      <c r="AH52" s="279"/>
      <c r="AI52" s="271"/>
      <c r="AJ52" s="271"/>
      <c r="AK52" s="271"/>
      <c r="AL52" s="271"/>
      <c r="AM52" s="271"/>
      <c r="AN52" s="278"/>
      <c r="AO52" s="271"/>
      <c r="AP52" s="271"/>
      <c r="AQ52" s="271"/>
      <c r="AR52" s="271"/>
      <c r="AS52" s="271"/>
      <c r="AT52" s="271"/>
      <c r="AU52" s="271"/>
      <c r="AV52" s="271"/>
      <c r="AW52" s="271">
        <v>0.5</v>
      </c>
      <c r="AX52" s="271"/>
      <c r="AY52" s="271"/>
      <c r="AZ52" s="271"/>
      <c r="BA52" s="271"/>
      <c r="BB52" s="271"/>
      <c r="BC52" s="271"/>
      <c r="BD52" s="271"/>
      <c r="BE52" s="271"/>
      <c r="BF52" s="271"/>
      <c r="BG52" s="271"/>
      <c r="BH52" s="271"/>
      <c r="BI52" s="271"/>
      <c r="BJ52" s="271"/>
      <c r="BK52" s="271"/>
      <c r="BL52" s="271"/>
      <c r="BM52" s="271"/>
      <c r="BN52" s="271"/>
      <c r="BO52" s="272"/>
      <c r="BP52" s="272"/>
      <c r="BQ52" s="272"/>
      <c r="BR52" s="272"/>
      <c r="BS52" s="272"/>
      <c r="BT52" s="272"/>
      <c r="BU52" s="272"/>
      <c r="BV52" s="271"/>
      <c r="BW52" s="271"/>
      <c r="BX52" s="271"/>
      <c r="BY52" s="271"/>
      <c r="BZ52" s="271"/>
      <c r="CA52" s="271"/>
      <c r="CB52" s="271"/>
      <c r="CC52" s="271"/>
      <c r="CD52" s="271"/>
      <c r="CE52" s="271"/>
      <c r="CF52" s="271"/>
      <c r="CG52" s="271"/>
      <c r="CH52" s="271"/>
      <c r="CI52" s="271"/>
    </row>
    <row r="53" spans="1:87" ht="16.2" outlineLevel="1">
      <c r="A53" s="264" t="str">
        <f t="shared" si="17"/>
        <v>lt827_mthd_usd_instrmntordem</v>
      </c>
      <c r="B53" s="141" t="s">
        <v>26</v>
      </c>
      <c r="C53" s="137" t="s">
        <v>26</v>
      </c>
      <c r="D53" s="226" t="s">
        <v>40</v>
      </c>
      <c r="E53" s="229" t="s">
        <v>1866</v>
      </c>
      <c r="F53" s="229"/>
      <c r="G53" s="229" t="s">
        <v>211</v>
      </c>
      <c r="H53" s="226" t="str">
        <f>VLOOKUP(A53,'2. Status Detalhe Campos FY24'!$A$7:$G$732,7,0)</f>
        <v>1. Concluído</v>
      </c>
      <c r="I53" s="298">
        <v>45603</v>
      </c>
      <c r="J53" s="313">
        <v>45611</v>
      </c>
      <c r="K53" s="313">
        <v>45611</v>
      </c>
      <c r="L53" s="280">
        <f t="array" ref="L53">MIN(IF(W53:CI53&gt;0,$W$16:$CI$16))</f>
        <v>45624</v>
      </c>
      <c r="M53" s="281">
        <f t="array" ref="M53">MAX(IF(W53:CI53&gt;0,$W$16:$CI$16))</f>
        <v>45624</v>
      </c>
      <c r="N53" s="281"/>
      <c r="O53" s="239">
        <f>VLOOKUP(H53,Auxiliar!$B$16:$E$24,4,0)</f>
        <v>1</v>
      </c>
      <c r="P53" s="239">
        <f t="shared" ca="1" si="18"/>
        <v>1</v>
      </c>
      <c r="Q53" s="238">
        <f t="shared" ca="1" si="16"/>
        <v>0</v>
      </c>
      <c r="R53" s="252" t="s">
        <v>38</v>
      </c>
      <c r="S53" s="270"/>
      <c r="T53" s="260">
        <v>4.0999999999999996</v>
      </c>
      <c r="U53" s="260">
        <f t="shared" si="19"/>
        <v>0.5</v>
      </c>
      <c r="V53" s="260">
        <f t="shared" si="20"/>
        <v>0</v>
      </c>
      <c r="W53" s="271"/>
      <c r="X53" s="271"/>
      <c r="Y53" s="271"/>
      <c r="Z53" s="279"/>
      <c r="AA53" s="271"/>
      <c r="AB53" s="271"/>
      <c r="AC53" s="271"/>
      <c r="AD53" s="272"/>
      <c r="AE53" s="271"/>
      <c r="AF53" s="271"/>
      <c r="AG53" s="271"/>
      <c r="AH53" s="279"/>
      <c r="AI53" s="271"/>
      <c r="AJ53" s="271"/>
      <c r="AK53" s="271"/>
      <c r="AL53" s="271"/>
      <c r="AM53" s="271"/>
      <c r="AN53" s="278"/>
      <c r="AO53" s="271"/>
      <c r="AP53" s="271"/>
      <c r="AQ53" s="271"/>
      <c r="AR53" s="271"/>
      <c r="AS53" s="271"/>
      <c r="AT53" s="271"/>
      <c r="AU53" s="271"/>
      <c r="AV53" s="271"/>
      <c r="AW53" s="271">
        <v>0.5</v>
      </c>
      <c r="AX53" s="271"/>
      <c r="AY53" s="271"/>
      <c r="AZ53" s="271"/>
      <c r="BA53" s="271"/>
      <c r="BB53" s="271"/>
      <c r="BC53" s="271"/>
      <c r="BD53" s="271"/>
      <c r="BE53" s="271"/>
      <c r="BF53" s="271"/>
      <c r="BG53" s="271"/>
      <c r="BH53" s="271"/>
      <c r="BI53" s="271"/>
      <c r="BJ53" s="271"/>
      <c r="BK53" s="271"/>
      <c r="BL53" s="271"/>
      <c r="BM53" s="271"/>
      <c r="BN53" s="271"/>
      <c r="BO53" s="272"/>
      <c r="BP53" s="272"/>
      <c r="BQ53" s="272"/>
      <c r="BR53" s="272"/>
      <c r="BS53" s="272"/>
      <c r="BT53" s="272"/>
      <c r="BU53" s="272"/>
      <c r="BV53" s="271"/>
      <c r="BW53" s="271"/>
      <c r="BX53" s="271"/>
      <c r="BY53" s="271"/>
      <c r="BZ53" s="271"/>
      <c r="CA53" s="271"/>
      <c r="CB53" s="271"/>
      <c r="CC53" s="271"/>
      <c r="CD53" s="271"/>
      <c r="CE53" s="271"/>
      <c r="CF53" s="271"/>
      <c r="CG53" s="271"/>
      <c r="CH53" s="271"/>
      <c r="CI53" s="271"/>
    </row>
    <row r="54" spans="1:87" ht="16.2" outlineLevel="1">
      <c r="A54" s="264" t="str">
        <f t="shared" si="17"/>
        <v>lt827_mthd_usd_instrmnttabela</v>
      </c>
      <c r="B54" s="141" t="s">
        <v>26</v>
      </c>
      <c r="C54" s="137" t="s">
        <v>26</v>
      </c>
      <c r="D54" s="226" t="s">
        <v>40</v>
      </c>
      <c r="E54" s="229" t="s">
        <v>1866</v>
      </c>
      <c r="F54" s="229"/>
      <c r="G54" s="229" t="s">
        <v>391</v>
      </c>
      <c r="H54" s="226" t="str">
        <f>VLOOKUP(A54,'2. Status Detalhe Campos FY24'!$A$7:$G$732,7,0)</f>
        <v>1. Concluído</v>
      </c>
      <c r="I54" s="298">
        <v>45603</v>
      </c>
      <c r="J54" s="313">
        <v>45611</v>
      </c>
      <c r="K54" s="313">
        <v>45611</v>
      </c>
      <c r="L54" s="280">
        <f t="array" ref="L54">MIN(IF(W54:CI54&gt;0,$W$16:$CI$16))</f>
        <v>45624</v>
      </c>
      <c r="M54" s="281">
        <f t="array" ref="M54">MAX(IF(W54:CI54&gt;0,$W$16:$CI$16))</f>
        <v>45624</v>
      </c>
      <c r="N54" s="281"/>
      <c r="O54" s="239">
        <f>VLOOKUP(H54,Auxiliar!$B$16:$E$24,4,0)</f>
        <v>1</v>
      </c>
      <c r="P54" s="239">
        <f t="shared" ca="1" si="18"/>
        <v>1</v>
      </c>
      <c r="Q54" s="238">
        <f t="shared" ca="1" si="16"/>
        <v>0</v>
      </c>
      <c r="R54" s="252" t="s">
        <v>38</v>
      </c>
      <c r="S54" s="270"/>
      <c r="T54" s="260">
        <v>4.0999999999999996</v>
      </c>
      <c r="U54" s="260">
        <f t="shared" si="19"/>
        <v>0.5</v>
      </c>
      <c r="V54" s="260">
        <f t="shared" si="20"/>
        <v>0</v>
      </c>
      <c r="W54" s="271"/>
      <c r="X54" s="271"/>
      <c r="Y54" s="271"/>
      <c r="Z54" s="279"/>
      <c r="AA54" s="271"/>
      <c r="AB54" s="271"/>
      <c r="AC54" s="271"/>
      <c r="AD54" s="272"/>
      <c r="AE54" s="271"/>
      <c r="AF54" s="271"/>
      <c r="AG54" s="271"/>
      <c r="AH54" s="279"/>
      <c r="AI54" s="271"/>
      <c r="AJ54" s="271"/>
      <c r="AK54" s="271"/>
      <c r="AL54" s="271"/>
      <c r="AM54" s="271"/>
      <c r="AN54" s="278"/>
      <c r="AO54" s="271"/>
      <c r="AP54" s="271"/>
      <c r="AQ54" s="271"/>
      <c r="AR54" s="271"/>
      <c r="AS54" s="271"/>
      <c r="AT54" s="271"/>
      <c r="AU54" s="271"/>
      <c r="AV54" s="271"/>
      <c r="AW54" s="271">
        <v>0.5</v>
      </c>
      <c r="AX54" s="271"/>
      <c r="AY54" s="271"/>
      <c r="AZ54" s="271"/>
      <c r="BA54" s="271"/>
      <c r="BB54" s="271"/>
      <c r="BC54" s="271"/>
      <c r="BD54" s="271"/>
      <c r="BE54" s="271"/>
      <c r="BF54" s="271"/>
      <c r="BG54" s="271"/>
      <c r="BH54" s="271"/>
      <c r="BI54" s="271"/>
      <c r="BJ54" s="271"/>
      <c r="BK54" s="271"/>
      <c r="BL54" s="271"/>
      <c r="BM54" s="271"/>
      <c r="BN54" s="271"/>
      <c r="BO54" s="272"/>
      <c r="BP54" s="272"/>
      <c r="BQ54" s="272"/>
      <c r="BR54" s="272"/>
      <c r="BS54" s="272"/>
      <c r="BT54" s="272"/>
      <c r="BU54" s="272"/>
      <c r="BV54" s="271"/>
      <c r="BW54" s="271"/>
      <c r="BX54" s="271"/>
      <c r="BY54" s="271"/>
      <c r="BZ54" s="271"/>
      <c r="CA54" s="271"/>
      <c r="CB54" s="271"/>
      <c r="CC54" s="271"/>
      <c r="CD54" s="271"/>
      <c r="CE54" s="271"/>
      <c r="CF54" s="271"/>
      <c r="CG54" s="271"/>
      <c r="CH54" s="271"/>
      <c r="CI54" s="271"/>
    </row>
    <row r="55" spans="1:87" ht="16.2" outlineLevel="1">
      <c r="A55" s="264" t="str">
        <f t="shared" si="17"/>
        <v>lt827_mthd_usd_instrmntorigem_scp1_emss</v>
      </c>
      <c r="B55" s="141" t="s">
        <v>26</v>
      </c>
      <c r="C55" s="137" t="s">
        <v>26</v>
      </c>
      <c r="D55" s="226" t="s">
        <v>40</v>
      </c>
      <c r="E55" s="229" t="s">
        <v>1866</v>
      </c>
      <c r="F55" s="229"/>
      <c r="G55" s="229" t="s">
        <v>319</v>
      </c>
      <c r="H55" s="226" t="str">
        <f>VLOOKUP(A55,'2. Status Detalhe Campos FY24'!$A$7:$G$732,7,0)</f>
        <v>1. Concluído</v>
      </c>
      <c r="I55" s="298">
        <v>45603</v>
      </c>
      <c r="J55" s="313">
        <v>45611</v>
      </c>
      <c r="K55" s="313">
        <v>45611</v>
      </c>
      <c r="L55" s="280">
        <f t="array" ref="L55">MIN(IF(W55:CI55&gt;0,$W$16:$CI$16))</f>
        <v>45624</v>
      </c>
      <c r="M55" s="281">
        <f t="array" ref="M55">MAX(IF(W55:CI55&gt;0,$W$16:$CI$16))</f>
        <v>45624</v>
      </c>
      <c r="N55" s="281"/>
      <c r="O55" s="239">
        <f>VLOOKUP(H55,Auxiliar!$B$16:$E$24,4,0)</f>
        <v>1</v>
      </c>
      <c r="P55" s="239">
        <f t="shared" ca="1" si="18"/>
        <v>1</v>
      </c>
      <c r="Q55" s="238">
        <f t="shared" ca="1" si="16"/>
        <v>0</v>
      </c>
      <c r="R55" s="252" t="s">
        <v>38</v>
      </c>
      <c r="S55" s="270"/>
      <c r="T55" s="260">
        <v>4.0999999999999996</v>
      </c>
      <c r="U55" s="260">
        <f t="shared" si="19"/>
        <v>0.5</v>
      </c>
      <c r="V55" s="260">
        <f t="shared" si="20"/>
        <v>0</v>
      </c>
      <c r="W55" s="271"/>
      <c r="X55" s="271"/>
      <c r="Y55" s="271"/>
      <c r="Z55" s="279"/>
      <c r="AA55" s="271"/>
      <c r="AB55" s="271"/>
      <c r="AC55" s="271"/>
      <c r="AD55" s="272"/>
      <c r="AE55" s="271"/>
      <c r="AF55" s="271"/>
      <c r="AG55" s="271"/>
      <c r="AH55" s="279"/>
      <c r="AI55" s="271"/>
      <c r="AJ55" s="271"/>
      <c r="AK55" s="271"/>
      <c r="AL55" s="271"/>
      <c r="AM55" s="271"/>
      <c r="AN55" s="278"/>
      <c r="AO55" s="271"/>
      <c r="AP55" s="271"/>
      <c r="AQ55" s="271"/>
      <c r="AR55" s="271"/>
      <c r="AS55" s="271"/>
      <c r="AT55" s="271"/>
      <c r="AU55" s="271"/>
      <c r="AV55" s="271"/>
      <c r="AW55" s="271">
        <v>0.5</v>
      </c>
      <c r="AX55" s="271"/>
      <c r="AY55" s="271"/>
      <c r="AZ55" s="271"/>
      <c r="BA55" s="271"/>
      <c r="BB55" s="271"/>
      <c r="BC55" s="271"/>
      <c r="BD55" s="271"/>
      <c r="BE55" s="271"/>
      <c r="BF55" s="271"/>
      <c r="BG55" s="271"/>
      <c r="BH55" s="271"/>
      <c r="BI55" s="271"/>
      <c r="BJ55" s="271"/>
      <c r="BK55" s="271"/>
      <c r="BL55" s="271"/>
      <c r="BM55" s="271"/>
      <c r="BN55" s="271"/>
      <c r="BO55" s="272"/>
      <c r="BP55" s="272"/>
      <c r="BQ55" s="272"/>
      <c r="BR55" s="272"/>
      <c r="BS55" s="272"/>
      <c r="BT55" s="272"/>
      <c r="BU55" s="272"/>
      <c r="BV55" s="271"/>
      <c r="BW55" s="271"/>
      <c r="BX55" s="271"/>
      <c r="BY55" s="271"/>
      <c r="BZ55" s="271"/>
      <c r="CA55" s="271"/>
      <c r="CB55" s="271"/>
      <c r="CC55" s="271"/>
      <c r="CD55" s="271"/>
      <c r="CE55" s="271"/>
      <c r="CF55" s="271"/>
      <c r="CG55" s="271"/>
      <c r="CH55" s="271"/>
      <c r="CI55" s="271"/>
    </row>
    <row r="56" spans="1:87" ht="16.2" outlineLevel="1">
      <c r="A56" s="264" t="str">
        <f t="shared" si="17"/>
        <v>lt827_mthd_usd_instrmntorigem_scp2_emss</v>
      </c>
      <c r="B56" s="141" t="s">
        <v>26</v>
      </c>
      <c r="C56" s="137" t="s">
        <v>26</v>
      </c>
      <c r="D56" s="226" t="s">
        <v>40</v>
      </c>
      <c r="E56" s="229" t="s">
        <v>1866</v>
      </c>
      <c r="F56" s="229"/>
      <c r="G56" s="229" t="s">
        <v>320</v>
      </c>
      <c r="H56" s="226" t="str">
        <f>VLOOKUP(A56,'2. Status Detalhe Campos FY24'!$A$7:$G$732,7,0)</f>
        <v>1. Concluído</v>
      </c>
      <c r="I56" s="298">
        <v>45603</v>
      </c>
      <c r="J56" s="313">
        <v>45611</v>
      </c>
      <c r="K56" s="313">
        <v>45611</v>
      </c>
      <c r="L56" s="280">
        <f t="array" ref="L56">MIN(IF(W56:CI56&gt;0,$W$16:$CI$16))</f>
        <v>45624</v>
      </c>
      <c r="M56" s="281">
        <f t="array" ref="M56">MAX(IF(W56:CI56&gt;0,$W$16:$CI$16))</f>
        <v>45624</v>
      </c>
      <c r="N56" s="281"/>
      <c r="O56" s="239">
        <f>VLOOKUP(H56,Auxiliar!$B$16:$E$24,4,0)</f>
        <v>1</v>
      </c>
      <c r="P56" s="239">
        <f t="shared" ca="1" si="18"/>
        <v>1</v>
      </c>
      <c r="Q56" s="238">
        <f t="shared" ca="1" si="16"/>
        <v>0</v>
      </c>
      <c r="R56" s="252" t="s">
        <v>38</v>
      </c>
      <c r="S56" s="270"/>
      <c r="T56" s="260">
        <v>4.0999999999999996</v>
      </c>
      <c r="U56" s="260">
        <f t="shared" si="19"/>
        <v>0.5</v>
      </c>
      <c r="V56" s="260">
        <f t="shared" si="20"/>
        <v>0</v>
      </c>
      <c r="W56" s="271"/>
      <c r="X56" s="271"/>
      <c r="Y56" s="271"/>
      <c r="Z56" s="279"/>
      <c r="AA56" s="271"/>
      <c r="AB56" s="271"/>
      <c r="AC56" s="271"/>
      <c r="AD56" s="272"/>
      <c r="AE56" s="271"/>
      <c r="AF56" s="271"/>
      <c r="AG56" s="271"/>
      <c r="AH56" s="279"/>
      <c r="AI56" s="271"/>
      <c r="AJ56" s="271"/>
      <c r="AK56" s="271"/>
      <c r="AL56" s="271"/>
      <c r="AM56" s="271"/>
      <c r="AN56" s="278"/>
      <c r="AO56" s="271"/>
      <c r="AP56" s="271"/>
      <c r="AQ56" s="271"/>
      <c r="AR56" s="271"/>
      <c r="AS56" s="271"/>
      <c r="AT56" s="271"/>
      <c r="AU56" s="271"/>
      <c r="AV56" s="271"/>
      <c r="AW56" s="271">
        <v>0.5</v>
      </c>
      <c r="AX56" s="271"/>
      <c r="AY56" s="271"/>
      <c r="AZ56" s="271"/>
      <c r="BA56" s="271"/>
      <c r="BB56" s="271"/>
      <c r="BC56" s="271"/>
      <c r="BD56" s="271"/>
      <c r="BE56" s="271"/>
      <c r="BF56" s="271"/>
      <c r="BG56" s="271"/>
      <c r="BH56" s="271"/>
      <c r="BI56" s="271"/>
      <c r="BJ56" s="271"/>
      <c r="BK56" s="271"/>
      <c r="BL56" s="271"/>
      <c r="BM56" s="271"/>
      <c r="BN56" s="271"/>
      <c r="BO56" s="272"/>
      <c r="BP56" s="272"/>
      <c r="BQ56" s="272"/>
      <c r="BR56" s="272"/>
      <c r="BS56" s="272"/>
      <c r="BT56" s="272"/>
      <c r="BU56" s="272"/>
      <c r="BV56" s="271"/>
      <c r="BW56" s="271"/>
      <c r="BX56" s="271"/>
      <c r="BY56" s="271"/>
      <c r="BZ56" s="271"/>
      <c r="CA56" s="271"/>
      <c r="CB56" s="271"/>
      <c r="CC56" s="271"/>
      <c r="CD56" s="271"/>
      <c r="CE56" s="271"/>
      <c r="CF56" s="271"/>
      <c r="CG56" s="271"/>
      <c r="CH56" s="271"/>
      <c r="CI56" s="271"/>
    </row>
    <row r="57" spans="1:87" ht="16.2" outlineLevel="1">
      <c r="A57" s="264" t="str">
        <f t="shared" si="17"/>
        <v>lt827_mthd_usd_instrmntorigem_scp3_emss</v>
      </c>
      <c r="B57" s="141" t="s">
        <v>26</v>
      </c>
      <c r="C57" s="137" t="s">
        <v>26</v>
      </c>
      <c r="D57" s="226" t="s">
        <v>40</v>
      </c>
      <c r="E57" s="229" t="s">
        <v>1866</v>
      </c>
      <c r="F57" s="229"/>
      <c r="G57" s="229" t="s">
        <v>321</v>
      </c>
      <c r="H57" s="226" t="str">
        <f>VLOOKUP(A57,'2. Status Detalhe Campos FY24'!$A$7:$G$732,7,0)</f>
        <v>1. Concluído</v>
      </c>
      <c r="I57" s="298">
        <v>45603</v>
      </c>
      <c r="J57" s="313">
        <v>45611</v>
      </c>
      <c r="K57" s="313">
        <v>45611</v>
      </c>
      <c r="L57" s="280">
        <f t="array" ref="L57">MIN(IF(W57:CI57&gt;0,$W$16:$CI$16))</f>
        <v>45624</v>
      </c>
      <c r="M57" s="281">
        <f t="array" ref="M57">MAX(IF(W57:CI57&gt;0,$W$16:$CI$16))</f>
        <v>45624</v>
      </c>
      <c r="N57" s="281"/>
      <c r="O57" s="239">
        <f>VLOOKUP(H57,Auxiliar!$B$16:$E$24,4,0)</f>
        <v>1</v>
      </c>
      <c r="P57" s="239">
        <f t="shared" ca="1" si="18"/>
        <v>1</v>
      </c>
      <c r="Q57" s="238">
        <f t="shared" ca="1" si="16"/>
        <v>0</v>
      </c>
      <c r="R57" s="252" t="s">
        <v>38</v>
      </c>
      <c r="S57" s="270"/>
      <c r="T57" s="260">
        <v>4.0999999999999996</v>
      </c>
      <c r="U57" s="260">
        <f t="shared" si="19"/>
        <v>0.5</v>
      </c>
      <c r="V57" s="260">
        <f t="shared" si="20"/>
        <v>0</v>
      </c>
      <c r="W57" s="271"/>
      <c r="X57" s="271"/>
      <c r="Y57" s="271"/>
      <c r="Z57" s="279"/>
      <c r="AA57" s="271"/>
      <c r="AB57" s="271"/>
      <c r="AC57" s="271"/>
      <c r="AD57" s="272"/>
      <c r="AE57" s="271"/>
      <c r="AF57" s="271"/>
      <c r="AG57" s="271"/>
      <c r="AH57" s="279"/>
      <c r="AI57" s="271"/>
      <c r="AJ57" s="271"/>
      <c r="AK57" s="271"/>
      <c r="AL57" s="271"/>
      <c r="AM57" s="271"/>
      <c r="AN57" s="278"/>
      <c r="AO57" s="271"/>
      <c r="AP57" s="271"/>
      <c r="AQ57" s="271"/>
      <c r="AR57" s="271"/>
      <c r="AS57" s="271"/>
      <c r="AT57" s="271"/>
      <c r="AU57" s="271"/>
      <c r="AV57" s="271"/>
      <c r="AW57" s="271">
        <v>0.5</v>
      </c>
      <c r="AX57" s="271"/>
      <c r="AY57" s="271"/>
      <c r="AZ57" s="271"/>
      <c r="BA57" s="271"/>
      <c r="BB57" s="271"/>
      <c r="BC57" s="271"/>
      <c r="BD57" s="271"/>
      <c r="BE57" s="271"/>
      <c r="BF57" s="271"/>
      <c r="BG57" s="271"/>
      <c r="BH57" s="271"/>
      <c r="BI57" s="271"/>
      <c r="BJ57" s="271"/>
      <c r="BK57" s="271"/>
      <c r="BL57" s="271"/>
      <c r="BM57" s="271"/>
      <c r="BN57" s="271"/>
      <c r="BO57" s="272"/>
      <c r="BP57" s="272"/>
      <c r="BQ57" s="272"/>
      <c r="BR57" s="272"/>
      <c r="BS57" s="272"/>
      <c r="BT57" s="272"/>
      <c r="BU57" s="272"/>
      <c r="BV57" s="271"/>
      <c r="BW57" s="271"/>
      <c r="BX57" s="271"/>
      <c r="BY57" s="271"/>
      <c r="BZ57" s="271"/>
      <c r="CA57" s="271"/>
      <c r="CB57" s="271"/>
      <c r="CC57" s="271"/>
      <c r="CD57" s="271"/>
      <c r="CE57" s="271"/>
      <c r="CF57" s="271"/>
      <c r="CG57" s="271"/>
      <c r="CH57" s="271"/>
      <c r="CI57" s="271"/>
    </row>
    <row r="58" spans="1:87" ht="16.2" outlineLevel="1">
      <c r="A58" s="264" t="str">
        <f t="shared" si="17"/>
        <v>lt827_mthd_usd_instrmntmthd_usd_instrmnt_scp_1</v>
      </c>
      <c r="B58" s="141" t="s">
        <v>26</v>
      </c>
      <c r="C58" s="137" t="s">
        <v>26</v>
      </c>
      <c r="D58" s="226" t="s">
        <v>40</v>
      </c>
      <c r="E58" s="229" t="s">
        <v>1866</v>
      </c>
      <c r="F58" s="229"/>
      <c r="G58" s="229" t="s">
        <v>385</v>
      </c>
      <c r="H58" s="226" t="str">
        <f>VLOOKUP(A58,'2. Status Detalhe Campos FY24'!$A$7:$G$732,7,0)</f>
        <v>1. Concluído</v>
      </c>
      <c r="I58" s="298">
        <v>45603</v>
      </c>
      <c r="J58" s="313">
        <v>45611</v>
      </c>
      <c r="K58" s="313">
        <v>45611</v>
      </c>
      <c r="L58" s="280">
        <f t="array" ref="L58">MIN(IF(W58:CI58&gt;0,$W$16:$CI$16))</f>
        <v>45624</v>
      </c>
      <c r="M58" s="281">
        <f t="array" ref="M58">MAX(IF(W58:CI58&gt;0,$W$16:$CI$16))</f>
        <v>45624</v>
      </c>
      <c r="N58" s="281"/>
      <c r="O58" s="239">
        <f>VLOOKUP(H58,Auxiliar!$B$16:$E$24,4,0)</f>
        <v>1</v>
      </c>
      <c r="P58" s="239">
        <f t="shared" ca="1" si="18"/>
        <v>1</v>
      </c>
      <c r="Q58" s="238">
        <f t="shared" ca="1" si="16"/>
        <v>0</v>
      </c>
      <c r="R58" s="252" t="s">
        <v>38</v>
      </c>
      <c r="S58" s="270"/>
      <c r="T58" s="260">
        <v>4.0999999999999996</v>
      </c>
      <c r="U58" s="260">
        <f t="shared" si="19"/>
        <v>0.5</v>
      </c>
      <c r="V58" s="260">
        <f t="shared" si="20"/>
        <v>0</v>
      </c>
      <c r="W58" s="271"/>
      <c r="X58" s="271"/>
      <c r="Y58" s="271"/>
      <c r="Z58" s="279"/>
      <c r="AA58" s="271"/>
      <c r="AB58" s="271"/>
      <c r="AC58" s="271"/>
      <c r="AD58" s="272"/>
      <c r="AE58" s="271"/>
      <c r="AF58" s="271"/>
      <c r="AG58" s="271"/>
      <c r="AH58" s="279"/>
      <c r="AI58" s="271"/>
      <c r="AJ58" s="271"/>
      <c r="AK58" s="271"/>
      <c r="AL58" s="271"/>
      <c r="AM58" s="271"/>
      <c r="AN58" s="278"/>
      <c r="AO58" s="271"/>
      <c r="AP58" s="271"/>
      <c r="AQ58" s="271"/>
      <c r="AR58" s="271"/>
      <c r="AS58" s="271"/>
      <c r="AT58" s="271"/>
      <c r="AU58" s="271"/>
      <c r="AV58" s="271"/>
      <c r="AW58" s="271">
        <v>0.5</v>
      </c>
      <c r="AX58" s="271"/>
      <c r="AY58" s="271"/>
      <c r="AZ58" s="271"/>
      <c r="BA58" s="271"/>
      <c r="BB58" s="271"/>
      <c r="BC58" s="271"/>
      <c r="BD58" s="271"/>
      <c r="BE58" s="271"/>
      <c r="BF58" s="271"/>
      <c r="BG58" s="271"/>
      <c r="BH58" s="271"/>
      <c r="BI58" s="271"/>
      <c r="BJ58" s="271"/>
      <c r="BK58" s="271"/>
      <c r="BL58" s="271"/>
      <c r="BM58" s="271"/>
      <c r="BN58" s="271"/>
      <c r="BO58" s="272"/>
      <c r="BP58" s="272"/>
      <c r="BQ58" s="272"/>
      <c r="BR58" s="272"/>
      <c r="BS58" s="272"/>
      <c r="BT58" s="272"/>
      <c r="BU58" s="272"/>
      <c r="BV58" s="271"/>
      <c r="BW58" s="271"/>
      <c r="BX58" s="271"/>
      <c r="BY58" s="271"/>
      <c r="BZ58" s="271"/>
      <c r="CA58" s="271"/>
      <c r="CB58" s="271"/>
      <c r="CC58" s="271"/>
      <c r="CD58" s="271"/>
      <c r="CE58" s="271"/>
      <c r="CF58" s="271"/>
      <c r="CG58" s="271"/>
      <c r="CH58" s="271"/>
      <c r="CI58" s="271"/>
    </row>
    <row r="59" spans="1:87" ht="16.2" outlineLevel="1">
      <c r="A59" s="264" t="str">
        <f t="shared" si="17"/>
        <v>lt827_mthd_usd_instrmntmthd_usd_instrmnt_scp_2</v>
      </c>
      <c r="B59" s="141" t="s">
        <v>26</v>
      </c>
      <c r="C59" s="137" t="s">
        <v>26</v>
      </c>
      <c r="D59" s="226" t="s">
        <v>40</v>
      </c>
      <c r="E59" s="229" t="s">
        <v>1866</v>
      </c>
      <c r="F59" s="229"/>
      <c r="G59" s="229" t="s">
        <v>386</v>
      </c>
      <c r="H59" s="226" t="str">
        <f>VLOOKUP(A59,'2. Status Detalhe Campos FY24'!$A$7:$G$732,7,0)</f>
        <v>1. Concluído</v>
      </c>
      <c r="I59" s="298">
        <v>45603</v>
      </c>
      <c r="J59" s="313">
        <v>45611</v>
      </c>
      <c r="K59" s="313">
        <v>45611</v>
      </c>
      <c r="L59" s="280">
        <f t="array" ref="L59">MIN(IF(W59:CI59&gt;0,$W$16:$CI$16))</f>
        <v>45624</v>
      </c>
      <c r="M59" s="281">
        <f t="array" ref="M59">MAX(IF(W59:CI59&gt;0,$W$16:$CI$16))</f>
        <v>45624</v>
      </c>
      <c r="N59" s="281"/>
      <c r="O59" s="239">
        <f>VLOOKUP(H59,Auxiliar!$B$16:$E$24,4,0)</f>
        <v>1</v>
      </c>
      <c r="P59" s="239">
        <f t="shared" ca="1" si="18"/>
        <v>1</v>
      </c>
      <c r="Q59" s="238">
        <f t="shared" ca="1" si="16"/>
        <v>0</v>
      </c>
      <c r="R59" s="252" t="s">
        <v>38</v>
      </c>
      <c r="S59" s="270"/>
      <c r="T59" s="260">
        <v>4.0999999999999996</v>
      </c>
      <c r="U59" s="260">
        <f t="shared" si="19"/>
        <v>0.5</v>
      </c>
      <c r="V59" s="260">
        <f t="shared" si="20"/>
        <v>0</v>
      </c>
      <c r="W59" s="271"/>
      <c r="X59" s="271"/>
      <c r="Y59" s="271"/>
      <c r="Z59" s="279"/>
      <c r="AA59" s="271"/>
      <c r="AB59" s="271"/>
      <c r="AC59" s="271"/>
      <c r="AD59" s="272"/>
      <c r="AE59" s="271"/>
      <c r="AF59" s="271"/>
      <c r="AG59" s="271"/>
      <c r="AH59" s="279"/>
      <c r="AI59" s="271"/>
      <c r="AJ59" s="271"/>
      <c r="AK59" s="271"/>
      <c r="AL59" s="271"/>
      <c r="AM59" s="271"/>
      <c r="AN59" s="278"/>
      <c r="AO59" s="271"/>
      <c r="AP59" s="271"/>
      <c r="AQ59" s="271"/>
      <c r="AR59" s="271"/>
      <c r="AS59" s="271"/>
      <c r="AT59" s="271"/>
      <c r="AU59" s="271"/>
      <c r="AV59" s="271"/>
      <c r="AW59" s="271">
        <v>0.5</v>
      </c>
      <c r="AX59" s="271"/>
      <c r="AY59" s="271"/>
      <c r="AZ59" s="271"/>
      <c r="BA59" s="271"/>
      <c r="BB59" s="271"/>
      <c r="BC59" s="271"/>
      <c r="BD59" s="271"/>
      <c r="BE59" s="271"/>
      <c r="BF59" s="271"/>
      <c r="BG59" s="271"/>
      <c r="BH59" s="271"/>
      <c r="BI59" s="271"/>
      <c r="BJ59" s="271"/>
      <c r="BK59" s="271"/>
      <c r="BL59" s="271"/>
      <c r="BM59" s="271"/>
      <c r="BN59" s="271"/>
      <c r="BO59" s="272"/>
      <c r="BP59" s="272"/>
      <c r="BQ59" s="272"/>
      <c r="BR59" s="272"/>
      <c r="BS59" s="272"/>
      <c r="BT59" s="272"/>
      <c r="BU59" s="272"/>
      <c r="BV59" s="271"/>
      <c r="BW59" s="271"/>
      <c r="BX59" s="271"/>
      <c r="BY59" s="271"/>
      <c r="BZ59" s="271"/>
      <c r="CA59" s="271"/>
      <c r="CB59" s="271"/>
      <c r="CC59" s="271"/>
      <c r="CD59" s="271"/>
      <c r="CE59" s="271"/>
      <c r="CF59" s="271"/>
      <c r="CG59" s="271"/>
      <c r="CH59" s="271"/>
      <c r="CI59" s="271"/>
    </row>
    <row r="60" spans="1:87" ht="16.2" outlineLevel="1">
      <c r="A60" s="264" t="str">
        <f t="shared" si="17"/>
        <v>lt827_mthd_usd_instrmntmthd_usd_instrmnt_scp_3</v>
      </c>
      <c r="B60" s="141" t="s">
        <v>26</v>
      </c>
      <c r="C60" s="137" t="s">
        <v>26</v>
      </c>
      <c r="D60" s="226" t="s">
        <v>40</v>
      </c>
      <c r="E60" s="229" t="s">
        <v>1866</v>
      </c>
      <c r="F60" s="229"/>
      <c r="G60" s="229" t="s">
        <v>387</v>
      </c>
      <c r="H60" s="226" t="str">
        <f>VLOOKUP(A60,'2. Status Detalhe Campos FY24'!$A$7:$G$732,7,0)</f>
        <v>1. Concluído</v>
      </c>
      <c r="I60" s="298">
        <v>45603</v>
      </c>
      <c r="J60" s="313">
        <v>45611</v>
      </c>
      <c r="K60" s="313">
        <v>45611</v>
      </c>
      <c r="L60" s="280">
        <f t="array" ref="L60">MIN(IF(W60:CI60&gt;0,$W$16:$CI$16))</f>
        <v>45624</v>
      </c>
      <c r="M60" s="281">
        <f t="array" ref="M60">MAX(IF(W60:CI60&gt;0,$W$16:$CI$16))</f>
        <v>45624</v>
      </c>
      <c r="N60" s="281"/>
      <c r="O60" s="239">
        <f>VLOOKUP(H60,Auxiliar!$B$16:$E$24,4,0)</f>
        <v>1</v>
      </c>
      <c r="P60" s="239">
        <f t="shared" ca="1" si="18"/>
        <v>1</v>
      </c>
      <c r="Q60" s="238">
        <f t="shared" ca="1" si="16"/>
        <v>0</v>
      </c>
      <c r="R60" s="252" t="s">
        <v>38</v>
      </c>
      <c r="S60" s="270"/>
      <c r="T60" s="260">
        <v>4.0999999999999996</v>
      </c>
      <c r="U60" s="260">
        <f t="shared" si="19"/>
        <v>0.5</v>
      </c>
      <c r="V60" s="260">
        <f t="shared" si="20"/>
        <v>0</v>
      </c>
      <c r="W60" s="271"/>
      <c r="X60" s="271"/>
      <c r="Y60" s="271"/>
      <c r="Z60" s="279"/>
      <c r="AA60" s="271"/>
      <c r="AB60" s="271"/>
      <c r="AC60" s="271"/>
      <c r="AD60" s="272"/>
      <c r="AE60" s="271"/>
      <c r="AF60" s="271"/>
      <c r="AG60" s="271"/>
      <c r="AH60" s="279"/>
      <c r="AI60" s="271"/>
      <c r="AJ60" s="271"/>
      <c r="AK60" s="271"/>
      <c r="AL60" s="271"/>
      <c r="AM60" s="271"/>
      <c r="AN60" s="278"/>
      <c r="AO60" s="271"/>
      <c r="AP60" s="271"/>
      <c r="AQ60" s="271"/>
      <c r="AR60" s="271"/>
      <c r="AS60" s="271"/>
      <c r="AT60" s="271"/>
      <c r="AU60" s="271"/>
      <c r="AV60" s="271"/>
      <c r="AW60" s="271">
        <v>0.5</v>
      </c>
      <c r="AX60" s="271"/>
      <c r="AY60" s="271"/>
      <c r="AZ60" s="271"/>
      <c r="BA60" s="271"/>
      <c r="BB60" s="271"/>
      <c r="BC60" s="271"/>
      <c r="BD60" s="271"/>
      <c r="BE60" s="271"/>
      <c r="BF60" s="271"/>
      <c r="BG60" s="271"/>
      <c r="BH60" s="271"/>
      <c r="BI60" s="271"/>
      <c r="BJ60" s="271"/>
      <c r="BK60" s="271"/>
      <c r="BL60" s="271"/>
      <c r="BM60" s="271"/>
      <c r="BN60" s="271"/>
      <c r="BO60" s="272"/>
      <c r="BP60" s="272"/>
      <c r="BQ60" s="272"/>
      <c r="BR60" s="272"/>
      <c r="BS60" s="272"/>
      <c r="BT60" s="272"/>
      <c r="BU60" s="272"/>
      <c r="BV60" s="271"/>
      <c r="BW60" s="271"/>
      <c r="BX60" s="271"/>
      <c r="BY60" s="271"/>
      <c r="BZ60" s="271"/>
      <c r="CA60" s="271"/>
      <c r="CB60" s="271"/>
      <c r="CC60" s="271"/>
      <c r="CD60" s="271"/>
      <c r="CE60" s="271"/>
      <c r="CF60" s="271"/>
      <c r="CG60" s="271"/>
      <c r="CH60" s="271"/>
      <c r="CI60" s="271"/>
    </row>
    <row r="61" spans="1:87" ht="15" customHeight="1">
      <c r="A61" s="264"/>
      <c r="B61" s="141" t="s">
        <v>26</v>
      </c>
      <c r="C61" s="137" t="s">
        <v>26</v>
      </c>
      <c r="D61" s="133"/>
      <c r="E61" s="232" t="s">
        <v>335</v>
      </c>
      <c r="F61" s="230" t="s">
        <v>1889</v>
      </c>
      <c r="G61" s="231">
        <f>COUNTA(G62:G76)</f>
        <v>15</v>
      </c>
      <c r="H61" s="285" t="s">
        <v>1921</v>
      </c>
      <c r="I61" s="268">
        <f>MAX(I62:I76)</f>
        <v>0</v>
      </c>
      <c r="J61" s="267">
        <f>MIN(J62:J76)</f>
        <v>45596</v>
      </c>
      <c r="K61" s="268">
        <f>MIN(K62:K76)</f>
        <v>45596</v>
      </c>
      <c r="L61" s="267">
        <f>MIN(L62:L76)</f>
        <v>45600</v>
      </c>
      <c r="M61" s="268">
        <f>MAX(M62:M76)</f>
        <v>45624</v>
      </c>
      <c r="N61" s="312">
        <f t="array" ref="N61">MAX(IF(W61:CI61&gt;0,$W$16:$CI$16))</f>
        <v>45625</v>
      </c>
      <c r="O61" s="311">
        <f>SUMPRODUCT(O62:O76,U62:U76)/SUM(U62:U76)</f>
        <v>1</v>
      </c>
      <c r="P61" s="311">
        <f ca="1">SUMPRODUCT(P62:P76,U62:U76)/SUM(U62:U76)</f>
        <v>1</v>
      </c>
      <c r="Q61" s="246">
        <f t="shared" ref="Q61:Q75" ca="1" si="21">O61-P61</f>
        <v>0</v>
      </c>
      <c r="R61" s="252" t="s">
        <v>1930</v>
      </c>
      <c r="S61" s="270"/>
      <c r="T61" s="260"/>
      <c r="U61" s="260"/>
      <c r="V61" s="260"/>
      <c r="W61" s="271"/>
      <c r="X61" s="271"/>
      <c r="Y61" s="271"/>
      <c r="Z61" s="271"/>
      <c r="AA61" s="271"/>
      <c r="AB61" s="271"/>
      <c r="AC61" s="278"/>
      <c r="AD61" s="272"/>
      <c r="AE61" s="271"/>
      <c r="AF61" s="271"/>
      <c r="AG61" s="271"/>
      <c r="AH61" s="271"/>
      <c r="AI61" s="271"/>
      <c r="AJ61" s="271"/>
      <c r="AK61" s="271"/>
      <c r="AL61" s="271"/>
      <c r="AM61" s="271"/>
      <c r="AN61" s="271"/>
      <c r="AO61" s="271"/>
      <c r="AP61" s="271"/>
      <c r="AQ61" s="271"/>
      <c r="AR61" s="271"/>
      <c r="AS61" s="271"/>
      <c r="AT61" s="271"/>
      <c r="AU61" s="271"/>
      <c r="AV61" s="271"/>
      <c r="AW61" s="271"/>
      <c r="AX61" s="274" t="s">
        <v>443</v>
      </c>
      <c r="AY61" s="271"/>
      <c r="AZ61" s="271"/>
      <c r="BA61" s="271"/>
      <c r="BB61" s="271"/>
      <c r="BC61" s="271"/>
      <c r="BD61" s="271"/>
      <c r="BE61" s="271"/>
      <c r="BF61" s="271"/>
      <c r="BG61" s="271"/>
      <c r="BH61" s="271"/>
      <c r="BI61" s="271"/>
      <c r="BJ61" s="271"/>
      <c r="BK61" s="271"/>
      <c r="BL61" s="271"/>
      <c r="BM61" s="271"/>
      <c r="BN61" s="271"/>
      <c r="BO61" s="272"/>
      <c r="BP61" s="272"/>
      <c r="BQ61" s="272"/>
      <c r="BR61" s="272"/>
      <c r="BS61" s="272"/>
      <c r="BT61" s="272"/>
      <c r="BU61" s="272"/>
      <c r="BV61" s="271"/>
      <c r="BW61" s="271"/>
      <c r="BX61" s="271"/>
      <c r="BY61" s="271"/>
      <c r="BZ61" s="271"/>
      <c r="CA61" s="271"/>
      <c r="CB61" s="271"/>
      <c r="CC61" s="271"/>
      <c r="CD61" s="271"/>
      <c r="CE61" s="271"/>
      <c r="CF61" s="271"/>
      <c r="CG61" s="271"/>
      <c r="CH61" s="271"/>
      <c r="CI61" s="271"/>
    </row>
    <row r="62" spans="1:87" ht="16.2" outlineLevel="1">
      <c r="A62" s="264" t="str">
        <f t="shared" ref="A62:A75" si="22">E62&amp;G62</f>
        <v>lt003_entitytxnmy_elgbl_capex_ccm</v>
      </c>
      <c r="B62" s="141" t="s">
        <v>26</v>
      </c>
      <c r="C62" s="137" t="s">
        <v>26</v>
      </c>
      <c r="D62" s="226" t="s">
        <v>40</v>
      </c>
      <c r="E62" s="229" t="s">
        <v>335</v>
      </c>
      <c r="F62" s="229"/>
      <c r="G62" s="229" t="s">
        <v>338</v>
      </c>
      <c r="H62" s="226" t="str">
        <f>VLOOKUP(A62,'2. Status Detalhe Campos FY24'!$A$7:$G$732,7,0)</f>
        <v>1. Concluído</v>
      </c>
      <c r="I62" s="266" t="s">
        <v>38</v>
      </c>
      <c r="J62" s="275">
        <v>45614</v>
      </c>
      <c r="K62" s="275">
        <v>45596</v>
      </c>
      <c r="L62" s="280">
        <f t="array" ref="L62">MIN(IF(W62:CI62&gt;0,$W$16:$CI$16))</f>
        <v>45615</v>
      </c>
      <c r="M62" s="281">
        <f t="array" ref="M62">MAX(IF(W62:CI62&gt;0,$W$16:$CI$16))</f>
        <v>45615</v>
      </c>
      <c r="N62" s="281"/>
      <c r="O62" s="239">
        <f>VLOOKUP(H62,Auxiliar!$B$16:$E$24,4,0)</f>
        <v>1</v>
      </c>
      <c r="P62" s="239">
        <f t="shared" ref="P62:P75" ca="1" si="23">IF(TODAY()&lt;=L62,0,MIN((TODAY()-L62)/(M62-L62+1),100%))</f>
        <v>1</v>
      </c>
      <c r="Q62" s="238">
        <f t="shared" ca="1" si="21"/>
        <v>0</v>
      </c>
      <c r="R62" s="251"/>
      <c r="S62" s="270"/>
      <c r="T62" s="260">
        <v>4.0999999999999996</v>
      </c>
      <c r="U62" s="260">
        <f t="shared" ref="U62:U75" si="24">ROUND(T62/8,1)</f>
        <v>0.5</v>
      </c>
      <c r="V62" s="260">
        <f t="shared" ref="V62:V75" si="25">SUM(W62:CI62)-U62</f>
        <v>0</v>
      </c>
      <c r="W62" s="271"/>
      <c r="X62" s="271"/>
      <c r="Y62" s="271"/>
      <c r="Z62" s="271"/>
      <c r="AA62" s="271"/>
      <c r="AB62" s="271"/>
      <c r="AC62" s="278"/>
      <c r="AD62" s="272"/>
      <c r="AE62" s="271"/>
      <c r="AF62" s="271"/>
      <c r="AG62" s="271"/>
      <c r="AH62" s="271"/>
      <c r="AI62" s="271"/>
      <c r="AJ62" s="271"/>
      <c r="AK62" s="271"/>
      <c r="AL62" s="271"/>
      <c r="AM62" s="271"/>
      <c r="AN62" s="271"/>
      <c r="AO62" s="273"/>
      <c r="AP62" s="271">
        <v>0.5</v>
      </c>
      <c r="AQ62" s="271"/>
      <c r="AR62" s="271"/>
      <c r="AS62" s="271"/>
      <c r="AT62" s="271"/>
      <c r="AU62" s="271"/>
      <c r="AV62" s="271"/>
      <c r="AW62" s="271"/>
      <c r="AX62" s="271"/>
      <c r="AY62" s="271"/>
      <c r="AZ62" s="271"/>
      <c r="BA62" s="271"/>
      <c r="BB62" s="271"/>
      <c r="BC62" s="271"/>
      <c r="BD62" s="271"/>
      <c r="BE62" s="271"/>
      <c r="BF62" s="271"/>
      <c r="BG62" s="271"/>
      <c r="BH62" s="271"/>
      <c r="BI62" s="271"/>
      <c r="BJ62" s="271"/>
      <c r="BK62" s="271"/>
      <c r="BL62" s="271"/>
      <c r="BM62" s="271"/>
      <c r="BN62" s="271"/>
      <c r="BO62" s="272"/>
      <c r="BP62" s="272"/>
      <c r="BQ62" s="272"/>
      <c r="BR62" s="272"/>
      <c r="BS62" s="272"/>
      <c r="BT62" s="272"/>
      <c r="BU62" s="272"/>
      <c r="BV62" s="271"/>
      <c r="BW62" s="271"/>
      <c r="BX62" s="271"/>
      <c r="BY62" s="271"/>
      <c r="BZ62" s="271"/>
      <c r="CA62" s="271"/>
      <c r="CB62" s="271"/>
      <c r="CC62" s="271"/>
      <c r="CD62" s="271"/>
      <c r="CE62" s="271"/>
      <c r="CF62" s="271"/>
      <c r="CG62" s="271"/>
      <c r="CH62" s="271"/>
      <c r="CI62" s="271"/>
    </row>
    <row r="63" spans="1:87" ht="16.2" outlineLevel="1">
      <c r="A63" s="264" t="str">
        <f t="shared" si="22"/>
        <v>lt003_entitytxnmy_elgbl_trnvr_ccm</v>
      </c>
      <c r="B63" s="141" t="s">
        <v>26</v>
      </c>
      <c r="C63" s="137" t="s">
        <v>26</v>
      </c>
      <c r="D63" s="226" t="s">
        <v>40</v>
      </c>
      <c r="E63" s="229" t="s">
        <v>335</v>
      </c>
      <c r="F63" s="229"/>
      <c r="G63" s="229" t="s">
        <v>339</v>
      </c>
      <c r="H63" s="226" t="str">
        <f>VLOOKUP(A63,'2. Status Detalhe Campos FY24'!$A$7:$G$732,7,0)</f>
        <v>1. Concluído</v>
      </c>
      <c r="I63" s="266" t="s">
        <v>38</v>
      </c>
      <c r="J63" s="275">
        <v>45614</v>
      </c>
      <c r="K63" s="275">
        <v>45596</v>
      </c>
      <c r="L63" s="280">
        <f t="array" ref="L63">MIN(IF(W63:CI63&gt;0,$W$16:$CI$16))</f>
        <v>45615</v>
      </c>
      <c r="M63" s="281">
        <f t="array" ref="M63">MAX(IF(W63:CI63&gt;0,$W$16:$CI$16))</f>
        <v>45615</v>
      </c>
      <c r="N63" s="281"/>
      <c r="O63" s="239">
        <f>VLOOKUP(H63,Auxiliar!$B$16:$E$24,4,0)</f>
        <v>1</v>
      </c>
      <c r="P63" s="239">
        <f t="shared" ca="1" si="23"/>
        <v>1</v>
      </c>
      <c r="Q63" s="238">
        <f t="shared" ca="1" si="21"/>
        <v>0</v>
      </c>
      <c r="R63" s="251"/>
      <c r="S63" s="270"/>
      <c r="T63" s="260">
        <v>4.0999999999999996</v>
      </c>
      <c r="U63" s="260">
        <f t="shared" si="24"/>
        <v>0.5</v>
      </c>
      <c r="V63" s="260">
        <f t="shared" si="25"/>
        <v>0</v>
      </c>
      <c r="W63" s="271"/>
      <c r="X63" s="271"/>
      <c r="Y63" s="271"/>
      <c r="Z63" s="271"/>
      <c r="AA63" s="271"/>
      <c r="AB63" s="271"/>
      <c r="AC63" s="278"/>
      <c r="AD63" s="272"/>
      <c r="AE63" s="271"/>
      <c r="AF63" s="271"/>
      <c r="AG63" s="271"/>
      <c r="AH63" s="271"/>
      <c r="AI63" s="271"/>
      <c r="AJ63" s="271"/>
      <c r="AK63" s="271"/>
      <c r="AL63" s="271"/>
      <c r="AM63" s="271"/>
      <c r="AN63" s="271"/>
      <c r="AO63" s="273"/>
      <c r="AP63" s="271">
        <v>0.5</v>
      </c>
      <c r="AQ63" s="271"/>
      <c r="AR63" s="271"/>
      <c r="AS63" s="271"/>
      <c r="AT63" s="271"/>
      <c r="AU63" s="271"/>
      <c r="AV63" s="271"/>
      <c r="AW63" s="271"/>
      <c r="AX63" s="271"/>
      <c r="AY63" s="271"/>
      <c r="AZ63" s="271"/>
      <c r="BA63" s="271"/>
      <c r="BB63" s="271"/>
      <c r="BC63" s="271"/>
      <c r="BD63" s="271"/>
      <c r="BE63" s="271"/>
      <c r="BF63" s="271"/>
      <c r="BG63" s="271"/>
      <c r="BH63" s="271"/>
      <c r="BI63" s="271"/>
      <c r="BJ63" s="271"/>
      <c r="BK63" s="271"/>
      <c r="BL63" s="271"/>
      <c r="BM63" s="271"/>
      <c r="BN63" s="271"/>
      <c r="BO63" s="272"/>
      <c r="BP63" s="272"/>
      <c r="BQ63" s="272"/>
      <c r="BR63" s="272"/>
      <c r="BS63" s="272"/>
      <c r="BT63" s="272"/>
      <c r="BU63" s="272"/>
      <c r="BV63" s="271"/>
      <c r="BW63" s="271"/>
      <c r="BX63" s="271"/>
      <c r="BY63" s="271"/>
      <c r="BZ63" s="271"/>
      <c r="CA63" s="271"/>
      <c r="CB63" s="271"/>
      <c r="CC63" s="271"/>
      <c r="CD63" s="271"/>
      <c r="CE63" s="271"/>
      <c r="CF63" s="271"/>
      <c r="CG63" s="271"/>
      <c r="CH63" s="271"/>
      <c r="CI63" s="271"/>
    </row>
    <row r="64" spans="1:87" ht="16.2" outlineLevel="1">
      <c r="A64" s="264" t="str">
        <f t="shared" si="22"/>
        <v>lt003_entitytxnmy_elgbl_capex_cca</v>
      </c>
      <c r="B64" s="141" t="s">
        <v>26</v>
      </c>
      <c r="C64" s="137" t="s">
        <v>26</v>
      </c>
      <c r="D64" s="226" t="s">
        <v>40</v>
      </c>
      <c r="E64" s="229" t="s">
        <v>335</v>
      </c>
      <c r="F64" s="229"/>
      <c r="G64" s="229" t="s">
        <v>340</v>
      </c>
      <c r="H64" s="226" t="str">
        <f>VLOOKUP(A64,'2. Status Detalhe Campos FY24'!$A$7:$G$732,7,0)</f>
        <v>1. Concluído</v>
      </c>
      <c r="I64" s="266" t="s">
        <v>38</v>
      </c>
      <c r="J64" s="275">
        <v>45614</v>
      </c>
      <c r="K64" s="275">
        <v>45596</v>
      </c>
      <c r="L64" s="280">
        <f t="array" ref="L64">MIN(IF(W64:CI64&gt;0,$W$16:$CI$16))</f>
        <v>45616</v>
      </c>
      <c r="M64" s="281">
        <f t="array" ref="M64">MAX(IF(W64:CI64&gt;0,$W$16:$CI$16))</f>
        <v>45616</v>
      </c>
      <c r="N64" s="281"/>
      <c r="O64" s="239">
        <f>VLOOKUP(H64,Auxiliar!$B$16:$E$24,4,0)</f>
        <v>1</v>
      </c>
      <c r="P64" s="239">
        <f t="shared" ca="1" si="23"/>
        <v>1</v>
      </c>
      <c r="Q64" s="238">
        <f t="shared" ca="1" si="21"/>
        <v>0</v>
      </c>
      <c r="R64" s="251"/>
      <c r="S64" s="270"/>
      <c r="T64" s="260">
        <v>4.0999999999999996</v>
      </c>
      <c r="U64" s="260">
        <f t="shared" si="24"/>
        <v>0.5</v>
      </c>
      <c r="V64" s="260">
        <f t="shared" si="25"/>
        <v>0</v>
      </c>
      <c r="W64" s="271"/>
      <c r="X64" s="271"/>
      <c r="Y64" s="271"/>
      <c r="Z64" s="271"/>
      <c r="AA64" s="271"/>
      <c r="AB64" s="271"/>
      <c r="AC64" s="278"/>
      <c r="AD64" s="272"/>
      <c r="AE64" s="271"/>
      <c r="AF64" s="271"/>
      <c r="AG64" s="271"/>
      <c r="AH64" s="271"/>
      <c r="AI64" s="271"/>
      <c r="AJ64" s="271"/>
      <c r="AK64" s="271"/>
      <c r="AL64" s="271"/>
      <c r="AM64" s="271"/>
      <c r="AN64" s="271"/>
      <c r="AO64" s="273"/>
      <c r="AP64" s="271"/>
      <c r="AQ64" s="271">
        <v>0.5</v>
      </c>
      <c r="AR64" s="271"/>
      <c r="AS64" s="271"/>
      <c r="AT64" s="271"/>
      <c r="AU64" s="271"/>
      <c r="AV64" s="271"/>
      <c r="AW64" s="271"/>
      <c r="AX64" s="271"/>
      <c r="AY64" s="271"/>
      <c r="AZ64" s="271"/>
      <c r="BA64" s="271"/>
      <c r="BB64" s="271"/>
      <c r="BC64" s="271"/>
      <c r="BD64" s="271"/>
      <c r="BE64" s="271"/>
      <c r="BF64" s="271"/>
      <c r="BG64" s="271"/>
      <c r="BH64" s="271"/>
      <c r="BI64" s="271"/>
      <c r="BJ64" s="271"/>
      <c r="BK64" s="271"/>
      <c r="BL64" s="271"/>
      <c r="BM64" s="271"/>
      <c r="BN64" s="271"/>
      <c r="BO64" s="272"/>
      <c r="BP64" s="272"/>
      <c r="BQ64" s="272"/>
      <c r="BR64" s="272"/>
      <c r="BS64" s="272"/>
      <c r="BT64" s="272"/>
      <c r="BU64" s="272"/>
      <c r="BV64" s="271"/>
      <c r="BW64" s="271"/>
      <c r="BX64" s="271"/>
      <c r="BY64" s="271"/>
      <c r="BZ64" s="271"/>
      <c r="CA64" s="271"/>
      <c r="CB64" s="271"/>
      <c r="CC64" s="271"/>
      <c r="CD64" s="271"/>
      <c r="CE64" s="271"/>
      <c r="CF64" s="271"/>
      <c r="CG64" s="271"/>
      <c r="CH64" s="271"/>
      <c r="CI64" s="271"/>
    </row>
    <row r="65" spans="1:87" ht="16.2" outlineLevel="1">
      <c r="A65" s="264" t="str">
        <f t="shared" si="22"/>
        <v>lt003_entitytxnmy_elgbl_trnvr_cca</v>
      </c>
      <c r="B65" s="141" t="s">
        <v>26</v>
      </c>
      <c r="C65" s="137" t="s">
        <v>26</v>
      </c>
      <c r="D65" s="226" t="s">
        <v>40</v>
      </c>
      <c r="E65" s="229" t="s">
        <v>335</v>
      </c>
      <c r="F65" s="229"/>
      <c r="G65" s="229" t="s">
        <v>341</v>
      </c>
      <c r="H65" s="226" t="str">
        <f>VLOOKUP(A65,'2. Status Detalhe Campos FY24'!$A$7:$G$732,7,0)</f>
        <v>1. Concluído</v>
      </c>
      <c r="I65" s="266" t="s">
        <v>38</v>
      </c>
      <c r="J65" s="275">
        <v>45614</v>
      </c>
      <c r="K65" s="275">
        <v>45596</v>
      </c>
      <c r="L65" s="280">
        <f t="array" ref="L65">MIN(IF(W65:CI65&gt;0,$W$16:$CI$16))</f>
        <v>45616</v>
      </c>
      <c r="M65" s="281">
        <f t="array" ref="M65">MAX(IF(W65:CI65&gt;0,$W$16:$CI$16))</f>
        <v>45616</v>
      </c>
      <c r="N65" s="281"/>
      <c r="O65" s="239">
        <f>VLOOKUP(H65,Auxiliar!$B$16:$E$24,4,0)</f>
        <v>1</v>
      </c>
      <c r="P65" s="239">
        <f t="shared" ca="1" si="23"/>
        <v>1</v>
      </c>
      <c r="Q65" s="238">
        <f t="shared" ca="1" si="21"/>
        <v>0</v>
      </c>
      <c r="R65" s="251"/>
      <c r="S65" s="270"/>
      <c r="T65" s="260">
        <v>4.0999999999999996</v>
      </c>
      <c r="U65" s="260">
        <f t="shared" si="24"/>
        <v>0.5</v>
      </c>
      <c r="V65" s="260">
        <f t="shared" si="25"/>
        <v>0</v>
      </c>
      <c r="W65" s="271"/>
      <c r="X65" s="271"/>
      <c r="Y65" s="271"/>
      <c r="Z65" s="271"/>
      <c r="AA65" s="271"/>
      <c r="AB65" s="271"/>
      <c r="AC65" s="278"/>
      <c r="AD65" s="272"/>
      <c r="AE65" s="271"/>
      <c r="AF65" s="271"/>
      <c r="AG65" s="271"/>
      <c r="AH65" s="271"/>
      <c r="AI65" s="271"/>
      <c r="AJ65" s="271"/>
      <c r="AK65" s="271"/>
      <c r="AL65" s="271"/>
      <c r="AM65" s="271"/>
      <c r="AN65" s="271"/>
      <c r="AO65" s="273"/>
      <c r="AP65" s="271"/>
      <c r="AQ65" s="271">
        <v>0.5</v>
      </c>
      <c r="AR65" s="271"/>
      <c r="AS65" s="271"/>
      <c r="AT65" s="271"/>
      <c r="AU65" s="271"/>
      <c r="AV65" s="271"/>
      <c r="AW65" s="271"/>
      <c r="AX65" s="271"/>
      <c r="AY65" s="271"/>
      <c r="AZ65" s="271"/>
      <c r="BA65" s="271"/>
      <c r="BB65" s="271"/>
      <c r="BC65" s="271"/>
      <c r="BD65" s="271"/>
      <c r="BE65" s="271"/>
      <c r="BF65" s="271"/>
      <c r="BG65" s="271"/>
      <c r="BH65" s="271"/>
      <c r="BI65" s="271"/>
      <c r="BJ65" s="271"/>
      <c r="BK65" s="271"/>
      <c r="BL65" s="271"/>
      <c r="BM65" s="271"/>
      <c r="BN65" s="271"/>
      <c r="BO65" s="272"/>
      <c r="BP65" s="272"/>
      <c r="BQ65" s="272"/>
      <c r="BR65" s="272"/>
      <c r="BS65" s="272"/>
      <c r="BT65" s="272"/>
      <c r="BU65" s="272"/>
      <c r="BV65" s="271"/>
      <c r="BW65" s="271"/>
      <c r="BX65" s="271"/>
      <c r="BY65" s="271"/>
      <c r="BZ65" s="271"/>
      <c r="CA65" s="271"/>
      <c r="CB65" s="271"/>
      <c r="CC65" s="271"/>
      <c r="CD65" s="271"/>
      <c r="CE65" s="271"/>
      <c r="CF65" s="271"/>
      <c r="CG65" s="271"/>
      <c r="CH65" s="271"/>
      <c r="CI65" s="271"/>
    </row>
    <row r="66" spans="1:87" ht="16.2" outlineLevel="1">
      <c r="A66" s="264" t="str">
        <f t="shared" si="22"/>
        <v>lt003_entityenblng_capex_ccm</v>
      </c>
      <c r="B66" s="141" t="s">
        <v>26</v>
      </c>
      <c r="C66" s="137" t="s">
        <v>26</v>
      </c>
      <c r="D66" s="226" t="s">
        <v>40</v>
      </c>
      <c r="E66" s="229" t="s">
        <v>335</v>
      </c>
      <c r="F66" s="229"/>
      <c r="G66" s="229" t="s">
        <v>342</v>
      </c>
      <c r="H66" s="226" t="str">
        <f>VLOOKUP(A66,'2. Status Detalhe Campos FY24'!$A$7:$G$732,7,0)</f>
        <v>1. Concluído</v>
      </c>
      <c r="I66" s="266" t="s">
        <v>38</v>
      </c>
      <c r="J66" s="275">
        <v>45614</v>
      </c>
      <c r="K66" s="275">
        <v>45596</v>
      </c>
      <c r="L66" s="280">
        <f t="array" ref="L66">MIN(IF(W66:CI66&gt;0,$W$16:$CI$16))</f>
        <v>45617</v>
      </c>
      <c r="M66" s="281">
        <f t="array" ref="M66">MAX(IF(W66:CI66&gt;0,$W$16:$CI$16))</f>
        <v>45617</v>
      </c>
      <c r="N66" s="281"/>
      <c r="O66" s="239">
        <f>VLOOKUP(H66,Auxiliar!$B$16:$E$24,4,0)</f>
        <v>1</v>
      </c>
      <c r="P66" s="239">
        <f t="shared" ca="1" si="23"/>
        <v>1</v>
      </c>
      <c r="Q66" s="238">
        <f t="shared" ca="1" si="21"/>
        <v>0</v>
      </c>
      <c r="R66" s="251"/>
      <c r="S66" s="270"/>
      <c r="T66" s="260">
        <v>4.0999999999999996</v>
      </c>
      <c r="U66" s="260">
        <f t="shared" si="24"/>
        <v>0.5</v>
      </c>
      <c r="V66" s="260">
        <f t="shared" si="25"/>
        <v>0</v>
      </c>
      <c r="W66" s="271"/>
      <c r="X66" s="271"/>
      <c r="Y66" s="271"/>
      <c r="Z66" s="271"/>
      <c r="AA66" s="271"/>
      <c r="AB66" s="271"/>
      <c r="AC66" s="278"/>
      <c r="AD66" s="272"/>
      <c r="AE66" s="271"/>
      <c r="AF66" s="271"/>
      <c r="AG66" s="271"/>
      <c r="AH66" s="271"/>
      <c r="AI66" s="271"/>
      <c r="AJ66" s="271"/>
      <c r="AK66" s="271"/>
      <c r="AL66" s="271"/>
      <c r="AM66" s="271"/>
      <c r="AN66" s="271"/>
      <c r="AO66" s="273"/>
      <c r="AP66" s="271"/>
      <c r="AQ66" s="271"/>
      <c r="AR66" s="271">
        <v>0.5</v>
      </c>
      <c r="AS66" s="271"/>
      <c r="AT66" s="271"/>
      <c r="AU66" s="271"/>
      <c r="AV66" s="271"/>
      <c r="AW66" s="271"/>
      <c r="AX66" s="271"/>
      <c r="AY66" s="271"/>
      <c r="AZ66" s="271"/>
      <c r="BA66" s="271"/>
      <c r="BB66" s="271"/>
      <c r="BC66" s="271"/>
      <c r="BD66" s="271"/>
      <c r="BE66" s="271"/>
      <c r="BF66" s="271"/>
      <c r="BG66" s="271"/>
      <c r="BH66" s="271"/>
      <c r="BI66" s="271"/>
      <c r="BJ66" s="271"/>
      <c r="BK66" s="271"/>
      <c r="BL66" s="271"/>
      <c r="BM66" s="271"/>
      <c r="BN66" s="271"/>
      <c r="BO66" s="272"/>
      <c r="BP66" s="272"/>
      <c r="BQ66" s="272"/>
      <c r="BR66" s="272"/>
      <c r="BS66" s="272"/>
      <c r="BT66" s="272"/>
      <c r="BU66" s="272"/>
      <c r="BV66" s="271"/>
      <c r="BW66" s="271"/>
      <c r="BX66" s="271"/>
      <c r="BY66" s="271"/>
      <c r="BZ66" s="271"/>
      <c r="CA66" s="271"/>
      <c r="CB66" s="271"/>
      <c r="CC66" s="271"/>
      <c r="CD66" s="271"/>
      <c r="CE66" s="271"/>
      <c r="CF66" s="271"/>
      <c r="CG66" s="271"/>
      <c r="CH66" s="271"/>
      <c r="CI66" s="271"/>
    </row>
    <row r="67" spans="1:87" ht="16.2" outlineLevel="1">
      <c r="A67" s="264" t="str">
        <f t="shared" si="22"/>
        <v>lt003_entityenblng_capex_cca</v>
      </c>
      <c r="B67" s="141" t="s">
        <v>26</v>
      </c>
      <c r="C67" s="137" t="s">
        <v>26</v>
      </c>
      <c r="D67" s="226" t="s">
        <v>40</v>
      </c>
      <c r="E67" s="229" t="s">
        <v>335</v>
      </c>
      <c r="F67" s="229"/>
      <c r="G67" s="229" t="s">
        <v>343</v>
      </c>
      <c r="H67" s="226" t="str">
        <f>VLOOKUP(A67,'2. Status Detalhe Campos FY24'!$A$7:$G$732,7,0)</f>
        <v>1. Concluído</v>
      </c>
      <c r="I67" s="266" t="s">
        <v>38</v>
      </c>
      <c r="J67" s="275">
        <v>45614</v>
      </c>
      <c r="K67" s="275">
        <v>45596</v>
      </c>
      <c r="L67" s="280">
        <f t="array" ref="L67">MIN(IF(W67:CI67&gt;0,$W$16:$CI$16))</f>
        <v>45617</v>
      </c>
      <c r="M67" s="281">
        <f t="array" ref="M67">MAX(IF(W67:CI67&gt;0,$W$16:$CI$16))</f>
        <v>45617</v>
      </c>
      <c r="N67" s="281"/>
      <c r="O67" s="239">
        <f>VLOOKUP(H67,Auxiliar!$B$16:$E$24,4,0)</f>
        <v>1</v>
      </c>
      <c r="P67" s="239">
        <f t="shared" ca="1" si="23"/>
        <v>1</v>
      </c>
      <c r="Q67" s="238">
        <f t="shared" ca="1" si="21"/>
        <v>0</v>
      </c>
      <c r="R67" s="251"/>
      <c r="S67" s="270"/>
      <c r="T67" s="260">
        <v>4.0999999999999996</v>
      </c>
      <c r="U67" s="260">
        <f t="shared" si="24"/>
        <v>0.5</v>
      </c>
      <c r="V67" s="260">
        <f t="shared" si="25"/>
        <v>0</v>
      </c>
      <c r="W67" s="271"/>
      <c r="X67" s="271"/>
      <c r="Y67" s="271"/>
      <c r="Z67" s="271"/>
      <c r="AA67" s="271"/>
      <c r="AB67" s="271"/>
      <c r="AC67" s="278"/>
      <c r="AD67" s="272"/>
      <c r="AE67" s="271"/>
      <c r="AF67" s="271"/>
      <c r="AG67" s="271"/>
      <c r="AH67" s="271"/>
      <c r="AI67" s="271"/>
      <c r="AJ67" s="271"/>
      <c r="AK67" s="271"/>
      <c r="AL67" s="271"/>
      <c r="AM67" s="271"/>
      <c r="AN67" s="271"/>
      <c r="AO67" s="273"/>
      <c r="AP67" s="271"/>
      <c r="AQ67" s="271"/>
      <c r="AR67" s="271">
        <v>0.5</v>
      </c>
      <c r="AS67" s="271"/>
      <c r="AT67" s="271"/>
      <c r="AU67" s="271"/>
      <c r="AV67" s="271"/>
      <c r="AW67" s="271"/>
      <c r="AX67" s="271"/>
      <c r="AY67" s="271"/>
      <c r="AZ67" s="271"/>
      <c r="BA67" s="271"/>
      <c r="BB67" s="271"/>
      <c r="BC67" s="271"/>
      <c r="BD67" s="271"/>
      <c r="BE67" s="271"/>
      <c r="BF67" s="271"/>
      <c r="BG67" s="271"/>
      <c r="BH67" s="271"/>
      <c r="BI67" s="271"/>
      <c r="BJ67" s="271"/>
      <c r="BK67" s="271"/>
      <c r="BL67" s="271"/>
      <c r="BM67" s="271"/>
      <c r="BN67" s="271"/>
      <c r="BO67" s="272"/>
      <c r="BP67" s="272"/>
      <c r="BQ67" s="272"/>
      <c r="BR67" s="272"/>
      <c r="BS67" s="272"/>
      <c r="BT67" s="272"/>
      <c r="BU67" s="272"/>
      <c r="BV67" s="271"/>
      <c r="BW67" s="271"/>
      <c r="BX67" s="271"/>
      <c r="BY67" s="271"/>
      <c r="BZ67" s="271"/>
      <c r="CA67" s="271"/>
      <c r="CB67" s="271"/>
      <c r="CC67" s="271"/>
      <c r="CD67" s="271"/>
      <c r="CE67" s="271"/>
      <c r="CF67" s="271"/>
      <c r="CG67" s="271"/>
      <c r="CH67" s="271"/>
      <c r="CI67" s="271"/>
    </row>
    <row r="68" spans="1:87" ht="16.2" outlineLevel="1">
      <c r="A68" s="264" t="str">
        <f t="shared" si="22"/>
        <v>lt003_entitytrnstnl_capex</v>
      </c>
      <c r="B68" s="141" t="s">
        <v>26</v>
      </c>
      <c r="C68" s="137" t="s">
        <v>26</v>
      </c>
      <c r="D68" s="226" t="s">
        <v>40</v>
      </c>
      <c r="E68" s="229" t="s">
        <v>335</v>
      </c>
      <c r="F68" s="229"/>
      <c r="G68" s="229" t="s">
        <v>344</v>
      </c>
      <c r="H68" s="226" t="str">
        <f>VLOOKUP(A68,'2. Status Detalhe Campos FY24'!$A$7:$G$732,7,0)</f>
        <v>1. Concluído</v>
      </c>
      <c r="I68" s="266" t="s">
        <v>38</v>
      </c>
      <c r="J68" s="275">
        <v>45614</v>
      </c>
      <c r="K68" s="275">
        <v>45596</v>
      </c>
      <c r="L68" s="280">
        <f t="array" ref="L68">MIN(IF(W68:CI68&gt;0,$W$16:$CI$16))</f>
        <v>45618</v>
      </c>
      <c r="M68" s="281">
        <f t="array" ref="M68">MAX(IF(W68:CI68&gt;0,$W$16:$CI$16))</f>
        <v>45618</v>
      </c>
      <c r="N68" s="281"/>
      <c r="O68" s="239">
        <f>VLOOKUP(H68,Auxiliar!$B$16:$E$24,4,0)</f>
        <v>1</v>
      </c>
      <c r="P68" s="239">
        <f t="shared" ca="1" si="23"/>
        <v>1</v>
      </c>
      <c r="Q68" s="238">
        <f t="shared" ca="1" si="21"/>
        <v>0</v>
      </c>
      <c r="R68" s="251"/>
      <c r="S68" s="270"/>
      <c r="T68" s="260">
        <v>4.0999999999999996</v>
      </c>
      <c r="U68" s="260">
        <f t="shared" si="24"/>
        <v>0.5</v>
      </c>
      <c r="V68" s="260">
        <f t="shared" si="25"/>
        <v>0</v>
      </c>
      <c r="W68" s="271"/>
      <c r="X68" s="271"/>
      <c r="Y68" s="271"/>
      <c r="Z68" s="271"/>
      <c r="AA68" s="271"/>
      <c r="AB68" s="271"/>
      <c r="AC68" s="278"/>
      <c r="AD68" s="272"/>
      <c r="AE68" s="271"/>
      <c r="AF68" s="271"/>
      <c r="AG68" s="271"/>
      <c r="AH68" s="271"/>
      <c r="AI68" s="271"/>
      <c r="AJ68" s="271"/>
      <c r="AK68" s="271"/>
      <c r="AL68" s="271"/>
      <c r="AM68" s="271"/>
      <c r="AN68" s="271"/>
      <c r="AO68" s="273"/>
      <c r="AP68" s="271"/>
      <c r="AQ68" s="271"/>
      <c r="AR68" s="271"/>
      <c r="AS68" s="271">
        <v>0.5</v>
      </c>
      <c r="AT68" s="271"/>
      <c r="AU68" s="271"/>
      <c r="AV68" s="271"/>
      <c r="AW68" s="271"/>
      <c r="AX68" s="271"/>
      <c r="AY68" s="271"/>
      <c r="AZ68" s="271"/>
      <c r="BA68" s="271"/>
      <c r="BB68" s="271"/>
      <c r="BC68" s="271"/>
      <c r="BD68" s="271"/>
      <c r="BE68" s="271"/>
      <c r="BF68" s="271"/>
      <c r="BG68" s="271"/>
      <c r="BH68" s="271"/>
      <c r="BI68" s="271"/>
      <c r="BJ68" s="271"/>
      <c r="BK68" s="271"/>
      <c r="BL68" s="271"/>
      <c r="BM68" s="271"/>
      <c r="BN68" s="271"/>
      <c r="BO68" s="272"/>
      <c r="BP68" s="272"/>
      <c r="BQ68" s="272"/>
      <c r="BR68" s="272"/>
      <c r="BS68" s="272"/>
      <c r="BT68" s="272"/>
      <c r="BU68" s="272"/>
      <c r="BV68" s="271"/>
      <c r="BW68" s="271"/>
      <c r="BX68" s="271"/>
      <c r="BY68" s="271"/>
      <c r="BZ68" s="271"/>
      <c r="CA68" s="271"/>
      <c r="CB68" s="271"/>
      <c r="CC68" s="271"/>
      <c r="CD68" s="271"/>
      <c r="CE68" s="271"/>
      <c r="CF68" s="271"/>
      <c r="CG68" s="271"/>
      <c r="CH68" s="271"/>
      <c r="CI68" s="271"/>
    </row>
    <row r="69" spans="1:87" ht="16.2" outlineLevel="1">
      <c r="A69" s="264" t="str">
        <f t="shared" si="22"/>
        <v>lt003_entitypure_capex_ccm</v>
      </c>
      <c r="B69" s="141" t="s">
        <v>26</v>
      </c>
      <c r="C69" s="137" t="s">
        <v>26</v>
      </c>
      <c r="D69" s="226" t="s">
        <v>40</v>
      </c>
      <c r="E69" s="229" t="s">
        <v>335</v>
      </c>
      <c r="F69" s="229"/>
      <c r="G69" s="229" t="s">
        <v>345</v>
      </c>
      <c r="H69" s="226" t="str">
        <f>VLOOKUP(A69,'2. Status Detalhe Campos FY24'!$A$7:$G$732,7,0)</f>
        <v>1. Concluído</v>
      </c>
      <c r="I69" s="266" t="s">
        <v>38</v>
      </c>
      <c r="J69" s="275">
        <v>45614</v>
      </c>
      <c r="K69" s="275">
        <v>45596</v>
      </c>
      <c r="L69" s="280">
        <f t="array" ref="L69">MIN(IF(W69:CI69&gt;0,$W$16:$CI$16))</f>
        <v>45618</v>
      </c>
      <c r="M69" s="281">
        <f t="array" ref="M69">MAX(IF(W69:CI69&gt;0,$W$16:$CI$16))</f>
        <v>45618</v>
      </c>
      <c r="N69" s="281"/>
      <c r="O69" s="239">
        <f>VLOOKUP(H69,Auxiliar!$B$16:$E$24,4,0)</f>
        <v>1</v>
      </c>
      <c r="P69" s="239">
        <f t="shared" ca="1" si="23"/>
        <v>1</v>
      </c>
      <c r="Q69" s="238">
        <f t="shared" ca="1" si="21"/>
        <v>0</v>
      </c>
      <c r="R69" s="251"/>
      <c r="S69" s="270"/>
      <c r="T69" s="260">
        <v>4.0999999999999996</v>
      </c>
      <c r="U69" s="260">
        <f t="shared" si="24"/>
        <v>0.5</v>
      </c>
      <c r="V69" s="260">
        <f t="shared" si="25"/>
        <v>0</v>
      </c>
      <c r="W69" s="271"/>
      <c r="X69" s="271"/>
      <c r="Y69" s="271"/>
      <c r="Z69" s="271"/>
      <c r="AA69" s="271"/>
      <c r="AB69" s="271"/>
      <c r="AC69" s="278"/>
      <c r="AD69" s="272"/>
      <c r="AE69" s="271"/>
      <c r="AF69" s="271"/>
      <c r="AG69" s="271"/>
      <c r="AH69" s="271"/>
      <c r="AI69" s="271"/>
      <c r="AJ69" s="271"/>
      <c r="AK69" s="271"/>
      <c r="AL69" s="271"/>
      <c r="AM69" s="271"/>
      <c r="AN69" s="271"/>
      <c r="AO69" s="273"/>
      <c r="AP69" s="271"/>
      <c r="AQ69" s="271"/>
      <c r="AR69" s="271"/>
      <c r="AS69" s="271">
        <v>0.5</v>
      </c>
      <c r="AT69" s="271"/>
      <c r="AU69" s="271"/>
      <c r="AV69" s="271"/>
      <c r="AW69" s="271"/>
      <c r="AX69" s="271"/>
      <c r="AY69" s="271"/>
      <c r="AZ69" s="271"/>
      <c r="BA69" s="271"/>
      <c r="BB69" s="271"/>
      <c r="BC69" s="271"/>
      <c r="BD69" s="271"/>
      <c r="BE69" s="271"/>
      <c r="BF69" s="271"/>
      <c r="BG69" s="271"/>
      <c r="BH69" s="271"/>
      <c r="BI69" s="271"/>
      <c r="BJ69" s="271"/>
      <c r="BK69" s="271"/>
      <c r="BL69" s="271"/>
      <c r="BM69" s="271"/>
      <c r="BN69" s="271"/>
      <c r="BO69" s="272"/>
      <c r="BP69" s="272"/>
      <c r="BQ69" s="272"/>
      <c r="BR69" s="272"/>
      <c r="BS69" s="272"/>
      <c r="BT69" s="272"/>
      <c r="BU69" s="272"/>
      <c r="BV69" s="271"/>
      <c r="BW69" s="271"/>
      <c r="BX69" s="271"/>
      <c r="BY69" s="271"/>
      <c r="BZ69" s="271"/>
      <c r="CA69" s="271"/>
      <c r="CB69" s="271"/>
      <c r="CC69" s="271"/>
      <c r="CD69" s="271"/>
      <c r="CE69" s="271"/>
      <c r="CF69" s="271"/>
      <c r="CG69" s="271"/>
      <c r="CH69" s="271"/>
      <c r="CI69" s="271"/>
    </row>
    <row r="70" spans="1:87" ht="16.2" outlineLevel="1">
      <c r="A70" s="264" t="str">
        <f t="shared" si="22"/>
        <v>lt003_entityenblng_trnvr_ccm</v>
      </c>
      <c r="B70" s="141" t="s">
        <v>26</v>
      </c>
      <c r="C70" s="137" t="s">
        <v>26</v>
      </c>
      <c r="D70" s="226" t="s">
        <v>40</v>
      </c>
      <c r="E70" s="229" t="s">
        <v>335</v>
      </c>
      <c r="F70" s="229"/>
      <c r="G70" s="229" t="s">
        <v>347</v>
      </c>
      <c r="H70" s="226" t="str">
        <f>VLOOKUP(A70,'2. Status Detalhe Campos FY24'!$A$7:$G$732,7,0)</f>
        <v>1. Concluído</v>
      </c>
      <c r="I70" s="266" t="s">
        <v>38</v>
      </c>
      <c r="J70" s="275">
        <v>45614</v>
      </c>
      <c r="K70" s="275">
        <v>45596</v>
      </c>
      <c r="L70" s="280">
        <f t="array" ref="L70">MIN(IF(W70:CI70&gt;0,$W$16:$CI$16))</f>
        <v>45621</v>
      </c>
      <c r="M70" s="281">
        <f t="array" ref="M70">MAX(IF(W70:CI70&gt;0,$W$16:$CI$16))</f>
        <v>45621</v>
      </c>
      <c r="N70" s="281"/>
      <c r="O70" s="239">
        <f>VLOOKUP(H70,Auxiliar!$B$16:$E$24,4,0)</f>
        <v>1</v>
      </c>
      <c r="P70" s="239">
        <f t="shared" ca="1" si="23"/>
        <v>1</v>
      </c>
      <c r="Q70" s="238">
        <f t="shared" ca="1" si="21"/>
        <v>0</v>
      </c>
      <c r="R70" s="251"/>
      <c r="S70" s="270"/>
      <c r="T70" s="260">
        <v>4.0999999999999996</v>
      </c>
      <c r="U70" s="260">
        <f t="shared" si="24"/>
        <v>0.5</v>
      </c>
      <c r="V70" s="260">
        <f t="shared" si="25"/>
        <v>0</v>
      </c>
      <c r="W70" s="271"/>
      <c r="X70" s="271"/>
      <c r="Y70" s="271"/>
      <c r="Z70" s="271"/>
      <c r="AA70" s="271"/>
      <c r="AB70" s="271"/>
      <c r="AC70" s="278"/>
      <c r="AD70" s="272"/>
      <c r="AE70" s="271"/>
      <c r="AF70" s="271"/>
      <c r="AG70" s="271"/>
      <c r="AH70" s="271"/>
      <c r="AI70" s="271"/>
      <c r="AJ70" s="271"/>
      <c r="AK70" s="271"/>
      <c r="AL70" s="271"/>
      <c r="AM70" s="271"/>
      <c r="AN70" s="271"/>
      <c r="AO70" s="273"/>
      <c r="AP70" s="271"/>
      <c r="AQ70" s="271"/>
      <c r="AR70" s="271"/>
      <c r="AS70" s="271"/>
      <c r="AT70" s="271">
        <v>0.5</v>
      </c>
      <c r="AU70" s="271"/>
      <c r="AV70" s="271"/>
      <c r="AW70" s="271"/>
      <c r="AX70" s="271"/>
      <c r="AY70" s="271"/>
      <c r="AZ70" s="271"/>
      <c r="BA70" s="271"/>
      <c r="BB70" s="271"/>
      <c r="BC70" s="271"/>
      <c r="BD70" s="271"/>
      <c r="BE70" s="271"/>
      <c r="BF70" s="271"/>
      <c r="BG70" s="271"/>
      <c r="BH70" s="271"/>
      <c r="BI70" s="271"/>
      <c r="BJ70" s="271"/>
      <c r="BK70" s="271"/>
      <c r="BL70" s="271"/>
      <c r="BM70" s="271"/>
      <c r="BN70" s="271"/>
      <c r="BO70" s="272"/>
      <c r="BP70" s="272"/>
      <c r="BQ70" s="272"/>
      <c r="BR70" s="272"/>
      <c r="BS70" s="272"/>
      <c r="BT70" s="272"/>
      <c r="BU70" s="272"/>
      <c r="BV70" s="271"/>
      <c r="BW70" s="271"/>
      <c r="BX70" s="271"/>
      <c r="BY70" s="271"/>
      <c r="BZ70" s="271"/>
      <c r="CA70" s="271"/>
      <c r="CB70" s="271"/>
      <c r="CC70" s="271"/>
      <c r="CD70" s="271"/>
      <c r="CE70" s="271"/>
      <c r="CF70" s="271"/>
      <c r="CG70" s="271"/>
      <c r="CH70" s="271"/>
      <c r="CI70" s="271"/>
    </row>
    <row r="71" spans="1:87" ht="16.2" outlineLevel="1">
      <c r="A71" s="264" t="str">
        <f t="shared" si="22"/>
        <v>lt003_entityenblng_trnvr_cca</v>
      </c>
      <c r="B71" s="141" t="s">
        <v>26</v>
      </c>
      <c r="C71" s="137" t="s">
        <v>26</v>
      </c>
      <c r="D71" s="226" t="s">
        <v>40</v>
      </c>
      <c r="E71" s="229" t="s">
        <v>335</v>
      </c>
      <c r="F71" s="229"/>
      <c r="G71" s="229" t="s">
        <v>348</v>
      </c>
      <c r="H71" s="226" t="str">
        <f>VLOOKUP(A71,'2. Status Detalhe Campos FY24'!$A$7:$G$732,7,0)</f>
        <v>1. Concluído</v>
      </c>
      <c r="I71" s="266" t="s">
        <v>38</v>
      </c>
      <c r="J71" s="275">
        <v>45614</v>
      </c>
      <c r="K71" s="275">
        <v>45596</v>
      </c>
      <c r="L71" s="280">
        <f t="array" ref="L71">MIN(IF(W71:CI71&gt;0,$W$16:$CI$16))</f>
        <v>45621</v>
      </c>
      <c r="M71" s="281">
        <f t="array" ref="M71">MAX(IF(W71:CI71&gt;0,$W$16:$CI$16))</f>
        <v>45621</v>
      </c>
      <c r="N71" s="281"/>
      <c r="O71" s="239">
        <f>VLOOKUP(H71,Auxiliar!$B$16:$E$24,4,0)</f>
        <v>1</v>
      </c>
      <c r="P71" s="239">
        <f t="shared" ca="1" si="23"/>
        <v>1</v>
      </c>
      <c r="Q71" s="238">
        <f t="shared" ca="1" si="21"/>
        <v>0</v>
      </c>
      <c r="R71" s="251"/>
      <c r="S71" s="270"/>
      <c r="T71" s="260">
        <v>4.0999999999999996</v>
      </c>
      <c r="U71" s="260">
        <f t="shared" si="24"/>
        <v>0.5</v>
      </c>
      <c r="V71" s="260">
        <f t="shared" si="25"/>
        <v>0</v>
      </c>
      <c r="W71" s="271"/>
      <c r="X71" s="271"/>
      <c r="Y71" s="271"/>
      <c r="Z71" s="271"/>
      <c r="AA71" s="271"/>
      <c r="AB71" s="271"/>
      <c r="AC71" s="278"/>
      <c r="AD71" s="272"/>
      <c r="AE71" s="271"/>
      <c r="AF71" s="271"/>
      <c r="AG71" s="271"/>
      <c r="AH71" s="271"/>
      <c r="AI71" s="271"/>
      <c r="AJ71" s="271"/>
      <c r="AK71" s="271"/>
      <c r="AL71" s="271"/>
      <c r="AM71" s="271"/>
      <c r="AN71" s="271"/>
      <c r="AO71" s="273"/>
      <c r="AP71" s="271"/>
      <c r="AQ71" s="271"/>
      <c r="AR71" s="271"/>
      <c r="AS71" s="271"/>
      <c r="AT71" s="271">
        <v>0.5</v>
      </c>
      <c r="AU71" s="271"/>
      <c r="AV71" s="271"/>
      <c r="AW71" s="271"/>
      <c r="AX71" s="271"/>
      <c r="AY71" s="271"/>
      <c r="AZ71" s="271"/>
      <c r="BA71" s="271"/>
      <c r="BB71" s="271"/>
      <c r="BC71" s="271"/>
      <c r="BD71" s="271"/>
      <c r="BE71" s="271"/>
      <c r="BF71" s="271"/>
      <c r="BG71" s="271"/>
      <c r="BH71" s="271"/>
      <c r="BI71" s="271"/>
      <c r="BJ71" s="271"/>
      <c r="BK71" s="271"/>
      <c r="BL71" s="271"/>
      <c r="BM71" s="271"/>
      <c r="BN71" s="271"/>
      <c r="BO71" s="272"/>
      <c r="BP71" s="272"/>
      <c r="BQ71" s="272"/>
      <c r="BR71" s="272"/>
      <c r="BS71" s="272"/>
      <c r="BT71" s="272"/>
      <c r="BU71" s="272"/>
      <c r="BV71" s="271"/>
      <c r="BW71" s="271"/>
      <c r="BX71" s="271"/>
      <c r="BY71" s="271"/>
      <c r="BZ71" s="271"/>
      <c r="CA71" s="271"/>
      <c r="CB71" s="271"/>
      <c r="CC71" s="271"/>
      <c r="CD71" s="271"/>
      <c r="CE71" s="271"/>
      <c r="CF71" s="271"/>
      <c r="CG71" s="271"/>
      <c r="CH71" s="271"/>
      <c r="CI71" s="271"/>
    </row>
    <row r="72" spans="1:87" ht="16.2" outlineLevel="1">
      <c r="A72" s="264" t="str">
        <f t="shared" si="22"/>
        <v>lt003_entitytrnstnl_trnvr</v>
      </c>
      <c r="B72" s="141" t="s">
        <v>26</v>
      </c>
      <c r="C72" s="137" t="s">
        <v>26</v>
      </c>
      <c r="D72" s="226" t="s">
        <v>40</v>
      </c>
      <c r="E72" s="229" t="s">
        <v>335</v>
      </c>
      <c r="F72" s="229"/>
      <c r="G72" s="229" t="s">
        <v>349</v>
      </c>
      <c r="H72" s="226" t="str">
        <f>VLOOKUP(A72,'2. Status Detalhe Campos FY24'!$A$7:$G$732,7,0)</f>
        <v>1. Concluído</v>
      </c>
      <c r="I72" s="266" t="s">
        <v>38</v>
      </c>
      <c r="J72" s="275">
        <v>45614</v>
      </c>
      <c r="K72" s="275">
        <v>45596</v>
      </c>
      <c r="L72" s="280">
        <f t="array" ref="L72">MIN(IF(W72:CI72&gt;0,$W$16:$CI$16))</f>
        <v>45622</v>
      </c>
      <c r="M72" s="281">
        <f t="array" ref="M72">MAX(IF(W72:CI72&gt;0,$W$16:$CI$16))</f>
        <v>45622</v>
      </c>
      <c r="N72" s="281"/>
      <c r="O72" s="239">
        <f>VLOOKUP(H72,Auxiliar!$B$16:$E$24,4,0)</f>
        <v>1</v>
      </c>
      <c r="P72" s="239">
        <f t="shared" ca="1" si="23"/>
        <v>1</v>
      </c>
      <c r="Q72" s="238">
        <f t="shared" ca="1" si="21"/>
        <v>0</v>
      </c>
      <c r="R72" s="251"/>
      <c r="S72" s="270"/>
      <c r="T72" s="260">
        <v>4.0999999999999996</v>
      </c>
      <c r="U72" s="260">
        <f t="shared" si="24"/>
        <v>0.5</v>
      </c>
      <c r="V72" s="260">
        <f t="shared" si="25"/>
        <v>0</v>
      </c>
      <c r="W72" s="271"/>
      <c r="X72" s="271"/>
      <c r="Y72" s="271"/>
      <c r="Z72" s="271"/>
      <c r="AA72" s="271"/>
      <c r="AB72" s="271"/>
      <c r="AC72" s="278"/>
      <c r="AD72" s="272"/>
      <c r="AE72" s="271"/>
      <c r="AF72" s="271"/>
      <c r="AG72" s="271"/>
      <c r="AH72" s="271"/>
      <c r="AI72" s="271"/>
      <c r="AJ72" s="271"/>
      <c r="AK72" s="271"/>
      <c r="AL72" s="271"/>
      <c r="AM72" s="271"/>
      <c r="AN72" s="271"/>
      <c r="AO72" s="273"/>
      <c r="AP72" s="271"/>
      <c r="AQ72" s="271"/>
      <c r="AR72" s="271"/>
      <c r="AS72" s="271"/>
      <c r="AT72" s="271"/>
      <c r="AU72" s="271">
        <v>0.5</v>
      </c>
      <c r="AV72" s="271"/>
      <c r="AW72" s="271"/>
      <c r="AX72" s="271"/>
      <c r="AY72" s="271"/>
      <c r="AZ72" s="271"/>
      <c r="BA72" s="271"/>
      <c r="BB72" s="271"/>
      <c r="BC72" s="271"/>
      <c r="BD72" s="271"/>
      <c r="BE72" s="271"/>
      <c r="BF72" s="271"/>
      <c r="BG72" s="271"/>
      <c r="BH72" s="271"/>
      <c r="BI72" s="271"/>
      <c r="BJ72" s="271"/>
      <c r="BK72" s="271"/>
      <c r="BL72" s="271"/>
      <c r="BM72" s="271"/>
      <c r="BN72" s="271"/>
      <c r="BO72" s="272"/>
      <c r="BP72" s="272"/>
      <c r="BQ72" s="272"/>
      <c r="BR72" s="272"/>
      <c r="BS72" s="272"/>
      <c r="BT72" s="272"/>
      <c r="BU72" s="272"/>
      <c r="BV72" s="271"/>
      <c r="BW72" s="271"/>
      <c r="BX72" s="271"/>
      <c r="BY72" s="271"/>
      <c r="BZ72" s="271"/>
      <c r="CA72" s="271"/>
      <c r="CB72" s="271"/>
      <c r="CC72" s="271"/>
      <c r="CD72" s="271"/>
      <c r="CE72" s="271"/>
      <c r="CF72" s="271"/>
      <c r="CG72" s="271"/>
      <c r="CH72" s="271"/>
      <c r="CI72" s="271"/>
    </row>
    <row r="73" spans="1:87" ht="16.2" outlineLevel="1">
      <c r="A73" s="264" t="str">
        <f t="shared" si="22"/>
        <v>lt003_entitypure_trnvr_ccm</v>
      </c>
      <c r="B73" s="141" t="s">
        <v>26</v>
      </c>
      <c r="C73" s="137" t="s">
        <v>26</v>
      </c>
      <c r="D73" s="226" t="s">
        <v>40</v>
      </c>
      <c r="E73" s="229" t="s">
        <v>335</v>
      </c>
      <c r="F73" s="229"/>
      <c r="G73" s="229" t="s">
        <v>350</v>
      </c>
      <c r="H73" s="226" t="str">
        <f>VLOOKUP(A73,'2. Status Detalhe Campos FY24'!$A$7:$G$732,7,0)</f>
        <v>1. Concluído</v>
      </c>
      <c r="I73" s="266" t="s">
        <v>38</v>
      </c>
      <c r="J73" s="275">
        <v>45614</v>
      </c>
      <c r="K73" s="275">
        <v>45596</v>
      </c>
      <c r="L73" s="280">
        <f t="array" ref="L73">MIN(IF(W73:CI73&gt;0,$W$16:$CI$16))</f>
        <v>45622</v>
      </c>
      <c r="M73" s="281">
        <f t="array" ref="M73">MAX(IF(W73:CI73&gt;0,$W$16:$CI$16))</f>
        <v>45622</v>
      </c>
      <c r="N73" s="281"/>
      <c r="O73" s="239">
        <f>VLOOKUP(H73,Auxiliar!$B$16:$E$24,4,0)</f>
        <v>1</v>
      </c>
      <c r="P73" s="239">
        <f t="shared" ca="1" si="23"/>
        <v>1</v>
      </c>
      <c r="Q73" s="238">
        <f t="shared" ca="1" si="21"/>
        <v>0</v>
      </c>
      <c r="R73" s="251"/>
      <c r="S73" s="270"/>
      <c r="T73" s="260">
        <v>4.0999999999999996</v>
      </c>
      <c r="U73" s="260">
        <f t="shared" si="24"/>
        <v>0.5</v>
      </c>
      <c r="V73" s="260">
        <f t="shared" si="25"/>
        <v>0</v>
      </c>
      <c r="W73" s="271"/>
      <c r="X73" s="271"/>
      <c r="Y73" s="271"/>
      <c r="Z73" s="271"/>
      <c r="AA73" s="271"/>
      <c r="AB73" s="271"/>
      <c r="AC73" s="278"/>
      <c r="AD73" s="272"/>
      <c r="AE73" s="271"/>
      <c r="AF73" s="271"/>
      <c r="AG73" s="271"/>
      <c r="AH73" s="271"/>
      <c r="AI73" s="271"/>
      <c r="AJ73" s="271"/>
      <c r="AK73" s="271"/>
      <c r="AL73" s="271"/>
      <c r="AM73" s="271"/>
      <c r="AN73" s="271"/>
      <c r="AO73" s="273"/>
      <c r="AP73" s="271"/>
      <c r="AQ73" s="271"/>
      <c r="AR73" s="271"/>
      <c r="AS73" s="271"/>
      <c r="AT73" s="271"/>
      <c r="AU73" s="271">
        <v>0.5</v>
      </c>
      <c r="AV73" s="271"/>
      <c r="AW73" s="271"/>
      <c r="AX73" s="271"/>
      <c r="AY73" s="271"/>
      <c r="AZ73" s="271"/>
      <c r="BA73" s="271"/>
      <c r="BB73" s="271"/>
      <c r="BC73" s="271"/>
      <c r="BD73" s="271"/>
      <c r="BE73" s="271"/>
      <c r="BF73" s="271"/>
      <c r="BG73" s="271"/>
      <c r="BH73" s="271"/>
      <c r="BI73" s="271"/>
      <c r="BJ73" s="271"/>
      <c r="BK73" s="271"/>
      <c r="BL73" s="271"/>
      <c r="BM73" s="271"/>
      <c r="BN73" s="271"/>
      <c r="BO73" s="272"/>
      <c r="BP73" s="272"/>
      <c r="BQ73" s="272"/>
      <c r="BR73" s="272"/>
      <c r="BS73" s="272"/>
      <c r="BT73" s="272"/>
      <c r="BU73" s="272"/>
      <c r="BV73" s="271"/>
      <c r="BW73" s="271"/>
      <c r="BX73" s="271"/>
      <c r="BY73" s="271"/>
      <c r="BZ73" s="271"/>
      <c r="CA73" s="271"/>
      <c r="CB73" s="271"/>
      <c r="CC73" s="271"/>
      <c r="CD73" s="271"/>
      <c r="CE73" s="271"/>
      <c r="CF73" s="271"/>
      <c r="CG73" s="271"/>
      <c r="CH73" s="271"/>
      <c r="CI73" s="271"/>
    </row>
    <row r="74" spans="1:87" ht="16.2" outlineLevel="1">
      <c r="A74" s="264" t="str">
        <f t="shared" si="22"/>
        <v>lt003_entitypure_trnvr_cca</v>
      </c>
      <c r="B74" s="141" t="s">
        <v>26</v>
      </c>
      <c r="C74" s="137" t="s">
        <v>26</v>
      </c>
      <c r="D74" s="226" t="s">
        <v>40</v>
      </c>
      <c r="E74" s="229" t="s">
        <v>335</v>
      </c>
      <c r="F74" s="229"/>
      <c r="G74" s="229" t="s">
        <v>351</v>
      </c>
      <c r="H74" s="226" t="str">
        <f>VLOOKUP(A74,'2. Status Detalhe Campos FY24'!$A$7:$G$732,7,0)</f>
        <v>1. Concluído</v>
      </c>
      <c r="I74" s="266" t="s">
        <v>38</v>
      </c>
      <c r="J74" s="275">
        <v>45614</v>
      </c>
      <c r="K74" s="275">
        <v>45596</v>
      </c>
      <c r="L74" s="280">
        <f t="array" ref="L74">MIN(IF(W74:CI74&gt;0,$W$16:$CI$16))</f>
        <v>45624</v>
      </c>
      <c r="M74" s="281">
        <f t="array" ref="M74">MAX(IF(W74:CI74&gt;0,$W$16:$CI$16))</f>
        <v>45624</v>
      </c>
      <c r="N74" s="281"/>
      <c r="O74" s="239">
        <f>VLOOKUP(H74,Auxiliar!$B$16:$E$24,4,0)</f>
        <v>1</v>
      </c>
      <c r="P74" s="239">
        <f t="shared" ca="1" si="23"/>
        <v>1</v>
      </c>
      <c r="Q74" s="238">
        <f t="shared" ca="1" si="21"/>
        <v>0</v>
      </c>
      <c r="R74" s="251"/>
      <c r="S74" s="270"/>
      <c r="T74" s="260">
        <v>4.0999999999999996</v>
      </c>
      <c r="U74" s="260">
        <f t="shared" si="24"/>
        <v>0.5</v>
      </c>
      <c r="V74" s="260">
        <f t="shared" si="25"/>
        <v>0</v>
      </c>
      <c r="W74" s="271"/>
      <c r="X74" s="271"/>
      <c r="Y74" s="271"/>
      <c r="Z74" s="271"/>
      <c r="AA74" s="271"/>
      <c r="AB74" s="271"/>
      <c r="AC74" s="278"/>
      <c r="AD74" s="272"/>
      <c r="AE74" s="271"/>
      <c r="AF74" s="271"/>
      <c r="AG74" s="271"/>
      <c r="AH74" s="271"/>
      <c r="AI74" s="271"/>
      <c r="AJ74" s="271"/>
      <c r="AK74" s="271"/>
      <c r="AL74" s="271"/>
      <c r="AM74" s="271"/>
      <c r="AN74" s="271"/>
      <c r="AO74" s="273"/>
      <c r="AP74" s="271"/>
      <c r="AQ74" s="271"/>
      <c r="AR74" s="271"/>
      <c r="AS74" s="271"/>
      <c r="AT74" s="271"/>
      <c r="AU74" s="271"/>
      <c r="AV74" s="271"/>
      <c r="AW74" s="271">
        <v>0.5</v>
      </c>
      <c r="AX74" s="271"/>
      <c r="AY74" s="271"/>
      <c r="AZ74" s="271"/>
      <c r="BA74" s="271"/>
      <c r="BB74" s="271"/>
      <c r="BC74" s="271"/>
      <c r="BD74" s="271"/>
      <c r="BE74" s="271"/>
      <c r="BF74" s="271"/>
      <c r="BG74" s="271"/>
      <c r="BH74" s="271"/>
      <c r="BI74" s="271"/>
      <c r="BJ74" s="271"/>
      <c r="BK74" s="271"/>
      <c r="BL74" s="271"/>
      <c r="BM74" s="271"/>
      <c r="BN74" s="271"/>
      <c r="BO74" s="272"/>
      <c r="BP74" s="272"/>
      <c r="BQ74" s="272"/>
      <c r="BR74" s="272"/>
      <c r="BS74" s="272"/>
      <c r="BT74" s="272"/>
      <c r="BU74" s="272"/>
      <c r="BV74" s="271"/>
      <c r="BW74" s="271"/>
      <c r="BX74" s="271"/>
      <c r="BY74" s="271"/>
      <c r="BZ74" s="271"/>
      <c r="CA74" s="271"/>
      <c r="CB74" s="271"/>
      <c r="CC74" s="271"/>
      <c r="CD74" s="271"/>
      <c r="CE74" s="271"/>
      <c r="CF74" s="271"/>
      <c r="CG74" s="271"/>
      <c r="CH74" s="271"/>
      <c r="CI74" s="271"/>
    </row>
    <row r="75" spans="1:87" ht="16.2" outlineLevel="1">
      <c r="A75" s="264" t="str">
        <f t="shared" si="22"/>
        <v>lt003_entityflg_excldd_eu_prs_algnd_bnchmrk</v>
      </c>
      <c r="B75" s="141" t="s">
        <v>26</v>
      </c>
      <c r="C75" s="137" t="s">
        <v>26</v>
      </c>
      <c r="D75" s="226" t="s">
        <v>40</v>
      </c>
      <c r="E75" s="229" t="s">
        <v>335</v>
      </c>
      <c r="F75" s="229"/>
      <c r="G75" s="229" t="s">
        <v>356</v>
      </c>
      <c r="H75" s="226" t="str">
        <f>VLOOKUP(A75,'2. Status Detalhe Campos FY24'!$A$7:$G$732,7,0)</f>
        <v>1. Concluído</v>
      </c>
      <c r="I75" s="266" t="s">
        <v>38</v>
      </c>
      <c r="J75" s="275">
        <v>45614</v>
      </c>
      <c r="K75" s="275">
        <v>45596</v>
      </c>
      <c r="L75" s="280">
        <f t="array" ref="L75">MIN(IF(W75:CI75&gt;0,$W$16:$CI$16))</f>
        <v>45624</v>
      </c>
      <c r="M75" s="281">
        <f t="array" ref="M75">MAX(IF(W75:CI75&gt;0,$W$16:$CI$16))</f>
        <v>45624</v>
      </c>
      <c r="N75" s="281"/>
      <c r="O75" s="239">
        <f>VLOOKUP(H75,Auxiliar!$B$16:$E$24,4,0)</f>
        <v>1</v>
      </c>
      <c r="P75" s="239">
        <f t="shared" ca="1" si="23"/>
        <v>1</v>
      </c>
      <c r="Q75" s="238">
        <f t="shared" ca="1" si="21"/>
        <v>0</v>
      </c>
      <c r="R75" s="251"/>
      <c r="S75" s="270"/>
      <c r="T75" s="260">
        <v>4.0999999999999996</v>
      </c>
      <c r="U75" s="260">
        <f t="shared" si="24"/>
        <v>0.5</v>
      </c>
      <c r="V75" s="260">
        <f t="shared" si="25"/>
        <v>0</v>
      </c>
      <c r="W75" s="271"/>
      <c r="X75" s="271"/>
      <c r="Y75" s="271"/>
      <c r="Z75" s="271"/>
      <c r="AA75" s="271"/>
      <c r="AB75" s="271"/>
      <c r="AC75" s="278"/>
      <c r="AD75" s="272"/>
      <c r="AE75" s="271"/>
      <c r="AF75" s="271"/>
      <c r="AG75" s="271"/>
      <c r="AH75" s="271"/>
      <c r="AI75" s="271"/>
      <c r="AJ75" s="271"/>
      <c r="AK75" s="271"/>
      <c r="AL75" s="271"/>
      <c r="AM75" s="271"/>
      <c r="AN75" s="271"/>
      <c r="AO75" s="273"/>
      <c r="AP75" s="271"/>
      <c r="AQ75" s="271"/>
      <c r="AR75" s="271"/>
      <c r="AS75" s="271"/>
      <c r="AT75" s="271"/>
      <c r="AU75" s="271"/>
      <c r="AV75" s="271"/>
      <c r="AW75" s="271">
        <v>0.5</v>
      </c>
      <c r="AX75" s="271"/>
      <c r="AY75" s="271"/>
      <c r="AZ75" s="271"/>
      <c r="BA75" s="271"/>
      <c r="BB75" s="271"/>
      <c r="BC75" s="271"/>
      <c r="BD75" s="271"/>
      <c r="BE75" s="271"/>
      <c r="BF75" s="271"/>
      <c r="BG75" s="271"/>
      <c r="BH75" s="271"/>
      <c r="BI75" s="271"/>
      <c r="BJ75" s="271"/>
      <c r="BK75" s="271"/>
      <c r="BL75" s="271"/>
      <c r="BM75" s="271"/>
      <c r="BN75" s="271"/>
      <c r="BO75" s="272"/>
      <c r="BP75" s="272"/>
      <c r="BQ75" s="272"/>
      <c r="BR75" s="272"/>
      <c r="BS75" s="272"/>
      <c r="BT75" s="272"/>
      <c r="BU75" s="272"/>
      <c r="BV75" s="271"/>
      <c r="BW75" s="271"/>
      <c r="BX75" s="271"/>
      <c r="BY75" s="271"/>
      <c r="BZ75" s="271"/>
      <c r="CA75" s="271"/>
      <c r="CB75" s="271"/>
      <c r="CC75" s="271"/>
      <c r="CD75" s="271"/>
      <c r="CE75" s="271"/>
      <c r="CF75" s="271"/>
      <c r="CG75" s="271"/>
      <c r="CH75" s="271"/>
      <c r="CI75" s="271"/>
    </row>
    <row r="76" spans="1:87" ht="16.2" outlineLevel="1">
      <c r="A76" s="264" t="str">
        <f>E76&amp;G76</f>
        <v>lt003_entitypst_cd</v>
      </c>
      <c r="B76" s="141" t="s">
        <v>26</v>
      </c>
      <c r="C76" s="137" t="s">
        <v>26</v>
      </c>
      <c r="D76" s="226" t="s">
        <v>40</v>
      </c>
      <c r="E76" s="229" t="s">
        <v>335</v>
      </c>
      <c r="F76" s="229"/>
      <c r="G76" s="229" t="s">
        <v>359</v>
      </c>
      <c r="H76" s="226" t="str">
        <f>VLOOKUP(A76,'2. Status Detalhe Campos FY24'!$A$7:$G$732,7,0)</f>
        <v>1. Concluído</v>
      </c>
      <c r="I76" s="266" t="s">
        <v>38</v>
      </c>
      <c r="J76" s="275">
        <v>45596</v>
      </c>
      <c r="K76" s="275">
        <v>45596</v>
      </c>
      <c r="L76" s="280">
        <f t="array" ref="L76">MIN(IF(W76:CI76&gt;0,$W$16:$CI$16))</f>
        <v>45600</v>
      </c>
      <c r="M76" s="281">
        <f t="array" ref="M76">MAX(IF(W76:CI76&gt;0,$W$16:$CI$16))</f>
        <v>45600</v>
      </c>
      <c r="N76" s="281"/>
      <c r="O76" s="239">
        <f>VLOOKUP(H76,Auxiliar!$B$16:$E$24,4,0)</f>
        <v>1</v>
      </c>
      <c r="P76" s="239">
        <f ca="1">IF(TODAY()&lt;=L76,0,MIN((TODAY()-L76)/(M76-L76+1),100%))</f>
        <v>1</v>
      </c>
      <c r="Q76" s="238">
        <f ca="1">O76-P76</f>
        <v>0</v>
      </c>
      <c r="R76" s="251"/>
      <c r="S76" s="270" t="s">
        <v>1224</v>
      </c>
      <c r="T76" s="260">
        <v>4.0999999999999996</v>
      </c>
      <c r="U76" s="260">
        <f>ROUND(T76/8,1)</f>
        <v>0.5</v>
      </c>
      <c r="V76" s="260">
        <f>SUM(W76:CI76)-U76</f>
        <v>0</v>
      </c>
      <c r="W76" s="271"/>
      <c r="X76" s="271"/>
      <c r="Y76" s="271"/>
      <c r="Z76" s="271"/>
      <c r="AA76" s="271"/>
      <c r="AB76" s="271"/>
      <c r="AC76" s="278"/>
      <c r="AD76" s="272"/>
      <c r="AE76" s="271">
        <v>0.5</v>
      </c>
      <c r="AF76" s="271"/>
      <c r="AG76" s="271"/>
      <c r="AH76" s="271"/>
      <c r="AI76" s="271"/>
      <c r="AJ76" s="271"/>
      <c r="AK76" s="271"/>
      <c r="AL76" s="271"/>
      <c r="AM76" s="271"/>
      <c r="AN76" s="271"/>
      <c r="AO76" s="271"/>
      <c r="AP76" s="271"/>
      <c r="AQ76" s="271"/>
      <c r="AR76" s="271"/>
      <c r="AS76" s="271"/>
      <c r="AT76" s="271"/>
      <c r="AU76" s="271"/>
      <c r="AV76" s="271"/>
      <c r="AW76" s="271"/>
      <c r="AX76" s="271"/>
      <c r="AY76" s="271"/>
      <c r="AZ76" s="271"/>
      <c r="BA76" s="271"/>
      <c r="BB76" s="271"/>
      <c r="BC76" s="271"/>
      <c r="BD76" s="271"/>
      <c r="BE76" s="271"/>
      <c r="BF76" s="271"/>
      <c r="BG76" s="271"/>
      <c r="BH76" s="271"/>
      <c r="BI76" s="271"/>
      <c r="BJ76" s="271"/>
      <c r="BK76" s="271"/>
      <c r="BL76" s="271"/>
      <c r="BM76" s="271"/>
      <c r="BN76" s="271"/>
      <c r="BO76" s="272"/>
      <c r="BP76" s="272"/>
      <c r="BQ76" s="272"/>
      <c r="BR76" s="272"/>
      <c r="BS76" s="272"/>
      <c r="BT76" s="272"/>
      <c r="BU76" s="272"/>
      <c r="BV76" s="271"/>
      <c r="BW76" s="271"/>
      <c r="BX76" s="271"/>
      <c r="BY76" s="271"/>
      <c r="BZ76" s="271"/>
      <c r="CA76" s="271"/>
      <c r="CB76" s="271"/>
      <c r="CC76" s="271"/>
      <c r="CD76" s="271"/>
      <c r="CE76" s="271"/>
      <c r="CF76" s="271"/>
      <c r="CG76" s="271"/>
      <c r="CH76" s="271"/>
      <c r="CI76" s="271"/>
    </row>
    <row r="77" spans="1:87" ht="15" customHeight="1">
      <c r="A77" s="264"/>
      <c r="B77" s="141" t="s">
        <v>26</v>
      </c>
      <c r="C77" s="137" t="s">
        <v>26</v>
      </c>
      <c r="D77" s="133"/>
      <c r="E77" s="232" t="s">
        <v>379</v>
      </c>
      <c r="F77" s="230" t="s">
        <v>1910</v>
      </c>
      <c r="G77" s="231">
        <f>COUNTA(G78:G79)</f>
        <v>2</v>
      </c>
      <c r="H77" s="285" t="s">
        <v>1921</v>
      </c>
      <c r="I77" s="268">
        <f>MAX(I78:I79)</f>
        <v>45595</v>
      </c>
      <c r="J77" s="267">
        <f>MIN(J78:J79)</f>
        <v>45611</v>
      </c>
      <c r="K77" s="267">
        <f>MIN(K78:K79)</f>
        <v>45611</v>
      </c>
      <c r="L77" s="267">
        <f>MIN(L78:L79)</f>
        <v>45614</v>
      </c>
      <c r="M77" s="268">
        <f>MAX(M78:M79)</f>
        <v>45621</v>
      </c>
      <c r="N77" s="312">
        <f t="array" ref="N77">MAX(IF(W77:CI77&gt;0,$W$16:$CI$16))</f>
        <v>45625</v>
      </c>
      <c r="O77" s="311">
        <f>SUMPRODUCT(O78:O79,U78:U79)/SUM(U78:U79)</f>
        <v>1</v>
      </c>
      <c r="P77" s="311">
        <f ca="1">SUMPRODUCT(P78:P79,U78:U79)/SUM(U78:U79)</f>
        <v>1</v>
      </c>
      <c r="Q77" s="246">
        <f ca="1">O77-P77</f>
        <v>0</v>
      </c>
      <c r="R77" s="252" t="s">
        <v>1930</v>
      </c>
      <c r="S77" s="270"/>
      <c r="T77" s="260"/>
      <c r="U77" s="260"/>
      <c r="V77" s="260"/>
      <c r="W77" s="271"/>
      <c r="X77" s="271"/>
      <c r="Y77" s="271"/>
      <c r="Z77" s="271"/>
      <c r="AA77" s="271"/>
      <c r="AB77" s="271"/>
      <c r="AC77" s="271"/>
      <c r="AD77" s="272"/>
      <c r="AE77" s="271"/>
      <c r="AF77" s="271"/>
      <c r="AG77" s="271"/>
      <c r="AH77" s="271"/>
      <c r="AI77" s="271"/>
      <c r="AJ77" s="271"/>
      <c r="AK77" s="271"/>
      <c r="AL77" s="271"/>
      <c r="AM77" s="271"/>
      <c r="AN77" s="278"/>
      <c r="AO77" s="271"/>
      <c r="AP77" s="271"/>
      <c r="AQ77" s="271"/>
      <c r="AR77" s="271"/>
      <c r="AS77" s="271"/>
      <c r="AT77" s="271"/>
      <c r="AU77" s="271"/>
      <c r="AV77" s="271"/>
      <c r="AW77" s="271"/>
      <c r="AX77" s="274" t="s">
        <v>443</v>
      </c>
      <c r="AY77" s="271"/>
      <c r="AZ77" s="271"/>
      <c r="BA77" s="271"/>
      <c r="BB77" s="271"/>
      <c r="BC77" s="271"/>
      <c r="BD77" s="271"/>
      <c r="BE77" s="271"/>
      <c r="BF77" s="271"/>
      <c r="BG77" s="271"/>
      <c r="BH77" s="271"/>
      <c r="BI77" s="271"/>
      <c r="BJ77" s="271"/>
      <c r="BK77" s="271"/>
      <c r="BL77" s="271"/>
      <c r="BM77" s="271"/>
      <c r="BN77" s="271"/>
      <c r="BO77" s="272"/>
      <c r="BP77" s="272"/>
      <c r="BQ77" s="272"/>
      <c r="BR77" s="272"/>
      <c r="BS77" s="272"/>
      <c r="BT77" s="272"/>
      <c r="BU77" s="272"/>
      <c r="BV77" s="271"/>
      <c r="BW77" s="271"/>
      <c r="BX77" s="271"/>
      <c r="BY77" s="271"/>
      <c r="BZ77" s="271"/>
      <c r="CA77" s="271"/>
      <c r="CB77" s="271"/>
      <c r="CC77" s="271"/>
      <c r="CD77" s="271"/>
      <c r="CE77" s="271"/>
      <c r="CF77" s="271"/>
      <c r="CG77" s="271"/>
      <c r="CH77" s="271"/>
      <c r="CI77" s="271"/>
    </row>
    <row r="78" spans="1:87" ht="16.2" outlineLevel="1">
      <c r="A78" s="264" t="str">
        <f>E78&amp;G78</f>
        <v>lt002_instrumentrsk_mtgtd_cct</v>
      </c>
      <c r="B78" s="141" t="s">
        <v>26</v>
      </c>
      <c r="C78" s="137" t="s">
        <v>26</v>
      </c>
      <c r="D78" s="226" t="s">
        <v>40</v>
      </c>
      <c r="E78" s="229" t="s">
        <v>379</v>
      </c>
      <c r="F78" s="229"/>
      <c r="G78" s="229" t="s">
        <v>380</v>
      </c>
      <c r="H78" s="226" t="str">
        <f>VLOOKUP(A78,'2. Status Detalhe Campos FY24'!$A$7:$G$732,7,0)</f>
        <v>1. Concluído</v>
      </c>
      <c r="I78" s="313">
        <v>45595</v>
      </c>
      <c r="J78" s="313">
        <v>45611</v>
      </c>
      <c r="K78" s="313">
        <v>45611</v>
      </c>
      <c r="L78" s="280">
        <f t="array" ref="L78">MIN(IF(W78:CI78&gt;0,$W$16:$CI$16))</f>
        <v>45621</v>
      </c>
      <c r="M78" s="281">
        <f t="array" ref="M78">MAX(IF(W78:CI78&gt;0,$W$16:$CI$16))</f>
        <v>45621</v>
      </c>
      <c r="N78" s="281"/>
      <c r="O78" s="239">
        <f>VLOOKUP(H78,Auxiliar!$B$16:$E$24,4,0)</f>
        <v>1</v>
      </c>
      <c r="P78" s="239">
        <f ca="1">IF(TODAY()&lt;=L78,0,MIN((TODAY()-L78)/(M78-L78+1),100%))</f>
        <v>1</v>
      </c>
      <c r="Q78" s="238">
        <f ca="1">O78-P78</f>
        <v>0</v>
      </c>
      <c r="R78" s="252" t="s">
        <v>38</v>
      </c>
      <c r="S78" s="270"/>
      <c r="T78" s="260">
        <v>4.0999999999999996</v>
      </c>
      <c r="U78" s="260">
        <f>ROUND(T78/8,1)</f>
        <v>0.5</v>
      </c>
      <c r="V78" s="260">
        <f>SUM(W78:CI78)-U78</f>
        <v>0</v>
      </c>
      <c r="W78" s="271"/>
      <c r="X78" s="271"/>
      <c r="Y78" s="271"/>
      <c r="Z78" s="271"/>
      <c r="AA78" s="271"/>
      <c r="AB78" s="279"/>
      <c r="AC78" s="271"/>
      <c r="AD78" s="272"/>
      <c r="AE78" s="271"/>
      <c r="AF78" s="271"/>
      <c r="AG78" s="271"/>
      <c r="AH78" s="271"/>
      <c r="AI78" s="271"/>
      <c r="AJ78" s="271"/>
      <c r="AK78" s="271"/>
      <c r="AL78" s="271"/>
      <c r="AM78" s="271"/>
      <c r="AN78" s="278"/>
      <c r="AO78" s="271"/>
      <c r="AP78" s="271"/>
      <c r="AQ78" s="271"/>
      <c r="AR78" s="271"/>
      <c r="AS78" s="271"/>
      <c r="AT78" s="271">
        <v>0.5</v>
      </c>
      <c r="AU78" s="271"/>
      <c r="AV78" s="271"/>
      <c r="AW78" s="271"/>
      <c r="AX78" s="271"/>
      <c r="AY78" s="271"/>
      <c r="AZ78" s="271"/>
      <c r="BA78" s="271"/>
      <c r="BB78" s="271"/>
      <c r="BC78" s="271"/>
      <c r="BD78" s="271"/>
      <c r="BE78" s="271"/>
      <c r="BF78" s="271"/>
      <c r="BG78" s="271"/>
      <c r="BH78" s="271"/>
      <c r="BI78" s="271"/>
      <c r="BJ78" s="271"/>
      <c r="BK78" s="271"/>
      <c r="BL78" s="271"/>
      <c r="BM78" s="271"/>
      <c r="BN78" s="271"/>
      <c r="BO78" s="272"/>
      <c r="BP78" s="272"/>
      <c r="BQ78" s="272"/>
      <c r="BR78" s="272"/>
      <c r="BS78" s="272"/>
      <c r="BT78" s="272"/>
      <c r="BU78" s="272"/>
      <c r="BV78" s="271"/>
      <c r="BW78" s="271"/>
      <c r="BX78" s="271"/>
      <c r="BY78" s="271"/>
      <c r="BZ78" s="271"/>
      <c r="CA78" s="271"/>
      <c r="CB78" s="271"/>
      <c r="CC78" s="271"/>
      <c r="CD78" s="271"/>
      <c r="CE78" s="271"/>
      <c r="CF78" s="271"/>
      <c r="CG78" s="271"/>
      <c r="CH78" s="271"/>
      <c r="CI78" s="271"/>
    </row>
    <row r="79" spans="1:87" ht="16.2" outlineLevel="1">
      <c r="A79" s="264" t="str">
        <f>E79&amp;G79</f>
        <v>lt002_instrumentsstnbl_ctgry_txnmy</v>
      </c>
      <c r="B79" s="141" t="s">
        <v>26</v>
      </c>
      <c r="C79" s="137" t="s">
        <v>26</v>
      </c>
      <c r="D79" s="226" t="s">
        <v>40</v>
      </c>
      <c r="E79" s="229" t="s">
        <v>379</v>
      </c>
      <c r="F79" s="229"/>
      <c r="G79" s="229" t="s">
        <v>388</v>
      </c>
      <c r="H79" s="226" t="str">
        <f>VLOOKUP(A79,'2. Status Detalhe Campos FY24'!$A$7:$G$732,7,0)</f>
        <v>1. Concluído</v>
      </c>
      <c r="I79" s="313">
        <v>45590</v>
      </c>
      <c r="J79" s="313">
        <v>45611</v>
      </c>
      <c r="K79" s="313">
        <v>45611</v>
      </c>
      <c r="L79" s="280">
        <f t="array" ref="L79">MIN(IF(W79:CI79&gt;0,$W$16:$CI$16))</f>
        <v>45614</v>
      </c>
      <c r="M79" s="281">
        <f t="array" ref="M79">MAX(IF(W79:CI79&gt;0,$W$16:$CI$16))</f>
        <v>45614</v>
      </c>
      <c r="N79" s="281"/>
      <c r="O79" s="239">
        <f>VLOOKUP(H79,Auxiliar!$B$16:$E$24,4,0)</f>
        <v>1</v>
      </c>
      <c r="P79" s="239">
        <f ca="1">IF(TODAY()&lt;=L79,0,MIN((TODAY()-L79)/(M79-L79+1),100%))</f>
        <v>1</v>
      </c>
      <c r="Q79" s="238">
        <f ca="1">O79-P79</f>
        <v>0</v>
      </c>
      <c r="R79" s="252" t="s">
        <v>38</v>
      </c>
      <c r="S79" s="270"/>
      <c r="T79" s="260">
        <v>4.0999999999999996</v>
      </c>
      <c r="U79" s="260">
        <f>ROUND(T79/8,1)</f>
        <v>0.5</v>
      </c>
      <c r="V79" s="260">
        <f>SUM(W79:CI79)-U79</f>
        <v>0</v>
      </c>
      <c r="W79" s="271"/>
      <c r="X79" s="271"/>
      <c r="Y79" s="287"/>
      <c r="Z79" s="279"/>
      <c r="AA79" s="271"/>
      <c r="AB79" s="279"/>
      <c r="AC79" s="271"/>
      <c r="AD79" s="272"/>
      <c r="AE79" s="271"/>
      <c r="AF79" s="271"/>
      <c r="AG79" s="271"/>
      <c r="AH79" s="271"/>
      <c r="AI79" s="271"/>
      <c r="AJ79" s="271"/>
      <c r="AK79" s="271"/>
      <c r="AL79" s="271"/>
      <c r="AM79" s="271"/>
      <c r="AN79" s="278"/>
      <c r="AO79" s="271">
        <v>0.5</v>
      </c>
      <c r="AP79" s="271"/>
      <c r="AQ79" s="271"/>
      <c r="AR79" s="271"/>
      <c r="AS79" s="271"/>
      <c r="AT79" s="271"/>
      <c r="AU79" s="271"/>
      <c r="AV79" s="271"/>
      <c r="AW79" s="271"/>
      <c r="AX79" s="271"/>
      <c r="AY79" s="271"/>
      <c r="AZ79" s="271"/>
      <c r="BA79" s="271"/>
      <c r="BB79" s="271"/>
      <c r="BC79" s="271"/>
      <c r="BD79" s="271"/>
      <c r="BE79" s="271"/>
      <c r="BF79" s="271"/>
      <c r="BG79" s="271"/>
      <c r="BH79" s="271"/>
      <c r="BI79" s="271"/>
      <c r="BJ79" s="271"/>
      <c r="BK79" s="271"/>
      <c r="BL79" s="271"/>
      <c r="BM79" s="271"/>
      <c r="BN79" s="271"/>
      <c r="BO79" s="272"/>
      <c r="BP79" s="272"/>
      <c r="BQ79" s="272"/>
      <c r="BR79" s="272"/>
      <c r="BS79" s="272"/>
      <c r="BT79" s="272"/>
      <c r="BU79" s="272"/>
      <c r="BV79" s="271"/>
      <c r="BW79" s="271"/>
      <c r="BX79" s="271"/>
      <c r="BY79" s="271"/>
      <c r="BZ79" s="271"/>
      <c r="CA79" s="271"/>
      <c r="CB79" s="271"/>
      <c r="CC79" s="271"/>
      <c r="CD79" s="271"/>
      <c r="CE79" s="271"/>
      <c r="CF79" s="271"/>
      <c r="CG79" s="271"/>
      <c r="CH79" s="271"/>
      <c r="CI79" s="271"/>
    </row>
    <row r="80" spans="1:87" ht="50.1" customHeight="1" collapsed="1">
      <c r="A80" s="264"/>
      <c r="B80" s="141" t="s">
        <v>26</v>
      </c>
      <c r="C80" s="137" t="s">
        <v>26</v>
      </c>
      <c r="D80" s="133"/>
      <c r="E80" s="232" t="s">
        <v>368</v>
      </c>
      <c r="F80" s="230" t="s">
        <v>1889</v>
      </c>
      <c r="G80" s="231">
        <f>COUNTA(G81:G82)</f>
        <v>2</v>
      </c>
      <c r="H80" s="285" t="s">
        <v>1921</v>
      </c>
      <c r="I80" s="266" t="s">
        <v>38</v>
      </c>
      <c r="J80" s="267">
        <f>MIN(J81:J82)</f>
        <v>45596</v>
      </c>
      <c r="K80" s="267">
        <f>MIN(K81:K82)</f>
        <v>45596</v>
      </c>
      <c r="L80" s="267">
        <f>MIN(L81:L82)</f>
        <v>45629</v>
      </c>
      <c r="M80" s="268">
        <f>MAX(M81:M82)</f>
        <v>45630</v>
      </c>
      <c r="N80" s="312">
        <f t="array" ref="N80">MAX(IF(W80:CI80&gt;0,$W$16:$CI$16))</f>
        <v>45632</v>
      </c>
      <c r="O80" s="311">
        <f>SUMPRODUCT(O81:O82,U81:U82)/SUM(U81:U82)</f>
        <v>0.25</v>
      </c>
      <c r="P80" s="311">
        <f ca="1">SUMPRODUCT(P81:P82,U81:U82)/SUM(U81:U82)</f>
        <v>1</v>
      </c>
      <c r="Q80" s="303">
        <f t="shared" ref="Q80:Q127" ca="1" si="26">O80-P80</f>
        <v>-0.75</v>
      </c>
      <c r="R80" s="329" t="s">
        <v>1941</v>
      </c>
      <c r="S80" s="270"/>
      <c r="T80" s="260"/>
      <c r="U80" s="260"/>
      <c r="V80" s="260"/>
      <c r="W80" s="271"/>
      <c r="X80" s="271"/>
      <c r="Y80" s="271"/>
      <c r="Z80" s="271"/>
      <c r="AA80" s="271"/>
      <c r="AB80" s="271"/>
      <c r="AC80" s="278"/>
      <c r="AD80" s="272"/>
      <c r="AE80" s="271"/>
      <c r="AF80" s="271"/>
      <c r="AG80" s="271"/>
      <c r="AH80" s="271"/>
      <c r="AI80" s="271"/>
      <c r="AJ80" s="271"/>
      <c r="AK80" s="271"/>
      <c r="AL80" s="271"/>
      <c r="AM80" s="271"/>
      <c r="AN80" s="271"/>
      <c r="AO80" s="271"/>
      <c r="AP80" s="271"/>
      <c r="AQ80" s="271"/>
      <c r="AR80" s="271"/>
      <c r="AS80" s="271"/>
      <c r="AT80" s="271"/>
      <c r="AU80" s="271"/>
      <c r="AV80" s="271"/>
      <c r="AW80" s="271"/>
      <c r="AX80" s="271"/>
      <c r="AY80" s="271"/>
      <c r="AZ80" s="271"/>
      <c r="BA80" s="271"/>
      <c r="BB80" s="271"/>
      <c r="BC80" s="274" t="s">
        <v>443</v>
      </c>
      <c r="BD80" s="271"/>
      <c r="BE80" s="271"/>
      <c r="BF80" s="271"/>
      <c r="BG80" s="271"/>
      <c r="BH80" s="271"/>
      <c r="BI80" s="271"/>
      <c r="BJ80" s="271"/>
      <c r="BK80" s="271"/>
      <c r="BL80" s="271"/>
      <c r="BM80" s="271"/>
      <c r="BN80" s="271"/>
      <c r="BO80" s="272"/>
      <c r="BP80" s="272"/>
      <c r="BQ80" s="272"/>
      <c r="BR80" s="272"/>
      <c r="BS80" s="272"/>
      <c r="BT80" s="272"/>
      <c r="BU80" s="272"/>
      <c r="BV80" s="271"/>
      <c r="BW80" s="271"/>
      <c r="BX80" s="271"/>
      <c r="BY80" s="271"/>
      <c r="BZ80" s="271"/>
      <c r="CA80" s="271"/>
      <c r="CB80" s="271"/>
      <c r="CC80" s="271"/>
      <c r="CD80" s="271"/>
      <c r="CE80" s="271"/>
      <c r="CF80" s="271"/>
      <c r="CG80" s="271"/>
      <c r="CH80" s="271"/>
      <c r="CI80" s="271"/>
    </row>
    <row r="81" spans="1:87" ht="16.2" outlineLevel="1">
      <c r="A81" s="264" t="str">
        <f>E81&amp;G81</f>
        <v>lt004_protectionflg_act_physcl_rsk</v>
      </c>
      <c r="B81" s="141" t="s">
        <v>26</v>
      </c>
      <c r="C81" s="137" t="s">
        <v>26</v>
      </c>
      <c r="D81" s="226" t="s">
        <v>40</v>
      </c>
      <c r="E81" s="229" t="s">
        <v>368</v>
      </c>
      <c r="F81" s="229"/>
      <c r="G81" s="233" t="s">
        <v>357</v>
      </c>
      <c r="H81" s="226" t="str">
        <f>VLOOKUP(A81,'2. Status Detalhe Campos FY24'!$A$7:$G$732,7,0)</f>
        <v>2.1 Em Teste</v>
      </c>
      <c r="I81" s="314" t="s">
        <v>38</v>
      </c>
      <c r="J81" s="313">
        <v>45596</v>
      </c>
      <c r="K81" s="313">
        <v>45596</v>
      </c>
      <c r="L81" s="280">
        <f t="array" ref="L81">MIN(IF(W81:CI81&gt;0,$W$16:$CI$16))</f>
        <v>45629</v>
      </c>
      <c r="M81" s="281">
        <f t="array" ref="M81">MAX(IF(W81:CI81&gt;0,$W$16:$CI$16))</f>
        <v>45629</v>
      </c>
      <c r="N81" s="281"/>
      <c r="O81" s="239">
        <f>VLOOKUP(H81,Auxiliar!$B$16:$E$24,4,0)</f>
        <v>0.25</v>
      </c>
      <c r="P81" s="239">
        <f ca="1">IF(TODAY()&lt;=L81,0,MIN((TODAY()-L81)/(M81-L81+1),100%))</f>
        <v>1</v>
      </c>
      <c r="Q81" s="239">
        <f t="shared" ca="1" si="26"/>
        <v>-0.75</v>
      </c>
      <c r="R81" s="251"/>
      <c r="S81" s="270"/>
      <c r="T81" s="260">
        <v>4.0999999999999996</v>
      </c>
      <c r="U81" s="260">
        <f>ROUND(T81/8,1)</f>
        <v>0.5</v>
      </c>
      <c r="V81" s="260">
        <f>SUM(W81:CI81)-U81</f>
        <v>0</v>
      </c>
      <c r="W81" s="271"/>
      <c r="X81" s="271"/>
      <c r="Y81" s="271"/>
      <c r="Z81" s="271"/>
      <c r="AA81" s="271"/>
      <c r="AB81" s="271"/>
      <c r="AC81" s="278"/>
      <c r="AD81" s="272"/>
      <c r="AE81" s="271"/>
      <c r="AF81" s="271"/>
      <c r="AG81" s="271"/>
      <c r="AH81" s="271"/>
      <c r="AI81" s="271"/>
      <c r="AJ81" s="271"/>
      <c r="AK81" s="271"/>
      <c r="AL81" s="271"/>
      <c r="AM81" s="271"/>
      <c r="AN81" s="271"/>
      <c r="AO81" s="271"/>
      <c r="AP81" s="271"/>
      <c r="AQ81" s="271"/>
      <c r="AR81" s="271"/>
      <c r="AS81" s="271"/>
      <c r="AT81" s="271"/>
      <c r="AU81" s="271"/>
      <c r="AV81" s="271"/>
      <c r="AW81" s="273"/>
      <c r="AX81" s="271"/>
      <c r="AY81" s="271"/>
      <c r="AZ81" s="271">
        <v>0.5</v>
      </c>
      <c r="BA81" s="271"/>
      <c r="BB81" s="271"/>
      <c r="BC81" s="271"/>
      <c r="BD81" s="271"/>
      <c r="BE81" s="271"/>
      <c r="BF81" s="271"/>
      <c r="BG81" s="271"/>
      <c r="BH81" s="271"/>
      <c r="BI81" s="271"/>
      <c r="BJ81" s="271"/>
      <c r="BK81" s="271"/>
      <c r="BL81" s="271"/>
      <c r="BM81" s="271"/>
      <c r="BN81" s="271"/>
      <c r="BO81" s="272"/>
      <c r="BP81" s="272"/>
      <c r="BQ81" s="272"/>
      <c r="BR81" s="272"/>
      <c r="BS81" s="272"/>
      <c r="BT81" s="272"/>
      <c r="BU81" s="272"/>
      <c r="BV81" s="271"/>
      <c r="BW81" s="271"/>
      <c r="BX81" s="271"/>
      <c r="BY81" s="271"/>
      <c r="BZ81" s="271"/>
      <c r="CA81" s="271"/>
      <c r="CB81" s="271"/>
      <c r="CC81" s="271"/>
      <c r="CD81" s="271"/>
      <c r="CE81" s="271"/>
      <c r="CF81" s="271"/>
      <c r="CG81" s="271"/>
      <c r="CH81" s="271"/>
      <c r="CI81" s="271"/>
    </row>
    <row r="82" spans="1:87" ht="16.2" outlineLevel="1">
      <c r="A82" s="264" t="str">
        <f>E82&amp;G82</f>
        <v>lt004_protectionflg_chrnc_physcl_rsk</v>
      </c>
      <c r="B82" s="141" t="s">
        <v>26</v>
      </c>
      <c r="C82" s="137" t="s">
        <v>26</v>
      </c>
      <c r="D82" s="226" t="s">
        <v>40</v>
      </c>
      <c r="E82" s="229" t="s">
        <v>368</v>
      </c>
      <c r="F82" s="229"/>
      <c r="G82" s="233" t="s">
        <v>358</v>
      </c>
      <c r="H82" s="226" t="str">
        <f>VLOOKUP(A82,'2. Status Detalhe Campos FY24'!$A$7:$G$732,7,0)</f>
        <v>2.1 Em Teste</v>
      </c>
      <c r="I82" s="314" t="s">
        <v>38</v>
      </c>
      <c r="J82" s="313">
        <v>45596</v>
      </c>
      <c r="K82" s="313">
        <v>45596</v>
      </c>
      <c r="L82" s="280">
        <f t="array" ref="L82">MIN(IF(W82:CI82&gt;0,$W$16:$CI$16))</f>
        <v>45630</v>
      </c>
      <c r="M82" s="281">
        <f t="array" ref="M82">MAX(IF(W82:CI82&gt;0,$W$16:$CI$16))</f>
        <v>45630</v>
      </c>
      <c r="N82" s="281"/>
      <c r="O82" s="239">
        <f>VLOOKUP(H82,Auxiliar!$B$16:$E$24,4,0)</f>
        <v>0.25</v>
      </c>
      <c r="P82" s="239">
        <f ca="1">IF(TODAY()&lt;=L82,0,MIN((TODAY()-L82)/(M82-L82+1),100%))</f>
        <v>1</v>
      </c>
      <c r="Q82" s="239">
        <f t="shared" ca="1" si="26"/>
        <v>-0.75</v>
      </c>
      <c r="R82" s="251"/>
      <c r="S82" s="270"/>
      <c r="T82" s="260">
        <v>4.0999999999999996</v>
      </c>
      <c r="U82" s="260">
        <f>ROUND(T82/8,1)</f>
        <v>0.5</v>
      </c>
      <c r="V82" s="260">
        <f>SUM(W82:CI82)-U82</f>
        <v>0</v>
      </c>
      <c r="W82" s="271"/>
      <c r="X82" s="271"/>
      <c r="Y82" s="271"/>
      <c r="Z82" s="271"/>
      <c r="AA82" s="271"/>
      <c r="AB82" s="271"/>
      <c r="AC82" s="278"/>
      <c r="AD82" s="272"/>
      <c r="AE82" s="271"/>
      <c r="AF82" s="271"/>
      <c r="AG82" s="271"/>
      <c r="AH82" s="271"/>
      <c r="AI82" s="271"/>
      <c r="AJ82" s="271"/>
      <c r="AK82" s="271"/>
      <c r="AL82" s="271"/>
      <c r="AM82" s="271"/>
      <c r="AN82" s="271"/>
      <c r="AO82" s="271"/>
      <c r="AP82" s="271"/>
      <c r="AQ82" s="271"/>
      <c r="AR82" s="271"/>
      <c r="AS82" s="271"/>
      <c r="AT82" s="271"/>
      <c r="AU82" s="271"/>
      <c r="AV82" s="271"/>
      <c r="AW82" s="273"/>
      <c r="AX82" s="271"/>
      <c r="AY82" s="271"/>
      <c r="AZ82" s="271"/>
      <c r="BA82" s="271">
        <v>0.5</v>
      </c>
      <c r="BB82" s="271"/>
      <c r="BC82" s="271"/>
      <c r="BD82" s="271"/>
      <c r="BE82" s="271"/>
      <c r="BF82" s="271"/>
      <c r="BG82" s="271"/>
      <c r="BH82" s="271"/>
      <c r="BI82" s="271"/>
      <c r="BJ82" s="271"/>
      <c r="BK82" s="271"/>
      <c r="BL82" s="271"/>
      <c r="BM82" s="271"/>
      <c r="BN82" s="271"/>
      <c r="BO82" s="272"/>
      <c r="BP82" s="272"/>
      <c r="BQ82" s="272"/>
      <c r="BR82" s="272"/>
      <c r="BS82" s="272"/>
      <c r="BT82" s="272"/>
      <c r="BU82" s="272"/>
      <c r="BV82" s="271"/>
      <c r="BW82" s="271"/>
      <c r="BX82" s="271"/>
      <c r="BY82" s="271"/>
      <c r="BZ82" s="271"/>
      <c r="CA82" s="271"/>
      <c r="CB82" s="271"/>
      <c r="CC82" s="271"/>
      <c r="CD82" s="271"/>
      <c r="CE82" s="271"/>
      <c r="CF82" s="271"/>
      <c r="CG82" s="271"/>
      <c r="CH82" s="271"/>
      <c r="CI82" s="271"/>
    </row>
    <row r="83" spans="1:87" ht="16.2" collapsed="1">
      <c r="A83" s="264"/>
      <c r="B83" s="141" t="s">
        <v>26</v>
      </c>
      <c r="C83" s="137" t="s">
        <v>26</v>
      </c>
      <c r="D83" s="226"/>
      <c r="E83" s="232" t="s">
        <v>368</v>
      </c>
      <c r="F83" s="230" t="s">
        <v>1929</v>
      </c>
      <c r="G83" s="231">
        <f>COUNTA(G84:G85)</f>
        <v>2</v>
      </c>
      <c r="H83" s="285" t="s">
        <v>1921</v>
      </c>
      <c r="I83" s="268">
        <f>MAX(I84:I85)</f>
        <v>45635</v>
      </c>
      <c r="J83" s="267">
        <f>MIN(J84:J85)</f>
        <v>0</v>
      </c>
      <c r="K83" s="267">
        <f>MIN(K84:K85)</f>
        <v>0</v>
      </c>
      <c r="L83" s="267">
        <f>MIN(L84:L85)</f>
        <v>45628</v>
      </c>
      <c r="M83" s="268">
        <f>MAX(M84:M85)</f>
        <v>45639</v>
      </c>
      <c r="N83" s="312">
        <f t="array" ref="N83">MAX(IF(W83:CI83&gt;0,$W$16:$CI$16))</f>
        <v>45667</v>
      </c>
      <c r="O83" s="311">
        <f>SUMPRODUCT(O84:O85,U84:U85)/SUM(U84:U85)</f>
        <v>0.625</v>
      </c>
      <c r="P83" s="311">
        <f ca="1">SUMPRODUCT(P84:P85,U84:U85)/SUM(U84:U85)</f>
        <v>1</v>
      </c>
      <c r="Q83" s="238">
        <f t="shared" ca="1" si="26"/>
        <v>-0.375</v>
      </c>
      <c r="R83" s="329" t="s">
        <v>1955</v>
      </c>
      <c r="S83" s="270"/>
      <c r="T83" s="260"/>
      <c r="U83" s="260"/>
      <c r="V83" s="260"/>
      <c r="W83" s="271"/>
      <c r="X83" s="271"/>
      <c r="Y83" s="271"/>
      <c r="Z83" s="271"/>
      <c r="AA83" s="271"/>
      <c r="AB83" s="271"/>
      <c r="AC83" s="278"/>
      <c r="AD83" s="272"/>
      <c r="AE83" s="271"/>
      <c r="AF83" s="271"/>
      <c r="AG83" s="271"/>
      <c r="AH83" s="271"/>
      <c r="AI83" s="271"/>
      <c r="AJ83" s="271"/>
      <c r="AK83" s="271"/>
      <c r="AL83" s="271"/>
      <c r="AM83" s="271"/>
      <c r="AN83" s="271"/>
      <c r="AO83" s="271"/>
      <c r="AP83" s="271"/>
      <c r="AQ83" s="271"/>
      <c r="AR83" s="271"/>
      <c r="AS83" s="271"/>
      <c r="AT83" s="271"/>
      <c r="AU83" s="271"/>
      <c r="AV83" s="271"/>
      <c r="AW83" s="271"/>
      <c r="AX83" s="271"/>
      <c r="AY83" s="271"/>
      <c r="AZ83" s="271"/>
      <c r="BA83" s="271"/>
      <c r="BB83" s="271"/>
      <c r="BC83" s="274" t="s">
        <v>443</v>
      </c>
      <c r="BD83" s="271"/>
      <c r="BE83" s="279"/>
      <c r="BF83" s="271"/>
      <c r="BG83" s="271"/>
      <c r="BH83" s="271" t="s">
        <v>443</v>
      </c>
      <c r="BI83" s="271"/>
      <c r="BJ83" s="271"/>
      <c r="BK83" s="271"/>
      <c r="BL83" s="271"/>
      <c r="BM83" s="271" t="s">
        <v>443</v>
      </c>
      <c r="BN83" s="271"/>
      <c r="BO83" s="272"/>
      <c r="BP83" s="272"/>
      <c r="BQ83" s="272"/>
      <c r="BR83" s="272"/>
      <c r="BS83" s="272"/>
      <c r="BT83" s="272"/>
      <c r="BU83" s="272"/>
      <c r="BV83" s="271"/>
      <c r="BW83" s="271"/>
      <c r="BX83" s="271"/>
      <c r="BY83" s="271"/>
      <c r="BZ83" s="271"/>
      <c r="CA83" s="271"/>
      <c r="CB83" s="271" t="s">
        <v>443</v>
      </c>
      <c r="CC83" s="271"/>
      <c r="CD83" s="271"/>
      <c r="CE83" s="271"/>
      <c r="CF83" s="271"/>
      <c r="CG83" s="271"/>
      <c r="CH83" s="271"/>
      <c r="CI83" s="271"/>
    </row>
    <row r="84" spans="1:87" ht="16.2" outlineLevel="1">
      <c r="A84" s="264" t="str">
        <f>E84&amp;G84</f>
        <v>lt004_protectionep_scr</v>
      </c>
      <c r="B84" s="141" t="s">
        <v>26</v>
      </c>
      <c r="C84" s="137" t="s">
        <v>26</v>
      </c>
      <c r="D84" s="226" t="s">
        <v>40</v>
      </c>
      <c r="E84" s="229" t="s">
        <v>368</v>
      </c>
      <c r="F84" s="229"/>
      <c r="G84" s="233" t="s">
        <v>370</v>
      </c>
      <c r="H84" s="226" t="str">
        <f>VLOOKUP(A84,'2. Status Detalhe Campos FY24'!$A$7:$G$732,7,0)</f>
        <v>4. Validação EF</v>
      </c>
      <c r="I84" s="314">
        <v>45635</v>
      </c>
      <c r="J84" s="313"/>
      <c r="K84" s="313"/>
      <c r="L84" s="280">
        <f t="array" ref="L84">MIN(IF(W84:CI84&gt;0,$W$16:$CI$16))</f>
        <v>45628</v>
      </c>
      <c r="M84" s="281">
        <f t="array" ref="M84">MAX(IF(W84:CI84&gt;0,$W$16:$CI$16))</f>
        <v>45639</v>
      </c>
      <c r="N84" s="281"/>
      <c r="O84" s="239">
        <f>VLOOKUP(H84,Auxiliar!$B$16:$E$24,4,0)</f>
        <v>0.25</v>
      </c>
      <c r="P84" s="239">
        <f ca="1">IF(TODAY()&lt;=L84,0,MIN((TODAY()-L84)/(M84-L84+1),100%))</f>
        <v>1</v>
      </c>
      <c r="Q84" s="239">
        <f ca="1">O84-P84</f>
        <v>-0.75</v>
      </c>
      <c r="R84" s="251"/>
      <c r="S84" s="270" t="s">
        <v>1863</v>
      </c>
      <c r="T84" s="260">
        <v>4.0999999999999996</v>
      </c>
      <c r="U84" s="260">
        <f>ROUND(T84/8,1)</f>
        <v>0.5</v>
      </c>
      <c r="V84" s="260">
        <f>SUM(W84:CI84)-U84</f>
        <v>0</v>
      </c>
      <c r="W84" s="271"/>
      <c r="X84" s="271"/>
      <c r="Y84" s="271"/>
      <c r="Z84" s="271"/>
      <c r="AA84" s="271"/>
      <c r="AB84" s="271"/>
      <c r="AC84" s="278"/>
      <c r="AD84" s="272"/>
      <c r="AE84" s="271"/>
      <c r="AF84" s="271"/>
      <c r="AG84" s="271"/>
      <c r="AH84" s="271"/>
      <c r="AI84" s="271"/>
      <c r="AJ84" s="271"/>
      <c r="AK84" s="271"/>
      <c r="AL84" s="271"/>
      <c r="AM84" s="271"/>
      <c r="AN84" s="271"/>
      <c r="AO84" s="271"/>
      <c r="AP84" s="271"/>
      <c r="AQ84" s="271"/>
      <c r="AR84" s="271"/>
      <c r="AS84" s="271"/>
      <c r="AT84" s="271"/>
      <c r="AU84" s="271"/>
      <c r="AV84" s="271"/>
      <c r="AW84" s="271"/>
      <c r="AX84" s="271"/>
      <c r="AY84" s="271">
        <v>0.5</v>
      </c>
      <c r="AZ84" s="271"/>
      <c r="BA84" s="271"/>
      <c r="BB84" s="271"/>
      <c r="BC84" s="271"/>
      <c r="BD84" s="271"/>
      <c r="BE84" s="279"/>
      <c r="BF84" s="271"/>
      <c r="BG84" s="271"/>
      <c r="BH84" s="271" t="s">
        <v>443</v>
      </c>
      <c r="BI84" s="271"/>
      <c r="BJ84" s="271"/>
      <c r="BK84" s="271"/>
      <c r="BL84" s="271"/>
      <c r="BM84" s="271"/>
      <c r="BN84" s="271"/>
      <c r="BO84" s="272"/>
      <c r="BP84" s="272"/>
      <c r="BQ84" s="272"/>
      <c r="BR84" s="272"/>
      <c r="BS84" s="272"/>
      <c r="BT84" s="272"/>
      <c r="BU84" s="272"/>
      <c r="BV84" s="271"/>
      <c r="BW84" s="271"/>
      <c r="BX84" s="271"/>
      <c r="BY84" s="271"/>
      <c r="BZ84" s="271"/>
      <c r="CA84" s="271"/>
      <c r="CB84" s="271"/>
      <c r="CC84" s="271"/>
      <c r="CD84" s="271"/>
      <c r="CE84" s="271"/>
      <c r="CF84" s="271"/>
      <c r="CG84" s="271"/>
      <c r="CH84" s="271"/>
      <c r="CI84" s="271"/>
    </row>
    <row r="85" spans="1:87" ht="16.2" outlineLevel="1">
      <c r="A85" s="264" t="str">
        <f>E85&amp;G85</f>
        <v>lt004_protectionepc_lbl</v>
      </c>
      <c r="B85" s="141" t="s">
        <v>26</v>
      </c>
      <c r="C85" s="137" t="s">
        <v>26</v>
      </c>
      <c r="D85" s="226" t="s">
        <v>40</v>
      </c>
      <c r="E85" s="229" t="s">
        <v>368</v>
      </c>
      <c r="F85" s="229"/>
      <c r="G85" s="233" t="s">
        <v>372</v>
      </c>
      <c r="H85" s="226" t="str">
        <f>VLOOKUP(A85,'2. Status Detalhe Campos FY24'!$A$7:$G$732,7,0)</f>
        <v>1. Concluído</v>
      </c>
      <c r="I85" s="314">
        <v>45635</v>
      </c>
      <c r="J85" s="313"/>
      <c r="K85" s="313"/>
      <c r="L85" s="280">
        <f t="array" ref="L85">MIN(IF(W85:CI85&gt;0,$W$16:$CI$16))</f>
        <v>45629</v>
      </c>
      <c r="M85" s="281">
        <f t="array" ref="M85">MAX(IF(W85:CI85&gt;0,$W$16:$CI$16))</f>
        <v>45639</v>
      </c>
      <c r="N85" s="281"/>
      <c r="O85" s="239">
        <f>VLOOKUP(H85,Auxiliar!$B$16:$E$24,4,0)</f>
        <v>1</v>
      </c>
      <c r="P85" s="239">
        <f ca="1">IF(TODAY()&lt;=L85,0,MIN((TODAY()-L85)/(M85-L85+1),100%))</f>
        <v>1</v>
      </c>
      <c r="Q85" s="239">
        <f ca="1">O85-P85</f>
        <v>0</v>
      </c>
      <c r="R85" s="251"/>
      <c r="S85" s="270" t="s">
        <v>1863</v>
      </c>
      <c r="T85" s="260">
        <v>4.0999999999999996</v>
      </c>
      <c r="U85" s="260">
        <f>ROUND(T85/8,1)</f>
        <v>0.5</v>
      </c>
      <c r="V85" s="260">
        <f>SUM(W85:CI85)-U85</f>
        <v>0</v>
      </c>
      <c r="W85" s="271"/>
      <c r="X85" s="271"/>
      <c r="Y85" s="271"/>
      <c r="Z85" s="271"/>
      <c r="AA85" s="271"/>
      <c r="AB85" s="271"/>
      <c r="AC85" s="278"/>
      <c r="AD85" s="272"/>
      <c r="AE85" s="271"/>
      <c r="AF85" s="271"/>
      <c r="AG85" s="271"/>
      <c r="AH85" s="271"/>
      <c r="AI85" s="271"/>
      <c r="AJ85" s="271"/>
      <c r="AK85" s="271"/>
      <c r="AL85" s="271"/>
      <c r="AM85" s="271"/>
      <c r="AN85" s="271"/>
      <c r="AO85" s="271"/>
      <c r="AP85" s="271"/>
      <c r="AQ85" s="271"/>
      <c r="AR85" s="271"/>
      <c r="AS85" s="271"/>
      <c r="AT85" s="271"/>
      <c r="AU85" s="271"/>
      <c r="AV85" s="271"/>
      <c r="AW85" s="271"/>
      <c r="AX85" s="271"/>
      <c r="AY85" s="271"/>
      <c r="AZ85" s="271">
        <v>0.5</v>
      </c>
      <c r="BA85" s="271"/>
      <c r="BB85" s="271"/>
      <c r="BC85" s="271"/>
      <c r="BD85" s="271"/>
      <c r="BE85" s="279"/>
      <c r="BF85" s="271"/>
      <c r="BG85" s="271"/>
      <c r="BH85" s="271" t="s">
        <v>443</v>
      </c>
      <c r="BI85" s="271"/>
      <c r="BJ85" s="271"/>
      <c r="BK85" s="271"/>
      <c r="BL85" s="271"/>
      <c r="BM85" s="271"/>
      <c r="BN85" s="271"/>
      <c r="BO85" s="272"/>
      <c r="BP85" s="272"/>
      <c r="BQ85" s="272"/>
      <c r="BR85" s="272"/>
      <c r="BS85" s="272"/>
      <c r="BT85" s="272"/>
      <c r="BU85" s="272"/>
      <c r="BV85" s="271"/>
      <c r="BW85" s="271"/>
      <c r="BX85" s="271"/>
      <c r="BY85" s="271"/>
      <c r="BZ85" s="271"/>
      <c r="CA85" s="271"/>
      <c r="CB85" s="271"/>
      <c r="CC85" s="271"/>
      <c r="CD85" s="271"/>
      <c r="CE85" s="271"/>
      <c r="CF85" s="271"/>
      <c r="CG85" s="271"/>
      <c r="CH85" s="271"/>
      <c r="CI85" s="271"/>
    </row>
    <row r="86" spans="1:87" ht="16.2" collapsed="1">
      <c r="A86" s="264"/>
      <c r="B86" s="137" t="s">
        <v>26</v>
      </c>
      <c r="C86" s="137" t="s">
        <v>26</v>
      </c>
      <c r="D86" s="226"/>
      <c r="E86" s="232" t="s">
        <v>368</v>
      </c>
      <c r="F86" s="230" t="s">
        <v>1929</v>
      </c>
      <c r="G86" s="231">
        <f>COUNTA(G87)</f>
        <v>1</v>
      </c>
      <c r="H86" s="285" t="s">
        <v>1921</v>
      </c>
      <c r="I86" s="266" t="s">
        <v>38</v>
      </c>
      <c r="J86" s="267">
        <f>MIN(J87)</f>
        <v>0</v>
      </c>
      <c r="K86" s="267">
        <f>MIN(K87)</f>
        <v>0</v>
      </c>
      <c r="L86" s="267">
        <f>MIN(L87)</f>
        <v>45628</v>
      </c>
      <c r="M86" s="268">
        <f>MAX(M87)</f>
        <v>45639</v>
      </c>
      <c r="N86" s="312">
        <f t="array" ref="N86">MAX(IF(W86:CI86&gt;0,$W$16:$CI$16))</f>
        <v>45639</v>
      </c>
      <c r="O86" s="311">
        <f>O87</f>
        <v>1</v>
      </c>
      <c r="P86" s="311">
        <f ca="1">P87</f>
        <v>1</v>
      </c>
      <c r="Q86" s="238">
        <f t="shared" ca="1" si="26"/>
        <v>0</v>
      </c>
      <c r="R86" s="329" t="s">
        <v>1947</v>
      </c>
      <c r="S86" s="270"/>
      <c r="T86" s="260"/>
      <c r="U86" s="260"/>
      <c r="V86" s="260"/>
      <c r="W86" s="271"/>
      <c r="X86" s="271"/>
      <c r="Y86" s="271"/>
      <c r="Z86" s="271"/>
      <c r="AA86" s="271"/>
      <c r="AB86" s="271"/>
      <c r="AC86" s="278"/>
      <c r="AD86" s="272"/>
      <c r="AE86" s="271"/>
      <c r="AF86" s="271"/>
      <c r="AG86" s="271"/>
      <c r="AH86" s="271"/>
      <c r="AI86" s="271"/>
      <c r="AJ86" s="271"/>
      <c r="AK86" s="271"/>
      <c r="AL86" s="271"/>
      <c r="AM86" s="271"/>
      <c r="AN86" s="271"/>
      <c r="AO86" s="271"/>
      <c r="AP86" s="271"/>
      <c r="AQ86" s="271"/>
      <c r="AR86" s="271"/>
      <c r="AS86" s="271"/>
      <c r="AT86" s="271"/>
      <c r="AU86" s="271"/>
      <c r="AV86" s="271"/>
      <c r="AW86" s="271"/>
      <c r="AX86" s="271"/>
      <c r="AY86" s="271"/>
      <c r="AZ86" s="271"/>
      <c r="BA86" s="271"/>
      <c r="BB86" s="271"/>
      <c r="BC86" s="274" t="s">
        <v>443</v>
      </c>
      <c r="BD86" s="271"/>
      <c r="BE86" s="271"/>
      <c r="BF86" s="271"/>
      <c r="BG86" s="271"/>
      <c r="BH86" s="271" t="s">
        <v>443</v>
      </c>
      <c r="BI86" s="271"/>
      <c r="BJ86" s="271"/>
      <c r="BK86" s="271"/>
      <c r="BL86" s="271"/>
      <c r="BM86" s="271"/>
      <c r="BN86" s="271"/>
      <c r="BO86" s="272"/>
      <c r="BP86" s="272"/>
      <c r="BQ86" s="272"/>
      <c r="BR86" s="272"/>
      <c r="BS86" s="272"/>
      <c r="BT86" s="272"/>
      <c r="BU86" s="272"/>
      <c r="BV86" s="271"/>
      <c r="BW86" s="271"/>
      <c r="BX86" s="271"/>
      <c r="BY86" s="271"/>
      <c r="BZ86" s="271"/>
      <c r="CA86" s="271"/>
      <c r="CB86" s="271"/>
      <c r="CC86" s="271"/>
      <c r="CD86" s="271"/>
      <c r="CE86" s="271"/>
      <c r="CF86" s="271"/>
      <c r="CG86" s="271"/>
      <c r="CH86" s="271"/>
      <c r="CI86" s="271"/>
    </row>
    <row r="87" spans="1:87" ht="16.2" outlineLevel="1">
      <c r="A87" s="264" t="str">
        <f>E87&amp;G87</f>
        <v>lt004_protectiontyp_epc_lbl</v>
      </c>
      <c r="B87" s="141" t="s">
        <v>26</v>
      </c>
      <c r="C87" s="137" t="s">
        <v>26</v>
      </c>
      <c r="D87" s="226" t="s">
        <v>40</v>
      </c>
      <c r="E87" s="229" t="s">
        <v>368</v>
      </c>
      <c r="F87" s="229"/>
      <c r="G87" s="233" t="s">
        <v>371</v>
      </c>
      <c r="H87" s="226" t="str">
        <f>VLOOKUP(A87,'2. Status Detalhe Campos FY24'!$A$7:$G$732,7,0)</f>
        <v>1. Concluído</v>
      </c>
      <c r="I87" s="314" t="s">
        <v>38</v>
      </c>
      <c r="J87" s="313"/>
      <c r="K87" s="313"/>
      <c r="L87" s="280">
        <f t="array" ref="L87">MIN(IF(W87:CI87&gt;0,$W$16:$CI$16))</f>
        <v>45628</v>
      </c>
      <c r="M87" s="281">
        <f t="array" ref="M87">MAX(IF(W87:CI87&gt;0,$W$16:$CI$16))</f>
        <v>45639</v>
      </c>
      <c r="N87" s="281"/>
      <c r="O87" s="239">
        <f>VLOOKUP(H87,Auxiliar!$B$16:$E$24,4,0)</f>
        <v>1</v>
      </c>
      <c r="P87" s="239">
        <f ca="1">IF(TODAY()&lt;=L87,0,MIN((TODAY()-L87)/(M87-L87+1),100%))</f>
        <v>1</v>
      </c>
      <c r="Q87" s="239">
        <f ca="1">O87-P87</f>
        <v>0</v>
      </c>
      <c r="R87" s="251"/>
      <c r="S87" s="270" t="s">
        <v>1863</v>
      </c>
      <c r="T87" s="260">
        <v>4.0999999999999996</v>
      </c>
      <c r="U87" s="260">
        <f>ROUND(T87/8,1)</f>
        <v>0.5</v>
      </c>
      <c r="V87" s="260">
        <f>SUM(W87:CI87)-U87</f>
        <v>0</v>
      </c>
      <c r="W87" s="271"/>
      <c r="X87" s="271"/>
      <c r="Y87" s="271"/>
      <c r="Z87" s="271"/>
      <c r="AA87" s="271"/>
      <c r="AB87" s="271"/>
      <c r="AC87" s="278"/>
      <c r="AD87" s="272"/>
      <c r="AE87" s="271"/>
      <c r="AF87" s="271"/>
      <c r="AG87" s="271"/>
      <c r="AH87" s="271"/>
      <c r="AI87" s="271"/>
      <c r="AJ87" s="271"/>
      <c r="AK87" s="271"/>
      <c r="AL87" s="271"/>
      <c r="AM87" s="271"/>
      <c r="AN87" s="271"/>
      <c r="AO87" s="271"/>
      <c r="AP87" s="271"/>
      <c r="AQ87" s="271"/>
      <c r="AR87" s="271"/>
      <c r="AS87" s="271"/>
      <c r="AT87" s="271"/>
      <c r="AU87" s="271"/>
      <c r="AV87" s="271"/>
      <c r="AW87" s="271"/>
      <c r="AX87" s="271"/>
      <c r="AY87" s="271">
        <v>0.5</v>
      </c>
      <c r="AZ87" s="271"/>
      <c r="BA87" s="271"/>
      <c r="BB87" s="271"/>
      <c r="BC87" s="271"/>
      <c r="BD87" s="271"/>
      <c r="BE87" s="271"/>
      <c r="BF87" s="271"/>
      <c r="BG87" s="271"/>
      <c r="BH87" s="271" t="s">
        <v>443</v>
      </c>
      <c r="BI87" s="271"/>
      <c r="BJ87" s="271"/>
      <c r="BK87" s="271"/>
      <c r="BL87" s="271"/>
      <c r="BM87" s="271"/>
      <c r="BN87" s="271"/>
      <c r="BO87" s="272"/>
      <c r="BP87" s="272"/>
      <c r="BQ87" s="272"/>
      <c r="BR87" s="272"/>
      <c r="BS87" s="272"/>
      <c r="BT87" s="272"/>
      <c r="BU87" s="272"/>
      <c r="BV87" s="271"/>
      <c r="BW87" s="271"/>
      <c r="BX87" s="271"/>
      <c r="BY87" s="271"/>
      <c r="BZ87" s="271"/>
      <c r="CA87" s="271"/>
      <c r="CB87" s="271"/>
      <c r="CC87" s="271"/>
      <c r="CD87" s="271"/>
      <c r="CE87" s="271"/>
      <c r="CF87" s="271"/>
      <c r="CG87" s="271"/>
      <c r="CH87" s="271"/>
      <c r="CI87" s="271"/>
    </row>
    <row r="88" spans="1:87" ht="15" customHeight="1" collapsed="1">
      <c r="A88" s="264"/>
      <c r="B88" s="141" t="s">
        <v>26</v>
      </c>
      <c r="C88" s="137" t="s">
        <v>26</v>
      </c>
      <c r="D88" s="133"/>
      <c r="E88" s="232" t="s">
        <v>335</v>
      </c>
      <c r="F88" s="230" t="s">
        <v>1910</v>
      </c>
      <c r="G88" s="231">
        <f>COUNTA(G89:G91)</f>
        <v>3</v>
      </c>
      <c r="H88" s="285" t="s">
        <v>1921</v>
      </c>
      <c r="I88" s="268">
        <f>MAX(I89:I91)</f>
        <v>45590</v>
      </c>
      <c r="J88" s="267">
        <f>MIN(J89:J91)</f>
        <v>45611</v>
      </c>
      <c r="K88" s="267">
        <f>MIN(K89:K91)</f>
        <v>45611</v>
      </c>
      <c r="L88" s="267">
        <f>MIN(L89:L91)</f>
        <v>45628</v>
      </c>
      <c r="M88" s="268">
        <f>MAX(M89:M91)</f>
        <v>45630</v>
      </c>
      <c r="N88" s="312">
        <f t="array" ref="N88">MAX(IF(W88:CI88&gt;0,$W$16:$CI$16))</f>
        <v>45632</v>
      </c>
      <c r="O88" s="311">
        <f>SUMPRODUCT(O89:O91,U89:U91)/SUM(U89:U91)</f>
        <v>1</v>
      </c>
      <c r="P88" s="311">
        <f ca="1">SUMPRODUCT(P89:P91,U89:U91)/SUM(U89:U91)</f>
        <v>1</v>
      </c>
      <c r="Q88" s="246">
        <f t="shared" ca="1" si="26"/>
        <v>0</v>
      </c>
      <c r="R88" s="329" t="s">
        <v>1941</v>
      </c>
      <c r="S88" s="270"/>
      <c r="T88" s="260"/>
      <c r="U88" s="260"/>
      <c r="V88" s="260"/>
      <c r="W88" s="271"/>
      <c r="X88" s="271"/>
      <c r="Y88" s="279"/>
      <c r="Z88" s="271"/>
      <c r="AA88" s="271"/>
      <c r="AB88" s="271"/>
      <c r="AC88" s="271"/>
      <c r="AD88" s="272"/>
      <c r="AE88" s="271"/>
      <c r="AF88" s="271"/>
      <c r="AG88" s="271"/>
      <c r="AH88" s="271"/>
      <c r="AI88" s="271"/>
      <c r="AJ88" s="271"/>
      <c r="AK88" s="271"/>
      <c r="AL88" s="271"/>
      <c r="AM88" s="271"/>
      <c r="AN88" s="278"/>
      <c r="AO88" s="271"/>
      <c r="AP88" s="271"/>
      <c r="AQ88" s="271"/>
      <c r="AR88" s="271"/>
      <c r="AS88" s="271"/>
      <c r="AT88" s="271"/>
      <c r="AU88" s="271"/>
      <c r="AV88" s="271"/>
      <c r="AW88" s="271"/>
      <c r="AX88" s="271"/>
      <c r="AY88" s="271"/>
      <c r="AZ88" s="271"/>
      <c r="BA88" s="271"/>
      <c r="BB88" s="271"/>
      <c r="BC88" s="274" t="s">
        <v>443</v>
      </c>
      <c r="BD88" s="271"/>
      <c r="BE88" s="271"/>
      <c r="BF88" s="271"/>
      <c r="BG88" s="271"/>
      <c r="BH88" s="271"/>
      <c r="BI88" s="271"/>
      <c r="BJ88" s="271"/>
      <c r="BK88" s="271"/>
      <c r="BL88" s="271"/>
      <c r="BM88" s="271"/>
      <c r="BN88" s="271"/>
      <c r="BO88" s="272"/>
      <c r="BP88" s="272"/>
      <c r="BQ88" s="272"/>
      <c r="BR88" s="272"/>
      <c r="BS88" s="272"/>
      <c r="BT88" s="272"/>
      <c r="BU88" s="272"/>
      <c r="BV88" s="271"/>
      <c r="BW88" s="271"/>
      <c r="BX88" s="271"/>
      <c r="BY88" s="271"/>
      <c r="BZ88" s="271"/>
      <c r="CA88" s="271"/>
      <c r="CB88" s="271"/>
      <c r="CC88" s="271"/>
      <c r="CD88" s="271"/>
      <c r="CE88" s="271"/>
      <c r="CF88" s="271"/>
      <c r="CG88" s="271"/>
      <c r="CH88" s="271"/>
      <c r="CI88" s="271"/>
    </row>
    <row r="89" spans="1:87" ht="16.2" outlineLevel="1">
      <c r="A89" s="264" t="str">
        <f>E89&amp;G89</f>
        <v>lt003_entityflg_nfrd_applcblty</v>
      </c>
      <c r="B89" s="141" t="s">
        <v>26</v>
      </c>
      <c r="C89" s="137" t="s">
        <v>26</v>
      </c>
      <c r="D89" s="226" t="s">
        <v>40</v>
      </c>
      <c r="E89" s="229" t="s">
        <v>335</v>
      </c>
      <c r="F89" s="229"/>
      <c r="G89" s="229" t="s">
        <v>352</v>
      </c>
      <c r="H89" s="226" t="str">
        <f>VLOOKUP(A89,'2. Status Detalhe Campos FY24'!$A$7:$G$732,7,0)</f>
        <v>1. Concluído</v>
      </c>
      <c r="I89" s="266">
        <v>45589</v>
      </c>
      <c r="J89" s="292">
        <v>45611</v>
      </c>
      <c r="K89" s="293">
        <v>45611</v>
      </c>
      <c r="L89" s="280">
        <f t="array" ref="L89">MIN(IF(W89:CI89&gt;0,$W$16:$CI$16))</f>
        <v>45628</v>
      </c>
      <c r="M89" s="281">
        <f t="array" ref="M89">MAX(IF(W89:CI89&gt;0,$W$16:$CI$16))</f>
        <v>45628</v>
      </c>
      <c r="N89" s="281"/>
      <c r="O89" s="239">
        <f>VLOOKUP(H89,Auxiliar!$B$16:$E$24,4,0)</f>
        <v>1</v>
      </c>
      <c r="P89" s="303">
        <f ca="1">IF(TODAY()&lt;=L89,0,MIN((TODAY()-L89)/(M89-L89+1),100%))</f>
        <v>1</v>
      </c>
      <c r="Q89" s="238">
        <f t="shared" ca="1" si="26"/>
        <v>0</v>
      </c>
      <c r="R89" s="252" t="s">
        <v>38</v>
      </c>
      <c r="S89" s="270"/>
      <c r="T89" s="260">
        <v>4.0999999999999996</v>
      </c>
      <c r="U89" s="260">
        <f>ROUND(T89/8,1)</f>
        <v>0.5</v>
      </c>
      <c r="V89" s="260">
        <f>SUM(W89:CI89)-U89</f>
        <v>0</v>
      </c>
      <c r="W89" s="271"/>
      <c r="X89" s="271"/>
      <c r="Y89" s="271"/>
      <c r="Z89" s="271"/>
      <c r="AA89" s="271"/>
      <c r="AB89" s="271"/>
      <c r="AC89" s="271"/>
      <c r="AD89" s="272"/>
      <c r="AE89" s="271"/>
      <c r="AF89" s="271"/>
      <c r="AG89" s="271"/>
      <c r="AH89" s="271"/>
      <c r="AI89" s="271"/>
      <c r="AJ89" s="271"/>
      <c r="AK89" s="271"/>
      <c r="AL89" s="271"/>
      <c r="AM89" s="271"/>
      <c r="AN89" s="278"/>
      <c r="AO89" s="271"/>
      <c r="AP89" s="271"/>
      <c r="AQ89" s="271"/>
      <c r="AR89" s="271"/>
      <c r="AS89" s="271"/>
      <c r="AT89" s="271"/>
      <c r="AU89" s="271"/>
      <c r="AV89" s="271"/>
      <c r="AW89" s="271"/>
      <c r="AX89" s="271"/>
      <c r="AY89" s="271">
        <v>0.5</v>
      </c>
      <c r="AZ89" s="271"/>
      <c r="BA89" s="271"/>
      <c r="BB89" s="271"/>
      <c r="BC89" s="271"/>
      <c r="BD89" s="271"/>
      <c r="BE89" s="271"/>
      <c r="BF89" s="271"/>
      <c r="BG89" s="271"/>
      <c r="BH89" s="271"/>
      <c r="BI89" s="271"/>
      <c r="BJ89" s="271"/>
      <c r="BK89" s="271"/>
      <c r="BL89" s="271"/>
      <c r="BM89" s="271"/>
      <c r="BN89" s="271"/>
      <c r="BO89" s="272"/>
      <c r="BP89" s="272"/>
      <c r="BQ89" s="272"/>
      <c r="BR89" s="272"/>
      <c r="BS89" s="272"/>
      <c r="BT89" s="272"/>
      <c r="BU89" s="272"/>
      <c r="BV89" s="271"/>
      <c r="BW89" s="271"/>
      <c r="BX89" s="271"/>
      <c r="BY89" s="271"/>
      <c r="BZ89" s="271"/>
      <c r="CA89" s="271"/>
      <c r="CB89" s="271"/>
      <c r="CC89" s="271"/>
      <c r="CD89" s="271"/>
      <c r="CE89" s="271"/>
      <c r="CF89" s="271"/>
      <c r="CG89" s="271"/>
      <c r="CH89" s="271"/>
      <c r="CI89" s="271"/>
    </row>
    <row r="90" spans="1:87" ht="16.2" outlineLevel="1">
      <c r="A90" s="264" t="str">
        <f>E90&amp;G90</f>
        <v>lt003_entitypure_capex_cca</v>
      </c>
      <c r="B90" s="141" t="s">
        <v>26</v>
      </c>
      <c r="C90" s="137" t="s">
        <v>26</v>
      </c>
      <c r="D90" s="226" t="s">
        <v>40</v>
      </c>
      <c r="E90" s="229" t="s">
        <v>335</v>
      </c>
      <c r="F90" s="229"/>
      <c r="G90" s="229" t="s">
        <v>346</v>
      </c>
      <c r="H90" s="226" t="str">
        <f>VLOOKUP(A90,'2. Status Detalhe Campos FY24'!$A$7:$G$732,7,0)</f>
        <v>1. Concluído</v>
      </c>
      <c r="I90" s="266" t="s">
        <v>38</v>
      </c>
      <c r="J90" s="291">
        <v>45611</v>
      </c>
      <c r="K90" s="293">
        <v>45611</v>
      </c>
      <c r="L90" s="280">
        <f t="array" ref="L90">MIN(IF(W90:CI90&gt;0,$W$16:$CI$16))</f>
        <v>45629</v>
      </c>
      <c r="M90" s="281">
        <f t="array" ref="M90">MAX(IF(W90:CI90&gt;0,$W$16:$CI$16))</f>
        <v>45629</v>
      </c>
      <c r="N90" s="281"/>
      <c r="O90" s="239">
        <f>VLOOKUP(H90,Auxiliar!$B$16:$E$24,4,0)</f>
        <v>1</v>
      </c>
      <c r="P90" s="303">
        <f ca="1">IF(TODAY()&lt;=L90,0,MIN((TODAY()-L90)/(M90-L90+1),100%))</f>
        <v>1</v>
      </c>
      <c r="Q90" s="238">
        <f t="shared" ca="1" si="26"/>
        <v>0</v>
      </c>
      <c r="R90" s="252" t="s">
        <v>38</v>
      </c>
      <c r="S90" s="270"/>
      <c r="T90" s="260">
        <v>4.0999999999999996</v>
      </c>
      <c r="U90" s="260">
        <f>ROUND(T90/8,1)</f>
        <v>0.5</v>
      </c>
      <c r="V90" s="260">
        <f>SUM(W90:CI90)-U90</f>
        <v>0</v>
      </c>
      <c r="W90" s="271"/>
      <c r="X90" s="271"/>
      <c r="Y90" s="271"/>
      <c r="Z90" s="271"/>
      <c r="AA90" s="271"/>
      <c r="AB90" s="271"/>
      <c r="AC90" s="271"/>
      <c r="AD90" s="272"/>
      <c r="AE90" s="271"/>
      <c r="AF90" s="271"/>
      <c r="AG90" s="271"/>
      <c r="AH90" s="271"/>
      <c r="AI90" s="271"/>
      <c r="AJ90" s="271"/>
      <c r="AK90" s="271"/>
      <c r="AL90" s="271"/>
      <c r="AM90" s="271"/>
      <c r="AN90" s="278"/>
      <c r="AO90" s="271"/>
      <c r="AP90" s="271"/>
      <c r="AQ90" s="271"/>
      <c r="AR90" s="271"/>
      <c r="AS90" s="271"/>
      <c r="AT90" s="271"/>
      <c r="AU90" s="271"/>
      <c r="AV90" s="271"/>
      <c r="AW90" s="271"/>
      <c r="AX90" s="271"/>
      <c r="AY90" s="271"/>
      <c r="AZ90" s="271">
        <v>0.5</v>
      </c>
      <c r="BA90" s="271"/>
      <c r="BB90" s="271"/>
      <c r="BC90" s="271"/>
      <c r="BD90" s="271"/>
      <c r="BE90" s="271"/>
      <c r="BF90" s="271"/>
      <c r="BG90" s="271"/>
      <c r="BH90" s="271"/>
      <c r="BI90" s="271"/>
      <c r="BJ90" s="271"/>
      <c r="BK90" s="271"/>
      <c r="BL90" s="271"/>
      <c r="BM90" s="271"/>
      <c r="BN90" s="271"/>
      <c r="BO90" s="272"/>
      <c r="BP90" s="272"/>
      <c r="BQ90" s="272"/>
      <c r="BR90" s="272"/>
      <c r="BS90" s="272"/>
      <c r="BT90" s="272"/>
      <c r="BU90" s="272"/>
      <c r="BV90" s="271"/>
      <c r="BW90" s="271"/>
      <c r="BX90" s="271"/>
      <c r="BY90" s="271"/>
      <c r="BZ90" s="271"/>
      <c r="CA90" s="271"/>
      <c r="CB90" s="271"/>
      <c r="CC90" s="271"/>
      <c r="CD90" s="271"/>
      <c r="CE90" s="271"/>
      <c r="CF90" s="271"/>
      <c r="CG90" s="271"/>
      <c r="CH90" s="271"/>
      <c r="CI90" s="271"/>
    </row>
    <row r="91" spans="1:87" ht="16.2" outlineLevel="1">
      <c r="A91" s="264" t="str">
        <f>E91&amp;G91</f>
        <v>lt003_entitygrp_annl_trnvr_le</v>
      </c>
      <c r="B91" s="141" t="s">
        <v>26</v>
      </c>
      <c r="C91" s="137" t="s">
        <v>26</v>
      </c>
      <c r="D91" s="226" t="s">
        <v>40</v>
      </c>
      <c r="E91" s="229" t="s">
        <v>335</v>
      </c>
      <c r="F91" s="229"/>
      <c r="G91" s="229" t="s">
        <v>362</v>
      </c>
      <c r="H91" s="226" t="str">
        <f>VLOOKUP(A91,'2. Status Detalhe Campos FY24'!$A$7:$G$732,7,0)</f>
        <v>1. Concluído</v>
      </c>
      <c r="I91" s="275">
        <v>45590</v>
      </c>
      <c r="J91" s="292">
        <v>45611</v>
      </c>
      <c r="K91" s="293">
        <v>45611</v>
      </c>
      <c r="L91" s="280">
        <f t="array" ref="L91">MIN(IF(W91:CI91&gt;0,$W$16:$CI$16))</f>
        <v>45630</v>
      </c>
      <c r="M91" s="281">
        <f t="array" ref="M91">MAX(IF(W91:CI91&gt;0,$W$16:$CI$16))</f>
        <v>45630</v>
      </c>
      <c r="N91" s="281"/>
      <c r="O91" s="239">
        <f>VLOOKUP(H91,Auxiliar!$B$16:$E$24,4,0)</f>
        <v>1</v>
      </c>
      <c r="P91" s="303">
        <f ca="1">IF(TODAY()&lt;=L91,0,MIN((TODAY()-L91)/(M91-L91+1),100%))</f>
        <v>1</v>
      </c>
      <c r="Q91" s="238">
        <f t="shared" ca="1" si="26"/>
        <v>0</v>
      </c>
      <c r="R91" s="252" t="s">
        <v>38</v>
      </c>
      <c r="S91" s="270"/>
      <c r="T91" s="260">
        <v>4.0999999999999996</v>
      </c>
      <c r="U91" s="260">
        <f>ROUND(T91/8,1)</f>
        <v>0.5</v>
      </c>
      <c r="V91" s="260">
        <f>SUM(W91:CI91)-U91</f>
        <v>0</v>
      </c>
      <c r="W91" s="271"/>
      <c r="X91" s="271"/>
      <c r="Y91" s="279"/>
      <c r="Z91" s="271"/>
      <c r="AA91" s="271"/>
      <c r="AB91" s="271"/>
      <c r="AC91" s="271"/>
      <c r="AD91" s="272"/>
      <c r="AE91" s="271"/>
      <c r="AF91" s="271"/>
      <c r="AG91" s="271"/>
      <c r="AH91" s="271"/>
      <c r="AI91" s="271"/>
      <c r="AJ91" s="271"/>
      <c r="AK91" s="271"/>
      <c r="AL91" s="271"/>
      <c r="AM91" s="271"/>
      <c r="AN91" s="278"/>
      <c r="AO91" s="271"/>
      <c r="AP91" s="271"/>
      <c r="AQ91" s="271"/>
      <c r="AR91" s="271"/>
      <c r="AS91" s="271"/>
      <c r="AT91" s="271"/>
      <c r="AU91" s="271"/>
      <c r="AV91" s="271"/>
      <c r="AW91" s="271"/>
      <c r="AX91" s="271"/>
      <c r="AY91" s="271"/>
      <c r="AZ91" s="271"/>
      <c r="BA91" s="271">
        <v>0.5</v>
      </c>
      <c r="BB91" s="271"/>
      <c r="BC91" s="271"/>
      <c r="BD91" s="271"/>
      <c r="BE91" s="271"/>
      <c r="BF91" s="271"/>
      <c r="BG91" s="271"/>
      <c r="BH91" s="271"/>
      <c r="BI91" s="271"/>
      <c r="BJ91" s="271"/>
      <c r="BK91" s="271"/>
      <c r="BL91" s="271"/>
      <c r="BM91" s="271"/>
      <c r="BN91" s="271"/>
      <c r="BO91" s="272"/>
      <c r="BP91" s="272"/>
      <c r="BQ91" s="272"/>
      <c r="BR91" s="272"/>
      <c r="BS91" s="272"/>
      <c r="BT91" s="272"/>
      <c r="BU91" s="272"/>
      <c r="BV91" s="271"/>
      <c r="BW91" s="271"/>
      <c r="BX91" s="271"/>
      <c r="BY91" s="271"/>
      <c r="BZ91" s="271"/>
      <c r="CA91" s="271"/>
      <c r="CB91" s="271"/>
      <c r="CC91" s="271"/>
      <c r="CD91" s="271"/>
      <c r="CE91" s="271"/>
      <c r="CF91" s="271"/>
      <c r="CG91" s="271"/>
      <c r="CH91" s="271"/>
      <c r="CI91" s="271"/>
    </row>
    <row r="92" spans="1:87" ht="16.2" collapsed="1">
      <c r="A92" s="264"/>
      <c r="B92" s="141" t="s">
        <v>26</v>
      </c>
      <c r="C92" s="137" t="s">
        <v>26</v>
      </c>
      <c r="D92" s="226"/>
      <c r="E92" s="232" t="s">
        <v>335</v>
      </c>
      <c r="F92" s="230" t="s">
        <v>1942</v>
      </c>
      <c r="G92" s="231">
        <f>COUNTA(G93)</f>
        <v>1</v>
      </c>
      <c r="H92" s="285" t="s">
        <v>1921</v>
      </c>
      <c r="I92" s="293" t="s">
        <v>38</v>
      </c>
      <c r="J92" s="267">
        <f>MIN(J93:J94)</f>
        <v>0</v>
      </c>
      <c r="K92" s="267">
        <f>MIN(K93)</f>
        <v>0</v>
      </c>
      <c r="L92" s="267">
        <f>MIN(L93)</f>
        <v>45629</v>
      </c>
      <c r="M92" s="268">
        <f>MAX(M93)</f>
        <v>45639</v>
      </c>
      <c r="N92" s="312">
        <f t="array" ref="N92">MAX(IF(W92:CI92&gt;0,$W$16:$CI$16))</f>
        <v>45646</v>
      </c>
      <c r="O92" s="311">
        <f>O93</f>
        <v>0</v>
      </c>
      <c r="P92" s="311">
        <f ca="1">P93</f>
        <v>1</v>
      </c>
      <c r="Q92" s="246">
        <f t="shared" ca="1" si="26"/>
        <v>-1</v>
      </c>
      <c r="R92" s="329" t="s">
        <v>1948</v>
      </c>
      <c r="S92" s="270"/>
      <c r="T92" s="260"/>
      <c r="U92" s="260"/>
      <c r="V92" s="260"/>
      <c r="W92" s="271"/>
      <c r="X92" s="271"/>
      <c r="Y92" s="279"/>
      <c r="Z92" s="271"/>
      <c r="AA92" s="271"/>
      <c r="AB92" s="271"/>
      <c r="AC92" s="271"/>
      <c r="AD92" s="272"/>
      <c r="AE92" s="271"/>
      <c r="AF92" s="271"/>
      <c r="AG92" s="271"/>
      <c r="AH92" s="271"/>
      <c r="AI92" s="271"/>
      <c r="AJ92" s="271"/>
      <c r="AK92" s="271"/>
      <c r="AL92" s="271"/>
      <c r="AM92" s="271"/>
      <c r="AN92" s="278"/>
      <c r="AO92" s="271"/>
      <c r="AP92" s="271"/>
      <c r="AQ92" s="271"/>
      <c r="AR92" s="271"/>
      <c r="AS92" s="271"/>
      <c r="AT92" s="271"/>
      <c r="AU92" s="271"/>
      <c r="AV92" s="271"/>
      <c r="AW92" s="271"/>
      <c r="AX92" s="271"/>
      <c r="AY92" s="271"/>
      <c r="AZ92" s="271"/>
      <c r="BA92" s="271"/>
      <c r="BB92" s="271"/>
      <c r="BC92" s="271" t="s">
        <v>443</v>
      </c>
      <c r="BD92" s="271"/>
      <c r="BE92" s="271"/>
      <c r="BF92" s="271"/>
      <c r="BG92" s="271"/>
      <c r="BH92" s="271" t="s">
        <v>443</v>
      </c>
      <c r="BI92" s="271"/>
      <c r="BJ92" s="271"/>
      <c r="BK92" s="271"/>
      <c r="BL92" s="271"/>
      <c r="BM92" s="271" t="s">
        <v>443</v>
      </c>
      <c r="BN92" s="271"/>
      <c r="BO92" s="272"/>
      <c r="BP92" s="272"/>
      <c r="BQ92" s="272"/>
      <c r="BR92" s="272"/>
      <c r="BS92" s="272"/>
      <c r="BT92" s="272"/>
      <c r="BU92" s="272"/>
      <c r="BV92" s="271"/>
      <c r="BW92" s="271"/>
      <c r="BX92" s="271"/>
      <c r="BY92" s="271"/>
      <c r="BZ92" s="271"/>
      <c r="CA92" s="271"/>
      <c r="CB92" s="271"/>
      <c r="CC92" s="271"/>
      <c r="CD92" s="271"/>
      <c r="CE92" s="271"/>
      <c r="CF92" s="271"/>
      <c r="CG92" s="271"/>
      <c r="CH92" s="271"/>
      <c r="CI92" s="271"/>
    </row>
    <row r="93" spans="1:87" ht="16.2" outlineLevel="1">
      <c r="A93" s="264" t="str">
        <f>E93&amp;G93</f>
        <v>lt003_entityesg_sbsctr</v>
      </c>
      <c r="B93" s="141" t="s">
        <v>26</v>
      </c>
      <c r="C93" s="137" t="s">
        <v>26</v>
      </c>
      <c r="D93" s="226" t="s">
        <v>40</v>
      </c>
      <c r="E93" s="229" t="s">
        <v>335</v>
      </c>
      <c r="F93" s="229"/>
      <c r="G93" s="229" t="s">
        <v>360</v>
      </c>
      <c r="H93" s="226" t="str">
        <f>VLOOKUP(A93,'2. Status Detalhe Campos FY24'!$A$7:$G$732,7,0)</f>
        <v xml:space="preserve">6. Em implementação </v>
      </c>
      <c r="I93" s="314" t="s">
        <v>38</v>
      </c>
      <c r="J93" s="314"/>
      <c r="K93" s="314"/>
      <c r="L93" s="280">
        <f t="array" ref="L93">MIN(IF(W93:CI93&gt;0,$W$16:$CI$16))</f>
        <v>45629</v>
      </c>
      <c r="M93" s="281">
        <f t="array" ref="M93">MAX(IF(W93:CI93&gt;0,$W$16:$CI$16))</f>
        <v>45639</v>
      </c>
      <c r="N93" s="281"/>
      <c r="O93" s="239">
        <f>VLOOKUP(H93,Auxiliar!$B$16:$E$24,4,0)</f>
        <v>0</v>
      </c>
      <c r="P93" s="239">
        <f ca="1">IF(TODAY()&lt;=L93,0,MIN((TODAY()-L93)/(M93-L93+1),100%))</f>
        <v>1</v>
      </c>
      <c r="Q93" s="239">
        <f ca="1">O93-P93</f>
        <v>-1</v>
      </c>
      <c r="R93" s="328" t="s">
        <v>38</v>
      </c>
      <c r="S93" s="270"/>
      <c r="T93" s="260">
        <v>4.0999999999999996</v>
      </c>
      <c r="U93" s="260">
        <f>ROUND(T93/8,1)</f>
        <v>0.5</v>
      </c>
      <c r="V93" s="260">
        <f>SUM(W93:CI93)-U93</f>
        <v>0</v>
      </c>
      <c r="W93" s="271"/>
      <c r="X93" s="271"/>
      <c r="Y93" s="271"/>
      <c r="Z93" s="271"/>
      <c r="AA93" s="271"/>
      <c r="AB93" s="271"/>
      <c r="AC93" s="271"/>
      <c r="AD93" s="272"/>
      <c r="AE93" s="271"/>
      <c r="AF93" s="271"/>
      <c r="AG93" s="271"/>
      <c r="AH93" s="271"/>
      <c r="AI93" s="271"/>
      <c r="AJ93" s="271"/>
      <c r="AK93" s="271"/>
      <c r="AL93" s="271"/>
      <c r="AM93" s="271"/>
      <c r="AN93" s="278"/>
      <c r="AO93" s="271"/>
      <c r="AP93" s="271"/>
      <c r="AQ93" s="271"/>
      <c r="AR93" s="271"/>
      <c r="AS93" s="271"/>
      <c r="AT93" s="271"/>
      <c r="AU93" s="271"/>
      <c r="AV93" s="271"/>
      <c r="AW93" s="271"/>
      <c r="AX93" s="271"/>
      <c r="AY93" s="271"/>
      <c r="AZ93" s="271">
        <v>0.5</v>
      </c>
      <c r="BA93" s="271"/>
      <c r="BB93" s="271"/>
      <c r="BC93" s="271"/>
      <c r="BD93" s="271"/>
      <c r="BE93" s="271"/>
      <c r="BF93" s="271"/>
      <c r="BG93" s="271"/>
      <c r="BH93" s="271" t="s">
        <v>443</v>
      </c>
      <c r="BI93" s="271"/>
      <c r="BJ93" s="271"/>
      <c r="BK93" s="271"/>
      <c r="BL93" s="271"/>
      <c r="BM93" s="271"/>
      <c r="BN93" s="271"/>
      <c r="BO93" s="272"/>
      <c r="BP93" s="272"/>
      <c r="BQ93" s="272"/>
      <c r="BR93" s="272"/>
      <c r="BS93" s="272"/>
      <c r="BT93" s="272"/>
      <c r="BU93" s="272"/>
      <c r="BV93" s="271"/>
      <c r="BW93" s="271"/>
      <c r="BX93" s="271"/>
      <c r="BY93" s="271"/>
      <c r="BZ93" s="271"/>
      <c r="CA93" s="271"/>
      <c r="CB93" s="271"/>
      <c r="CC93" s="271"/>
      <c r="CD93" s="271"/>
      <c r="CE93" s="271"/>
      <c r="CF93" s="271"/>
      <c r="CG93" s="271"/>
      <c r="CH93" s="271"/>
      <c r="CI93" s="271"/>
    </row>
    <row r="94" spans="1:87" ht="16.2" collapsed="1">
      <c r="A94" s="264"/>
      <c r="B94" s="141" t="s">
        <v>26</v>
      </c>
      <c r="C94" s="137" t="s">
        <v>26</v>
      </c>
      <c r="D94" s="226"/>
      <c r="E94" s="232" t="s">
        <v>335</v>
      </c>
      <c r="F94" s="230" t="s">
        <v>1943</v>
      </c>
      <c r="G94" s="231">
        <f>COUNTA(G95)</f>
        <v>1</v>
      </c>
      <c r="H94" s="285" t="s">
        <v>1921</v>
      </c>
      <c r="I94" s="294">
        <v>45636</v>
      </c>
      <c r="J94" s="267">
        <f>MIN(J95)</f>
        <v>0</v>
      </c>
      <c r="K94" s="267">
        <f>MIN(K95)</f>
        <v>0</v>
      </c>
      <c r="L94" s="267">
        <f>MIN(L95)</f>
        <v>45630</v>
      </c>
      <c r="M94" s="268">
        <f>MAX(M95)</f>
        <v>45639</v>
      </c>
      <c r="N94" s="312">
        <f t="array" ref="N94">MAX(IF(W94:CI94&gt;0,$W$16:$CI$16))</f>
        <v>45646</v>
      </c>
      <c r="O94" s="311">
        <f>O95</f>
        <v>1</v>
      </c>
      <c r="P94" s="311">
        <f ca="1">P95</f>
        <v>1</v>
      </c>
      <c r="Q94" s="246">
        <f ca="1">O94-P94</f>
        <v>0</v>
      </c>
      <c r="R94" s="329" t="s">
        <v>1948</v>
      </c>
      <c r="S94" s="270"/>
      <c r="T94" s="260"/>
      <c r="U94" s="260"/>
      <c r="V94" s="260"/>
      <c r="W94" s="271"/>
      <c r="X94" s="271"/>
      <c r="Y94" s="279"/>
      <c r="Z94" s="271"/>
      <c r="AA94" s="271"/>
      <c r="AB94" s="271"/>
      <c r="AC94" s="271"/>
      <c r="AD94" s="272"/>
      <c r="AE94" s="271"/>
      <c r="AF94" s="271"/>
      <c r="AG94" s="271"/>
      <c r="AH94" s="271"/>
      <c r="AI94" s="271"/>
      <c r="AJ94" s="271"/>
      <c r="AK94" s="271"/>
      <c r="AL94" s="271"/>
      <c r="AM94" s="271"/>
      <c r="AN94" s="278"/>
      <c r="AO94" s="271"/>
      <c r="AP94" s="271"/>
      <c r="AQ94" s="271"/>
      <c r="AR94" s="271"/>
      <c r="AS94" s="271"/>
      <c r="AT94" s="271"/>
      <c r="AU94" s="271"/>
      <c r="AV94" s="271"/>
      <c r="AW94" s="271"/>
      <c r="AX94" s="271"/>
      <c r="AY94" s="271"/>
      <c r="AZ94" s="271"/>
      <c r="BA94" s="271"/>
      <c r="BB94" s="271"/>
      <c r="BC94" s="271" t="s">
        <v>443</v>
      </c>
      <c r="BD94" s="271"/>
      <c r="BE94" s="279"/>
      <c r="BF94" s="271"/>
      <c r="BG94" s="271"/>
      <c r="BH94" s="271" t="s">
        <v>443</v>
      </c>
      <c r="BI94" s="271"/>
      <c r="BJ94" s="271"/>
      <c r="BK94" s="271"/>
      <c r="BL94" s="271"/>
      <c r="BM94" s="271" t="s">
        <v>443</v>
      </c>
      <c r="BN94" s="271"/>
      <c r="BO94" s="272"/>
      <c r="BP94" s="272"/>
      <c r="BQ94" s="272"/>
      <c r="BR94" s="272"/>
      <c r="BS94" s="272"/>
      <c r="BT94" s="272"/>
      <c r="BU94" s="272"/>
      <c r="BV94" s="271"/>
      <c r="BW94" s="271"/>
      <c r="BX94" s="271"/>
      <c r="BY94" s="271"/>
      <c r="BZ94" s="271"/>
      <c r="CA94" s="271"/>
      <c r="CB94" s="271"/>
      <c r="CC94" s="271"/>
      <c r="CD94" s="271"/>
      <c r="CE94" s="271"/>
      <c r="CF94" s="271"/>
      <c r="CG94" s="271"/>
      <c r="CH94" s="271"/>
      <c r="CI94" s="271"/>
    </row>
    <row r="95" spans="1:87" ht="16.2" outlineLevel="1">
      <c r="A95" s="264" t="str">
        <f>E95&amp;G95</f>
        <v>lt003_entitygrp_ttl_lblty</v>
      </c>
      <c r="B95" s="141" t="s">
        <v>26</v>
      </c>
      <c r="C95" s="137" t="s">
        <v>26</v>
      </c>
      <c r="D95" s="226" t="s">
        <v>40</v>
      </c>
      <c r="E95" s="229" t="s">
        <v>335</v>
      </c>
      <c r="F95" s="229"/>
      <c r="G95" s="229" t="s">
        <v>363</v>
      </c>
      <c r="H95" s="226" t="str">
        <f>VLOOKUP(A95,'2. Status Detalhe Campos FY24'!$A$7:$G$732,7,0)</f>
        <v>1. Concluído</v>
      </c>
      <c r="I95" s="314">
        <v>45636</v>
      </c>
      <c r="J95" s="314"/>
      <c r="K95" s="314"/>
      <c r="L95" s="280">
        <f t="array" ref="L95">MIN(IF(W95:CI95&gt;0,$W$16:$CI$16))</f>
        <v>45630</v>
      </c>
      <c r="M95" s="281">
        <f t="array" ref="M95">MAX(IF(W95:CI95&gt;0,$W$16:$CI$16))</f>
        <v>45639</v>
      </c>
      <c r="N95" s="281"/>
      <c r="O95" s="239">
        <f>VLOOKUP(H95,Auxiliar!$B$16:$E$24,4,0)</f>
        <v>1</v>
      </c>
      <c r="P95" s="239">
        <f ca="1">IF(TODAY()&lt;=L95,0,MIN((TODAY()-L95)/(M95-L95+1),100%))</f>
        <v>1</v>
      </c>
      <c r="Q95" s="239">
        <f ca="1">O95-P95</f>
        <v>0</v>
      </c>
      <c r="R95" s="328" t="s">
        <v>38</v>
      </c>
      <c r="S95" s="270"/>
      <c r="T95" s="260">
        <v>4.0999999999999996</v>
      </c>
      <c r="U95" s="260">
        <f>ROUND(T95/8,1)</f>
        <v>0.5</v>
      </c>
      <c r="V95" s="260">
        <f>SUM(W95:CI95)-U95</f>
        <v>0</v>
      </c>
      <c r="W95" s="271"/>
      <c r="X95" s="271"/>
      <c r="Y95" s="279"/>
      <c r="Z95" s="271"/>
      <c r="AA95" s="271"/>
      <c r="AB95" s="271"/>
      <c r="AC95" s="271"/>
      <c r="AD95" s="272"/>
      <c r="AE95" s="271"/>
      <c r="AF95" s="271"/>
      <c r="AG95" s="271"/>
      <c r="AH95" s="271"/>
      <c r="AI95" s="271"/>
      <c r="AJ95" s="271"/>
      <c r="AK95" s="271"/>
      <c r="AL95" s="271"/>
      <c r="AM95" s="271"/>
      <c r="AN95" s="278"/>
      <c r="AO95" s="271"/>
      <c r="AP95" s="271"/>
      <c r="AQ95" s="271"/>
      <c r="AR95" s="271"/>
      <c r="AS95" s="271"/>
      <c r="AT95" s="271"/>
      <c r="AU95" s="271"/>
      <c r="AV95" s="271"/>
      <c r="AW95" s="271"/>
      <c r="AX95" s="271"/>
      <c r="AY95" s="271"/>
      <c r="AZ95" s="271"/>
      <c r="BA95" s="271">
        <v>0.5</v>
      </c>
      <c r="BB95" s="271"/>
      <c r="BC95" s="271"/>
      <c r="BD95" s="271"/>
      <c r="BE95" s="279"/>
      <c r="BF95" s="271"/>
      <c r="BG95" s="271"/>
      <c r="BH95" s="271" t="s">
        <v>443</v>
      </c>
      <c r="BI95" s="271"/>
      <c r="BJ95" s="271"/>
      <c r="BK95" s="271"/>
      <c r="BL95" s="271"/>
      <c r="BM95" s="271"/>
      <c r="BN95" s="271"/>
      <c r="BO95" s="272"/>
      <c r="BP95" s="272"/>
      <c r="BQ95" s="272"/>
      <c r="BR95" s="272"/>
      <c r="BS95" s="272"/>
      <c r="BT95" s="272"/>
      <c r="BU95" s="272"/>
      <c r="BV95" s="271"/>
      <c r="BW95" s="271"/>
      <c r="BX95" s="271"/>
      <c r="BY95" s="271"/>
      <c r="BZ95" s="271"/>
      <c r="CA95" s="271"/>
      <c r="CB95" s="271"/>
      <c r="CC95" s="271"/>
      <c r="CD95" s="271"/>
      <c r="CE95" s="271"/>
      <c r="CF95" s="271"/>
      <c r="CG95" s="271"/>
      <c r="CH95" s="271"/>
      <c r="CI95" s="271"/>
    </row>
    <row r="96" spans="1:87" ht="15" customHeight="1" collapsed="1">
      <c r="A96" s="264"/>
      <c r="B96" s="141" t="s">
        <v>26</v>
      </c>
      <c r="C96" s="137" t="s">
        <v>26</v>
      </c>
      <c r="D96" s="133"/>
      <c r="E96" s="232" t="s">
        <v>335</v>
      </c>
      <c r="F96" s="230" t="s">
        <v>1944</v>
      </c>
      <c r="G96" s="231">
        <f>COUNTA(G97)</f>
        <v>1</v>
      </c>
      <c r="H96" s="285" t="s">
        <v>1921</v>
      </c>
      <c r="I96" s="268">
        <f>MAX(I97)</f>
        <v>45603</v>
      </c>
      <c r="J96" s="268">
        <f>MAX(J97)</f>
        <v>0</v>
      </c>
      <c r="K96" s="268">
        <f>MAX(K97)</f>
        <v>0</v>
      </c>
      <c r="L96" s="267">
        <f>MIN(L97)</f>
        <v>45628</v>
      </c>
      <c r="M96" s="268">
        <f>MAX(M97)</f>
        <v>45639</v>
      </c>
      <c r="N96" s="312">
        <f t="array" ref="N96">MAX(IF(W96:CI96&gt;0,$W$16:$CI$16))</f>
        <v>45639</v>
      </c>
      <c r="O96" s="311">
        <f>O97</f>
        <v>1</v>
      </c>
      <c r="P96" s="311">
        <f ca="1">P97</f>
        <v>1</v>
      </c>
      <c r="Q96" s="238">
        <f t="shared" ca="1" si="26"/>
        <v>0</v>
      </c>
      <c r="R96" s="329" t="s">
        <v>1947</v>
      </c>
      <c r="S96" s="270"/>
      <c r="T96" s="260"/>
      <c r="U96" s="260"/>
      <c r="V96" s="260"/>
      <c r="W96" s="271"/>
      <c r="X96" s="271"/>
      <c r="Y96" s="271"/>
      <c r="Z96" s="271"/>
      <c r="AA96" s="271"/>
      <c r="AB96" s="271"/>
      <c r="AC96" s="271"/>
      <c r="AD96" s="272"/>
      <c r="AE96" s="271"/>
      <c r="AF96" s="271"/>
      <c r="AG96" s="271"/>
      <c r="AH96" s="279"/>
      <c r="AI96" s="271"/>
      <c r="AJ96" s="271"/>
      <c r="AK96" s="271"/>
      <c r="AL96" s="271"/>
      <c r="AM96" s="271"/>
      <c r="AN96" s="278"/>
      <c r="AO96" s="271"/>
      <c r="AP96" s="271"/>
      <c r="AQ96" s="271"/>
      <c r="AR96" s="271"/>
      <c r="AS96" s="271"/>
      <c r="AT96" s="271"/>
      <c r="AU96" s="271"/>
      <c r="AV96" s="271"/>
      <c r="AW96" s="271"/>
      <c r="AX96" s="271"/>
      <c r="AY96" s="271"/>
      <c r="AZ96" s="271"/>
      <c r="BA96" s="271"/>
      <c r="BB96" s="271"/>
      <c r="BC96" s="274" t="s">
        <v>443</v>
      </c>
      <c r="BD96" s="271"/>
      <c r="BE96" s="271"/>
      <c r="BF96" s="271"/>
      <c r="BG96" s="271"/>
      <c r="BH96" s="271" t="s">
        <v>443</v>
      </c>
      <c r="BI96" s="271"/>
      <c r="BJ96" s="271"/>
      <c r="BK96" s="271"/>
      <c r="BL96" s="271"/>
      <c r="BM96" s="271"/>
      <c r="BN96" s="271"/>
      <c r="BO96" s="272"/>
      <c r="BP96" s="272"/>
      <c r="BQ96" s="272"/>
      <c r="BR96" s="272"/>
      <c r="BS96" s="272"/>
      <c r="BT96" s="272"/>
      <c r="BU96" s="272"/>
      <c r="BV96" s="271"/>
      <c r="BW96" s="271"/>
      <c r="BX96" s="271"/>
      <c r="BY96" s="271"/>
      <c r="BZ96" s="271"/>
      <c r="CA96" s="271"/>
      <c r="CB96" s="271"/>
      <c r="CC96" s="271"/>
      <c r="CD96" s="271"/>
      <c r="CE96" s="271"/>
      <c r="CF96" s="271"/>
      <c r="CG96" s="271"/>
      <c r="CH96" s="271"/>
      <c r="CI96" s="271"/>
    </row>
    <row r="97" spans="1:87" ht="16.2" outlineLevel="1">
      <c r="A97" s="264" t="str">
        <f>E97&amp;G97</f>
        <v>lt003_entityisin</v>
      </c>
      <c r="B97" s="141" t="s">
        <v>26</v>
      </c>
      <c r="C97" s="137" t="s">
        <v>26</v>
      </c>
      <c r="D97" s="226" t="s">
        <v>40</v>
      </c>
      <c r="E97" s="229" t="s">
        <v>335</v>
      </c>
      <c r="F97" s="229"/>
      <c r="G97" s="229" t="s">
        <v>238</v>
      </c>
      <c r="H97" s="226" t="str">
        <f>VLOOKUP(A97,'2. Status Detalhe Campos FY24'!$A$7:$G$732,7,0)</f>
        <v>1. Concluído</v>
      </c>
      <c r="I97" s="275">
        <v>45603</v>
      </c>
      <c r="J97" s="275"/>
      <c r="K97" s="275"/>
      <c r="L97" s="280">
        <f t="array" ref="L97">MIN(IF(W97:CI97&gt;0,$W$16:$CI$16))</f>
        <v>45628</v>
      </c>
      <c r="M97" s="281">
        <f t="array" ref="M97">MAX(IF(W97:CI97&gt;0,$W$16:$CI$16))</f>
        <v>45639</v>
      </c>
      <c r="N97" s="281"/>
      <c r="O97" s="239">
        <f>VLOOKUP(H97,Auxiliar!$B$16:$E$24,4,0)</f>
        <v>1</v>
      </c>
      <c r="P97" s="303">
        <f ca="1">IF(TODAY()&lt;=L97,0,MIN((TODAY()-L97)/(M97-L97+1),100%))</f>
        <v>1</v>
      </c>
      <c r="Q97" s="238">
        <f t="shared" ca="1" si="26"/>
        <v>0</v>
      </c>
      <c r="R97" s="251"/>
      <c r="S97" s="270"/>
      <c r="T97" s="260">
        <v>4.0999999999999996</v>
      </c>
      <c r="U97" s="260">
        <f>ROUND(T97/8,1)</f>
        <v>0.5</v>
      </c>
      <c r="V97" s="260">
        <f>SUM(W97:CI97)-U97</f>
        <v>0</v>
      </c>
      <c r="W97" s="271"/>
      <c r="X97" s="279"/>
      <c r="Y97" s="271"/>
      <c r="Z97" s="271"/>
      <c r="AA97" s="271"/>
      <c r="AB97" s="271"/>
      <c r="AC97" s="271"/>
      <c r="AD97" s="272"/>
      <c r="AE97" s="271"/>
      <c r="AF97" s="271"/>
      <c r="AG97" s="271"/>
      <c r="AH97" s="279"/>
      <c r="AI97" s="271"/>
      <c r="AJ97" s="271"/>
      <c r="AK97" s="271"/>
      <c r="AL97" s="271"/>
      <c r="AM97" s="271"/>
      <c r="AN97" s="278"/>
      <c r="AO97" s="271"/>
      <c r="AP97" s="271"/>
      <c r="AQ97" s="271"/>
      <c r="AR97" s="271"/>
      <c r="AS97" s="271"/>
      <c r="AT97" s="271"/>
      <c r="AU97" s="271"/>
      <c r="AV97" s="271"/>
      <c r="AW97" s="271"/>
      <c r="AX97" s="271"/>
      <c r="AY97" s="271">
        <v>0.5</v>
      </c>
      <c r="AZ97" s="271"/>
      <c r="BA97" s="271"/>
      <c r="BB97" s="271"/>
      <c r="BC97" s="271"/>
      <c r="BD97" s="271"/>
      <c r="BE97" s="271"/>
      <c r="BF97" s="271"/>
      <c r="BG97" s="271"/>
      <c r="BH97" s="271" t="s">
        <v>443</v>
      </c>
      <c r="BI97" s="271"/>
      <c r="BJ97" s="271"/>
      <c r="BK97" s="271"/>
      <c r="BL97" s="271"/>
      <c r="BM97" s="271"/>
      <c r="BN97" s="271"/>
      <c r="BO97" s="272"/>
      <c r="BP97" s="272"/>
      <c r="BQ97" s="272"/>
      <c r="BR97" s="272"/>
      <c r="BS97" s="272"/>
      <c r="BT97" s="272"/>
      <c r="BU97" s="272"/>
      <c r="BV97" s="271"/>
      <c r="BW97" s="271"/>
      <c r="BX97" s="271"/>
      <c r="BY97" s="271"/>
      <c r="BZ97" s="271"/>
      <c r="CA97" s="271"/>
      <c r="CB97" s="271"/>
      <c r="CC97" s="271"/>
      <c r="CD97" s="271"/>
      <c r="CE97" s="271"/>
      <c r="CF97" s="271"/>
      <c r="CG97" s="271"/>
      <c r="CH97" s="271"/>
      <c r="CI97" s="271"/>
    </row>
    <row r="98" spans="1:87" ht="30" customHeight="1" collapsed="1">
      <c r="A98" s="264"/>
      <c r="B98" s="141" t="s">
        <v>26</v>
      </c>
      <c r="C98" s="137" t="s">
        <v>26</v>
      </c>
      <c r="D98" s="133"/>
      <c r="E98" s="232" t="s">
        <v>368</v>
      </c>
      <c r="F98" s="230" t="s">
        <v>1910</v>
      </c>
      <c r="G98" s="231">
        <f>COUNTA(G99:G101)</f>
        <v>3</v>
      </c>
      <c r="H98" s="285" t="s">
        <v>1921</v>
      </c>
      <c r="I98" s="268">
        <f>MAX(I99:I101)</f>
        <v>45595</v>
      </c>
      <c r="J98" s="267">
        <f>MIN(J99:J101)</f>
        <v>45611</v>
      </c>
      <c r="K98" s="267">
        <f>MIN(K99:K101)</f>
        <v>45611</v>
      </c>
      <c r="L98" s="267">
        <f>MIN(L99:L101)</f>
        <v>45629</v>
      </c>
      <c r="M98" s="268">
        <f>MAX(M99:M101)</f>
        <v>45629</v>
      </c>
      <c r="N98" s="312">
        <f t="array" ref="N98">MAX(IF(W98:CI98&gt;0,$W$16:$CI$16))</f>
        <v>45632</v>
      </c>
      <c r="O98" s="311">
        <f>SUMPRODUCT(O99:O101,U99:U101)/SUM(U99:U101)</f>
        <v>0.74999999999999989</v>
      </c>
      <c r="P98" s="311">
        <f ca="1">SUMPRODUCT(P99:P101,U99:U101)/SUM(U99:U101)</f>
        <v>1</v>
      </c>
      <c r="Q98" s="303">
        <f t="shared" ca="1" si="26"/>
        <v>-0.25000000000000011</v>
      </c>
      <c r="R98" s="329" t="s">
        <v>1941</v>
      </c>
      <c r="S98" s="270"/>
      <c r="T98" s="260"/>
      <c r="U98" s="260"/>
      <c r="V98" s="260"/>
      <c r="W98" s="271"/>
      <c r="X98" s="271"/>
      <c r="Y98" s="271"/>
      <c r="Z98" s="271"/>
      <c r="AA98" s="271"/>
      <c r="AB98" s="271"/>
      <c r="AC98" s="271"/>
      <c r="AD98" s="272"/>
      <c r="AE98" s="271"/>
      <c r="AF98" s="271"/>
      <c r="AG98" s="271"/>
      <c r="AH98" s="271"/>
      <c r="AI98" s="271"/>
      <c r="AJ98" s="271"/>
      <c r="AK98" s="271"/>
      <c r="AL98" s="271"/>
      <c r="AM98" s="271"/>
      <c r="AN98" s="278"/>
      <c r="AO98" s="271"/>
      <c r="AP98" s="271"/>
      <c r="AQ98" s="271"/>
      <c r="AR98" s="271"/>
      <c r="AS98" s="271"/>
      <c r="AT98" s="271"/>
      <c r="AU98" s="271"/>
      <c r="AV98" s="271"/>
      <c r="AW98" s="271"/>
      <c r="AX98" s="271"/>
      <c r="AY98" s="271"/>
      <c r="AZ98" s="271"/>
      <c r="BA98" s="271"/>
      <c r="BB98" s="271"/>
      <c r="BC98" s="274" t="s">
        <v>443</v>
      </c>
      <c r="BD98" s="271"/>
      <c r="BE98" s="271"/>
      <c r="BF98" s="271"/>
      <c r="BG98" s="271"/>
      <c r="BH98" s="315"/>
      <c r="BI98" s="271"/>
      <c r="BJ98" s="271"/>
      <c r="BK98" s="271"/>
      <c r="BL98" s="271"/>
      <c r="BM98" s="271"/>
      <c r="BN98" s="271"/>
      <c r="BO98" s="272"/>
      <c r="BP98" s="272"/>
      <c r="BQ98" s="272"/>
      <c r="BR98" s="272"/>
      <c r="BS98" s="272"/>
      <c r="BT98" s="272"/>
      <c r="BU98" s="272"/>
      <c r="BV98" s="271"/>
      <c r="BW98" s="271"/>
      <c r="BX98" s="271"/>
      <c r="BY98" s="271"/>
      <c r="BZ98" s="271"/>
      <c r="CA98" s="271"/>
      <c r="CB98" s="271"/>
      <c r="CC98" s="271"/>
      <c r="CD98" s="271"/>
      <c r="CE98" s="271"/>
      <c r="CF98" s="271"/>
      <c r="CG98" s="271"/>
      <c r="CH98" s="271"/>
      <c r="CI98" s="271"/>
    </row>
    <row r="99" spans="1:87" ht="30" customHeight="1" outlineLevel="1">
      <c r="A99" s="264" t="str">
        <f>E99&amp;G99</f>
        <v>lt004_protectionrl_estt_clltrl_lctn</v>
      </c>
      <c r="B99" s="141" t="s">
        <v>26</v>
      </c>
      <c r="C99" s="137" t="s">
        <v>26</v>
      </c>
      <c r="D99" s="226" t="s">
        <v>40</v>
      </c>
      <c r="E99" s="229" t="s">
        <v>368</v>
      </c>
      <c r="F99" s="229"/>
      <c r="G99" s="233" t="s">
        <v>434</v>
      </c>
      <c r="H99" s="226" t="str">
        <f>VLOOKUP(A99,'2. Status Detalhe Campos FY24'!$A$7:$G$732,7,0)</f>
        <v>1. Concluído</v>
      </c>
      <c r="I99" s="275">
        <v>45588</v>
      </c>
      <c r="J99" s="313"/>
      <c r="K99" s="313">
        <v>45631</v>
      </c>
      <c r="L99" s="280">
        <f t="array" ref="L99">MIN(IF(W99:CI99&gt;0,$W$16:$CI$16))</f>
        <v>45629</v>
      </c>
      <c r="M99" s="281">
        <f t="array" ref="M99">MAX(IF(W99:CI99&gt;0,$W$16:$CI$16))</f>
        <v>45629</v>
      </c>
      <c r="N99" s="281"/>
      <c r="O99" s="239">
        <f>VLOOKUP(H99,Auxiliar!$B$16:$E$24,4,0)</f>
        <v>1</v>
      </c>
      <c r="P99" s="239">
        <f ca="1">IF(TODAY()&lt;=L99,0,MIN((TODAY()-L99)/(M99-L99+1),100%))</f>
        <v>1</v>
      </c>
      <c r="Q99" s="238">
        <f t="shared" ca="1" si="26"/>
        <v>0</v>
      </c>
      <c r="R99" s="252"/>
      <c r="S99" s="270"/>
      <c r="T99" s="260">
        <v>0.1</v>
      </c>
      <c r="U99" s="260">
        <v>0.1</v>
      </c>
      <c r="V99" s="289">
        <f>SUM(W99:CI99)-U99</f>
        <v>0</v>
      </c>
      <c r="W99" s="287"/>
      <c r="X99" s="279"/>
      <c r="Y99" s="271"/>
      <c r="Z99" s="279"/>
      <c r="AA99" s="271"/>
      <c r="AB99" s="271"/>
      <c r="AC99" s="271"/>
      <c r="AD99" s="272"/>
      <c r="AE99" s="271"/>
      <c r="AF99" s="271"/>
      <c r="AG99" s="271"/>
      <c r="AH99" s="271"/>
      <c r="AI99" s="271"/>
      <c r="AJ99" s="271"/>
      <c r="AK99" s="271"/>
      <c r="AL99" s="271"/>
      <c r="AM99" s="271"/>
      <c r="AN99" s="278"/>
      <c r="AO99" s="271"/>
      <c r="AP99" s="271"/>
      <c r="AQ99" s="271"/>
      <c r="AR99" s="271"/>
      <c r="AS99" s="271"/>
      <c r="AT99" s="271"/>
      <c r="AU99" s="271"/>
      <c r="AV99" s="271"/>
      <c r="AW99" s="271"/>
      <c r="AX99" s="271"/>
      <c r="AY99" s="271"/>
      <c r="AZ99" s="271">
        <v>0.1</v>
      </c>
      <c r="BA99" s="271"/>
      <c r="BB99" s="278"/>
      <c r="BC99" s="271"/>
      <c r="BD99" s="271"/>
      <c r="BE99" s="271"/>
      <c r="BF99" s="271"/>
      <c r="BG99" s="271"/>
      <c r="BH99" s="271"/>
      <c r="BI99" s="271"/>
      <c r="BJ99" s="271"/>
      <c r="BK99" s="271"/>
      <c r="BL99" s="271"/>
      <c r="BM99" s="271"/>
      <c r="BN99" s="271"/>
      <c r="BO99" s="272"/>
      <c r="BP99" s="272"/>
      <c r="BQ99" s="272"/>
      <c r="BR99" s="272"/>
      <c r="BS99" s="272"/>
      <c r="BT99" s="272"/>
      <c r="BU99" s="272"/>
      <c r="BV99" s="271"/>
      <c r="BW99" s="271"/>
      <c r="BX99" s="271"/>
      <c r="BY99" s="271"/>
      <c r="BZ99" s="271"/>
      <c r="CA99" s="271"/>
      <c r="CB99" s="271"/>
      <c r="CC99" s="271"/>
      <c r="CD99" s="271"/>
      <c r="CE99" s="271"/>
      <c r="CF99" s="271"/>
      <c r="CG99" s="271"/>
      <c r="CH99" s="271"/>
      <c r="CI99" s="271"/>
    </row>
    <row r="100" spans="1:87" ht="30" customHeight="1" outlineLevel="1">
      <c r="A100" s="264" t="str">
        <f>E100&amp;G100</f>
        <v>lt004_protectionrl_estt_pst_cd</v>
      </c>
      <c r="B100" s="141" t="s">
        <v>26</v>
      </c>
      <c r="C100" s="137" t="s">
        <v>26</v>
      </c>
      <c r="D100" s="226" t="s">
        <v>40</v>
      </c>
      <c r="E100" s="229" t="s">
        <v>368</v>
      </c>
      <c r="F100" s="229"/>
      <c r="G100" s="233" t="s">
        <v>435</v>
      </c>
      <c r="H100" s="226" t="str">
        <f>VLOOKUP(A100,'2. Status Detalhe Campos FY24'!$A$7:$G$732,7,0)</f>
        <v>1. Concluído</v>
      </c>
      <c r="I100" s="275">
        <v>45588</v>
      </c>
      <c r="J100" s="313">
        <v>45611</v>
      </c>
      <c r="K100" s="313">
        <v>45611</v>
      </c>
      <c r="L100" s="280">
        <f t="array" ref="L100">MIN(IF(W100:CI100&gt;0,$W$16:$CI$16))</f>
        <v>45629</v>
      </c>
      <c r="M100" s="281">
        <f t="array" ref="M100">MAX(IF(W100:CI100&gt;0,$W$16:$CI$16))</f>
        <v>45629</v>
      </c>
      <c r="N100" s="281"/>
      <c r="O100" s="239">
        <f>VLOOKUP(H100,Auxiliar!$B$16:$E$24,4,0)</f>
        <v>1</v>
      </c>
      <c r="P100" s="239">
        <f ca="1">IF(TODAY()&lt;=L100,0,MIN((TODAY()-L100)/(M100-L100+1),100%))</f>
        <v>1</v>
      </c>
      <c r="Q100" s="238">
        <f t="shared" ca="1" si="26"/>
        <v>0</v>
      </c>
      <c r="R100" s="252"/>
      <c r="S100" s="270"/>
      <c r="T100" s="260">
        <v>0.1</v>
      </c>
      <c r="U100" s="260">
        <v>0.1</v>
      </c>
      <c r="V100" s="289">
        <f>SUM(W100:CI100)-U100</f>
        <v>0</v>
      </c>
      <c r="W100" s="287"/>
      <c r="X100" s="279"/>
      <c r="Y100" s="271"/>
      <c r="Z100" s="271"/>
      <c r="AA100" s="271"/>
      <c r="AB100" s="271"/>
      <c r="AC100" s="271"/>
      <c r="AD100" s="272"/>
      <c r="AE100" s="271"/>
      <c r="AF100" s="271"/>
      <c r="AG100" s="271"/>
      <c r="AH100" s="271"/>
      <c r="AI100" s="271"/>
      <c r="AJ100" s="271"/>
      <c r="AK100" s="271"/>
      <c r="AL100" s="271"/>
      <c r="AM100" s="271"/>
      <c r="AN100" s="278"/>
      <c r="AO100" s="271"/>
      <c r="AP100" s="271"/>
      <c r="AQ100" s="271"/>
      <c r="AR100" s="271"/>
      <c r="AS100" s="271"/>
      <c r="AT100" s="271"/>
      <c r="AU100" s="271"/>
      <c r="AV100" s="271"/>
      <c r="AW100" s="271"/>
      <c r="AX100" s="271"/>
      <c r="AY100" s="271"/>
      <c r="AZ100" s="271">
        <v>0.1</v>
      </c>
      <c r="BA100" s="271"/>
      <c r="BB100" s="271"/>
      <c r="BC100" s="271"/>
      <c r="BD100" s="271"/>
      <c r="BE100" s="271"/>
      <c r="BF100" s="271"/>
      <c r="BG100" s="271"/>
      <c r="BH100" s="271"/>
      <c r="BI100" s="271"/>
      <c r="BJ100" s="271"/>
      <c r="BK100" s="271"/>
      <c r="BL100" s="271"/>
      <c r="BM100" s="271"/>
      <c r="BN100" s="271"/>
      <c r="BO100" s="272"/>
      <c r="BP100" s="272"/>
      <c r="BQ100" s="272"/>
      <c r="BR100" s="272"/>
      <c r="BS100" s="272"/>
      <c r="BT100" s="272"/>
      <c r="BU100" s="272"/>
      <c r="BV100" s="271"/>
      <c r="BW100" s="271"/>
      <c r="BX100" s="271"/>
      <c r="BY100" s="271"/>
      <c r="BZ100" s="271"/>
      <c r="CA100" s="271"/>
      <c r="CB100" s="271"/>
      <c r="CC100" s="271"/>
      <c r="CD100" s="271"/>
      <c r="CE100" s="271"/>
      <c r="CF100" s="271"/>
      <c r="CG100" s="271"/>
      <c r="CH100" s="271"/>
      <c r="CI100" s="271"/>
    </row>
    <row r="101" spans="1:87" ht="16.2" outlineLevel="1">
      <c r="A101" s="264" t="str">
        <f>E101&amp;G101</f>
        <v>lt004_protectiontyp_ep_scr</v>
      </c>
      <c r="B101" s="141" t="s">
        <v>26</v>
      </c>
      <c r="C101" s="137" t="s">
        <v>26</v>
      </c>
      <c r="D101" s="226"/>
      <c r="E101" s="229" t="s">
        <v>368</v>
      </c>
      <c r="F101" s="229"/>
      <c r="G101" s="233" t="s">
        <v>369</v>
      </c>
      <c r="H101" s="226" t="str">
        <f>VLOOKUP(A101,'2. Status Detalhe Campos FY24'!$A$7:$G$732,7,0)</f>
        <v>4. Validação EF</v>
      </c>
      <c r="I101" s="275">
        <v>45595</v>
      </c>
      <c r="J101" s="313">
        <v>45611</v>
      </c>
      <c r="K101" s="313">
        <v>45611</v>
      </c>
      <c r="L101" s="280">
        <f t="array" ref="L101">MIN(IF(W101:CI101&gt;0,$W$16:$CI$16))</f>
        <v>45629</v>
      </c>
      <c r="M101" s="281">
        <f t="array" ref="M101">MAX(IF(W101:CI101&gt;0,$W$16:$CI$16))</f>
        <v>45629</v>
      </c>
      <c r="N101" s="281"/>
      <c r="O101" s="239">
        <f>VLOOKUP(H101,Auxiliar!$B$16:$E$24,4,0)</f>
        <v>0.25</v>
      </c>
      <c r="P101" s="239">
        <f ca="1">IF(TODAY()&lt;=L101,0,MIN((TODAY()-L101)/(M101-L101+1),100%))</f>
        <v>1</v>
      </c>
      <c r="Q101" s="238">
        <f t="shared" ca="1" si="26"/>
        <v>-0.75</v>
      </c>
      <c r="R101" s="252"/>
      <c r="S101" s="270"/>
      <c r="T101" s="260">
        <v>0.1</v>
      </c>
      <c r="U101" s="260">
        <v>0.1</v>
      </c>
      <c r="V101" s="289">
        <f>SUM(W101:CI101)-U101</f>
        <v>0</v>
      </c>
      <c r="W101" s="271"/>
      <c r="X101" s="271"/>
      <c r="Y101" s="271"/>
      <c r="Z101" s="271"/>
      <c r="AA101" s="271"/>
      <c r="AB101" s="279"/>
      <c r="AC101" s="271"/>
      <c r="AD101" s="272"/>
      <c r="AE101" s="271"/>
      <c r="AF101" s="271"/>
      <c r="AG101" s="271"/>
      <c r="AH101" s="271"/>
      <c r="AI101" s="271"/>
      <c r="AJ101" s="271"/>
      <c r="AK101" s="271"/>
      <c r="AL101" s="271"/>
      <c r="AM101" s="271"/>
      <c r="AN101" s="278"/>
      <c r="AO101" s="271"/>
      <c r="AP101" s="271"/>
      <c r="AQ101" s="271"/>
      <c r="AR101" s="271"/>
      <c r="AS101" s="271"/>
      <c r="AT101" s="271"/>
      <c r="AU101" s="271"/>
      <c r="AV101" s="271"/>
      <c r="AW101" s="271"/>
      <c r="AX101" s="271"/>
      <c r="AY101" s="271"/>
      <c r="AZ101" s="271">
        <v>0.1</v>
      </c>
      <c r="BA101" s="271"/>
      <c r="BB101" s="271"/>
      <c r="BC101" s="271"/>
      <c r="BD101" s="271"/>
      <c r="BE101" s="271"/>
      <c r="BF101" s="271"/>
      <c r="BG101" s="271"/>
      <c r="BH101" s="271"/>
      <c r="BI101" s="271"/>
      <c r="BJ101" s="271"/>
      <c r="BK101" s="271"/>
      <c r="BL101" s="271"/>
      <c r="BM101" s="271"/>
      <c r="BN101" s="271"/>
      <c r="BO101" s="272"/>
      <c r="BP101" s="272"/>
      <c r="BQ101" s="272"/>
      <c r="BR101" s="272"/>
      <c r="BS101" s="272"/>
      <c r="BT101" s="272"/>
      <c r="BU101" s="272"/>
      <c r="BV101" s="271"/>
      <c r="BW101" s="271"/>
      <c r="BX101" s="271"/>
      <c r="BY101" s="271"/>
      <c r="BZ101" s="271"/>
      <c r="CA101" s="271"/>
      <c r="CB101" s="271"/>
      <c r="CC101" s="271"/>
      <c r="CD101" s="271"/>
      <c r="CE101" s="271"/>
      <c r="CF101" s="271"/>
      <c r="CG101" s="271"/>
      <c r="CH101" s="271"/>
      <c r="CI101" s="271"/>
    </row>
    <row r="102" spans="1:87" ht="30" customHeight="1" collapsed="1">
      <c r="A102" s="264"/>
      <c r="B102" s="141" t="s">
        <v>26</v>
      </c>
      <c r="C102" s="137" t="s">
        <v>26</v>
      </c>
      <c r="D102" s="133"/>
      <c r="E102" s="232" t="s">
        <v>368</v>
      </c>
      <c r="F102" s="230" t="s">
        <v>1910</v>
      </c>
      <c r="G102" s="231">
        <f>COUNTA(G103)</f>
        <v>1</v>
      </c>
      <c r="H102" s="285" t="s">
        <v>1921</v>
      </c>
      <c r="I102" s="268" t="s">
        <v>38</v>
      </c>
      <c r="J102" s="267">
        <f>MIN(J103)</f>
        <v>0</v>
      </c>
      <c r="K102" s="267">
        <f>MIN(K103)</f>
        <v>0</v>
      </c>
      <c r="L102" s="267">
        <f>MIN(L103)</f>
        <v>45629</v>
      </c>
      <c r="M102" s="268">
        <f>MAX(M103)</f>
        <v>45639</v>
      </c>
      <c r="N102" s="312">
        <f t="array" ref="N102">MAX(IF(W102:CI102&gt;0,$W$16:$CI$16))</f>
        <v>45639</v>
      </c>
      <c r="O102" s="311">
        <f>O103</f>
        <v>1</v>
      </c>
      <c r="P102" s="311">
        <f ca="1">P103</f>
        <v>1</v>
      </c>
      <c r="Q102" s="303">
        <f ca="1">O102-P102</f>
        <v>0</v>
      </c>
      <c r="R102" s="329" t="s">
        <v>1947</v>
      </c>
      <c r="S102" s="270"/>
      <c r="T102" s="260"/>
      <c r="U102" s="260"/>
      <c r="V102" s="260"/>
      <c r="W102" s="271"/>
      <c r="X102" s="271"/>
      <c r="Y102" s="271"/>
      <c r="Z102" s="271"/>
      <c r="AA102" s="271"/>
      <c r="AB102" s="271"/>
      <c r="AC102" s="271"/>
      <c r="AD102" s="272"/>
      <c r="AE102" s="271"/>
      <c r="AF102" s="271"/>
      <c r="AG102" s="271"/>
      <c r="AH102" s="271"/>
      <c r="AI102" s="271"/>
      <c r="AJ102" s="271"/>
      <c r="AK102" s="271"/>
      <c r="AL102" s="271"/>
      <c r="AM102" s="271"/>
      <c r="AN102" s="278"/>
      <c r="AO102" s="271"/>
      <c r="AP102" s="271"/>
      <c r="AQ102" s="271"/>
      <c r="AR102" s="271"/>
      <c r="AS102" s="271"/>
      <c r="AT102" s="271"/>
      <c r="AU102" s="271"/>
      <c r="AV102" s="271"/>
      <c r="AW102" s="271"/>
      <c r="AX102" s="271"/>
      <c r="AY102" s="271"/>
      <c r="AZ102" s="271"/>
      <c r="BA102" s="271"/>
      <c r="BB102" s="271"/>
      <c r="BC102" s="274" t="s">
        <v>443</v>
      </c>
      <c r="BD102" s="271"/>
      <c r="BE102" s="271"/>
      <c r="BF102" s="271"/>
      <c r="BG102" s="271"/>
      <c r="BH102" s="271" t="s">
        <v>443</v>
      </c>
      <c r="BI102" s="271"/>
      <c r="BJ102" s="271"/>
      <c r="BK102" s="271"/>
      <c r="BL102" s="271"/>
      <c r="BM102" s="271"/>
      <c r="BN102" s="271"/>
      <c r="BO102" s="272"/>
      <c r="BP102" s="272"/>
      <c r="BQ102" s="272"/>
      <c r="BR102" s="272"/>
      <c r="BS102" s="272"/>
      <c r="BT102" s="272"/>
      <c r="BU102" s="272"/>
      <c r="BV102" s="271"/>
      <c r="BW102" s="271"/>
      <c r="BX102" s="271"/>
      <c r="BY102" s="271"/>
      <c r="BZ102" s="271"/>
      <c r="CA102" s="271"/>
      <c r="CB102" s="271"/>
      <c r="CC102" s="271"/>
      <c r="CD102" s="271"/>
      <c r="CE102" s="271"/>
      <c r="CF102" s="271"/>
      <c r="CG102" s="271"/>
      <c r="CH102" s="271"/>
      <c r="CI102" s="271"/>
    </row>
    <row r="103" spans="1:87" ht="30" customHeight="1" outlineLevel="1">
      <c r="A103" s="264" t="str">
        <f>E103&amp;G103</f>
        <v>lt004_protectionprtctn_id</v>
      </c>
      <c r="B103" s="141" t="s">
        <v>26</v>
      </c>
      <c r="C103" s="137" t="s">
        <v>26</v>
      </c>
      <c r="D103" s="226" t="s">
        <v>40</v>
      </c>
      <c r="E103" s="229" t="s">
        <v>368</v>
      </c>
      <c r="F103" s="229"/>
      <c r="G103" s="233" t="s">
        <v>433</v>
      </c>
      <c r="H103" s="226" t="str">
        <f>VLOOKUP(A103,'2. Status Detalhe Campos FY24'!$A$7:$G$732,7,0)</f>
        <v>1. Concluído</v>
      </c>
      <c r="I103" s="313" t="s">
        <v>38</v>
      </c>
      <c r="J103" s="313"/>
      <c r="K103" s="313"/>
      <c r="L103" s="280">
        <f t="array" ref="L103">MIN(IF(W103:CI103&gt;0,$W$16:$CI$16))</f>
        <v>45629</v>
      </c>
      <c r="M103" s="281">
        <f t="array" ref="M103">MAX(IF(W103:CI103&gt;0,$W$16:$CI$16))</f>
        <v>45639</v>
      </c>
      <c r="N103" s="281"/>
      <c r="O103" s="239">
        <f>VLOOKUP(H103,Auxiliar!$B$16:$E$24,4,0)</f>
        <v>1</v>
      </c>
      <c r="P103" s="239">
        <f ca="1">IF(TODAY()&lt;=L103,0,MIN((TODAY()-L103)/(M103-L103+1),100%))</f>
        <v>1</v>
      </c>
      <c r="Q103" s="238">
        <f ca="1">O103-P103</f>
        <v>0</v>
      </c>
      <c r="R103" s="252"/>
      <c r="S103" s="270"/>
      <c r="T103" s="260">
        <v>0.1</v>
      </c>
      <c r="U103" s="260">
        <v>0.1</v>
      </c>
      <c r="V103" s="289">
        <f>SUM(W103:CI103)-U103</f>
        <v>0</v>
      </c>
      <c r="W103" s="287"/>
      <c r="X103" s="279"/>
      <c r="Y103" s="271"/>
      <c r="Z103" s="271"/>
      <c r="AA103" s="271"/>
      <c r="AB103" s="271"/>
      <c r="AC103" s="271"/>
      <c r="AD103" s="272"/>
      <c r="AE103" s="271"/>
      <c r="AF103" s="271"/>
      <c r="AG103" s="271"/>
      <c r="AH103" s="271"/>
      <c r="AI103" s="271"/>
      <c r="AJ103" s="271"/>
      <c r="AK103" s="271"/>
      <c r="AL103" s="271"/>
      <c r="AM103" s="271"/>
      <c r="AN103" s="278"/>
      <c r="AO103" s="271"/>
      <c r="AP103" s="271"/>
      <c r="AQ103" s="271"/>
      <c r="AR103" s="271"/>
      <c r="AS103" s="271"/>
      <c r="AT103" s="271"/>
      <c r="AU103" s="271"/>
      <c r="AV103" s="271"/>
      <c r="AW103" s="271"/>
      <c r="AX103" s="271"/>
      <c r="AY103" s="271"/>
      <c r="AZ103" s="271">
        <v>0.1</v>
      </c>
      <c r="BA103" s="271"/>
      <c r="BB103" s="271"/>
      <c r="BC103" s="271"/>
      <c r="BD103" s="271"/>
      <c r="BE103" s="271"/>
      <c r="BF103" s="271"/>
      <c r="BG103" s="271"/>
      <c r="BH103" s="271" t="s">
        <v>443</v>
      </c>
      <c r="BI103" s="271"/>
      <c r="BJ103" s="271"/>
      <c r="BK103" s="271"/>
      <c r="BL103" s="271"/>
      <c r="BM103" s="271"/>
      <c r="BN103" s="271"/>
      <c r="BO103" s="272"/>
      <c r="BP103" s="272"/>
      <c r="BQ103" s="272"/>
      <c r="BR103" s="272"/>
      <c r="BS103" s="272"/>
      <c r="BT103" s="272"/>
      <c r="BU103" s="272"/>
      <c r="BV103" s="271"/>
      <c r="BW103" s="271"/>
      <c r="BX103" s="271"/>
      <c r="BY103" s="271"/>
      <c r="BZ103" s="271"/>
      <c r="CA103" s="271"/>
      <c r="CB103" s="271"/>
      <c r="CC103" s="271"/>
      <c r="CD103" s="271"/>
      <c r="CE103" s="271"/>
      <c r="CF103" s="271"/>
      <c r="CG103" s="271"/>
      <c r="CH103" s="271"/>
      <c r="CI103" s="271"/>
    </row>
    <row r="104" spans="1:87" ht="30" customHeight="1" collapsed="1">
      <c r="A104" s="264"/>
      <c r="B104" s="141" t="s">
        <v>26</v>
      </c>
      <c r="C104" s="137" t="s">
        <v>26</v>
      </c>
      <c r="D104" s="133"/>
      <c r="E104" s="232" t="s">
        <v>368</v>
      </c>
      <c r="F104" s="230" t="s">
        <v>1942</v>
      </c>
      <c r="G104" s="231">
        <f>COUNTA(G105)</f>
        <v>1</v>
      </c>
      <c r="H104" s="285" t="s">
        <v>1921</v>
      </c>
      <c r="I104" s="268" t="s">
        <v>38</v>
      </c>
      <c r="J104" s="267">
        <f>MIN(J105)</f>
        <v>0</v>
      </c>
      <c r="K104" s="267">
        <f>MIN(K105)</f>
        <v>0</v>
      </c>
      <c r="L104" s="267">
        <f>MIN(L105)</f>
        <v>45629</v>
      </c>
      <c r="M104" s="268">
        <f>MAX(M105)</f>
        <v>45639</v>
      </c>
      <c r="N104" s="312">
        <f t="array" ref="N104">MAX(IF(W104:CI104&gt;0,$W$16:$CI$16))</f>
        <v>45667</v>
      </c>
      <c r="O104" s="311">
        <f>O105</f>
        <v>1</v>
      </c>
      <c r="P104" s="311">
        <f ca="1">P105</f>
        <v>1</v>
      </c>
      <c r="Q104" s="303">
        <f ca="1">O104-P104</f>
        <v>0</v>
      </c>
      <c r="R104" s="329" t="s">
        <v>1966</v>
      </c>
      <c r="S104" s="270"/>
      <c r="T104" s="260"/>
      <c r="U104" s="260"/>
      <c r="V104" s="260"/>
      <c r="W104" s="271"/>
      <c r="X104" s="271"/>
      <c r="Y104" s="271"/>
      <c r="Z104" s="271"/>
      <c r="AA104" s="271"/>
      <c r="AB104" s="271"/>
      <c r="AC104" s="271"/>
      <c r="AD104" s="272"/>
      <c r="AE104" s="271"/>
      <c r="AF104" s="271"/>
      <c r="AG104" s="271"/>
      <c r="AH104" s="271"/>
      <c r="AI104" s="271"/>
      <c r="AJ104" s="271"/>
      <c r="AK104" s="271"/>
      <c r="AL104" s="271"/>
      <c r="AM104" s="271"/>
      <c r="AN104" s="278"/>
      <c r="AO104" s="271"/>
      <c r="AP104" s="271"/>
      <c r="AQ104" s="271"/>
      <c r="AR104" s="271"/>
      <c r="AS104" s="271"/>
      <c r="AT104" s="271"/>
      <c r="AU104" s="271"/>
      <c r="AV104" s="271"/>
      <c r="AW104" s="271"/>
      <c r="AX104" s="271"/>
      <c r="AY104" s="271"/>
      <c r="AZ104" s="271"/>
      <c r="BA104" s="271"/>
      <c r="BB104" s="271"/>
      <c r="BC104" s="274" t="s">
        <v>443</v>
      </c>
      <c r="BD104" s="271"/>
      <c r="BE104" s="271"/>
      <c r="BF104" s="271"/>
      <c r="BG104" s="271"/>
      <c r="BH104" s="315" t="s">
        <v>443</v>
      </c>
      <c r="BI104" s="271"/>
      <c r="BJ104" s="271"/>
      <c r="BK104" s="271"/>
      <c r="BL104" s="271"/>
      <c r="BM104" s="315" t="s">
        <v>443</v>
      </c>
      <c r="BN104" s="271"/>
      <c r="BO104" s="272"/>
      <c r="BP104" s="272"/>
      <c r="BQ104" s="272"/>
      <c r="BR104" s="272"/>
      <c r="BS104" s="272"/>
      <c r="BT104" s="272"/>
      <c r="BU104" s="272"/>
      <c r="BV104" s="271"/>
      <c r="BW104" s="271"/>
      <c r="BX104" s="271"/>
      <c r="BY104" s="271"/>
      <c r="BZ104" s="271"/>
      <c r="CA104" s="271"/>
      <c r="CB104" s="315" t="s">
        <v>443</v>
      </c>
      <c r="CC104" s="271"/>
      <c r="CD104" s="271"/>
      <c r="CE104" s="271"/>
      <c r="CF104" s="271"/>
      <c r="CG104" s="271"/>
      <c r="CH104" s="271"/>
      <c r="CI104" s="271"/>
    </row>
    <row r="105" spans="1:87" ht="16.2" outlineLevel="1">
      <c r="A105" s="264" t="str">
        <f>E105&amp;G105</f>
        <v>lt004_protectionorgnl_prtctn_vl</v>
      </c>
      <c r="B105" s="141" t="s">
        <v>26</v>
      </c>
      <c r="C105" s="137" t="s">
        <v>26</v>
      </c>
      <c r="D105" s="226" t="s">
        <v>40</v>
      </c>
      <c r="E105" s="229" t="s">
        <v>368</v>
      </c>
      <c r="F105" s="229"/>
      <c r="G105" s="233" t="s">
        <v>437</v>
      </c>
      <c r="H105" s="226" t="str">
        <f>VLOOKUP(A105,'2. Status Detalhe Campos FY24'!$A$7:$G$732,7,0)</f>
        <v>1. Concluído</v>
      </c>
      <c r="I105" s="275" t="s">
        <v>38</v>
      </c>
      <c r="J105" s="313"/>
      <c r="K105" s="313"/>
      <c r="L105" s="280">
        <f t="array" ref="L105">MIN(IF(W105:CI105&gt;0,$W$16:$CI$16))</f>
        <v>45629</v>
      </c>
      <c r="M105" s="281">
        <f t="array" ref="M105">MAX(IF(W105:CI105&gt;0,$W$16:$CI$16))</f>
        <v>45639</v>
      </c>
      <c r="N105" s="281"/>
      <c r="O105" s="239">
        <f>VLOOKUP(H105,Auxiliar!$B$16:$E$24,4,0)</f>
        <v>1</v>
      </c>
      <c r="P105" s="239">
        <f ca="1">IF(TODAY()&lt;=L105,0,MIN((TODAY()-L105)/(M105-L105+1),100%))</f>
        <v>1</v>
      </c>
      <c r="Q105" s="238">
        <f ca="1">O105-P105</f>
        <v>0</v>
      </c>
      <c r="R105" s="252"/>
      <c r="S105" s="270"/>
      <c r="T105" s="296">
        <v>1</v>
      </c>
      <c r="U105" s="260">
        <v>1</v>
      </c>
      <c r="V105" s="260">
        <f>SUM(W105:CI105)-U105</f>
        <v>0</v>
      </c>
      <c r="W105" s="271"/>
      <c r="X105" s="271"/>
      <c r="Y105" s="271"/>
      <c r="Z105" s="271"/>
      <c r="AA105" s="271"/>
      <c r="AB105" s="279"/>
      <c r="AC105" s="271"/>
      <c r="AD105" s="272"/>
      <c r="AE105" s="271"/>
      <c r="AF105" s="271"/>
      <c r="AG105" s="271"/>
      <c r="AH105" s="271"/>
      <c r="AI105" s="271"/>
      <c r="AJ105" s="271"/>
      <c r="AK105" s="271"/>
      <c r="AL105" s="271"/>
      <c r="AM105" s="271"/>
      <c r="AN105" s="278"/>
      <c r="AO105" s="271"/>
      <c r="AP105" s="271"/>
      <c r="AQ105" s="271"/>
      <c r="AR105" s="271"/>
      <c r="AS105" s="271"/>
      <c r="AT105" s="271"/>
      <c r="AU105" s="271"/>
      <c r="AV105" s="271"/>
      <c r="AW105" s="271"/>
      <c r="AX105" s="271"/>
      <c r="AY105" s="271"/>
      <c r="AZ105" s="271">
        <v>0.6</v>
      </c>
      <c r="BA105" s="271">
        <v>0.3</v>
      </c>
      <c r="BB105" s="271"/>
      <c r="BC105" s="271"/>
      <c r="BD105" s="271"/>
      <c r="BE105" s="271"/>
      <c r="BF105" s="271"/>
      <c r="BG105" s="271"/>
      <c r="BH105" s="295">
        <v>0.1</v>
      </c>
      <c r="BI105" s="271"/>
      <c r="BJ105" s="271"/>
      <c r="BK105" s="271"/>
      <c r="BL105" s="271"/>
      <c r="BM105" s="271"/>
      <c r="BN105" s="271"/>
      <c r="BO105" s="272"/>
      <c r="BP105" s="272"/>
      <c r="BQ105" s="272"/>
      <c r="BR105" s="272"/>
      <c r="BS105" s="272"/>
      <c r="BT105" s="272"/>
      <c r="BU105" s="272"/>
      <c r="BV105" s="271"/>
      <c r="BW105" s="271"/>
      <c r="BX105" s="271"/>
      <c r="BY105" s="271"/>
      <c r="BZ105" s="271"/>
      <c r="CA105" s="271"/>
      <c r="CB105" s="271"/>
      <c r="CC105" s="271"/>
      <c r="CD105" s="271"/>
      <c r="CE105" s="271"/>
      <c r="CF105" s="271"/>
      <c r="CG105" s="271"/>
      <c r="CH105" s="271"/>
      <c r="CI105" s="271"/>
    </row>
    <row r="106" spans="1:87" ht="15" customHeight="1" collapsed="1">
      <c r="A106" s="264"/>
      <c r="B106" s="141" t="s">
        <v>26</v>
      </c>
      <c r="C106" s="137" t="s">
        <v>310</v>
      </c>
      <c r="D106" s="133"/>
      <c r="E106" s="230" t="s">
        <v>325</v>
      </c>
      <c r="F106" s="230" t="s">
        <v>1889</v>
      </c>
      <c r="G106" s="231">
        <f>COUNTA(G107:G120)</f>
        <v>14</v>
      </c>
      <c r="H106" s="285" t="s">
        <v>1921</v>
      </c>
      <c r="I106" s="266" t="s">
        <v>38</v>
      </c>
      <c r="J106" s="267">
        <f>MIN(J107:J120)</f>
        <v>0</v>
      </c>
      <c r="K106" s="267">
        <f>MIN(K107:K120)</f>
        <v>0</v>
      </c>
      <c r="L106" s="267">
        <f>MIN(L107:L120)</f>
        <v>45615</v>
      </c>
      <c r="M106" s="268">
        <f>MAX(M107:M120)</f>
        <v>45639</v>
      </c>
      <c r="N106" s="312">
        <f t="array" ref="N106">MAX(IF(W106:CI106&gt;0,$W$16:$CI$16))</f>
        <v>45639</v>
      </c>
      <c r="O106" s="311">
        <f>SUMPRODUCT(O107:O120,U107:U120)/SUM(U107:U120)</f>
        <v>1</v>
      </c>
      <c r="P106" s="311">
        <f ca="1">SUMPRODUCT(P107:P120,U107:U120)/SUM(U107:U120)</f>
        <v>1</v>
      </c>
      <c r="Q106" s="246">
        <f t="shared" ca="1" si="26"/>
        <v>0</v>
      </c>
      <c r="R106" s="329" t="s">
        <v>1946</v>
      </c>
      <c r="S106" s="270"/>
      <c r="T106" s="260"/>
      <c r="U106" s="260"/>
      <c r="V106" s="260"/>
      <c r="W106" s="271"/>
      <c r="X106" s="271"/>
      <c r="Y106" s="271"/>
      <c r="Z106" s="271"/>
      <c r="AA106" s="271"/>
      <c r="AB106" s="271"/>
      <c r="AC106" s="271"/>
      <c r="AD106" s="272"/>
      <c r="AE106" s="271"/>
      <c r="AF106" s="271"/>
      <c r="AG106" s="271"/>
      <c r="AH106" s="271"/>
      <c r="AI106" s="271"/>
      <c r="AJ106" s="271"/>
      <c r="AK106" s="271"/>
      <c r="AL106" s="271"/>
      <c r="AM106" s="271"/>
      <c r="AN106" s="271"/>
      <c r="AO106" s="273"/>
      <c r="AP106" s="278"/>
      <c r="AQ106" s="271"/>
      <c r="AR106" s="271"/>
      <c r="AS106" s="271"/>
      <c r="AT106" s="271"/>
      <c r="AU106" s="271"/>
      <c r="AV106" s="271"/>
      <c r="AW106" s="271"/>
      <c r="AX106" s="271"/>
      <c r="AY106" s="271"/>
      <c r="AZ106" s="271"/>
      <c r="BA106" s="271"/>
      <c r="BB106" s="271"/>
      <c r="BC106" s="271" t="s">
        <v>443</v>
      </c>
      <c r="BD106" s="271"/>
      <c r="BE106" s="271"/>
      <c r="BF106" s="271"/>
      <c r="BG106" s="271"/>
      <c r="BH106" s="271" t="s">
        <v>443</v>
      </c>
      <c r="BI106" s="271"/>
      <c r="BJ106" s="271"/>
      <c r="BK106" s="271"/>
      <c r="BL106" s="271"/>
      <c r="BM106" s="271"/>
      <c r="BN106" s="271"/>
      <c r="BO106" s="272"/>
      <c r="BP106" s="272"/>
      <c r="BQ106" s="272"/>
      <c r="BR106" s="272"/>
      <c r="BS106" s="272"/>
      <c r="BT106" s="272"/>
      <c r="BU106" s="272"/>
      <c r="BV106" s="271"/>
      <c r="BW106" s="271"/>
      <c r="BX106" s="271"/>
      <c r="BY106" s="271"/>
      <c r="BZ106" s="271"/>
      <c r="CA106" s="271"/>
      <c r="CB106" s="271"/>
      <c r="CC106" s="271"/>
      <c r="CD106" s="271"/>
      <c r="CE106" s="271"/>
      <c r="CF106" s="271"/>
      <c r="CG106" s="271"/>
      <c r="CH106" s="271"/>
      <c r="CI106" s="271"/>
    </row>
    <row r="107" spans="1:87" ht="16.2" outlineLevel="1">
      <c r="A107" s="264" t="str">
        <f t="shared" ref="A107:A120" si="27">E107&amp;G107</f>
        <v>modesg_out_empr_info_nfincca_capex_enblng_algnd</v>
      </c>
      <c r="B107" s="141" t="s">
        <v>26</v>
      </c>
      <c r="C107" s="137" t="s">
        <v>310</v>
      </c>
      <c r="D107" s="226" t="s">
        <v>40</v>
      </c>
      <c r="E107" s="227" t="s">
        <v>325</v>
      </c>
      <c r="F107" s="227"/>
      <c r="G107" s="226" t="s">
        <v>249</v>
      </c>
      <c r="H107" s="226" t="str">
        <f>VLOOKUP(A107,'2. Status Detalhe Campos FY24'!$A$7:$G$732,7,0)</f>
        <v>1. Concluído</v>
      </c>
      <c r="I107" s="314" t="s">
        <v>38</v>
      </c>
      <c r="J107" s="313"/>
      <c r="K107" s="313"/>
      <c r="L107" s="280">
        <f t="array" ref="L107">MIN(IF(W107:CI107&gt;0,$W$16:$CI$16))</f>
        <v>45615</v>
      </c>
      <c r="M107" s="281">
        <f t="array" ref="M107">MAX(IF(W107:CI107&gt;0,$W$16:$CI$16))</f>
        <v>45639</v>
      </c>
      <c r="N107" s="281"/>
      <c r="O107" s="239">
        <f>VLOOKUP(H107,Auxiliar!$B$16:$E$24,4,0)</f>
        <v>1</v>
      </c>
      <c r="P107" s="239">
        <f t="shared" ref="P107:P120" ca="1" si="28">IF(TODAY()&lt;=L107,0,MIN((TODAY()-L107)/(M107-L107+1),100%))</f>
        <v>1</v>
      </c>
      <c r="Q107" s="239">
        <f t="shared" ca="1" si="26"/>
        <v>0</v>
      </c>
      <c r="R107" s="328" t="s">
        <v>38</v>
      </c>
      <c r="S107" s="270"/>
      <c r="T107" s="260">
        <v>16.100000000000001</v>
      </c>
      <c r="U107" s="289">
        <v>1</v>
      </c>
      <c r="V107" s="260">
        <f t="shared" ref="V107:V120" si="29">SUM(W107:CI107)-U107</f>
        <v>0</v>
      </c>
      <c r="W107" s="271"/>
      <c r="X107" s="271"/>
      <c r="Y107" s="271"/>
      <c r="Z107" s="271"/>
      <c r="AA107" s="271"/>
      <c r="AB107" s="271"/>
      <c r="AC107" s="271"/>
      <c r="AD107" s="272"/>
      <c r="AE107" s="271"/>
      <c r="AF107" s="271"/>
      <c r="AG107" s="271"/>
      <c r="AH107" s="271"/>
      <c r="AI107" s="271"/>
      <c r="AJ107" s="271"/>
      <c r="AK107" s="271"/>
      <c r="AL107" s="271"/>
      <c r="AM107" s="271"/>
      <c r="AN107" s="271"/>
      <c r="AO107" s="273"/>
      <c r="AP107" s="278">
        <v>0.5</v>
      </c>
      <c r="AQ107" s="271"/>
      <c r="AR107" s="271"/>
      <c r="AS107" s="271"/>
      <c r="AT107" s="271"/>
      <c r="AU107" s="271"/>
      <c r="AV107" s="271"/>
      <c r="AW107" s="271"/>
      <c r="AX107" s="271"/>
      <c r="AY107" s="271"/>
      <c r="AZ107" s="271"/>
      <c r="BA107" s="271">
        <v>0.2</v>
      </c>
      <c r="BB107" s="271">
        <v>0.3</v>
      </c>
      <c r="BC107" s="271"/>
      <c r="BD107" s="271"/>
      <c r="BE107" s="271"/>
      <c r="BF107" s="271"/>
      <c r="BG107" s="271"/>
      <c r="BH107" s="274" t="s">
        <v>443</v>
      </c>
      <c r="BI107" s="271"/>
      <c r="BJ107" s="271"/>
      <c r="BK107" s="271"/>
      <c r="BL107" s="271"/>
      <c r="BM107" s="271"/>
      <c r="BN107" s="271"/>
      <c r="BO107" s="272"/>
      <c r="BP107" s="272"/>
      <c r="BQ107" s="272"/>
      <c r="BR107" s="272"/>
      <c r="BS107" s="272"/>
      <c r="BT107" s="272"/>
      <c r="BU107" s="272"/>
      <c r="BV107" s="271"/>
      <c r="BW107" s="271"/>
      <c r="BX107" s="271"/>
      <c r="BY107" s="271"/>
      <c r="BZ107" s="271"/>
      <c r="CA107" s="271"/>
      <c r="CB107" s="271"/>
      <c r="CC107" s="271"/>
      <c r="CD107" s="271"/>
      <c r="CE107" s="271"/>
      <c r="CF107" s="271"/>
      <c r="CG107" s="271"/>
      <c r="CH107" s="271"/>
      <c r="CI107" s="271"/>
    </row>
    <row r="108" spans="1:87" ht="16.2" outlineLevel="1">
      <c r="A108" s="264" t="str">
        <f t="shared" si="27"/>
        <v>modesg_out_empr_info_nfincca_capex_own_prfrmnce_algnd</v>
      </c>
      <c r="B108" s="141" t="s">
        <v>26</v>
      </c>
      <c r="C108" s="137" t="s">
        <v>310</v>
      </c>
      <c r="D108" s="226" t="s">
        <v>40</v>
      </c>
      <c r="E108" s="227" t="s">
        <v>325</v>
      </c>
      <c r="F108" s="227"/>
      <c r="G108" s="226" t="s">
        <v>250</v>
      </c>
      <c r="H108" s="226" t="str">
        <f>VLOOKUP(A108,'2. Status Detalhe Campos FY24'!$A$7:$G$732,7,0)</f>
        <v>1. Concluído</v>
      </c>
      <c r="I108" s="314" t="s">
        <v>38</v>
      </c>
      <c r="J108" s="313"/>
      <c r="K108" s="313"/>
      <c r="L108" s="280">
        <f t="array" ref="L108">MIN(IF(W108:CI108&gt;0,$W$16:$CI$16))</f>
        <v>45616</v>
      </c>
      <c r="M108" s="281">
        <f t="array" ref="M108">MAX(IF(W108:CI108&gt;0,$W$16:$CI$16))</f>
        <v>45639</v>
      </c>
      <c r="N108" s="281"/>
      <c r="O108" s="239">
        <f>VLOOKUP(H108,Auxiliar!$B$16:$E$24,4,0)</f>
        <v>1</v>
      </c>
      <c r="P108" s="239">
        <f t="shared" ca="1" si="28"/>
        <v>1</v>
      </c>
      <c r="Q108" s="239">
        <f t="shared" ca="1" si="26"/>
        <v>0</v>
      </c>
      <c r="R108" s="328" t="s">
        <v>38</v>
      </c>
      <c r="S108" s="270"/>
      <c r="T108" s="260">
        <v>16.100000000000001</v>
      </c>
      <c r="U108" s="289">
        <v>1</v>
      </c>
      <c r="V108" s="260">
        <f t="shared" si="29"/>
        <v>0</v>
      </c>
      <c r="W108" s="271"/>
      <c r="X108" s="271"/>
      <c r="Y108" s="271"/>
      <c r="Z108" s="271"/>
      <c r="AA108" s="271"/>
      <c r="AB108" s="271"/>
      <c r="AC108" s="271"/>
      <c r="AD108" s="272"/>
      <c r="AE108" s="271"/>
      <c r="AF108" s="271"/>
      <c r="AG108" s="271"/>
      <c r="AH108" s="271"/>
      <c r="AI108" s="271"/>
      <c r="AJ108" s="271"/>
      <c r="AK108" s="271"/>
      <c r="AL108" s="271"/>
      <c r="AM108" s="271"/>
      <c r="AN108" s="271"/>
      <c r="AO108" s="273"/>
      <c r="AP108" s="278"/>
      <c r="AQ108" s="271">
        <v>1</v>
      </c>
      <c r="AR108" s="271"/>
      <c r="AS108" s="271"/>
      <c r="AT108" s="271"/>
      <c r="AU108" s="271"/>
      <c r="AV108" s="271"/>
      <c r="AW108" s="271"/>
      <c r="AX108" s="271"/>
      <c r="AY108" s="271"/>
      <c r="AZ108" s="271"/>
      <c r="BA108" s="271"/>
      <c r="BB108" s="271"/>
      <c r="BC108" s="271"/>
      <c r="BD108" s="271"/>
      <c r="BE108" s="271"/>
      <c r="BF108" s="271"/>
      <c r="BG108" s="271"/>
      <c r="BH108" s="274" t="s">
        <v>443</v>
      </c>
      <c r="BI108" s="271"/>
      <c r="BJ108" s="271"/>
      <c r="BK108" s="271"/>
      <c r="BL108" s="271"/>
      <c r="BM108" s="271"/>
      <c r="BN108" s="271"/>
      <c r="BO108" s="272"/>
      <c r="BP108" s="272"/>
      <c r="BQ108" s="272"/>
      <c r="BR108" s="272"/>
      <c r="BS108" s="272"/>
      <c r="BT108" s="272"/>
      <c r="BU108" s="272"/>
      <c r="BV108" s="271"/>
      <c r="BW108" s="271"/>
      <c r="BX108" s="271"/>
      <c r="BY108" s="271"/>
      <c r="BZ108" s="271"/>
      <c r="CA108" s="271"/>
      <c r="CB108" s="271"/>
      <c r="CC108" s="271"/>
      <c r="CD108" s="271"/>
      <c r="CE108" s="271"/>
      <c r="CF108" s="271"/>
      <c r="CG108" s="271"/>
      <c r="CH108" s="271"/>
      <c r="CI108" s="271"/>
    </row>
    <row r="109" spans="1:87" ht="16.2" outlineLevel="1">
      <c r="A109" s="264" t="str">
        <f t="shared" si="27"/>
        <v>modesg_out_empr_info_nfincca_capex_ttl_elgbl</v>
      </c>
      <c r="B109" s="141" t="s">
        <v>26</v>
      </c>
      <c r="C109" s="137" t="s">
        <v>310</v>
      </c>
      <c r="D109" s="226" t="s">
        <v>40</v>
      </c>
      <c r="E109" s="227" t="s">
        <v>325</v>
      </c>
      <c r="F109" s="227"/>
      <c r="G109" s="226" t="s">
        <v>248</v>
      </c>
      <c r="H109" s="226" t="str">
        <f>VLOOKUP(A109,'2. Status Detalhe Campos FY24'!$A$7:$G$732,7,0)</f>
        <v>1. Concluído</v>
      </c>
      <c r="I109" s="314" t="s">
        <v>38</v>
      </c>
      <c r="J109" s="313"/>
      <c r="K109" s="313"/>
      <c r="L109" s="280">
        <f t="array" ref="L109">MIN(IF(W109:CI109&gt;0,$W$16:$CI$16))</f>
        <v>45617</v>
      </c>
      <c r="M109" s="281">
        <f t="array" ref="M109">MAX(IF(W109:CI109&gt;0,$W$16:$CI$16))</f>
        <v>45639</v>
      </c>
      <c r="N109" s="281"/>
      <c r="O109" s="239">
        <f>VLOOKUP(H109,Auxiliar!$B$16:$E$24,4,0)</f>
        <v>1</v>
      </c>
      <c r="P109" s="239">
        <f t="shared" ca="1" si="28"/>
        <v>1</v>
      </c>
      <c r="Q109" s="239">
        <f t="shared" ca="1" si="26"/>
        <v>0</v>
      </c>
      <c r="R109" s="328" t="s">
        <v>38</v>
      </c>
      <c r="S109" s="270"/>
      <c r="T109" s="260">
        <v>16.100000000000001</v>
      </c>
      <c r="U109" s="289">
        <v>1</v>
      </c>
      <c r="V109" s="260">
        <f t="shared" si="29"/>
        <v>0</v>
      </c>
      <c r="W109" s="271"/>
      <c r="X109" s="271"/>
      <c r="Y109" s="271"/>
      <c r="Z109" s="271"/>
      <c r="AA109" s="271"/>
      <c r="AB109" s="271"/>
      <c r="AC109" s="271"/>
      <c r="AD109" s="272"/>
      <c r="AE109" s="271"/>
      <c r="AF109" s="271"/>
      <c r="AG109" s="271"/>
      <c r="AH109" s="271"/>
      <c r="AI109" s="271"/>
      <c r="AJ109" s="271"/>
      <c r="AK109" s="271"/>
      <c r="AL109" s="271"/>
      <c r="AM109" s="271"/>
      <c r="AN109" s="271"/>
      <c r="AO109" s="273"/>
      <c r="AP109" s="278"/>
      <c r="AQ109" s="271"/>
      <c r="AR109" s="271">
        <v>1</v>
      </c>
      <c r="AS109" s="271"/>
      <c r="AT109" s="271"/>
      <c r="AU109" s="271"/>
      <c r="AV109" s="271"/>
      <c r="AW109" s="271"/>
      <c r="AX109" s="271"/>
      <c r="AY109" s="271"/>
      <c r="AZ109" s="271"/>
      <c r="BA109" s="271"/>
      <c r="BB109" s="271"/>
      <c r="BC109" s="271"/>
      <c r="BD109" s="271"/>
      <c r="BE109" s="271"/>
      <c r="BF109" s="271"/>
      <c r="BG109" s="271"/>
      <c r="BH109" s="274" t="s">
        <v>443</v>
      </c>
      <c r="BI109" s="271"/>
      <c r="BJ109" s="271"/>
      <c r="BK109" s="271"/>
      <c r="BL109" s="271"/>
      <c r="BM109" s="271"/>
      <c r="BN109" s="271"/>
      <c r="BO109" s="272"/>
      <c r="BP109" s="272"/>
      <c r="BQ109" s="272"/>
      <c r="BR109" s="272"/>
      <c r="BS109" s="272"/>
      <c r="BT109" s="272"/>
      <c r="BU109" s="272"/>
      <c r="BV109" s="271"/>
      <c r="BW109" s="271"/>
      <c r="BX109" s="271"/>
      <c r="BY109" s="271"/>
      <c r="BZ109" s="271"/>
      <c r="CA109" s="271"/>
      <c r="CB109" s="271"/>
      <c r="CC109" s="271"/>
      <c r="CD109" s="271"/>
      <c r="CE109" s="271"/>
      <c r="CF109" s="271"/>
      <c r="CG109" s="271"/>
      <c r="CH109" s="271"/>
      <c r="CI109" s="271"/>
    </row>
    <row r="110" spans="1:87" ht="16.2" outlineLevel="1">
      <c r="A110" s="264" t="str">
        <f t="shared" si="27"/>
        <v>modesg_out_empr_info_nfincca_trnvr_enblng_alignd</v>
      </c>
      <c r="B110" s="141" t="s">
        <v>26</v>
      </c>
      <c r="C110" s="137" t="s">
        <v>310</v>
      </c>
      <c r="D110" s="226" t="s">
        <v>40</v>
      </c>
      <c r="E110" s="227" t="s">
        <v>325</v>
      </c>
      <c r="F110" s="227"/>
      <c r="G110" s="226" t="s">
        <v>246</v>
      </c>
      <c r="H110" s="226" t="str">
        <f>VLOOKUP(A110,'2. Status Detalhe Campos FY24'!$A$7:$G$732,7,0)</f>
        <v>1. Concluído</v>
      </c>
      <c r="I110" s="314" t="s">
        <v>38</v>
      </c>
      <c r="J110" s="313"/>
      <c r="K110" s="313"/>
      <c r="L110" s="280">
        <f t="array" ref="L110">MIN(IF(W110:CI110&gt;0,$W$16:$CI$16))</f>
        <v>45618</v>
      </c>
      <c r="M110" s="281">
        <f t="array" ref="M110">MAX(IF(W110:CI110&gt;0,$W$16:$CI$16))</f>
        <v>45639</v>
      </c>
      <c r="N110" s="281"/>
      <c r="O110" s="239">
        <f>VLOOKUP(H110,Auxiliar!$B$16:$E$24,4,0)</f>
        <v>1</v>
      </c>
      <c r="P110" s="239">
        <f t="shared" ca="1" si="28"/>
        <v>1</v>
      </c>
      <c r="Q110" s="239">
        <f t="shared" ca="1" si="26"/>
        <v>0</v>
      </c>
      <c r="R110" s="328" t="s">
        <v>38</v>
      </c>
      <c r="S110" s="270"/>
      <c r="T110" s="290">
        <v>4</v>
      </c>
      <c r="U110" s="260">
        <f t="shared" ref="U110:U120" si="30">ROUND(T110/8,1)</f>
        <v>0.5</v>
      </c>
      <c r="V110" s="260">
        <f t="shared" si="29"/>
        <v>0</v>
      </c>
      <c r="W110" s="271"/>
      <c r="X110" s="271"/>
      <c r="Y110" s="271"/>
      <c r="Z110" s="271"/>
      <c r="AA110" s="271"/>
      <c r="AB110" s="271"/>
      <c r="AC110" s="271"/>
      <c r="AD110" s="272"/>
      <c r="AE110" s="271"/>
      <c r="AF110" s="271"/>
      <c r="AG110" s="271"/>
      <c r="AH110" s="271"/>
      <c r="AI110" s="271"/>
      <c r="AJ110" s="271"/>
      <c r="AK110" s="271"/>
      <c r="AL110" s="271"/>
      <c r="AM110" s="271"/>
      <c r="AN110" s="271"/>
      <c r="AO110" s="273"/>
      <c r="AP110" s="278"/>
      <c r="AQ110" s="271"/>
      <c r="AR110" s="271"/>
      <c r="AS110" s="271">
        <v>0.5</v>
      </c>
      <c r="AT110" s="271"/>
      <c r="AU110" s="271"/>
      <c r="AV110" s="271"/>
      <c r="AW110" s="271"/>
      <c r="AX110" s="271"/>
      <c r="AY110" s="271"/>
      <c r="AZ110" s="271"/>
      <c r="BA110" s="271"/>
      <c r="BB110" s="271"/>
      <c r="BC110" s="271"/>
      <c r="BD110" s="271"/>
      <c r="BE110" s="271"/>
      <c r="BF110" s="271"/>
      <c r="BG110" s="271"/>
      <c r="BH110" s="274" t="s">
        <v>443</v>
      </c>
      <c r="BI110" s="271"/>
      <c r="BJ110" s="271"/>
      <c r="BK110" s="271"/>
      <c r="BL110" s="271"/>
      <c r="BM110" s="271"/>
      <c r="BN110" s="271"/>
      <c r="BO110" s="272"/>
      <c r="BP110" s="272"/>
      <c r="BQ110" s="272"/>
      <c r="BR110" s="272"/>
      <c r="BS110" s="272"/>
      <c r="BT110" s="272"/>
      <c r="BU110" s="272"/>
      <c r="BV110" s="271"/>
      <c r="BW110" s="271"/>
      <c r="BX110" s="271"/>
      <c r="BY110" s="271"/>
      <c r="BZ110" s="271"/>
      <c r="CA110" s="271"/>
      <c r="CB110" s="271"/>
      <c r="CC110" s="271"/>
      <c r="CD110" s="271"/>
      <c r="CE110" s="271"/>
      <c r="CF110" s="271"/>
      <c r="CG110" s="271"/>
      <c r="CH110" s="271"/>
      <c r="CI110" s="271"/>
    </row>
    <row r="111" spans="1:87" ht="16.2" outlineLevel="1">
      <c r="A111" s="264" t="str">
        <f t="shared" si="27"/>
        <v>modesg_out_empr_info_nfincca_trnvr_ttl_elgbl</v>
      </c>
      <c r="B111" s="141" t="s">
        <v>26</v>
      </c>
      <c r="C111" s="137" t="s">
        <v>310</v>
      </c>
      <c r="D111" s="226" t="s">
        <v>40</v>
      </c>
      <c r="E111" s="227" t="s">
        <v>325</v>
      </c>
      <c r="F111" s="227"/>
      <c r="G111" s="226" t="s">
        <v>245</v>
      </c>
      <c r="H111" s="226" t="str">
        <f>VLOOKUP(A111,'2. Status Detalhe Campos FY24'!$A$7:$G$732,7,0)</f>
        <v>1. Concluído</v>
      </c>
      <c r="I111" s="314" t="s">
        <v>38</v>
      </c>
      <c r="J111" s="313"/>
      <c r="K111" s="313"/>
      <c r="L111" s="280">
        <f t="array" ref="L111">MIN(IF(W111:CI111&gt;0,$W$16:$CI$16))</f>
        <v>45618</v>
      </c>
      <c r="M111" s="281">
        <f t="array" ref="M111">MAX(IF(W111:CI111&gt;0,$W$16:$CI$16))</f>
        <v>45639</v>
      </c>
      <c r="N111" s="281"/>
      <c r="O111" s="239">
        <f>VLOOKUP(H111,Auxiliar!$B$16:$E$24,4,0)</f>
        <v>1</v>
      </c>
      <c r="P111" s="239">
        <f t="shared" ca="1" si="28"/>
        <v>1</v>
      </c>
      <c r="Q111" s="239">
        <f t="shared" ca="1" si="26"/>
        <v>0</v>
      </c>
      <c r="R111" s="328" t="s">
        <v>38</v>
      </c>
      <c r="S111" s="270"/>
      <c r="T111" s="290">
        <v>4</v>
      </c>
      <c r="U111" s="260">
        <f t="shared" si="30"/>
        <v>0.5</v>
      </c>
      <c r="V111" s="260">
        <f t="shared" si="29"/>
        <v>0</v>
      </c>
      <c r="W111" s="271"/>
      <c r="X111" s="271"/>
      <c r="Y111" s="271"/>
      <c r="Z111" s="271"/>
      <c r="AA111" s="271"/>
      <c r="AB111" s="271"/>
      <c r="AC111" s="271"/>
      <c r="AD111" s="272"/>
      <c r="AE111" s="271"/>
      <c r="AF111" s="271"/>
      <c r="AG111" s="271"/>
      <c r="AH111" s="271"/>
      <c r="AI111" s="271"/>
      <c r="AJ111" s="271"/>
      <c r="AK111" s="271"/>
      <c r="AL111" s="271"/>
      <c r="AM111" s="271"/>
      <c r="AN111" s="271"/>
      <c r="AO111" s="273"/>
      <c r="AP111" s="278"/>
      <c r="AQ111" s="271"/>
      <c r="AR111" s="271"/>
      <c r="AS111" s="271">
        <v>0.5</v>
      </c>
      <c r="AT111" s="271"/>
      <c r="AU111" s="271"/>
      <c r="AV111" s="271"/>
      <c r="AW111" s="271"/>
      <c r="AX111" s="271"/>
      <c r="AY111" s="271"/>
      <c r="AZ111" s="271"/>
      <c r="BA111" s="271"/>
      <c r="BB111" s="271"/>
      <c r="BC111" s="271"/>
      <c r="BD111" s="271"/>
      <c r="BE111" s="271"/>
      <c r="BF111" s="271"/>
      <c r="BG111" s="271"/>
      <c r="BH111" s="274" t="s">
        <v>443</v>
      </c>
      <c r="BI111" s="271"/>
      <c r="BJ111" s="271"/>
      <c r="BK111" s="271"/>
      <c r="BL111" s="271"/>
      <c r="BM111" s="271"/>
      <c r="BN111" s="271"/>
      <c r="BO111" s="272"/>
      <c r="BP111" s="272"/>
      <c r="BQ111" s="272"/>
      <c r="BR111" s="272"/>
      <c r="BS111" s="272"/>
      <c r="BT111" s="272"/>
      <c r="BU111" s="272"/>
      <c r="BV111" s="271"/>
      <c r="BW111" s="271"/>
      <c r="BX111" s="271"/>
      <c r="BY111" s="271"/>
      <c r="BZ111" s="271"/>
      <c r="CA111" s="271"/>
      <c r="CB111" s="271"/>
      <c r="CC111" s="271"/>
      <c r="CD111" s="271"/>
      <c r="CE111" s="271"/>
      <c r="CF111" s="271"/>
      <c r="CG111" s="271"/>
      <c r="CH111" s="271"/>
      <c r="CI111" s="271"/>
    </row>
    <row r="112" spans="1:87" ht="16.2" outlineLevel="1">
      <c r="A112" s="264" t="str">
        <f t="shared" si="27"/>
        <v>modesg_out_empr_info_nfincca_turnover_own_prfrmnce_algnd</v>
      </c>
      <c r="B112" s="141" t="s">
        <v>26</v>
      </c>
      <c r="C112" s="137" t="s">
        <v>310</v>
      </c>
      <c r="D112" s="226" t="s">
        <v>40</v>
      </c>
      <c r="E112" s="227" t="s">
        <v>325</v>
      </c>
      <c r="F112" s="227"/>
      <c r="G112" s="226" t="s">
        <v>247</v>
      </c>
      <c r="H112" s="226" t="str">
        <f>VLOOKUP(A112,'2. Status Detalhe Campos FY24'!$A$7:$G$732,7,0)</f>
        <v>1. Concluído</v>
      </c>
      <c r="I112" s="314" t="s">
        <v>38</v>
      </c>
      <c r="J112" s="313"/>
      <c r="K112" s="313"/>
      <c r="L112" s="280">
        <f t="array" ref="L112">MIN(IF(W112:CI112&gt;0,$W$16:$CI$16))</f>
        <v>45621</v>
      </c>
      <c r="M112" s="281">
        <f t="array" ref="M112">MAX(IF(W112:CI112&gt;0,$W$16:$CI$16))</f>
        <v>45639</v>
      </c>
      <c r="N112" s="281"/>
      <c r="O112" s="239">
        <f>VLOOKUP(H112,Auxiliar!$B$16:$E$24,4,0)</f>
        <v>1</v>
      </c>
      <c r="P112" s="239">
        <f t="shared" ca="1" si="28"/>
        <v>1</v>
      </c>
      <c r="Q112" s="239">
        <f t="shared" ca="1" si="26"/>
        <v>0</v>
      </c>
      <c r="R112" s="328" t="s">
        <v>38</v>
      </c>
      <c r="S112" s="270"/>
      <c r="T112" s="290">
        <v>4</v>
      </c>
      <c r="U112" s="260">
        <f t="shared" si="30"/>
        <v>0.5</v>
      </c>
      <c r="V112" s="260">
        <f t="shared" si="29"/>
        <v>0</v>
      </c>
      <c r="W112" s="271"/>
      <c r="X112" s="271"/>
      <c r="Y112" s="271"/>
      <c r="Z112" s="271"/>
      <c r="AA112" s="271"/>
      <c r="AB112" s="271"/>
      <c r="AC112" s="271"/>
      <c r="AD112" s="272"/>
      <c r="AE112" s="271"/>
      <c r="AF112" s="271"/>
      <c r="AG112" s="271"/>
      <c r="AH112" s="271"/>
      <c r="AI112" s="271"/>
      <c r="AJ112" s="271"/>
      <c r="AK112" s="271"/>
      <c r="AL112" s="271"/>
      <c r="AM112" s="271"/>
      <c r="AN112" s="271"/>
      <c r="AO112" s="273"/>
      <c r="AP112" s="278"/>
      <c r="AQ112" s="271"/>
      <c r="AR112" s="271"/>
      <c r="AS112" s="271"/>
      <c r="AT112" s="271">
        <v>0.5</v>
      </c>
      <c r="AU112" s="271"/>
      <c r="AV112" s="271"/>
      <c r="AW112" s="271"/>
      <c r="AX112" s="271"/>
      <c r="AY112" s="271"/>
      <c r="AZ112" s="271"/>
      <c r="BA112" s="271"/>
      <c r="BB112" s="271"/>
      <c r="BC112" s="271"/>
      <c r="BD112" s="271"/>
      <c r="BE112" s="271"/>
      <c r="BF112" s="271"/>
      <c r="BG112" s="271"/>
      <c r="BH112" s="274" t="s">
        <v>443</v>
      </c>
      <c r="BI112" s="271"/>
      <c r="BJ112" s="271"/>
      <c r="BK112" s="271"/>
      <c r="BL112" s="271"/>
      <c r="BM112" s="271"/>
      <c r="BN112" s="271"/>
      <c r="BO112" s="272"/>
      <c r="BP112" s="272"/>
      <c r="BQ112" s="272"/>
      <c r="BR112" s="272"/>
      <c r="BS112" s="272"/>
      <c r="BT112" s="272"/>
      <c r="BU112" s="272"/>
      <c r="BV112" s="271"/>
      <c r="BW112" s="271"/>
      <c r="BX112" s="271"/>
      <c r="BY112" s="271"/>
      <c r="BZ112" s="271"/>
      <c r="CA112" s="271"/>
      <c r="CB112" s="271"/>
      <c r="CC112" s="271"/>
      <c r="CD112" s="271"/>
      <c r="CE112" s="271"/>
      <c r="CF112" s="271"/>
      <c r="CG112" s="271"/>
      <c r="CH112" s="271"/>
      <c r="CI112" s="271"/>
    </row>
    <row r="113" spans="1:87" ht="16.2" outlineLevel="1">
      <c r="A113" s="264" t="str">
        <f t="shared" si="27"/>
        <v>modesg_out_empr_info_nfinccm_capex_enblng_algnd</v>
      </c>
      <c r="B113" s="141" t="s">
        <v>26</v>
      </c>
      <c r="C113" s="137" t="s">
        <v>310</v>
      </c>
      <c r="D113" s="226" t="s">
        <v>40</v>
      </c>
      <c r="E113" s="227" t="s">
        <v>325</v>
      </c>
      <c r="F113" s="227"/>
      <c r="G113" s="226" t="s">
        <v>256</v>
      </c>
      <c r="H113" s="226" t="str">
        <f>VLOOKUP(A113,'2. Status Detalhe Campos FY24'!$A$7:$G$732,7,0)</f>
        <v>1. Concluído</v>
      </c>
      <c r="I113" s="314" t="s">
        <v>38</v>
      </c>
      <c r="J113" s="313"/>
      <c r="K113" s="313"/>
      <c r="L113" s="280">
        <f t="array" ref="L113">MIN(IF(W113:CI113&gt;0,$W$16:$CI$16))</f>
        <v>45621</v>
      </c>
      <c r="M113" s="281">
        <f t="array" ref="M113">MAX(IF(W113:CI113&gt;0,$W$16:$CI$16))</f>
        <v>45639</v>
      </c>
      <c r="N113" s="281"/>
      <c r="O113" s="239">
        <f>VLOOKUP(H113,Auxiliar!$B$16:$E$24,4,0)</f>
        <v>1</v>
      </c>
      <c r="P113" s="239">
        <f t="shared" ca="1" si="28"/>
        <v>1</v>
      </c>
      <c r="Q113" s="239">
        <f t="shared" ca="1" si="26"/>
        <v>0</v>
      </c>
      <c r="R113" s="328" t="s">
        <v>38</v>
      </c>
      <c r="S113" s="270"/>
      <c r="T113" s="290">
        <v>4</v>
      </c>
      <c r="U113" s="260">
        <f t="shared" si="30"/>
        <v>0.5</v>
      </c>
      <c r="V113" s="260">
        <f t="shared" si="29"/>
        <v>0</v>
      </c>
      <c r="W113" s="271"/>
      <c r="X113" s="271"/>
      <c r="Y113" s="271"/>
      <c r="Z113" s="271"/>
      <c r="AA113" s="271"/>
      <c r="AB113" s="271"/>
      <c r="AC113" s="271"/>
      <c r="AD113" s="272"/>
      <c r="AE113" s="271"/>
      <c r="AF113" s="271"/>
      <c r="AG113" s="271"/>
      <c r="AH113" s="271"/>
      <c r="AI113" s="271"/>
      <c r="AJ113" s="271"/>
      <c r="AK113" s="271"/>
      <c r="AL113" s="271"/>
      <c r="AM113" s="271"/>
      <c r="AN113" s="271"/>
      <c r="AO113" s="273"/>
      <c r="AP113" s="278"/>
      <c r="AQ113" s="271"/>
      <c r="AR113" s="271"/>
      <c r="AS113" s="271"/>
      <c r="AT113" s="271">
        <v>0.5</v>
      </c>
      <c r="AU113" s="271"/>
      <c r="AV113" s="271"/>
      <c r="AW113" s="271"/>
      <c r="AX113" s="271"/>
      <c r="AY113" s="271"/>
      <c r="AZ113" s="271"/>
      <c r="BA113" s="271"/>
      <c r="BB113" s="271"/>
      <c r="BC113" s="271"/>
      <c r="BD113" s="271"/>
      <c r="BE113" s="271"/>
      <c r="BF113" s="271"/>
      <c r="BG113" s="271"/>
      <c r="BH113" s="274" t="s">
        <v>443</v>
      </c>
      <c r="BI113" s="271"/>
      <c r="BJ113" s="271"/>
      <c r="BK113" s="271"/>
      <c r="BL113" s="271"/>
      <c r="BM113" s="271"/>
      <c r="BN113" s="271"/>
      <c r="BO113" s="272"/>
      <c r="BP113" s="272"/>
      <c r="BQ113" s="272"/>
      <c r="BR113" s="272"/>
      <c r="BS113" s="272"/>
      <c r="BT113" s="272"/>
      <c r="BU113" s="272"/>
      <c r="BV113" s="271"/>
      <c r="BW113" s="271"/>
      <c r="BX113" s="271"/>
      <c r="BY113" s="271"/>
      <c r="BZ113" s="271"/>
      <c r="CA113" s="271"/>
      <c r="CB113" s="271"/>
      <c r="CC113" s="271"/>
      <c r="CD113" s="271"/>
      <c r="CE113" s="271"/>
      <c r="CF113" s="271"/>
      <c r="CG113" s="271"/>
      <c r="CH113" s="271"/>
      <c r="CI113" s="271"/>
    </row>
    <row r="114" spans="1:87" ht="16.2" outlineLevel="1">
      <c r="A114" s="264" t="str">
        <f t="shared" si="27"/>
        <v>modesg_out_empr_info_nfinccm_capex_own_prfrmnce_algnd</v>
      </c>
      <c r="B114" s="141" t="s">
        <v>26</v>
      </c>
      <c r="C114" s="137" t="s">
        <v>310</v>
      </c>
      <c r="D114" s="226" t="s">
        <v>40</v>
      </c>
      <c r="E114" s="227" t="s">
        <v>325</v>
      </c>
      <c r="F114" s="227"/>
      <c r="G114" s="226" t="s">
        <v>258</v>
      </c>
      <c r="H114" s="226" t="str">
        <f>VLOOKUP(A114,'2. Status Detalhe Campos FY24'!$A$7:$G$732,7,0)</f>
        <v>1. Concluído</v>
      </c>
      <c r="I114" s="314" t="s">
        <v>38</v>
      </c>
      <c r="J114" s="313"/>
      <c r="K114" s="313"/>
      <c r="L114" s="280">
        <f t="array" ref="L114">MIN(IF(W114:CI114&gt;0,$W$16:$CI$16))</f>
        <v>45622</v>
      </c>
      <c r="M114" s="281">
        <f t="array" ref="M114">MAX(IF(W114:CI114&gt;0,$W$16:$CI$16))</f>
        <v>45639</v>
      </c>
      <c r="N114" s="281"/>
      <c r="O114" s="239">
        <f>VLOOKUP(H114,Auxiliar!$B$16:$E$24,4,0)</f>
        <v>1</v>
      </c>
      <c r="P114" s="239">
        <f t="shared" ca="1" si="28"/>
        <v>1</v>
      </c>
      <c r="Q114" s="239">
        <f t="shared" ca="1" si="26"/>
        <v>0</v>
      </c>
      <c r="R114" s="328" t="s">
        <v>38</v>
      </c>
      <c r="S114" s="270"/>
      <c r="T114" s="290">
        <v>4</v>
      </c>
      <c r="U114" s="260">
        <f t="shared" si="30"/>
        <v>0.5</v>
      </c>
      <c r="V114" s="260">
        <f t="shared" si="29"/>
        <v>0</v>
      </c>
      <c r="W114" s="271"/>
      <c r="X114" s="271"/>
      <c r="Y114" s="271"/>
      <c r="Z114" s="271"/>
      <c r="AA114" s="271"/>
      <c r="AB114" s="271"/>
      <c r="AC114" s="271"/>
      <c r="AD114" s="272"/>
      <c r="AE114" s="271"/>
      <c r="AF114" s="271"/>
      <c r="AG114" s="271"/>
      <c r="AH114" s="271"/>
      <c r="AI114" s="271"/>
      <c r="AJ114" s="271"/>
      <c r="AK114" s="271"/>
      <c r="AL114" s="271"/>
      <c r="AM114" s="271"/>
      <c r="AN114" s="271"/>
      <c r="AO114" s="273"/>
      <c r="AP114" s="278"/>
      <c r="AQ114" s="271"/>
      <c r="AR114" s="271"/>
      <c r="AS114" s="271"/>
      <c r="AT114" s="271"/>
      <c r="AU114" s="271">
        <v>0.5</v>
      </c>
      <c r="AV114" s="271"/>
      <c r="AW114" s="271"/>
      <c r="AX114" s="271"/>
      <c r="AY114" s="271"/>
      <c r="AZ114" s="271"/>
      <c r="BA114" s="271"/>
      <c r="BB114" s="271"/>
      <c r="BC114" s="271"/>
      <c r="BD114" s="271"/>
      <c r="BE114" s="271"/>
      <c r="BF114" s="271"/>
      <c r="BG114" s="271"/>
      <c r="BH114" s="274" t="s">
        <v>443</v>
      </c>
      <c r="BI114" s="271"/>
      <c r="BJ114" s="271"/>
      <c r="BK114" s="271"/>
      <c r="BL114" s="271"/>
      <c r="BM114" s="271"/>
      <c r="BN114" s="271"/>
      <c r="BO114" s="272"/>
      <c r="BP114" s="272"/>
      <c r="BQ114" s="272"/>
      <c r="BR114" s="272"/>
      <c r="BS114" s="272"/>
      <c r="BT114" s="272"/>
      <c r="BU114" s="272"/>
      <c r="BV114" s="271"/>
      <c r="BW114" s="271"/>
      <c r="BX114" s="271"/>
      <c r="BY114" s="271"/>
      <c r="BZ114" s="271"/>
      <c r="CA114" s="271"/>
      <c r="CB114" s="271"/>
      <c r="CC114" s="271"/>
      <c r="CD114" s="271"/>
      <c r="CE114" s="271"/>
      <c r="CF114" s="271"/>
      <c r="CG114" s="271"/>
      <c r="CH114" s="271"/>
      <c r="CI114" s="271"/>
    </row>
    <row r="115" spans="1:87" ht="16.2" outlineLevel="1">
      <c r="A115" s="264" t="str">
        <f t="shared" si="27"/>
        <v>modesg_out_empr_info_nfinccm_capex_trnstn_algnd</v>
      </c>
      <c r="B115" s="141" t="s">
        <v>26</v>
      </c>
      <c r="C115" s="137" t="s">
        <v>310</v>
      </c>
      <c r="D115" s="226" t="s">
        <v>40</v>
      </c>
      <c r="E115" s="227" t="s">
        <v>325</v>
      </c>
      <c r="F115" s="227"/>
      <c r="G115" s="226" t="s">
        <v>257</v>
      </c>
      <c r="H115" s="226" t="str">
        <f>VLOOKUP(A115,'2. Status Detalhe Campos FY24'!$A$7:$G$732,7,0)</f>
        <v>1. Concluído</v>
      </c>
      <c r="I115" s="314" t="s">
        <v>38</v>
      </c>
      <c r="J115" s="313"/>
      <c r="K115" s="313"/>
      <c r="L115" s="280">
        <f t="array" ref="L115">MIN(IF(W115:CI115&gt;0,$W$16:$CI$16))</f>
        <v>45622</v>
      </c>
      <c r="M115" s="281">
        <f t="array" ref="M115">MAX(IF(W115:CI115&gt;0,$W$16:$CI$16))</f>
        <v>45639</v>
      </c>
      <c r="N115" s="281"/>
      <c r="O115" s="239">
        <f>VLOOKUP(H115,Auxiliar!$B$16:$E$24,4,0)</f>
        <v>1</v>
      </c>
      <c r="P115" s="239">
        <f t="shared" ca="1" si="28"/>
        <v>1</v>
      </c>
      <c r="Q115" s="239">
        <f t="shared" ca="1" si="26"/>
        <v>0</v>
      </c>
      <c r="R115" s="328" t="s">
        <v>38</v>
      </c>
      <c r="S115" s="270"/>
      <c r="T115" s="290">
        <v>4</v>
      </c>
      <c r="U115" s="260">
        <f t="shared" si="30"/>
        <v>0.5</v>
      </c>
      <c r="V115" s="260">
        <f t="shared" si="29"/>
        <v>0</v>
      </c>
      <c r="W115" s="271"/>
      <c r="X115" s="271"/>
      <c r="Y115" s="271"/>
      <c r="Z115" s="271"/>
      <c r="AA115" s="271"/>
      <c r="AB115" s="271"/>
      <c r="AC115" s="271"/>
      <c r="AD115" s="272"/>
      <c r="AE115" s="271"/>
      <c r="AF115" s="271"/>
      <c r="AG115" s="271"/>
      <c r="AH115" s="271"/>
      <c r="AI115" s="271"/>
      <c r="AJ115" s="271"/>
      <c r="AK115" s="271"/>
      <c r="AL115" s="271"/>
      <c r="AM115" s="271"/>
      <c r="AN115" s="271"/>
      <c r="AO115" s="273"/>
      <c r="AP115" s="278"/>
      <c r="AQ115" s="271"/>
      <c r="AR115" s="271"/>
      <c r="AS115" s="271"/>
      <c r="AT115" s="271"/>
      <c r="AU115" s="271">
        <v>0.5</v>
      </c>
      <c r="AV115" s="271"/>
      <c r="AW115" s="271"/>
      <c r="AX115" s="271"/>
      <c r="AY115" s="271"/>
      <c r="AZ115" s="271"/>
      <c r="BA115" s="271"/>
      <c r="BB115" s="271"/>
      <c r="BC115" s="271"/>
      <c r="BD115" s="271"/>
      <c r="BE115" s="271"/>
      <c r="BF115" s="271"/>
      <c r="BG115" s="271"/>
      <c r="BH115" s="274" t="s">
        <v>443</v>
      </c>
      <c r="BI115" s="271"/>
      <c r="BJ115" s="271"/>
      <c r="BK115" s="271"/>
      <c r="BL115" s="271"/>
      <c r="BM115" s="271"/>
      <c r="BN115" s="271"/>
      <c r="BO115" s="272"/>
      <c r="BP115" s="272"/>
      <c r="BQ115" s="272"/>
      <c r="BR115" s="272"/>
      <c r="BS115" s="272"/>
      <c r="BT115" s="272"/>
      <c r="BU115" s="272"/>
      <c r="BV115" s="271"/>
      <c r="BW115" s="271"/>
      <c r="BX115" s="271"/>
      <c r="BY115" s="271"/>
      <c r="BZ115" s="271"/>
      <c r="CA115" s="271"/>
      <c r="CB115" s="271"/>
      <c r="CC115" s="271"/>
      <c r="CD115" s="271"/>
      <c r="CE115" s="271"/>
      <c r="CF115" s="271"/>
      <c r="CG115" s="271"/>
      <c r="CH115" s="271"/>
      <c r="CI115" s="271"/>
    </row>
    <row r="116" spans="1:87" ht="16.2" outlineLevel="1">
      <c r="A116" s="264" t="str">
        <f t="shared" si="27"/>
        <v>modesg_out_empr_info_nfinccm_capex_ttl_elgbl</v>
      </c>
      <c r="B116" s="141" t="s">
        <v>26</v>
      </c>
      <c r="C116" s="137" t="s">
        <v>310</v>
      </c>
      <c r="D116" s="226" t="s">
        <v>40</v>
      </c>
      <c r="E116" s="227" t="s">
        <v>325</v>
      </c>
      <c r="F116" s="227"/>
      <c r="G116" s="226" t="s">
        <v>255</v>
      </c>
      <c r="H116" s="226" t="str">
        <f>VLOOKUP(A116,'2. Status Detalhe Campos FY24'!$A$7:$G$732,7,0)</f>
        <v>1. Concluído</v>
      </c>
      <c r="I116" s="314" t="s">
        <v>38</v>
      </c>
      <c r="J116" s="313"/>
      <c r="K116" s="313"/>
      <c r="L116" s="280">
        <f t="array" ref="L116">MIN(IF(W116:CI116&gt;0,$W$16:$CI$16))</f>
        <v>45623</v>
      </c>
      <c r="M116" s="281">
        <f t="array" ref="M116">MAX(IF(W116:CI116&gt;0,$W$16:$CI$16))</f>
        <v>45639</v>
      </c>
      <c r="N116" s="281"/>
      <c r="O116" s="239">
        <f>VLOOKUP(H116,Auxiliar!$B$16:$E$24,4,0)</f>
        <v>1</v>
      </c>
      <c r="P116" s="239">
        <f t="shared" ca="1" si="28"/>
        <v>1</v>
      </c>
      <c r="Q116" s="239">
        <f t="shared" ca="1" si="26"/>
        <v>0</v>
      </c>
      <c r="R116" s="328" t="s">
        <v>38</v>
      </c>
      <c r="S116" s="270"/>
      <c r="T116" s="290">
        <v>4</v>
      </c>
      <c r="U116" s="260">
        <f t="shared" si="30"/>
        <v>0.5</v>
      </c>
      <c r="V116" s="260">
        <f t="shared" si="29"/>
        <v>0</v>
      </c>
      <c r="W116" s="271"/>
      <c r="X116" s="271"/>
      <c r="Y116" s="271"/>
      <c r="Z116" s="271"/>
      <c r="AA116" s="271"/>
      <c r="AB116" s="271"/>
      <c r="AC116" s="271"/>
      <c r="AD116" s="272"/>
      <c r="AE116" s="271"/>
      <c r="AF116" s="271"/>
      <c r="AG116" s="271"/>
      <c r="AH116" s="271"/>
      <c r="AI116" s="271"/>
      <c r="AJ116" s="271"/>
      <c r="AK116" s="271"/>
      <c r="AL116" s="271"/>
      <c r="AM116" s="271"/>
      <c r="AN116" s="271"/>
      <c r="AO116" s="273"/>
      <c r="AP116" s="278"/>
      <c r="AQ116" s="271"/>
      <c r="AR116" s="271"/>
      <c r="AS116" s="271"/>
      <c r="AT116" s="271"/>
      <c r="AU116" s="271"/>
      <c r="AV116" s="271">
        <v>0.5</v>
      </c>
      <c r="AW116" s="271"/>
      <c r="AX116" s="271"/>
      <c r="AY116" s="271"/>
      <c r="AZ116" s="271"/>
      <c r="BA116" s="271"/>
      <c r="BB116" s="271"/>
      <c r="BC116" s="271"/>
      <c r="BD116" s="271"/>
      <c r="BE116" s="271"/>
      <c r="BF116" s="271"/>
      <c r="BG116" s="271"/>
      <c r="BH116" s="274" t="s">
        <v>443</v>
      </c>
      <c r="BI116" s="271"/>
      <c r="BJ116" s="271"/>
      <c r="BK116" s="271"/>
      <c r="BL116" s="271"/>
      <c r="BM116" s="271"/>
      <c r="BN116" s="271"/>
      <c r="BO116" s="272"/>
      <c r="BP116" s="272"/>
      <c r="BQ116" s="272"/>
      <c r="BR116" s="272"/>
      <c r="BS116" s="272"/>
      <c r="BT116" s="272"/>
      <c r="BU116" s="272"/>
      <c r="BV116" s="271"/>
      <c r="BW116" s="271"/>
      <c r="BX116" s="271"/>
      <c r="BY116" s="271"/>
      <c r="BZ116" s="271"/>
      <c r="CA116" s="271"/>
      <c r="CB116" s="271"/>
      <c r="CC116" s="271"/>
      <c r="CD116" s="271"/>
      <c r="CE116" s="271"/>
      <c r="CF116" s="271"/>
      <c r="CG116" s="271"/>
      <c r="CH116" s="271"/>
      <c r="CI116" s="271"/>
    </row>
    <row r="117" spans="1:87" ht="16.2" outlineLevel="1">
      <c r="A117" s="264" t="str">
        <f t="shared" si="27"/>
        <v>modesg_out_empr_info_nfinccm_trnvr_enblng_algnd</v>
      </c>
      <c r="B117" s="141" t="s">
        <v>26</v>
      </c>
      <c r="C117" s="137" t="s">
        <v>310</v>
      </c>
      <c r="D117" s="226" t="s">
        <v>40</v>
      </c>
      <c r="E117" s="227" t="s">
        <v>325</v>
      </c>
      <c r="F117" s="227"/>
      <c r="G117" s="226" t="s">
        <v>252</v>
      </c>
      <c r="H117" s="226" t="str">
        <f>VLOOKUP(A117,'2. Status Detalhe Campos FY24'!$A$7:$G$732,7,0)</f>
        <v>1. Concluído</v>
      </c>
      <c r="I117" s="314" t="s">
        <v>38</v>
      </c>
      <c r="J117" s="313"/>
      <c r="K117" s="313"/>
      <c r="L117" s="280">
        <f t="array" ref="L117">MIN(IF(W117:CI117&gt;0,$W$16:$CI$16))</f>
        <v>45623</v>
      </c>
      <c r="M117" s="281">
        <f t="array" ref="M117">MAX(IF(W117:CI117&gt;0,$W$16:$CI$16))</f>
        <v>45639</v>
      </c>
      <c r="N117" s="281"/>
      <c r="O117" s="239">
        <f>VLOOKUP(H117,Auxiliar!$B$16:$E$24,4,0)</f>
        <v>1</v>
      </c>
      <c r="P117" s="239">
        <f t="shared" ca="1" si="28"/>
        <v>1</v>
      </c>
      <c r="Q117" s="239">
        <f t="shared" ca="1" si="26"/>
        <v>0</v>
      </c>
      <c r="R117" s="328" t="s">
        <v>38</v>
      </c>
      <c r="S117" s="270"/>
      <c r="T117" s="290">
        <v>4</v>
      </c>
      <c r="U117" s="260">
        <f t="shared" si="30"/>
        <v>0.5</v>
      </c>
      <c r="V117" s="260">
        <f t="shared" si="29"/>
        <v>0</v>
      </c>
      <c r="W117" s="271"/>
      <c r="X117" s="271"/>
      <c r="Y117" s="271"/>
      <c r="Z117" s="271"/>
      <c r="AA117" s="271"/>
      <c r="AB117" s="271"/>
      <c r="AC117" s="271"/>
      <c r="AD117" s="272"/>
      <c r="AE117" s="271"/>
      <c r="AF117" s="271"/>
      <c r="AG117" s="271"/>
      <c r="AH117" s="271"/>
      <c r="AI117" s="271"/>
      <c r="AJ117" s="271"/>
      <c r="AK117" s="271"/>
      <c r="AL117" s="271"/>
      <c r="AM117" s="271"/>
      <c r="AN117" s="271"/>
      <c r="AO117" s="273"/>
      <c r="AP117" s="278"/>
      <c r="AQ117" s="271"/>
      <c r="AR117" s="271"/>
      <c r="AS117" s="271"/>
      <c r="AT117" s="271"/>
      <c r="AU117" s="271"/>
      <c r="AV117" s="271">
        <v>0.5</v>
      </c>
      <c r="AW117" s="271"/>
      <c r="AX117" s="271"/>
      <c r="AY117" s="271"/>
      <c r="AZ117" s="271"/>
      <c r="BA117" s="271"/>
      <c r="BB117" s="271"/>
      <c r="BC117" s="271"/>
      <c r="BD117" s="271"/>
      <c r="BE117" s="271"/>
      <c r="BF117" s="271"/>
      <c r="BG117" s="271"/>
      <c r="BH117" s="274" t="s">
        <v>443</v>
      </c>
      <c r="BI117" s="271"/>
      <c r="BJ117" s="271"/>
      <c r="BK117" s="271"/>
      <c r="BL117" s="271"/>
      <c r="BM117" s="271"/>
      <c r="BN117" s="271"/>
      <c r="BO117" s="272"/>
      <c r="BP117" s="272"/>
      <c r="BQ117" s="272"/>
      <c r="BR117" s="272"/>
      <c r="BS117" s="272"/>
      <c r="BT117" s="272"/>
      <c r="BU117" s="272"/>
      <c r="BV117" s="271"/>
      <c r="BW117" s="271"/>
      <c r="BX117" s="271"/>
      <c r="BY117" s="271"/>
      <c r="BZ117" s="271"/>
      <c r="CA117" s="271"/>
      <c r="CB117" s="271"/>
      <c r="CC117" s="271"/>
      <c r="CD117" s="271"/>
      <c r="CE117" s="271"/>
      <c r="CF117" s="271"/>
      <c r="CG117" s="271"/>
      <c r="CH117" s="271"/>
      <c r="CI117" s="271"/>
    </row>
    <row r="118" spans="1:87" ht="16.2" outlineLevel="1">
      <c r="A118" s="264" t="str">
        <f t="shared" si="27"/>
        <v>modesg_out_empr_info_nfinccm_trnvr_own_prfrmnce_algnd</v>
      </c>
      <c r="B118" s="141" t="s">
        <v>26</v>
      </c>
      <c r="C118" s="137" t="s">
        <v>310</v>
      </c>
      <c r="D118" s="226" t="s">
        <v>40</v>
      </c>
      <c r="E118" s="227" t="s">
        <v>325</v>
      </c>
      <c r="F118" s="227"/>
      <c r="G118" s="226" t="s">
        <v>254</v>
      </c>
      <c r="H118" s="226" t="str">
        <f>VLOOKUP(A118,'2. Status Detalhe Campos FY24'!$A$7:$G$732,7,0)</f>
        <v>1. Concluído</v>
      </c>
      <c r="I118" s="314" t="s">
        <v>38</v>
      </c>
      <c r="J118" s="313"/>
      <c r="K118" s="313"/>
      <c r="L118" s="280">
        <f t="array" ref="L118">MIN(IF(W118:CI118&gt;0,$W$16:$CI$16))</f>
        <v>45624</v>
      </c>
      <c r="M118" s="281">
        <f t="array" ref="M118">MAX(IF(W118:CI118&gt;0,$W$16:$CI$16))</f>
        <v>45639</v>
      </c>
      <c r="N118" s="281"/>
      <c r="O118" s="239">
        <f>VLOOKUP(H118,Auxiliar!$B$16:$E$24,4,0)</f>
        <v>1</v>
      </c>
      <c r="P118" s="239">
        <f t="shared" ca="1" si="28"/>
        <v>1</v>
      </c>
      <c r="Q118" s="239">
        <f t="shared" ca="1" si="26"/>
        <v>0</v>
      </c>
      <c r="R118" s="328" t="s">
        <v>38</v>
      </c>
      <c r="S118" s="270"/>
      <c r="T118" s="290">
        <v>4</v>
      </c>
      <c r="U118" s="260">
        <f t="shared" si="30"/>
        <v>0.5</v>
      </c>
      <c r="V118" s="260">
        <f t="shared" si="29"/>
        <v>0</v>
      </c>
      <c r="W118" s="271"/>
      <c r="X118" s="271"/>
      <c r="Y118" s="271"/>
      <c r="Z118" s="271"/>
      <c r="AA118" s="271"/>
      <c r="AB118" s="271"/>
      <c r="AC118" s="271"/>
      <c r="AD118" s="272"/>
      <c r="AE118" s="271"/>
      <c r="AF118" s="271"/>
      <c r="AG118" s="271"/>
      <c r="AH118" s="271"/>
      <c r="AI118" s="271"/>
      <c r="AJ118" s="271"/>
      <c r="AK118" s="271"/>
      <c r="AL118" s="271"/>
      <c r="AM118" s="271"/>
      <c r="AN118" s="271"/>
      <c r="AO118" s="273"/>
      <c r="AP118" s="278"/>
      <c r="AQ118" s="271"/>
      <c r="AR118" s="271"/>
      <c r="AS118" s="271"/>
      <c r="AT118" s="271"/>
      <c r="AU118" s="271"/>
      <c r="AV118" s="271"/>
      <c r="AW118" s="271">
        <v>0.5</v>
      </c>
      <c r="AX118" s="271"/>
      <c r="AY118" s="271"/>
      <c r="AZ118" s="271"/>
      <c r="BA118" s="271"/>
      <c r="BB118" s="271"/>
      <c r="BC118" s="271"/>
      <c r="BD118" s="271"/>
      <c r="BE118" s="271"/>
      <c r="BF118" s="271"/>
      <c r="BG118" s="271"/>
      <c r="BH118" s="274" t="s">
        <v>443</v>
      </c>
      <c r="BI118" s="271"/>
      <c r="BJ118" s="271"/>
      <c r="BK118" s="271"/>
      <c r="BL118" s="271"/>
      <c r="BM118" s="271"/>
      <c r="BN118" s="271"/>
      <c r="BO118" s="272"/>
      <c r="BP118" s="272"/>
      <c r="BQ118" s="272"/>
      <c r="BR118" s="272"/>
      <c r="BS118" s="272"/>
      <c r="BT118" s="272"/>
      <c r="BU118" s="272"/>
      <c r="BV118" s="271"/>
      <c r="BW118" s="271"/>
      <c r="BX118" s="271"/>
      <c r="BY118" s="271"/>
      <c r="BZ118" s="271"/>
      <c r="CA118" s="271"/>
      <c r="CB118" s="271"/>
      <c r="CC118" s="271"/>
      <c r="CD118" s="271"/>
      <c r="CE118" s="271"/>
      <c r="CF118" s="271"/>
      <c r="CG118" s="271"/>
      <c r="CH118" s="271"/>
      <c r="CI118" s="271"/>
    </row>
    <row r="119" spans="1:87" ht="16.2" outlineLevel="1">
      <c r="A119" s="264" t="str">
        <f t="shared" si="27"/>
        <v>modesg_out_empr_info_nfinccm_trnvr_trnstn_alignd</v>
      </c>
      <c r="B119" s="141" t="s">
        <v>26</v>
      </c>
      <c r="C119" s="137" t="s">
        <v>310</v>
      </c>
      <c r="D119" s="226" t="s">
        <v>40</v>
      </c>
      <c r="E119" s="227" t="s">
        <v>325</v>
      </c>
      <c r="F119" s="227"/>
      <c r="G119" s="226" t="s">
        <v>253</v>
      </c>
      <c r="H119" s="226" t="str">
        <f>VLOOKUP(A119,'2. Status Detalhe Campos FY24'!$A$7:$G$732,7,0)</f>
        <v>1. Concluído</v>
      </c>
      <c r="I119" s="314" t="s">
        <v>38</v>
      </c>
      <c r="J119" s="313"/>
      <c r="K119" s="313"/>
      <c r="L119" s="280">
        <f t="array" ref="L119">MIN(IF(W119:CI119&gt;0,$W$16:$CI$16))</f>
        <v>45624</v>
      </c>
      <c r="M119" s="281">
        <f t="array" ref="M119">MAX(IF(W119:CI119&gt;0,$W$16:$CI$16))</f>
        <v>45639</v>
      </c>
      <c r="N119" s="281"/>
      <c r="O119" s="239">
        <f>VLOOKUP(H119,Auxiliar!$B$16:$E$24,4,0)</f>
        <v>1</v>
      </c>
      <c r="P119" s="239">
        <f t="shared" ca="1" si="28"/>
        <v>1</v>
      </c>
      <c r="Q119" s="239">
        <f t="shared" ca="1" si="26"/>
        <v>0</v>
      </c>
      <c r="R119" s="328" t="s">
        <v>38</v>
      </c>
      <c r="S119" s="270"/>
      <c r="T119" s="290">
        <v>4</v>
      </c>
      <c r="U119" s="260">
        <f t="shared" si="30"/>
        <v>0.5</v>
      </c>
      <c r="V119" s="260">
        <f t="shared" si="29"/>
        <v>0</v>
      </c>
      <c r="W119" s="271"/>
      <c r="X119" s="271"/>
      <c r="Y119" s="271"/>
      <c r="Z119" s="271"/>
      <c r="AA119" s="271"/>
      <c r="AB119" s="271"/>
      <c r="AC119" s="271"/>
      <c r="AD119" s="272"/>
      <c r="AE119" s="271"/>
      <c r="AF119" s="271"/>
      <c r="AG119" s="271"/>
      <c r="AH119" s="271"/>
      <c r="AI119" s="271"/>
      <c r="AJ119" s="271"/>
      <c r="AK119" s="271"/>
      <c r="AL119" s="271"/>
      <c r="AM119" s="271"/>
      <c r="AN119" s="271"/>
      <c r="AO119" s="273"/>
      <c r="AP119" s="278"/>
      <c r="AQ119" s="271"/>
      <c r="AR119" s="271"/>
      <c r="AS119" s="271"/>
      <c r="AT119" s="271"/>
      <c r="AU119" s="271"/>
      <c r="AV119" s="271"/>
      <c r="AW119" s="271">
        <v>0.5</v>
      </c>
      <c r="AX119" s="271"/>
      <c r="AY119" s="271"/>
      <c r="AZ119" s="271"/>
      <c r="BA119" s="271"/>
      <c r="BB119" s="271"/>
      <c r="BC119" s="271"/>
      <c r="BD119" s="271"/>
      <c r="BE119" s="271"/>
      <c r="BF119" s="271"/>
      <c r="BG119" s="271"/>
      <c r="BH119" s="274" t="s">
        <v>443</v>
      </c>
      <c r="BI119" s="271"/>
      <c r="BJ119" s="271"/>
      <c r="BK119" s="271"/>
      <c r="BL119" s="271"/>
      <c r="BM119" s="271"/>
      <c r="BN119" s="271"/>
      <c r="BO119" s="272"/>
      <c r="BP119" s="272"/>
      <c r="BQ119" s="272"/>
      <c r="BR119" s="272"/>
      <c r="BS119" s="272"/>
      <c r="BT119" s="272"/>
      <c r="BU119" s="272"/>
      <c r="BV119" s="271"/>
      <c r="BW119" s="271"/>
      <c r="BX119" s="271"/>
      <c r="BY119" s="271"/>
      <c r="BZ119" s="271"/>
      <c r="CA119" s="271"/>
      <c r="CB119" s="271"/>
      <c r="CC119" s="271"/>
      <c r="CD119" s="271"/>
      <c r="CE119" s="271"/>
      <c r="CF119" s="271"/>
      <c r="CG119" s="271"/>
      <c r="CH119" s="271"/>
      <c r="CI119" s="271"/>
    </row>
    <row r="120" spans="1:87" ht="16.2" outlineLevel="1">
      <c r="A120" s="264" t="str">
        <f t="shared" si="27"/>
        <v>modesg_out_empr_info_nfinccm_trnvr_ttl_elgbl</v>
      </c>
      <c r="B120" s="141" t="s">
        <v>26</v>
      </c>
      <c r="C120" s="137" t="s">
        <v>310</v>
      </c>
      <c r="D120" s="226" t="s">
        <v>40</v>
      </c>
      <c r="E120" s="227" t="s">
        <v>325</v>
      </c>
      <c r="F120" s="227"/>
      <c r="G120" s="226" t="s">
        <v>251</v>
      </c>
      <c r="H120" s="226" t="str">
        <f>VLOOKUP(A120,'2. Status Detalhe Campos FY24'!$A$7:$G$732,7,0)</f>
        <v>1. Concluído</v>
      </c>
      <c r="I120" s="314" t="s">
        <v>38</v>
      </c>
      <c r="J120" s="313"/>
      <c r="K120" s="313"/>
      <c r="L120" s="280">
        <f t="array" ref="L120">MIN(IF(W120:CI120&gt;0,$W$16:$CI$16))</f>
        <v>45625</v>
      </c>
      <c r="M120" s="281">
        <f t="array" ref="M120">MAX(IF(W120:CI120&gt;0,$W$16:$CI$16))</f>
        <v>45639</v>
      </c>
      <c r="N120" s="281"/>
      <c r="O120" s="239">
        <f>VLOOKUP(H120,Auxiliar!$B$16:$E$24,4,0)</f>
        <v>1</v>
      </c>
      <c r="P120" s="239">
        <f t="shared" ca="1" si="28"/>
        <v>1</v>
      </c>
      <c r="Q120" s="239">
        <f t="shared" ca="1" si="26"/>
        <v>0</v>
      </c>
      <c r="R120" s="328" t="s">
        <v>38</v>
      </c>
      <c r="S120" s="270"/>
      <c r="T120" s="290">
        <v>4</v>
      </c>
      <c r="U120" s="260">
        <f t="shared" si="30"/>
        <v>0.5</v>
      </c>
      <c r="V120" s="260">
        <f t="shared" si="29"/>
        <v>0</v>
      </c>
      <c r="W120" s="271"/>
      <c r="X120" s="271"/>
      <c r="Y120" s="271"/>
      <c r="Z120" s="271"/>
      <c r="AA120" s="271"/>
      <c r="AB120" s="271"/>
      <c r="AC120" s="271"/>
      <c r="AD120" s="272"/>
      <c r="AE120" s="271"/>
      <c r="AF120" s="271"/>
      <c r="AG120" s="271"/>
      <c r="AH120" s="271"/>
      <c r="AI120" s="271"/>
      <c r="AJ120" s="271"/>
      <c r="AK120" s="271"/>
      <c r="AL120" s="271"/>
      <c r="AM120" s="271"/>
      <c r="AN120" s="271"/>
      <c r="AO120" s="273"/>
      <c r="AP120" s="278"/>
      <c r="AQ120" s="271"/>
      <c r="AR120" s="271"/>
      <c r="AS120" s="271"/>
      <c r="AT120" s="271"/>
      <c r="AU120" s="271"/>
      <c r="AV120" s="271"/>
      <c r="AW120" s="271"/>
      <c r="AX120" s="271">
        <v>0.5</v>
      </c>
      <c r="AY120" s="271"/>
      <c r="AZ120" s="271"/>
      <c r="BA120" s="271"/>
      <c r="BB120" s="271"/>
      <c r="BC120" s="271"/>
      <c r="BD120" s="271"/>
      <c r="BE120" s="271"/>
      <c r="BF120" s="271"/>
      <c r="BG120" s="271"/>
      <c r="BH120" s="274" t="s">
        <v>443</v>
      </c>
      <c r="BI120" s="271"/>
      <c r="BJ120" s="271"/>
      <c r="BK120" s="271"/>
      <c r="BL120" s="271"/>
      <c r="BM120" s="271"/>
      <c r="BN120" s="271"/>
      <c r="BO120" s="272"/>
      <c r="BP120" s="272"/>
      <c r="BQ120" s="272"/>
      <c r="BR120" s="272"/>
      <c r="BS120" s="272"/>
      <c r="BT120" s="272"/>
      <c r="BU120" s="272"/>
      <c r="BV120" s="271"/>
      <c r="BW120" s="271"/>
      <c r="BX120" s="271"/>
      <c r="BY120" s="271"/>
      <c r="BZ120" s="271"/>
      <c r="CA120" s="271"/>
      <c r="CB120" s="271"/>
      <c r="CC120" s="271"/>
      <c r="CD120" s="271"/>
      <c r="CE120" s="271"/>
      <c r="CF120" s="271"/>
      <c r="CG120" s="271"/>
      <c r="CH120" s="271"/>
      <c r="CI120" s="271"/>
    </row>
    <row r="121" spans="1:87" ht="15" customHeight="1" collapsed="1">
      <c r="A121" s="264"/>
      <c r="B121" s="141" t="s">
        <v>26</v>
      </c>
      <c r="C121" s="137" t="s">
        <v>26</v>
      </c>
      <c r="D121" s="133"/>
      <c r="E121" s="232" t="s">
        <v>335</v>
      </c>
      <c r="F121" s="230" t="s">
        <v>1912</v>
      </c>
      <c r="G121" s="231">
        <f>COUNTA(G122)</f>
        <v>1</v>
      </c>
      <c r="H121" s="285" t="s">
        <v>1921</v>
      </c>
      <c r="I121" s="268">
        <f>MAX(I122)</f>
        <v>45590</v>
      </c>
      <c r="J121" s="267">
        <f>MIN(J122)</f>
        <v>0</v>
      </c>
      <c r="K121" s="316">
        <f>MIN(K122)</f>
        <v>0</v>
      </c>
      <c r="L121" s="267">
        <f>MIN(L122)</f>
        <v>45631</v>
      </c>
      <c r="M121" s="268">
        <f>MAX(M122)</f>
        <v>45639</v>
      </c>
      <c r="N121" s="312">
        <f t="array" ref="N121">MAX(IF(W121:CI121&gt;0,$W$16:$CI$16))</f>
        <v>45646</v>
      </c>
      <c r="O121" s="311">
        <f>O122</f>
        <v>1</v>
      </c>
      <c r="P121" s="311">
        <f ca="1">P122</f>
        <v>1</v>
      </c>
      <c r="Q121" s="238">
        <f t="shared" ca="1" si="26"/>
        <v>0</v>
      </c>
      <c r="R121" s="329" t="s">
        <v>1948</v>
      </c>
      <c r="S121" s="270"/>
      <c r="T121" s="260"/>
      <c r="U121" s="260"/>
      <c r="V121" s="260"/>
      <c r="W121" s="271"/>
      <c r="X121" s="271"/>
      <c r="Y121" s="271"/>
      <c r="Z121" s="271"/>
      <c r="AA121" s="271"/>
      <c r="AB121" s="271"/>
      <c r="AC121" s="271"/>
      <c r="AD121" s="272"/>
      <c r="AE121" s="271"/>
      <c r="AF121" s="271"/>
      <c r="AG121" s="271"/>
      <c r="AH121" s="271"/>
      <c r="AI121" s="271"/>
      <c r="AJ121" s="271"/>
      <c r="AK121" s="271"/>
      <c r="AL121" s="271"/>
      <c r="AM121" s="271"/>
      <c r="AN121" s="271"/>
      <c r="AO121" s="271"/>
      <c r="AP121" s="271"/>
      <c r="AQ121" s="271"/>
      <c r="AR121" s="271"/>
      <c r="AS121" s="271"/>
      <c r="AT121" s="271"/>
      <c r="AU121" s="271"/>
      <c r="AV121" s="271"/>
      <c r="AW121" s="278"/>
      <c r="AX121" s="271"/>
      <c r="AY121" s="271"/>
      <c r="AZ121" s="271"/>
      <c r="BA121" s="271"/>
      <c r="BB121" s="271"/>
      <c r="BC121" s="274" t="s">
        <v>443</v>
      </c>
      <c r="BD121" s="271"/>
      <c r="BE121" s="271"/>
      <c r="BF121" s="271"/>
      <c r="BG121" s="271"/>
      <c r="BH121" s="271" t="s">
        <v>443</v>
      </c>
      <c r="BI121" s="271"/>
      <c r="BJ121" s="271"/>
      <c r="BK121" s="271"/>
      <c r="BL121" s="271"/>
      <c r="BM121" s="271" t="s">
        <v>443</v>
      </c>
      <c r="BN121" s="271"/>
      <c r="BO121" s="272"/>
      <c r="BP121" s="272"/>
      <c r="BQ121" s="272"/>
      <c r="BR121" s="272"/>
      <c r="BS121" s="272"/>
      <c r="BT121" s="272"/>
      <c r="BU121" s="272"/>
      <c r="BV121" s="271"/>
      <c r="BW121" s="271"/>
      <c r="BX121" s="271"/>
      <c r="BY121" s="271"/>
      <c r="BZ121" s="271"/>
      <c r="CA121" s="271"/>
      <c r="CB121" s="271"/>
      <c r="CC121" s="271"/>
      <c r="CD121" s="271"/>
      <c r="CE121" s="271"/>
      <c r="CF121" s="271"/>
      <c r="CG121" s="271"/>
      <c r="CH121" s="271"/>
      <c r="CI121" s="271"/>
    </row>
    <row r="122" spans="1:87" ht="16.2" outlineLevel="1">
      <c r="A122" s="264" t="str">
        <f>E122&amp;G122</f>
        <v>lt003_entityttl_lblty</v>
      </c>
      <c r="B122" s="141" t="s">
        <v>26</v>
      </c>
      <c r="C122" s="137" t="s">
        <v>26</v>
      </c>
      <c r="D122" s="226" t="s">
        <v>40</v>
      </c>
      <c r="E122" s="229" t="s">
        <v>335</v>
      </c>
      <c r="F122" s="229"/>
      <c r="G122" s="229" t="s">
        <v>361</v>
      </c>
      <c r="H122" s="226" t="str">
        <f>VLOOKUP(A122,'2. Status Detalhe Campos FY24'!$A$7:$G$732,7,0)</f>
        <v>1. Concluído</v>
      </c>
      <c r="I122" s="275">
        <v>45590</v>
      </c>
      <c r="J122" s="313"/>
      <c r="K122" s="313"/>
      <c r="L122" s="280">
        <f t="array" ref="L122">MIN(IF(W122:CI122&gt;0,$W$16:$CI$16))</f>
        <v>45631</v>
      </c>
      <c r="M122" s="281">
        <f t="array" ref="M122">MAX(IF(W122:CI122&gt;0,$W$16:$CI$16))</f>
        <v>45639</v>
      </c>
      <c r="N122" s="281"/>
      <c r="O122" s="239">
        <f>VLOOKUP(H122,Auxiliar!$B$16:$E$24,4,0)</f>
        <v>1</v>
      </c>
      <c r="P122" s="239">
        <f ca="1">IF(TODAY()&lt;=L122,0,MIN((TODAY()-L122)/(M122-L122+1),100%))</f>
        <v>1</v>
      </c>
      <c r="Q122" s="239">
        <f t="shared" ca="1" si="26"/>
        <v>0</v>
      </c>
      <c r="R122" s="328" t="s">
        <v>38</v>
      </c>
      <c r="S122" s="270"/>
      <c r="T122" s="260">
        <v>4.0999999999999996</v>
      </c>
      <c r="U122" s="260">
        <f>ROUND(T122/8,1)</f>
        <v>0.5</v>
      </c>
      <c r="V122" s="260">
        <f>SUM(W122:CI122)-U122</f>
        <v>0</v>
      </c>
      <c r="W122" s="271"/>
      <c r="X122" s="279"/>
      <c r="Y122" s="271"/>
      <c r="Z122" s="279"/>
      <c r="AA122" s="271"/>
      <c r="AB122" s="271"/>
      <c r="AC122" s="271"/>
      <c r="AD122" s="272"/>
      <c r="AE122" s="271"/>
      <c r="AF122" s="271"/>
      <c r="AG122" s="271"/>
      <c r="AH122" s="271"/>
      <c r="AI122" s="271"/>
      <c r="AJ122" s="271"/>
      <c r="AK122" s="271"/>
      <c r="AL122" s="271"/>
      <c r="AM122" s="271"/>
      <c r="AN122" s="271"/>
      <c r="AO122" s="271"/>
      <c r="AP122" s="271"/>
      <c r="AQ122" s="271"/>
      <c r="AR122" s="271"/>
      <c r="AS122" s="271"/>
      <c r="AT122" s="271"/>
      <c r="AU122" s="271"/>
      <c r="AV122" s="271"/>
      <c r="AW122" s="278"/>
      <c r="AX122" s="271"/>
      <c r="AY122" s="271"/>
      <c r="AZ122" s="271"/>
      <c r="BA122" s="271"/>
      <c r="BB122" s="271">
        <v>0.5</v>
      </c>
      <c r="BC122" s="271"/>
      <c r="BD122" s="271"/>
      <c r="BE122" s="271"/>
      <c r="BF122" s="271"/>
      <c r="BG122" s="271"/>
      <c r="BH122" s="271" t="s">
        <v>443</v>
      </c>
      <c r="BI122" s="271"/>
      <c r="BJ122" s="271"/>
      <c r="BK122" s="271"/>
      <c r="BL122" s="271"/>
      <c r="BM122" s="271"/>
      <c r="BN122" s="271"/>
      <c r="BO122" s="272"/>
      <c r="BP122" s="272"/>
      <c r="BQ122" s="272"/>
      <c r="BR122" s="272"/>
      <c r="BS122" s="272"/>
      <c r="BT122" s="272"/>
      <c r="BU122" s="272"/>
      <c r="BV122" s="271"/>
      <c r="BW122" s="271"/>
      <c r="BX122" s="271"/>
      <c r="BY122" s="271"/>
      <c r="BZ122" s="271"/>
      <c r="CA122" s="271"/>
      <c r="CB122" s="271"/>
      <c r="CC122" s="271"/>
      <c r="CD122" s="271"/>
      <c r="CE122" s="271"/>
      <c r="CF122" s="271"/>
      <c r="CG122" s="271"/>
      <c r="CH122" s="271"/>
      <c r="CI122" s="271"/>
    </row>
    <row r="123" spans="1:87" ht="16.2" collapsed="1">
      <c r="A123" s="264"/>
      <c r="B123" s="141" t="s">
        <v>26</v>
      </c>
      <c r="C123" s="137" t="s">
        <v>310</v>
      </c>
      <c r="D123" s="133"/>
      <c r="E123" s="230" t="s">
        <v>331</v>
      </c>
      <c r="F123" s="230" t="s">
        <v>1929</v>
      </c>
      <c r="G123" s="231">
        <f>COUNTA(G124:G127)</f>
        <v>4</v>
      </c>
      <c r="H123" s="285" t="s">
        <v>1921</v>
      </c>
      <c r="I123" s="266" t="s">
        <v>38</v>
      </c>
      <c r="J123" s="267">
        <f>MIN(J124:J127)</f>
        <v>45625</v>
      </c>
      <c r="K123" s="267"/>
      <c r="L123" s="267">
        <f>MIN(L124:L127)</f>
        <v>45628</v>
      </c>
      <c r="M123" s="268">
        <f>MAX(M124:M127)</f>
        <v>45632</v>
      </c>
      <c r="N123" s="312">
        <f t="array" ref="N123">MAX(IF(W123:CI123&gt;0,$W$16:$CI$16))</f>
        <v>45632</v>
      </c>
      <c r="O123" s="311">
        <f>SUMPRODUCT(O124:O127,U124:U127)/SUM(U124:U127)</f>
        <v>1</v>
      </c>
      <c r="P123" s="311">
        <f ca="1">SUMPRODUCT(P124:P127,U124:U127)/SUM(U124:U127)</f>
        <v>1</v>
      </c>
      <c r="Q123" s="303">
        <f t="shared" ca="1" si="26"/>
        <v>0</v>
      </c>
      <c r="R123" s="329" t="s">
        <v>1941</v>
      </c>
      <c r="S123" s="270"/>
      <c r="T123" s="260"/>
      <c r="U123" s="260"/>
      <c r="V123" s="260"/>
      <c r="W123" s="271"/>
      <c r="X123" s="271"/>
      <c r="Y123" s="271"/>
      <c r="Z123" s="271"/>
      <c r="AA123" s="271"/>
      <c r="AB123" s="271"/>
      <c r="AC123" s="271"/>
      <c r="AD123" s="272"/>
      <c r="AE123" s="271"/>
      <c r="AF123" s="271"/>
      <c r="AG123" s="271"/>
      <c r="AH123" s="271"/>
      <c r="AI123" s="271"/>
      <c r="AJ123" s="273"/>
      <c r="AK123" s="271"/>
      <c r="AL123" s="271"/>
      <c r="AM123" s="271"/>
      <c r="AN123" s="271"/>
      <c r="AO123" s="271"/>
      <c r="AP123" s="271"/>
      <c r="AQ123" s="271"/>
      <c r="AR123" s="271"/>
      <c r="AS123" s="271"/>
      <c r="AT123" s="271"/>
      <c r="AU123" s="271"/>
      <c r="AV123" s="271"/>
      <c r="AW123" s="271"/>
      <c r="AX123" s="273"/>
      <c r="AY123" s="271"/>
      <c r="AZ123" s="271"/>
      <c r="BA123" s="271"/>
      <c r="BB123" s="271"/>
      <c r="BC123" s="271" t="s">
        <v>443</v>
      </c>
      <c r="BD123" s="271"/>
      <c r="BE123" s="271"/>
      <c r="BF123" s="271"/>
      <c r="BG123" s="271"/>
      <c r="BH123" s="271"/>
      <c r="BI123" s="271"/>
      <c r="BJ123" s="271"/>
      <c r="BK123" s="271"/>
      <c r="BL123" s="271"/>
      <c r="BM123" s="271"/>
      <c r="BN123" s="271"/>
      <c r="BO123" s="272"/>
      <c r="BP123" s="272"/>
      <c r="BQ123" s="272"/>
      <c r="BR123" s="272"/>
      <c r="BS123" s="272"/>
      <c r="BT123" s="272"/>
      <c r="BU123" s="272"/>
      <c r="BV123" s="271"/>
      <c r="BW123" s="271"/>
      <c r="BX123" s="271"/>
      <c r="BY123" s="271"/>
      <c r="BZ123" s="271"/>
      <c r="CA123" s="271"/>
      <c r="CB123" s="271"/>
      <c r="CC123" s="271"/>
      <c r="CD123" s="271"/>
      <c r="CE123" s="271"/>
      <c r="CF123" s="271"/>
      <c r="CG123" s="271"/>
      <c r="CH123" s="271"/>
      <c r="CI123" s="271"/>
    </row>
    <row r="124" spans="1:87" ht="16.2" outlineLevel="1">
      <c r="A124" s="264" t="str">
        <f>E124&amp;G124</f>
        <v>modesg_out_emss_vclsorigem_scp1_emss</v>
      </c>
      <c r="B124" s="141" t="s">
        <v>26</v>
      </c>
      <c r="C124" s="137" t="s">
        <v>310</v>
      </c>
      <c r="D124" s="226" t="s">
        <v>40</v>
      </c>
      <c r="E124" s="227" t="s">
        <v>331</v>
      </c>
      <c r="F124" s="227"/>
      <c r="G124" s="226" t="s">
        <v>319</v>
      </c>
      <c r="H124" s="226" t="str">
        <f>VLOOKUP(A124,'2. Status Detalhe Campos FY24'!$A$7:$G$732,7,0)</f>
        <v>1. Concluído</v>
      </c>
      <c r="I124" s="266" t="s">
        <v>38</v>
      </c>
      <c r="J124" s="275">
        <v>45625</v>
      </c>
      <c r="K124" s="275"/>
      <c r="L124" s="280">
        <f t="array" ref="L124">MIN(IF(W124:CI124&gt;0,$W$16:$CI$16))</f>
        <v>45628</v>
      </c>
      <c r="M124" s="281">
        <f t="array" ref="M124">MAX(IF(W124:CI124&gt;0,$W$16:$CI$16))</f>
        <v>45628</v>
      </c>
      <c r="N124" s="281"/>
      <c r="O124" s="239">
        <f>VLOOKUP(H124,Auxiliar!$B$16:$E$24,4,0)</f>
        <v>1</v>
      </c>
      <c r="P124" s="239">
        <f ca="1">IF(TODAY()&lt;=L124,0,MIN((TODAY()-L124)/(M124-L124+1),100%))</f>
        <v>1</v>
      </c>
      <c r="Q124" s="238">
        <f t="shared" ca="1" si="26"/>
        <v>0</v>
      </c>
      <c r="R124" s="252" t="s">
        <v>38</v>
      </c>
      <c r="S124" s="270" t="s">
        <v>1862</v>
      </c>
      <c r="T124" s="290">
        <v>3</v>
      </c>
      <c r="U124" s="260">
        <f>ROUND(T124/8,1)</f>
        <v>0.4</v>
      </c>
      <c r="V124" s="260">
        <f>SUM(W124:CI124)-U124</f>
        <v>0</v>
      </c>
      <c r="W124" s="271"/>
      <c r="X124" s="271"/>
      <c r="Y124" s="271"/>
      <c r="Z124" s="271"/>
      <c r="AA124" s="271"/>
      <c r="AB124" s="271"/>
      <c r="AC124" s="271"/>
      <c r="AD124" s="272"/>
      <c r="AE124" s="271"/>
      <c r="AF124" s="271"/>
      <c r="AG124" s="271"/>
      <c r="AH124" s="271"/>
      <c r="AI124" s="271"/>
      <c r="AJ124" s="273"/>
      <c r="AK124" s="271"/>
      <c r="AL124" s="271"/>
      <c r="AM124" s="271"/>
      <c r="AN124" s="271"/>
      <c r="AO124" s="271"/>
      <c r="AP124" s="271"/>
      <c r="AQ124" s="271"/>
      <c r="AR124" s="271"/>
      <c r="AS124" s="271"/>
      <c r="AT124" s="271"/>
      <c r="AU124" s="271"/>
      <c r="AV124" s="271"/>
      <c r="AW124" s="271"/>
      <c r="AX124" s="273"/>
      <c r="AY124" s="271">
        <v>0.4</v>
      </c>
      <c r="AZ124" s="271"/>
      <c r="BA124" s="271"/>
      <c r="BB124" s="271"/>
      <c r="BC124" s="271"/>
      <c r="BD124" s="271"/>
      <c r="BE124" s="271"/>
      <c r="BF124" s="271"/>
      <c r="BG124" s="271"/>
      <c r="BH124" s="271"/>
      <c r="BI124" s="271"/>
      <c r="BJ124" s="271"/>
      <c r="BK124" s="271"/>
      <c r="BL124" s="271"/>
      <c r="BM124" s="271"/>
      <c r="BN124" s="271"/>
      <c r="BO124" s="272"/>
      <c r="BP124" s="272"/>
      <c r="BQ124" s="272"/>
      <c r="BR124" s="272"/>
      <c r="BS124" s="272"/>
      <c r="BT124" s="272"/>
      <c r="BU124" s="272"/>
      <c r="BV124" s="271"/>
      <c r="BW124" s="271"/>
      <c r="BX124" s="271"/>
      <c r="BY124" s="271"/>
      <c r="BZ124" s="271"/>
      <c r="CA124" s="271"/>
      <c r="CB124" s="271"/>
      <c r="CC124" s="271"/>
      <c r="CD124" s="271"/>
      <c r="CE124" s="271"/>
      <c r="CF124" s="271"/>
      <c r="CG124" s="271"/>
      <c r="CH124" s="271"/>
      <c r="CI124" s="271"/>
    </row>
    <row r="125" spans="1:87" ht="16.2" outlineLevel="1">
      <c r="A125" s="264" t="str">
        <f>E125&amp;G125</f>
        <v>modesg_out_emss_vclsorigem_scp2_emss</v>
      </c>
      <c r="B125" s="141" t="s">
        <v>26</v>
      </c>
      <c r="C125" s="137" t="s">
        <v>310</v>
      </c>
      <c r="D125" s="226" t="s">
        <v>40</v>
      </c>
      <c r="E125" s="227" t="s">
        <v>331</v>
      </c>
      <c r="F125" s="227"/>
      <c r="G125" s="226" t="s">
        <v>320</v>
      </c>
      <c r="H125" s="226" t="str">
        <f>VLOOKUP(A125,'2. Status Detalhe Campos FY24'!$A$7:$G$732,7,0)</f>
        <v>1. Concluído</v>
      </c>
      <c r="I125" s="266" t="s">
        <v>38</v>
      </c>
      <c r="J125" s="275">
        <v>45625</v>
      </c>
      <c r="K125" s="275"/>
      <c r="L125" s="280">
        <f t="array" ref="L125">MIN(IF(W125:CI125&gt;0,$W$16:$CI$16))</f>
        <v>45628</v>
      </c>
      <c r="M125" s="281">
        <f t="array" ref="M125">MAX(IF(W125:CI125&gt;0,$W$16:$CI$16))</f>
        <v>45628</v>
      </c>
      <c r="N125" s="281"/>
      <c r="O125" s="239">
        <f>VLOOKUP(H125,Auxiliar!$B$16:$E$24,4,0)</f>
        <v>1</v>
      </c>
      <c r="P125" s="239">
        <f ca="1">IF(TODAY()&lt;=L125,0,MIN((TODAY()-L125)/(M125-L125+1),100%))</f>
        <v>1</v>
      </c>
      <c r="Q125" s="238">
        <f t="shared" ca="1" si="26"/>
        <v>0</v>
      </c>
      <c r="R125" s="252" t="s">
        <v>38</v>
      </c>
      <c r="S125" s="270" t="s">
        <v>1862</v>
      </c>
      <c r="T125" s="290">
        <v>3</v>
      </c>
      <c r="U125" s="260">
        <f>ROUND(T125/8,1)</f>
        <v>0.4</v>
      </c>
      <c r="V125" s="260">
        <f>SUM(W125:CI125)-U125</f>
        <v>0</v>
      </c>
      <c r="W125" s="271"/>
      <c r="X125" s="271"/>
      <c r="Y125" s="271"/>
      <c r="Z125" s="271"/>
      <c r="AA125" s="271"/>
      <c r="AB125" s="271"/>
      <c r="AC125" s="271"/>
      <c r="AD125" s="272"/>
      <c r="AE125" s="271"/>
      <c r="AF125" s="271"/>
      <c r="AG125" s="271"/>
      <c r="AH125" s="271"/>
      <c r="AI125" s="271"/>
      <c r="AJ125" s="273"/>
      <c r="AK125" s="271"/>
      <c r="AL125" s="271"/>
      <c r="AM125" s="271"/>
      <c r="AN125" s="271"/>
      <c r="AO125" s="271"/>
      <c r="AP125" s="271"/>
      <c r="AQ125" s="271"/>
      <c r="AR125" s="271"/>
      <c r="AS125" s="271"/>
      <c r="AT125" s="271"/>
      <c r="AU125" s="271"/>
      <c r="AV125" s="271"/>
      <c r="AW125" s="271"/>
      <c r="AX125" s="273"/>
      <c r="AY125" s="271">
        <v>0.4</v>
      </c>
      <c r="AZ125" s="271"/>
      <c r="BA125" s="271"/>
      <c r="BB125" s="271"/>
      <c r="BC125" s="271"/>
      <c r="BD125" s="271"/>
      <c r="BE125" s="271"/>
      <c r="BF125" s="271"/>
      <c r="BG125" s="271"/>
      <c r="BH125" s="271"/>
      <c r="BI125" s="271"/>
      <c r="BJ125" s="271"/>
      <c r="BK125" s="271"/>
      <c r="BL125" s="271"/>
      <c r="BM125" s="271"/>
      <c r="BN125" s="271"/>
      <c r="BO125" s="272"/>
      <c r="BP125" s="272"/>
      <c r="BQ125" s="272"/>
      <c r="BR125" s="272"/>
      <c r="BS125" s="272"/>
      <c r="BT125" s="272"/>
      <c r="BU125" s="272"/>
      <c r="BV125" s="271"/>
      <c r="BW125" s="271"/>
      <c r="BX125" s="271"/>
      <c r="BY125" s="271"/>
      <c r="BZ125" s="271"/>
      <c r="CA125" s="271"/>
      <c r="CB125" s="271"/>
      <c r="CC125" s="271"/>
      <c r="CD125" s="271"/>
      <c r="CE125" s="271"/>
      <c r="CF125" s="271"/>
      <c r="CG125" s="271"/>
      <c r="CH125" s="271"/>
      <c r="CI125" s="271"/>
    </row>
    <row r="126" spans="1:87" ht="16.2" outlineLevel="1">
      <c r="A126" s="264" t="str">
        <f>E126&amp;G126</f>
        <v>modesg_out_emss_vclsscp1_emss</v>
      </c>
      <c r="B126" s="141" t="s">
        <v>26</v>
      </c>
      <c r="C126" s="137" t="s">
        <v>310</v>
      </c>
      <c r="D126" s="226" t="s">
        <v>40</v>
      </c>
      <c r="E126" s="227" t="s">
        <v>331</v>
      </c>
      <c r="F126" s="227"/>
      <c r="G126" s="226" t="s">
        <v>285</v>
      </c>
      <c r="H126" s="226" t="str">
        <f>VLOOKUP(A126,'2. Status Detalhe Campos FY24'!$A$7:$G$732,7,0)</f>
        <v>1. Concluído</v>
      </c>
      <c r="I126" s="266" t="s">
        <v>38</v>
      </c>
      <c r="J126" s="275">
        <v>45625</v>
      </c>
      <c r="K126" s="275"/>
      <c r="L126" s="280">
        <f t="array" ref="L126">MIN(IF(W126:CI126&gt;0,$W$16:$CI$16))</f>
        <v>45628</v>
      </c>
      <c r="M126" s="281">
        <f t="array" ref="M126">MAX(IF(W126:CI126&gt;0,$W$16:$CI$16))</f>
        <v>45632</v>
      </c>
      <c r="N126" s="281"/>
      <c r="O126" s="239">
        <f>VLOOKUP(H126,Auxiliar!$B$16:$E$24,4,0)</f>
        <v>1</v>
      </c>
      <c r="P126" s="239">
        <f ca="1">IF(TODAY()&lt;=L126,0,MIN((TODAY()-L126)/(M126-L126+1),100%))</f>
        <v>1</v>
      </c>
      <c r="Q126" s="238">
        <f t="shared" ca="1" si="26"/>
        <v>0</v>
      </c>
      <c r="R126" s="252" t="s">
        <v>38</v>
      </c>
      <c r="S126" s="270" t="s">
        <v>1862</v>
      </c>
      <c r="T126" s="260">
        <v>16.100000000000001</v>
      </c>
      <c r="U126" s="260">
        <v>1.9</v>
      </c>
      <c r="V126" s="260">
        <f>SUM(W126:CI126)-U126</f>
        <v>0</v>
      </c>
      <c r="W126" s="271"/>
      <c r="X126" s="271"/>
      <c r="Y126" s="271"/>
      <c r="Z126" s="271"/>
      <c r="AA126" s="271"/>
      <c r="AB126" s="271"/>
      <c r="AC126" s="271"/>
      <c r="AD126" s="272"/>
      <c r="AE126" s="271"/>
      <c r="AF126" s="271"/>
      <c r="AG126" s="271"/>
      <c r="AH126" s="271"/>
      <c r="AI126" s="271"/>
      <c r="AJ126" s="273"/>
      <c r="AK126" s="271"/>
      <c r="AL126" s="271"/>
      <c r="AM126" s="271"/>
      <c r="AN126" s="271"/>
      <c r="AO126" s="271"/>
      <c r="AP126" s="271"/>
      <c r="AQ126" s="271"/>
      <c r="AR126" s="271"/>
      <c r="AS126" s="271"/>
      <c r="AT126" s="271"/>
      <c r="AU126" s="271"/>
      <c r="AV126" s="271"/>
      <c r="AW126" s="271"/>
      <c r="AX126" s="273"/>
      <c r="AY126" s="271">
        <v>0.2</v>
      </c>
      <c r="AZ126" s="271"/>
      <c r="BA126" s="271"/>
      <c r="BB126" s="271">
        <v>0.2</v>
      </c>
      <c r="BC126" s="271">
        <v>1.5</v>
      </c>
      <c r="BD126" s="271"/>
      <c r="BE126" s="271"/>
      <c r="BF126" s="271"/>
      <c r="BG126" s="271"/>
      <c r="BH126" s="271"/>
      <c r="BI126" s="271"/>
      <c r="BJ126" s="271"/>
      <c r="BK126" s="271"/>
      <c r="BL126" s="271"/>
      <c r="BM126" s="271"/>
      <c r="BN126" s="271"/>
      <c r="BO126" s="272"/>
      <c r="BP126" s="272"/>
      <c r="BQ126" s="272"/>
      <c r="BR126" s="272"/>
      <c r="BS126" s="272"/>
      <c r="BT126" s="272"/>
      <c r="BU126" s="272"/>
      <c r="BV126" s="271"/>
      <c r="BW126" s="271"/>
      <c r="BX126" s="271"/>
      <c r="BY126" s="271"/>
      <c r="BZ126" s="271"/>
      <c r="CA126" s="271"/>
      <c r="CB126" s="271"/>
      <c r="CC126" s="271"/>
      <c r="CD126" s="271"/>
      <c r="CE126" s="271"/>
      <c r="CF126" s="271"/>
      <c r="CG126" s="271"/>
      <c r="CH126" s="271"/>
      <c r="CI126" s="271"/>
    </row>
    <row r="127" spans="1:87" ht="16.2" outlineLevel="1">
      <c r="A127" s="264" t="str">
        <f>E127&amp;G127</f>
        <v>modesg_out_emss_vclsscp2_emss</v>
      </c>
      <c r="B127" s="141" t="s">
        <v>26</v>
      </c>
      <c r="C127" s="137" t="s">
        <v>310</v>
      </c>
      <c r="D127" s="226" t="s">
        <v>40</v>
      </c>
      <c r="E127" s="227" t="s">
        <v>331</v>
      </c>
      <c r="F127" s="227"/>
      <c r="G127" s="226" t="s">
        <v>286</v>
      </c>
      <c r="H127" s="226" t="str">
        <f>VLOOKUP(A127,'2. Status Detalhe Campos FY24'!$A$7:$G$732,7,0)</f>
        <v>1. Concluído</v>
      </c>
      <c r="I127" s="266" t="s">
        <v>38</v>
      </c>
      <c r="J127" s="275">
        <v>45625</v>
      </c>
      <c r="K127" s="275"/>
      <c r="L127" s="280">
        <f t="array" ref="L127">MIN(IF(W127:CI127&gt;0,$W$16:$CI$16))</f>
        <v>45632</v>
      </c>
      <c r="M127" s="281">
        <f t="array" ref="M127">MAX(IF(W127:CI127&gt;0,$W$16:$CI$16))</f>
        <v>45632</v>
      </c>
      <c r="N127" s="281"/>
      <c r="O127" s="239">
        <f>VLOOKUP(H127,Auxiliar!$B$16:$E$24,4,0)</f>
        <v>1</v>
      </c>
      <c r="P127" s="239">
        <f ca="1">IF(TODAY()&lt;=L127,0,MIN((TODAY()-L127)/(M127-L127+1),100%))</f>
        <v>1</v>
      </c>
      <c r="Q127" s="238">
        <f t="shared" ca="1" si="26"/>
        <v>0</v>
      </c>
      <c r="R127" s="252" t="s">
        <v>38</v>
      </c>
      <c r="S127" s="270" t="s">
        <v>1862</v>
      </c>
      <c r="T127" s="260">
        <v>16.100000000000001</v>
      </c>
      <c r="U127" s="260">
        <v>0.1</v>
      </c>
      <c r="V127" s="260">
        <f>SUM(W127:CI127)-U127</f>
        <v>0</v>
      </c>
      <c r="W127" s="271"/>
      <c r="X127" s="271"/>
      <c r="Y127" s="271"/>
      <c r="Z127" s="271"/>
      <c r="AA127" s="271"/>
      <c r="AB127" s="271"/>
      <c r="AC127" s="271"/>
      <c r="AD127" s="272"/>
      <c r="AE127" s="271"/>
      <c r="AF127" s="271"/>
      <c r="AG127" s="271"/>
      <c r="AH127" s="271"/>
      <c r="AI127" s="271"/>
      <c r="AJ127" s="273"/>
      <c r="AK127" s="271"/>
      <c r="AL127" s="271"/>
      <c r="AM127" s="271"/>
      <c r="AN127" s="271"/>
      <c r="AO127" s="271"/>
      <c r="AP127" s="271"/>
      <c r="AQ127" s="271"/>
      <c r="AR127" s="271"/>
      <c r="AS127" s="271"/>
      <c r="AT127" s="271"/>
      <c r="AU127" s="271"/>
      <c r="AV127" s="271"/>
      <c r="AW127" s="271"/>
      <c r="AX127" s="273"/>
      <c r="AY127" s="271"/>
      <c r="AZ127" s="271"/>
      <c r="BA127" s="271"/>
      <c r="BB127" s="271"/>
      <c r="BC127" s="271">
        <v>0.1</v>
      </c>
      <c r="BD127" s="271"/>
      <c r="BE127" s="271"/>
      <c r="BF127" s="271"/>
      <c r="BG127" s="271"/>
      <c r="BH127" s="271"/>
      <c r="BI127" s="271"/>
      <c r="BJ127" s="271"/>
      <c r="BK127" s="271"/>
      <c r="BL127" s="271"/>
      <c r="BM127" s="271"/>
      <c r="BN127" s="271"/>
      <c r="BO127" s="272"/>
      <c r="BP127" s="272"/>
      <c r="BQ127" s="272"/>
      <c r="BR127" s="272"/>
      <c r="BS127" s="272"/>
      <c r="BT127" s="272"/>
      <c r="BU127" s="272"/>
      <c r="BV127" s="271"/>
      <c r="BW127" s="271"/>
      <c r="BX127" s="271"/>
      <c r="BY127" s="271"/>
      <c r="BZ127" s="271"/>
      <c r="CA127" s="271"/>
      <c r="CB127" s="271"/>
      <c r="CC127" s="271"/>
      <c r="CD127" s="271"/>
      <c r="CE127" s="271"/>
      <c r="CF127" s="271"/>
      <c r="CG127" s="271"/>
      <c r="CH127" s="271"/>
      <c r="CI127" s="271"/>
    </row>
    <row r="128" spans="1:87" ht="15" customHeight="1" collapsed="1">
      <c r="A128" s="264"/>
      <c r="B128" s="141" t="s">
        <v>26</v>
      </c>
      <c r="C128" s="137" t="s">
        <v>26</v>
      </c>
      <c r="D128" s="133"/>
      <c r="E128" s="232" t="s">
        <v>335</v>
      </c>
      <c r="F128" s="230" t="s">
        <v>1945</v>
      </c>
      <c r="G128" s="231">
        <f>COUNTA(G129:G129)</f>
        <v>1</v>
      </c>
      <c r="H128" s="285" t="s">
        <v>1921</v>
      </c>
      <c r="I128" s="268">
        <f>MAX(I129:I135)</f>
        <v>45589</v>
      </c>
      <c r="J128" s="267">
        <f>MIN(J129:J135)</f>
        <v>45596</v>
      </c>
      <c r="K128" s="268">
        <f>MIN(K129:K135)</f>
        <v>45596</v>
      </c>
      <c r="L128" s="267">
        <f>MIN(L129:L135)</f>
        <v>45623</v>
      </c>
      <c r="M128" s="268">
        <f>MAX(M129:M135)</f>
        <v>45667</v>
      </c>
      <c r="N128" s="312">
        <f t="array" ref="N128">MAX(IF(W128:CI128&gt;0,$W$16:$CI$16))</f>
        <v>45639</v>
      </c>
      <c r="O128" s="311">
        <f>SUMPRODUCT(O129:O129,U129:U129)/SUM(U129:U129)</f>
        <v>1</v>
      </c>
      <c r="P128" s="311">
        <f ca="1">SUMPRODUCT(P129:P129,U129:U129)/SUM(U129:U129)</f>
        <v>1</v>
      </c>
      <c r="Q128" s="246">
        <f t="shared" ref="Q128:Q138" ca="1" si="31">O128-P128</f>
        <v>0</v>
      </c>
      <c r="R128" s="329" t="s">
        <v>1946</v>
      </c>
      <c r="S128" s="270"/>
      <c r="T128" s="260"/>
      <c r="U128" s="260"/>
      <c r="V128" s="260"/>
      <c r="W128" s="271"/>
      <c r="X128" s="271"/>
      <c r="Y128" s="271"/>
      <c r="Z128" s="271"/>
      <c r="AA128" s="271"/>
      <c r="AB128" s="271"/>
      <c r="AC128" s="278"/>
      <c r="AD128" s="272"/>
      <c r="AE128" s="271"/>
      <c r="AF128" s="271"/>
      <c r="AG128" s="271"/>
      <c r="AH128" s="271"/>
      <c r="AI128" s="271"/>
      <c r="AJ128" s="271"/>
      <c r="AK128" s="271"/>
      <c r="AL128" s="271"/>
      <c r="AM128" s="271"/>
      <c r="AN128" s="271"/>
      <c r="AO128" s="271"/>
      <c r="AP128" s="271"/>
      <c r="AQ128" s="271"/>
      <c r="AR128" s="271"/>
      <c r="AS128" s="271"/>
      <c r="AT128" s="271"/>
      <c r="AU128" s="271"/>
      <c r="AV128" s="271"/>
      <c r="AW128" s="271"/>
      <c r="AX128" s="271"/>
      <c r="AY128" s="271"/>
      <c r="AZ128" s="271"/>
      <c r="BA128" s="271"/>
      <c r="BB128" s="271"/>
      <c r="BC128" s="271"/>
      <c r="BD128" s="271"/>
      <c r="BE128" s="271"/>
      <c r="BF128" s="271"/>
      <c r="BG128" s="271"/>
      <c r="BH128" s="274" t="s">
        <v>443</v>
      </c>
      <c r="BI128" s="271"/>
      <c r="BJ128" s="271"/>
      <c r="BK128" s="271"/>
      <c r="BL128" s="271"/>
      <c r="BM128" s="271"/>
      <c r="BN128" s="271"/>
      <c r="BO128" s="272"/>
      <c r="BP128" s="272"/>
      <c r="BQ128" s="272"/>
      <c r="BR128" s="272"/>
      <c r="BS128" s="272"/>
      <c r="BT128" s="272"/>
      <c r="BU128" s="272"/>
      <c r="BV128" s="271"/>
      <c r="BW128" s="271"/>
      <c r="BX128" s="271"/>
      <c r="BY128" s="271"/>
      <c r="BZ128" s="271"/>
      <c r="CA128" s="271"/>
      <c r="CB128" s="271"/>
      <c r="CC128" s="271"/>
      <c r="CD128" s="271"/>
      <c r="CE128" s="271"/>
      <c r="CF128" s="271"/>
      <c r="CG128" s="271"/>
      <c r="CH128" s="271"/>
      <c r="CI128" s="271"/>
    </row>
    <row r="129" spans="1:87" ht="16.2" outlineLevel="1">
      <c r="A129" s="264" t="str">
        <f>E129&amp;G129</f>
        <v>lt003_entityflg_grp_nfrd_applcblty</v>
      </c>
      <c r="B129" s="141" t="s">
        <v>26</v>
      </c>
      <c r="C129" s="137" t="s">
        <v>26</v>
      </c>
      <c r="D129" s="226" t="s">
        <v>40</v>
      </c>
      <c r="E129" s="229" t="s">
        <v>335</v>
      </c>
      <c r="F129" s="229"/>
      <c r="G129" s="229" t="s">
        <v>364</v>
      </c>
      <c r="H129" s="226" t="str">
        <f>VLOOKUP(A129,'2. Status Detalhe Campos FY24'!$A$7:$G$732,7,0)</f>
        <v>1. Concluído</v>
      </c>
      <c r="I129" s="275">
        <v>45588</v>
      </c>
      <c r="J129" s="291">
        <v>45596</v>
      </c>
      <c r="K129" s="275">
        <v>45596</v>
      </c>
      <c r="L129" s="280">
        <f t="array" ref="L129">MIN(IF(W129:CI129&gt;0,$W$16:$CI$16))</f>
        <v>45639</v>
      </c>
      <c r="M129" s="281">
        <f t="array" ref="M129">MAX(IF(W129:CI129&gt;0,$W$16:$CI$16))</f>
        <v>45639</v>
      </c>
      <c r="N129" s="281"/>
      <c r="O129" s="239">
        <f>VLOOKUP(H129,Auxiliar!$B$16:$E$24,4,0)</f>
        <v>1</v>
      </c>
      <c r="P129" s="239">
        <f ca="1">IF(TODAY()&lt;=L129,0,MIN((TODAY()-L129)/(M129-L129+1),100%))</f>
        <v>1</v>
      </c>
      <c r="Q129" s="238">
        <f t="shared" ca="1" si="31"/>
        <v>0</v>
      </c>
      <c r="R129" s="251"/>
      <c r="S129" s="270"/>
      <c r="T129" s="260">
        <v>4.0999999999999996</v>
      </c>
      <c r="U129" s="260">
        <f>ROUND(T129/8,1)</f>
        <v>0.5</v>
      </c>
      <c r="V129" s="260">
        <f>SUM(W129:CI129)-U129</f>
        <v>0</v>
      </c>
      <c r="W129" s="279"/>
      <c r="X129" s="271"/>
      <c r="Y129" s="271"/>
      <c r="Z129" s="271"/>
      <c r="AA129" s="271"/>
      <c r="AB129" s="271"/>
      <c r="AC129" s="278"/>
      <c r="AD129" s="272"/>
      <c r="AE129" s="271"/>
      <c r="AF129" s="271"/>
      <c r="AG129" s="271"/>
      <c r="AH129" s="271"/>
      <c r="AI129" s="271"/>
      <c r="AJ129" s="271"/>
      <c r="AK129" s="271"/>
      <c r="AL129" s="271"/>
      <c r="AM129" s="271"/>
      <c r="AN129" s="271"/>
      <c r="AO129" s="273"/>
      <c r="AP129" s="271"/>
      <c r="AQ129" s="271"/>
      <c r="AR129" s="271"/>
      <c r="AS129" s="271"/>
      <c r="AT129" s="271"/>
      <c r="AU129" s="271"/>
      <c r="AV129" s="271"/>
      <c r="AW129" s="271"/>
      <c r="AX129" s="271"/>
      <c r="AY129" s="271"/>
      <c r="AZ129" s="271"/>
      <c r="BA129" s="271"/>
      <c r="BB129" s="271"/>
      <c r="BC129" s="271"/>
      <c r="BD129" s="271"/>
      <c r="BE129" s="271"/>
      <c r="BF129" s="271"/>
      <c r="BG129" s="271"/>
      <c r="BH129" s="271">
        <v>0.5</v>
      </c>
      <c r="BI129" s="271"/>
      <c r="BJ129" s="271"/>
      <c r="BK129" s="271"/>
      <c r="BL129" s="271"/>
      <c r="BM129" s="271"/>
      <c r="BN129" s="271"/>
      <c r="BO129" s="272"/>
      <c r="BP129" s="272"/>
      <c r="BQ129" s="272"/>
      <c r="BR129" s="272"/>
      <c r="BS129" s="272"/>
      <c r="BT129" s="272"/>
      <c r="BU129" s="272"/>
      <c r="BV129" s="271"/>
      <c r="BW129" s="271"/>
      <c r="BX129" s="271"/>
      <c r="BY129" s="271"/>
      <c r="BZ129" s="271"/>
      <c r="CA129" s="271"/>
      <c r="CB129" s="271"/>
      <c r="CC129" s="271"/>
      <c r="CD129" s="271"/>
      <c r="CE129" s="271"/>
      <c r="CF129" s="271"/>
      <c r="CG129" s="271"/>
      <c r="CH129" s="271"/>
      <c r="CI129" s="271"/>
    </row>
    <row r="130" spans="1:87" ht="15" customHeight="1" collapsed="1">
      <c r="A130" s="264"/>
      <c r="B130" s="141" t="s">
        <v>26</v>
      </c>
      <c r="C130" s="137" t="s">
        <v>26</v>
      </c>
      <c r="D130" s="133"/>
      <c r="E130" s="232" t="s">
        <v>335</v>
      </c>
      <c r="F130" s="230" t="s">
        <v>1945</v>
      </c>
      <c r="G130" s="231">
        <f>COUNTA(G131)</f>
        <v>1</v>
      </c>
      <c r="H130" s="285" t="s">
        <v>1921</v>
      </c>
      <c r="I130" s="268">
        <f>MAX(I131:I138)</f>
        <v>45589</v>
      </c>
      <c r="J130" s="267">
        <f>MIN(J131:J138)</f>
        <v>45596</v>
      </c>
      <c r="K130" s="268">
        <f>MIN(K131:K138)</f>
        <v>45596</v>
      </c>
      <c r="L130" s="267">
        <f>MIN(L131:L138)</f>
        <v>45623</v>
      </c>
      <c r="M130" s="268">
        <f>MAX(M131:M138)</f>
        <v>45667</v>
      </c>
      <c r="N130" s="312">
        <f t="array" ref="N130">MAX(IF(W130:CI130&gt;0,$W$16:$CI$16))</f>
        <v>45674</v>
      </c>
      <c r="O130" s="311">
        <f>SUMPRODUCT(O131:O132,U131:U132)/SUM(U131:U132)</f>
        <v>0</v>
      </c>
      <c r="P130" s="311">
        <f ca="1">SUMPRODUCT(P131:P132,U131:U132)/SUM(U131:U132)</f>
        <v>1</v>
      </c>
      <c r="Q130" s="246">
        <f ca="1">O130-P130</f>
        <v>-1</v>
      </c>
      <c r="R130" s="329" t="s">
        <v>1959</v>
      </c>
      <c r="S130" s="270"/>
      <c r="T130" s="260"/>
      <c r="U130" s="260"/>
      <c r="V130" s="260"/>
      <c r="W130" s="271"/>
      <c r="X130" s="271"/>
      <c r="Y130" s="271"/>
      <c r="Z130" s="271"/>
      <c r="AA130" s="271"/>
      <c r="AB130" s="271"/>
      <c r="AC130" s="278"/>
      <c r="AD130" s="272"/>
      <c r="AE130" s="271"/>
      <c r="AF130" s="271"/>
      <c r="AG130" s="271"/>
      <c r="AH130" s="271"/>
      <c r="AI130" s="271"/>
      <c r="AJ130" s="271"/>
      <c r="AK130" s="271"/>
      <c r="AL130" s="271"/>
      <c r="AM130" s="271"/>
      <c r="AN130" s="271"/>
      <c r="AO130" s="271"/>
      <c r="AP130" s="271"/>
      <c r="AQ130" s="271"/>
      <c r="AR130" s="271"/>
      <c r="AS130" s="271"/>
      <c r="AT130" s="271"/>
      <c r="AU130" s="271"/>
      <c r="AV130" s="271"/>
      <c r="AW130" s="271"/>
      <c r="AX130" s="271"/>
      <c r="AY130" s="271"/>
      <c r="AZ130" s="271"/>
      <c r="BA130" s="271"/>
      <c r="BB130" s="271"/>
      <c r="BC130" s="271"/>
      <c r="BD130" s="271"/>
      <c r="BE130" s="271"/>
      <c r="BF130" s="271"/>
      <c r="BG130" s="271"/>
      <c r="BH130" s="274" t="s">
        <v>443</v>
      </c>
      <c r="BI130" s="271"/>
      <c r="BJ130" s="271"/>
      <c r="BK130" s="271"/>
      <c r="BL130" s="271"/>
      <c r="BM130" s="271"/>
      <c r="BN130" s="271"/>
      <c r="BO130" s="272"/>
      <c r="BP130" s="272"/>
      <c r="BQ130" s="272"/>
      <c r="BR130" s="272"/>
      <c r="BS130" s="272"/>
      <c r="BT130" s="272"/>
      <c r="BU130" s="272"/>
      <c r="BV130" s="271"/>
      <c r="BW130" s="271"/>
      <c r="BX130" s="271"/>
      <c r="BY130" s="271"/>
      <c r="BZ130" s="271"/>
      <c r="CA130" s="271"/>
      <c r="CB130" s="271"/>
      <c r="CC130" s="271"/>
      <c r="CD130" s="271"/>
      <c r="CE130" s="271"/>
      <c r="CF130" s="271"/>
      <c r="CG130" s="271" t="s">
        <v>443</v>
      </c>
      <c r="CH130" s="271"/>
      <c r="CI130" s="271"/>
    </row>
    <row r="131" spans="1:87" ht="16.2" outlineLevel="1">
      <c r="A131" s="264" t="str">
        <f>E131&amp;G131</f>
        <v>lt003_entitynace_esg</v>
      </c>
      <c r="B131" s="141" t="s">
        <v>26</v>
      </c>
      <c r="C131" s="137" t="s">
        <v>26</v>
      </c>
      <c r="D131" s="226" t="s">
        <v>40</v>
      </c>
      <c r="E131" s="229" t="s">
        <v>335</v>
      </c>
      <c r="F131" s="229"/>
      <c r="G131" s="229" t="s">
        <v>336</v>
      </c>
      <c r="H131" s="226" t="str">
        <f>VLOOKUP(A131,'2. Status Detalhe Campos FY24'!$A$7:$G$732,7,0)</f>
        <v xml:space="preserve">6. Em implementação </v>
      </c>
      <c r="I131" s="266">
        <v>45583</v>
      </c>
      <c r="J131" s="291">
        <v>45596</v>
      </c>
      <c r="K131" s="275">
        <v>45596</v>
      </c>
      <c r="L131" s="280">
        <f t="array" ref="L131">MIN(IF(W131:CI131&gt;0,$W$16:$CI$16))</f>
        <v>45623</v>
      </c>
      <c r="M131" s="281">
        <f t="array" ref="M131">MAX(IF(W131:CI131&gt;0,$W$16:$CI$16))</f>
        <v>45623</v>
      </c>
      <c r="N131" s="281"/>
      <c r="O131" s="311">
        <f>VLOOKUP(H131,Auxiliar!$B$16:$E$24,4,0)</f>
        <v>0</v>
      </c>
      <c r="P131" s="311">
        <f ca="1">IF(TODAY()&lt;=L131,0,MIN((TODAY()-L131)/(M131-L131+1),100%))</f>
        <v>1</v>
      </c>
      <c r="Q131" s="238">
        <f ca="1">O131-P131</f>
        <v>-1</v>
      </c>
      <c r="R131" s="251"/>
      <c r="S131" s="270"/>
      <c r="T131" s="260">
        <v>4.0999999999999996</v>
      </c>
      <c r="U131" s="260">
        <f>ROUND(T131/8,1)</f>
        <v>0.5</v>
      </c>
      <c r="V131" s="260">
        <f>SUM(W131:CI131)-U131</f>
        <v>0</v>
      </c>
      <c r="W131" s="271"/>
      <c r="X131" s="271"/>
      <c r="Y131" s="271"/>
      <c r="Z131" s="271"/>
      <c r="AA131" s="271"/>
      <c r="AB131" s="271"/>
      <c r="AC131" s="278"/>
      <c r="AD131" s="272"/>
      <c r="AE131" s="271"/>
      <c r="AF131" s="271"/>
      <c r="AG131" s="271"/>
      <c r="AH131" s="271"/>
      <c r="AI131" s="271"/>
      <c r="AJ131" s="271"/>
      <c r="AK131" s="271"/>
      <c r="AL131" s="271"/>
      <c r="AM131" s="271"/>
      <c r="AN131" s="271"/>
      <c r="AO131" s="273"/>
      <c r="AP131" s="271"/>
      <c r="AQ131" s="271"/>
      <c r="AR131" s="271"/>
      <c r="AS131" s="271"/>
      <c r="AT131" s="271"/>
      <c r="AU131" s="271"/>
      <c r="AV131" s="271">
        <v>0.5</v>
      </c>
      <c r="AW131" s="271"/>
      <c r="AX131" s="271"/>
      <c r="AY131" s="271"/>
      <c r="AZ131" s="271"/>
      <c r="BA131" s="271"/>
      <c r="BB131" s="271"/>
      <c r="BC131" s="271"/>
      <c r="BD131" s="271"/>
      <c r="BE131" s="271"/>
      <c r="BF131" s="271"/>
      <c r="BG131" s="271"/>
      <c r="BH131" s="271"/>
      <c r="BI131" s="271"/>
      <c r="BJ131" s="271"/>
      <c r="BK131" s="271"/>
      <c r="BL131" s="271"/>
      <c r="BM131" s="271"/>
      <c r="BN131" s="271"/>
      <c r="BO131" s="272"/>
      <c r="BP131" s="272"/>
      <c r="BQ131" s="272"/>
      <c r="BR131" s="272"/>
      <c r="BS131" s="272"/>
      <c r="BT131" s="272"/>
      <c r="BU131" s="272"/>
      <c r="BV131" s="271"/>
      <c r="BW131" s="271"/>
      <c r="BX131" s="271"/>
      <c r="BY131" s="271"/>
      <c r="BZ131" s="271"/>
      <c r="CA131" s="271"/>
      <c r="CB131" s="271"/>
      <c r="CC131" s="271"/>
      <c r="CD131" s="271"/>
      <c r="CE131" s="271"/>
      <c r="CF131" s="271"/>
      <c r="CG131" s="271"/>
      <c r="CH131" s="271"/>
      <c r="CI131" s="271"/>
    </row>
    <row r="132" spans="1:87" ht="15" customHeight="1" collapsed="1">
      <c r="A132" s="264"/>
      <c r="B132" s="141" t="s">
        <v>26</v>
      </c>
      <c r="C132" s="137" t="s">
        <v>26</v>
      </c>
      <c r="D132" s="133"/>
      <c r="E132" s="232" t="s">
        <v>335</v>
      </c>
      <c r="F132" s="230" t="s">
        <v>1945</v>
      </c>
      <c r="G132" s="231">
        <f>COUNTA(G133:G135)</f>
        <v>3</v>
      </c>
      <c r="H132" s="285" t="s">
        <v>1921</v>
      </c>
      <c r="I132" s="268">
        <f>MAX(I133:I139)</f>
        <v>45589</v>
      </c>
      <c r="J132" s="267">
        <f>MIN(J133:J139)</f>
        <v>45596</v>
      </c>
      <c r="K132" s="268">
        <f>MIN(K133:K139)</f>
        <v>45596</v>
      </c>
      <c r="L132" s="267">
        <f>MIN(L133:L139)</f>
        <v>45625</v>
      </c>
      <c r="M132" s="268">
        <f>MAX(M133:M139)</f>
        <v>45667</v>
      </c>
      <c r="N132" s="312">
        <f t="array" ref="N132">MAX(IF(W132:CI132&gt;0,$W$16:$CI$16))</f>
        <v>45674</v>
      </c>
      <c r="O132" s="311">
        <f>SUMPRODUCT(O133:O135,U133:U135)/SUM(U133:U135)</f>
        <v>1</v>
      </c>
      <c r="P132" s="311">
        <f ca="1">SUMPRODUCT(P133:P135,U133:U135)/SUM(U133:U135)</f>
        <v>1</v>
      </c>
      <c r="Q132" s="246">
        <f t="shared" ca="1" si="31"/>
        <v>0</v>
      </c>
      <c r="R132" s="329" t="s">
        <v>1958</v>
      </c>
      <c r="S132" s="270"/>
      <c r="T132" s="260"/>
      <c r="U132" s="260"/>
      <c r="V132" s="260"/>
      <c r="W132" s="271"/>
      <c r="X132" s="271"/>
      <c r="Y132" s="271"/>
      <c r="Z132" s="271"/>
      <c r="AA132" s="271"/>
      <c r="AB132" s="271"/>
      <c r="AC132" s="278"/>
      <c r="AD132" s="272"/>
      <c r="AE132" s="271"/>
      <c r="AF132" s="271"/>
      <c r="AG132" s="271"/>
      <c r="AH132" s="271"/>
      <c r="AI132" s="271"/>
      <c r="AJ132" s="271"/>
      <c r="AK132" s="271"/>
      <c r="AL132" s="271"/>
      <c r="AM132" s="271"/>
      <c r="AN132" s="271"/>
      <c r="AO132" s="271"/>
      <c r="AP132" s="271"/>
      <c r="AQ132" s="271"/>
      <c r="AR132" s="271"/>
      <c r="AS132" s="271"/>
      <c r="AT132" s="271"/>
      <c r="AU132" s="271"/>
      <c r="AV132" s="271"/>
      <c r="AW132" s="271"/>
      <c r="AX132" s="271"/>
      <c r="AY132" s="271"/>
      <c r="AZ132" s="271"/>
      <c r="BA132" s="271"/>
      <c r="BB132" s="271"/>
      <c r="BC132" s="271"/>
      <c r="BD132" s="271"/>
      <c r="BE132" s="271"/>
      <c r="BF132" s="271"/>
      <c r="BG132" s="271"/>
      <c r="BH132" s="274" t="s">
        <v>443</v>
      </c>
      <c r="BI132" s="271"/>
      <c r="BJ132" s="271"/>
      <c r="BK132" s="271"/>
      <c r="BL132" s="271"/>
      <c r="BM132" s="274" t="s">
        <v>443</v>
      </c>
      <c r="BN132" s="271"/>
      <c r="BO132" s="272"/>
      <c r="BP132" s="272"/>
      <c r="BQ132" s="272"/>
      <c r="BR132" s="272"/>
      <c r="BS132" s="272"/>
      <c r="BT132" s="272"/>
      <c r="BU132" s="272"/>
      <c r="BV132" s="271"/>
      <c r="BW132" s="271"/>
      <c r="BX132" s="271"/>
      <c r="BY132" s="271"/>
      <c r="BZ132" s="271"/>
      <c r="CA132" s="271"/>
      <c r="CB132" s="271"/>
      <c r="CC132" s="271"/>
      <c r="CD132" s="271"/>
      <c r="CE132" s="271"/>
      <c r="CF132" s="271"/>
      <c r="CG132" s="271" t="s">
        <v>1952</v>
      </c>
      <c r="CH132" s="271"/>
      <c r="CI132" s="271"/>
    </row>
    <row r="133" spans="1:87" ht="16.2" outlineLevel="1">
      <c r="A133" s="264" t="str">
        <f>E133&amp;G133</f>
        <v>lt003_entitygrp_emssns_scp1</v>
      </c>
      <c r="B133" s="141" t="s">
        <v>26</v>
      </c>
      <c r="C133" s="137" t="s">
        <v>26</v>
      </c>
      <c r="D133" s="226" t="s">
        <v>40</v>
      </c>
      <c r="E133" s="229" t="s">
        <v>335</v>
      </c>
      <c r="F133" s="229"/>
      <c r="G133" s="229" t="s">
        <v>365</v>
      </c>
      <c r="H133" s="226" t="str">
        <f>VLOOKUP(A133,'2. Status Detalhe Campos FY24'!$A$7:$G$732,7,0)</f>
        <v>1. Concluído</v>
      </c>
      <c r="I133" s="275">
        <v>45588</v>
      </c>
      <c r="J133" s="291">
        <v>45596</v>
      </c>
      <c r="K133" s="275">
        <v>45596</v>
      </c>
      <c r="L133" s="280">
        <f t="array" ref="L133">MIN(IF(W133:CI133&gt;0,$W$16:$CI$16))</f>
        <v>45639</v>
      </c>
      <c r="M133" s="281">
        <f t="array" ref="M133">MAX(IF(W133:CI133&gt;0,$W$16:$CI$16))</f>
        <v>45639</v>
      </c>
      <c r="N133" s="281"/>
      <c r="O133" s="239">
        <f>VLOOKUP(H133,Auxiliar!$B$16:$E$24,4,0)</f>
        <v>1</v>
      </c>
      <c r="P133" s="239">
        <f t="shared" ref="P133:P138" ca="1" si="32">IF(TODAY()&lt;=L133,0,MIN((TODAY()-L133)/(M133-L133+1),100%))</f>
        <v>1</v>
      </c>
      <c r="Q133" s="238">
        <f t="shared" ca="1" si="31"/>
        <v>0</v>
      </c>
      <c r="R133" s="329"/>
      <c r="S133" s="270"/>
      <c r="T133" s="260">
        <v>4.0999999999999996</v>
      </c>
      <c r="U133" s="260">
        <f>ROUND(T133/8,1)</f>
        <v>0.5</v>
      </c>
      <c r="V133" s="260">
        <f>SUM(W133:CI133)-U133</f>
        <v>0</v>
      </c>
      <c r="W133" s="279"/>
      <c r="X133" s="271"/>
      <c r="Y133" s="271"/>
      <c r="Z133" s="271"/>
      <c r="AA133" s="271"/>
      <c r="AB133" s="271"/>
      <c r="AC133" s="278"/>
      <c r="AD133" s="272"/>
      <c r="AE133" s="271"/>
      <c r="AF133" s="271"/>
      <c r="AG133" s="271"/>
      <c r="AH133" s="271"/>
      <c r="AI133" s="271"/>
      <c r="AJ133" s="271"/>
      <c r="AK133" s="271"/>
      <c r="AL133" s="271"/>
      <c r="AM133" s="271"/>
      <c r="AN133" s="271"/>
      <c r="AO133" s="271"/>
      <c r="AP133" s="271"/>
      <c r="AQ133" s="271"/>
      <c r="AR133" s="271"/>
      <c r="AS133" s="271"/>
      <c r="AT133" s="271"/>
      <c r="AU133" s="273"/>
      <c r="AV133" s="271"/>
      <c r="AW133" s="271"/>
      <c r="AX133" s="271"/>
      <c r="AY133" s="271"/>
      <c r="AZ133" s="271"/>
      <c r="BA133" s="271"/>
      <c r="BB133" s="271"/>
      <c r="BC133" s="271"/>
      <c r="BD133" s="271"/>
      <c r="BE133" s="271"/>
      <c r="BF133" s="271"/>
      <c r="BG133" s="271"/>
      <c r="BH133" s="271">
        <v>0.5</v>
      </c>
      <c r="BI133" s="271"/>
      <c r="BJ133" s="271"/>
      <c r="BK133" s="271"/>
      <c r="BL133" s="271"/>
      <c r="BM133" s="271"/>
      <c r="BN133" s="271"/>
      <c r="BO133" s="272"/>
      <c r="BP133" s="272"/>
      <c r="BQ133" s="272"/>
      <c r="BR133" s="272"/>
      <c r="BS133" s="272"/>
      <c r="BT133" s="272"/>
      <c r="BU133" s="272"/>
      <c r="BV133" s="271"/>
      <c r="BW133" s="271"/>
      <c r="BX133" s="271"/>
      <c r="BY133" s="271"/>
      <c r="BZ133" s="271"/>
      <c r="CA133" s="271"/>
      <c r="CB133" s="271"/>
      <c r="CC133" s="271"/>
      <c r="CD133" s="271"/>
      <c r="CE133" s="271"/>
      <c r="CF133" s="271"/>
      <c r="CG133" s="271"/>
      <c r="CH133" s="271"/>
      <c r="CI133" s="271"/>
    </row>
    <row r="134" spans="1:87" ht="16.2" outlineLevel="1">
      <c r="A134" s="264" t="str">
        <f>E134&amp;G134</f>
        <v>lt003_entitygrp_emssns_scp2</v>
      </c>
      <c r="B134" s="141" t="s">
        <v>26</v>
      </c>
      <c r="C134" s="137" t="s">
        <v>26</v>
      </c>
      <c r="D134" s="226" t="s">
        <v>40</v>
      </c>
      <c r="E134" s="229" t="s">
        <v>335</v>
      </c>
      <c r="F134" s="229"/>
      <c r="G134" s="229" t="s">
        <v>366</v>
      </c>
      <c r="H134" s="226" t="str">
        <f>VLOOKUP(A134,'2. Status Detalhe Campos FY24'!$A$7:$G$732,7,0)</f>
        <v>1. Concluído</v>
      </c>
      <c r="I134" s="275">
        <v>45588</v>
      </c>
      <c r="J134" s="291">
        <v>45596</v>
      </c>
      <c r="K134" s="275">
        <v>45596</v>
      </c>
      <c r="L134" s="280">
        <f t="array" ref="L134">MIN(IF(W134:CI134&gt;0,$W$16:$CI$16))</f>
        <v>45639</v>
      </c>
      <c r="M134" s="281">
        <f t="array" ref="M134">MAX(IF(W134:CI134&gt;0,$W$16:$CI$16))</f>
        <v>45639</v>
      </c>
      <c r="N134" s="281"/>
      <c r="O134" s="239">
        <f>VLOOKUP(H134,Auxiliar!$B$16:$E$24,4,0)</f>
        <v>1</v>
      </c>
      <c r="P134" s="239">
        <f t="shared" ca="1" si="32"/>
        <v>1</v>
      </c>
      <c r="Q134" s="238">
        <f t="shared" ca="1" si="31"/>
        <v>0</v>
      </c>
      <c r="R134" s="251"/>
      <c r="S134" s="270"/>
      <c r="T134" s="260">
        <v>4.0999999999999996</v>
      </c>
      <c r="U134" s="260">
        <f>ROUND(T134/8,1)</f>
        <v>0.5</v>
      </c>
      <c r="V134" s="260">
        <f>SUM(W134:CI134)-U134</f>
        <v>0</v>
      </c>
      <c r="W134" s="279"/>
      <c r="X134" s="271"/>
      <c r="Y134" s="271"/>
      <c r="Z134" s="271"/>
      <c r="AA134" s="271"/>
      <c r="AB134" s="271"/>
      <c r="AC134" s="278"/>
      <c r="AD134" s="272"/>
      <c r="AE134" s="271"/>
      <c r="AF134" s="271"/>
      <c r="AG134" s="271"/>
      <c r="AH134" s="271"/>
      <c r="AI134" s="271"/>
      <c r="AJ134" s="271"/>
      <c r="AK134" s="271"/>
      <c r="AL134" s="271"/>
      <c r="AM134" s="271"/>
      <c r="AN134" s="271"/>
      <c r="AO134" s="271"/>
      <c r="AP134" s="271"/>
      <c r="AQ134" s="271"/>
      <c r="AR134" s="271"/>
      <c r="AS134" s="271"/>
      <c r="AT134" s="271"/>
      <c r="AU134" s="273"/>
      <c r="AV134" s="271"/>
      <c r="AW134" s="271"/>
      <c r="AX134" s="271"/>
      <c r="AY134" s="271"/>
      <c r="AZ134" s="271"/>
      <c r="BA134" s="271"/>
      <c r="BB134" s="271"/>
      <c r="BC134" s="271"/>
      <c r="BD134" s="271"/>
      <c r="BE134" s="271"/>
      <c r="BF134" s="271"/>
      <c r="BG134" s="271"/>
      <c r="BH134" s="271">
        <v>0.5</v>
      </c>
      <c r="BI134" s="271"/>
      <c r="BJ134" s="271"/>
      <c r="BK134" s="271"/>
      <c r="BL134" s="271"/>
      <c r="BM134" s="271"/>
      <c r="BN134" s="271"/>
      <c r="BO134" s="272"/>
      <c r="BP134" s="272"/>
      <c r="BQ134" s="272"/>
      <c r="BR134" s="272"/>
      <c r="BS134" s="272"/>
      <c r="BT134" s="272"/>
      <c r="BU134" s="272"/>
      <c r="BV134" s="271"/>
      <c r="BW134" s="271"/>
      <c r="BX134" s="271"/>
      <c r="BY134" s="271"/>
      <c r="BZ134" s="271"/>
      <c r="CA134" s="271"/>
      <c r="CB134" s="271"/>
      <c r="CC134" s="271"/>
      <c r="CD134" s="271"/>
      <c r="CE134" s="271"/>
      <c r="CF134" s="271"/>
      <c r="CG134" s="271"/>
      <c r="CH134" s="271"/>
      <c r="CI134" s="271"/>
    </row>
    <row r="135" spans="1:87" ht="16.2" outlineLevel="1">
      <c r="A135" s="264" t="str">
        <f>E135&amp;G135</f>
        <v>lt003_entitygrp_emssns_scp3</v>
      </c>
      <c r="B135" s="141" t="s">
        <v>26</v>
      </c>
      <c r="C135" s="137" t="s">
        <v>26</v>
      </c>
      <c r="D135" s="226" t="s">
        <v>40</v>
      </c>
      <c r="E135" s="229" t="s">
        <v>335</v>
      </c>
      <c r="F135" s="229"/>
      <c r="G135" s="229" t="s">
        <v>367</v>
      </c>
      <c r="H135" s="226" t="str">
        <f>VLOOKUP(A135,'2. Status Detalhe Campos FY24'!$A$7:$G$732,7,0)</f>
        <v>1. Concluído</v>
      </c>
      <c r="I135" s="275">
        <v>45588</v>
      </c>
      <c r="J135" s="291">
        <v>45596</v>
      </c>
      <c r="K135" s="275">
        <v>45596</v>
      </c>
      <c r="L135" s="280">
        <f t="array" ref="L135">MIN(IF(W135:CI135&gt;0,$W$16:$CI$16))</f>
        <v>45639</v>
      </c>
      <c r="M135" s="281">
        <f t="array" ref="M135">MAX(IF(W135:CI135&gt;0,$W$16:$CI$16))</f>
        <v>45639</v>
      </c>
      <c r="N135" s="281"/>
      <c r="O135" s="239">
        <f>VLOOKUP(H135,Auxiliar!$B$16:$E$24,4,0)</f>
        <v>1</v>
      </c>
      <c r="P135" s="239">
        <f t="shared" ca="1" si="32"/>
        <v>1</v>
      </c>
      <c r="Q135" s="238">
        <f t="shared" ca="1" si="31"/>
        <v>0</v>
      </c>
      <c r="R135" s="251"/>
      <c r="S135" s="270"/>
      <c r="T135" s="260">
        <v>4.0999999999999996</v>
      </c>
      <c r="U135" s="260">
        <f>ROUND(T135/8,1)</f>
        <v>0.5</v>
      </c>
      <c r="V135" s="260">
        <f>SUM(W135:CI135)-U135</f>
        <v>0</v>
      </c>
      <c r="W135" s="279"/>
      <c r="X135" s="271"/>
      <c r="Y135" s="271"/>
      <c r="Z135" s="271"/>
      <c r="AA135" s="271"/>
      <c r="AB135" s="271"/>
      <c r="AC135" s="278"/>
      <c r="AD135" s="272"/>
      <c r="AE135" s="271"/>
      <c r="AF135" s="271"/>
      <c r="AG135" s="271"/>
      <c r="AH135" s="271"/>
      <c r="AI135" s="271"/>
      <c r="AJ135" s="271"/>
      <c r="AK135" s="271"/>
      <c r="AL135" s="271"/>
      <c r="AM135" s="271"/>
      <c r="AN135" s="271"/>
      <c r="AO135" s="271"/>
      <c r="AP135" s="271"/>
      <c r="AQ135" s="271"/>
      <c r="AR135" s="271"/>
      <c r="AS135" s="271"/>
      <c r="AT135" s="271"/>
      <c r="AU135" s="273"/>
      <c r="AV135" s="271"/>
      <c r="AW135" s="271"/>
      <c r="AX135" s="271"/>
      <c r="AY135" s="271"/>
      <c r="AZ135" s="271"/>
      <c r="BA135" s="271"/>
      <c r="BB135" s="271"/>
      <c r="BC135" s="271"/>
      <c r="BD135" s="271"/>
      <c r="BE135" s="271"/>
      <c r="BF135" s="271"/>
      <c r="BG135" s="271"/>
      <c r="BH135" s="271">
        <v>0.5</v>
      </c>
      <c r="BI135" s="271"/>
      <c r="BJ135" s="271"/>
      <c r="BK135" s="271"/>
      <c r="BL135" s="271"/>
      <c r="BM135" s="271"/>
      <c r="BN135" s="271"/>
      <c r="BO135" s="272"/>
      <c r="BP135" s="272"/>
      <c r="BQ135" s="272"/>
      <c r="BR135" s="272"/>
      <c r="BS135" s="272"/>
      <c r="BT135" s="272"/>
      <c r="BU135" s="272"/>
      <c r="BV135" s="271"/>
      <c r="BW135" s="271"/>
      <c r="BX135" s="271"/>
      <c r="BY135" s="271"/>
      <c r="BZ135" s="271"/>
      <c r="CA135" s="271"/>
      <c r="CB135" s="271"/>
      <c r="CC135" s="271"/>
      <c r="CD135" s="271"/>
      <c r="CE135" s="271"/>
      <c r="CF135" s="271"/>
      <c r="CG135" s="271"/>
      <c r="CH135" s="271"/>
      <c r="CI135" s="271"/>
    </row>
    <row r="136" spans="1:87" ht="15" customHeight="1" collapsed="1">
      <c r="A136" s="264"/>
      <c r="B136" s="141" t="s">
        <v>26</v>
      </c>
      <c r="C136" s="137" t="s">
        <v>26</v>
      </c>
      <c r="D136" s="133"/>
      <c r="E136" s="232" t="s">
        <v>335</v>
      </c>
      <c r="F136" s="230" t="s">
        <v>1935</v>
      </c>
      <c r="G136" s="231">
        <f>COUNTA(G137:G138)</f>
        <v>2</v>
      </c>
      <c r="H136" s="285" t="s">
        <v>1921</v>
      </c>
      <c r="I136" s="268">
        <f>MAX(I137:I138)</f>
        <v>45589</v>
      </c>
      <c r="J136" s="267">
        <f>MIN(J137:J138)</f>
        <v>45596</v>
      </c>
      <c r="K136" s="268">
        <f>MIN(K137:K138)</f>
        <v>45596</v>
      </c>
      <c r="L136" s="267">
        <f>MIN(L137:L138)</f>
        <v>45639</v>
      </c>
      <c r="M136" s="268">
        <f>MAX(M137:M138)</f>
        <v>45639</v>
      </c>
      <c r="N136" s="312">
        <f t="array" ref="N136">MAX(IF(W136:CI136&gt;0,$W$16:$CI$16))</f>
        <v>45639</v>
      </c>
      <c r="O136" s="311">
        <f>SUMPRODUCT(O137:O138,U137:U138)/SUM(U137:U138)</f>
        <v>0</v>
      </c>
      <c r="P136" s="311">
        <f t="shared" ca="1" si="32"/>
        <v>1</v>
      </c>
      <c r="Q136" s="246">
        <f t="shared" ca="1" si="31"/>
        <v>-1</v>
      </c>
      <c r="R136" s="329" t="s">
        <v>1946</v>
      </c>
      <c r="S136" s="270"/>
      <c r="T136" s="260"/>
      <c r="U136" s="260"/>
      <c r="V136" s="260"/>
      <c r="W136" s="271"/>
      <c r="X136" s="271"/>
      <c r="Y136" s="271"/>
      <c r="Z136" s="271"/>
      <c r="AA136" s="271"/>
      <c r="AB136" s="271"/>
      <c r="AC136" s="278"/>
      <c r="AD136" s="272"/>
      <c r="AE136" s="271"/>
      <c r="AF136" s="271"/>
      <c r="AG136" s="271"/>
      <c r="AH136" s="271"/>
      <c r="AI136" s="271"/>
      <c r="AJ136" s="271"/>
      <c r="AK136" s="271"/>
      <c r="AL136" s="271"/>
      <c r="AM136" s="271"/>
      <c r="AN136" s="271"/>
      <c r="AO136" s="271"/>
      <c r="AP136" s="271"/>
      <c r="AQ136" s="271"/>
      <c r="AR136" s="271"/>
      <c r="AS136" s="271"/>
      <c r="AT136" s="271"/>
      <c r="AU136" s="271"/>
      <c r="AV136" s="271"/>
      <c r="AW136" s="271"/>
      <c r="AX136" s="271"/>
      <c r="AY136" s="271"/>
      <c r="AZ136" s="271"/>
      <c r="BA136" s="271"/>
      <c r="BB136" s="271"/>
      <c r="BC136" s="271"/>
      <c r="BD136" s="271"/>
      <c r="BE136" s="271"/>
      <c r="BF136" s="271"/>
      <c r="BG136" s="271"/>
      <c r="BH136" s="274" t="s">
        <v>443</v>
      </c>
      <c r="BI136" s="271"/>
      <c r="BJ136" s="271"/>
      <c r="BK136" s="271"/>
      <c r="BL136" s="271"/>
      <c r="BM136" s="271"/>
      <c r="BN136" s="271"/>
      <c r="BO136" s="272"/>
      <c r="BP136" s="272"/>
      <c r="BQ136" s="272"/>
      <c r="BR136" s="272"/>
      <c r="BS136" s="272"/>
      <c r="BT136" s="272"/>
      <c r="BU136" s="272"/>
      <c r="BV136" s="271"/>
      <c r="BW136" s="271"/>
      <c r="BX136" s="271"/>
      <c r="BY136" s="271"/>
      <c r="BZ136" s="271"/>
      <c r="CA136" s="271"/>
      <c r="CB136" s="271"/>
      <c r="CC136" s="271"/>
      <c r="CD136" s="271"/>
      <c r="CE136" s="271"/>
      <c r="CF136" s="271"/>
      <c r="CG136" s="271"/>
      <c r="CH136" s="271"/>
      <c r="CI136" s="271"/>
    </row>
    <row r="137" spans="1:87" ht="16.2" outlineLevel="1">
      <c r="A137" s="264" t="str">
        <f>E137&amp;G137</f>
        <v>lt003_entityflg_act_physcl_rsk</v>
      </c>
      <c r="B137" s="141" t="s">
        <v>26</v>
      </c>
      <c r="C137" s="137" t="s">
        <v>26</v>
      </c>
      <c r="D137" s="226" t="s">
        <v>40</v>
      </c>
      <c r="E137" s="229" t="s">
        <v>335</v>
      </c>
      <c r="F137" s="229"/>
      <c r="G137" s="229" t="s">
        <v>357</v>
      </c>
      <c r="H137" s="226" t="str">
        <f>VLOOKUP(A137,'2. Status Detalhe Campos FY24'!$A$7:$G$732,7,0)</f>
        <v xml:space="preserve">6. Em implementação </v>
      </c>
      <c r="I137" s="266">
        <v>45589</v>
      </c>
      <c r="J137" s="291">
        <v>45596</v>
      </c>
      <c r="K137" s="275">
        <v>45596</v>
      </c>
      <c r="L137" s="280">
        <f t="array" ref="L137">MIN(IF(W137:CI137&gt;0,$W$16:$CI$16))</f>
        <v>45639</v>
      </c>
      <c r="M137" s="281">
        <f t="array" ref="M137">MAX(IF(W137:CI137&gt;0,$W$16:$CI$16))</f>
        <v>45639</v>
      </c>
      <c r="N137" s="281"/>
      <c r="O137" s="239">
        <f>VLOOKUP(H137,Auxiliar!$B$16:$E$24,4,0)</f>
        <v>0</v>
      </c>
      <c r="P137" s="239">
        <f t="shared" ca="1" si="32"/>
        <v>1</v>
      </c>
      <c r="Q137" s="238">
        <f t="shared" ca="1" si="31"/>
        <v>-1</v>
      </c>
      <c r="R137" s="251"/>
      <c r="S137" s="270"/>
      <c r="T137" s="260">
        <v>4.0999999999999996</v>
      </c>
      <c r="U137" s="260">
        <f>ROUND(T137/8,1)</f>
        <v>0.5</v>
      </c>
      <c r="V137" s="260">
        <f>SUM(W137:CI137)-U137</f>
        <v>0</v>
      </c>
      <c r="W137" s="271"/>
      <c r="X137" s="271"/>
      <c r="Y137" s="271"/>
      <c r="Z137" s="271"/>
      <c r="AA137" s="271"/>
      <c r="AB137" s="271"/>
      <c r="AC137" s="278"/>
      <c r="AD137" s="272"/>
      <c r="AE137" s="271"/>
      <c r="AF137" s="271"/>
      <c r="AG137" s="271"/>
      <c r="AH137" s="271"/>
      <c r="AI137" s="271"/>
      <c r="AJ137" s="271"/>
      <c r="AK137" s="271"/>
      <c r="AL137" s="271"/>
      <c r="AM137" s="271"/>
      <c r="AN137" s="271"/>
      <c r="AO137" s="271"/>
      <c r="AP137" s="271"/>
      <c r="AQ137" s="271"/>
      <c r="AR137" s="271"/>
      <c r="AS137" s="271"/>
      <c r="AT137" s="271"/>
      <c r="AU137" s="271"/>
      <c r="AV137" s="271"/>
      <c r="AW137" s="273"/>
      <c r="AX137" s="271"/>
      <c r="AY137" s="271"/>
      <c r="AZ137" s="271"/>
      <c r="BA137" s="271"/>
      <c r="BB137" s="271"/>
      <c r="BC137" s="271"/>
      <c r="BD137" s="271"/>
      <c r="BE137" s="271"/>
      <c r="BF137" s="271"/>
      <c r="BG137" s="271"/>
      <c r="BH137" s="271">
        <v>0.5</v>
      </c>
      <c r="BI137" s="271"/>
      <c r="BJ137" s="271"/>
      <c r="BK137" s="271"/>
      <c r="BL137" s="271"/>
      <c r="BM137" s="271"/>
      <c r="BN137" s="271"/>
      <c r="BO137" s="272"/>
      <c r="BP137" s="272"/>
      <c r="BQ137" s="272"/>
      <c r="BR137" s="272"/>
      <c r="BS137" s="272"/>
      <c r="BT137" s="272"/>
      <c r="BU137" s="272"/>
      <c r="BV137" s="271"/>
      <c r="BW137" s="271"/>
      <c r="BX137" s="271"/>
      <c r="BY137" s="271"/>
      <c r="BZ137" s="271"/>
      <c r="CA137" s="271"/>
      <c r="CB137" s="271"/>
      <c r="CC137" s="271"/>
      <c r="CD137" s="271"/>
      <c r="CE137" s="271"/>
      <c r="CF137" s="271"/>
      <c r="CG137" s="271"/>
      <c r="CH137" s="271"/>
      <c r="CI137" s="271"/>
    </row>
    <row r="138" spans="1:87" ht="16.2" outlineLevel="1">
      <c r="A138" s="264" t="str">
        <f>E138&amp;G138</f>
        <v>lt003_entityflg_chrnc_physcl_rsk</v>
      </c>
      <c r="B138" s="141" t="s">
        <v>26</v>
      </c>
      <c r="C138" s="137" t="s">
        <v>26</v>
      </c>
      <c r="D138" s="226" t="s">
        <v>40</v>
      </c>
      <c r="E138" s="229" t="s">
        <v>335</v>
      </c>
      <c r="F138" s="229"/>
      <c r="G138" s="229" t="s">
        <v>358</v>
      </c>
      <c r="H138" s="226" t="str">
        <f>VLOOKUP(A138,'2. Status Detalhe Campos FY24'!$A$7:$G$732,7,0)</f>
        <v xml:space="preserve">6. Em implementação </v>
      </c>
      <c r="I138" s="266">
        <v>45589</v>
      </c>
      <c r="J138" s="291">
        <v>45596</v>
      </c>
      <c r="K138" s="275">
        <v>45596</v>
      </c>
      <c r="L138" s="280">
        <f t="array" ref="L138">MIN(IF(W138:CI138&gt;0,$W$16:$CI$16))</f>
        <v>45639</v>
      </c>
      <c r="M138" s="281">
        <f t="array" ref="M138">MAX(IF(W138:CI138&gt;0,$W$16:$CI$16))</f>
        <v>45639</v>
      </c>
      <c r="N138" s="281"/>
      <c r="O138" s="239">
        <f>VLOOKUP(H138,Auxiliar!$B$16:$E$24,4,0)</f>
        <v>0</v>
      </c>
      <c r="P138" s="239">
        <f t="shared" ca="1" si="32"/>
        <v>1</v>
      </c>
      <c r="Q138" s="238">
        <f t="shared" ca="1" si="31"/>
        <v>-1</v>
      </c>
      <c r="R138" s="251"/>
      <c r="S138" s="270"/>
      <c r="T138" s="260">
        <v>4.0999999999999996</v>
      </c>
      <c r="U138" s="260">
        <f>ROUND(T138/8,1)</f>
        <v>0.5</v>
      </c>
      <c r="V138" s="260">
        <f>SUM(W138:CI138)-U138</f>
        <v>0</v>
      </c>
      <c r="W138" s="271"/>
      <c r="X138" s="271"/>
      <c r="Y138" s="271"/>
      <c r="Z138" s="271"/>
      <c r="AA138" s="271"/>
      <c r="AB138" s="271"/>
      <c r="AC138" s="278"/>
      <c r="AD138" s="272"/>
      <c r="AE138" s="271"/>
      <c r="AF138" s="271"/>
      <c r="AG138" s="271"/>
      <c r="AH138" s="271"/>
      <c r="AI138" s="271"/>
      <c r="AJ138" s="271"/>
      <c r="AK138" s="271"/>
      <c r="AL138" s="271"/>
      <c r="AM138" s="271"/>
      <c r="AN138" s="271"/>
      <c r="AO138" s="271"/>
      <c r="AP138" s="271"/>
      <c r="AQ138" s="271"/>
      <c r="AR138" s="271"/>
      <c r="AS138" s="271"/>
      <c r="AT138" s="271"/>
      <c r="AU138" s="271"/>
      <c r="AV138" s="271"/>
      <c r="AW138" s="273"/>
      <c r="AX138" s="271"/>
      <c r="AY138" s="271"/>
      <c r="AZ138" s="271"/>
      <c r="BA138" s="271"/>
      <c r="BB138" s="271"/>
      <c r="BC138" s="271"/>
      <c r="BD138" s="271"/>
      <c r="BE138" s="271"/>
      <c r="BF138" s="271"/>
      <c r="BG138" s="271"/>
      <c r="BH138" s="271">
        <v>0.5</v>
      </c>
      <c r="BI138" s="271"/>
      <c r="BJ138" s="271"/>
      <c r="BK138" s="271"/>
      <c r="BL138" s="271"/>
      <c r="BM138" s="271"/>
      <c r="BN138" s="271"/>
      <c r="BO138" s="272"/>
      <c r="BP138" s="272"/>
      <c r="BQ138" s="272"/>
      <c r="BR138" s="272"/>
      <c r="BS138" s="272"/>
      <c r="BT138" s="272"/>
      <c r="BU138" s="272"/>
      <c r="BV138" s="271"/>
      <c r="BW138" s="271"/>
      <c r="BX138" s="271"/>
      <c r="BY138" s="271"/>
      <c r="BZ138" s="271"/>
      <c r="CA138" s="271"/>
      <c r="CB138" s="271"/>
      <c r="CC138" s="271"/>
      <c r="CD138" s="271"/>
      <c r="CE138" s="271"/>
      <c r="CF138" s="271"/>
      <c r="CG138" s="271"/>
      <c r="CH138" s="271"/>
      <c r="CI138" s="271"/>
    </row>
    <row r="139" spans="1:87" ht="15" customHeight="1" collapsed="1">
      <c r="A139" s="264"/>
      <c r="B139" s="141" t="s">
        <v>26</v>
      </c>
      <c r="C139" s="137" t="s">
        <v>310</v>
      </c>
      <c r="D139" s="133"/>
      <c r="E139" s="230" t="s">
        <v>325</v>
      </c>
      <c r="F139" s="230" t="s">
        <v>1889</v>
      </c>
      <c r="G139" s="231">
        <f>COUNTA(G140)</f>
        <v>1</v>
      </c>
      <c r="H139" s="344" t="s">
        <v>572</v>
      </c>
      <c r="I139" s="266" t="s">
        <v>38</v>
      </c>
      <c r="J139" s="267">
        <f>MIN(J140:J143)</f>
        <v>45614</v>
      </c>
      <c r="K139" s="267">
        <f>MIN(K140:K158)</f>
        <v>45596</v>
      </c>
      <c r="L139" s="267">
        <f>MIN(L140:L158)</f>
        <v>45625</v>
      </c>
      <c r="M139" s="268">
        <f>MAX(M140:M158)</f>
        <v>45667</v>
      </c>
      <c r="N139" s="312" t="s">
        <v>1868</v>
      </c>
      <c r="O139" s="304">
        <f>O140</f>
        <v>0</v>
      </c>
      <c r="P139" s="304">
        <f ca="1">P140</f>
        <v>1</v>
      </c>
      <c r="Q139" s="246">
        <f t="shared" ref="Q139:Q166" ca="1" si="33">O139-P139</f>
        <v>-1</v>
      </c>
      <c r="R139" s="329" t="s">
        <v>1960</v>
      </c>
      <c r="S139" s="270"/>
      <c r="T139" s="260"/>
      <c r="U139" s="260"/>
      <c r="V139" s="260"/>
      <c r="W139" s="271"/>
      <c r="X139" s="271"/>
      <c r="Y139" s="271"/>
      <c r="Z139" s="271"/>
      <c r="AA139" s="271"/>
      <c r="AB139" s="271"/>
      <c r="AC139" s="271"/>
      <c r="AD139" s="272"/>
      <c r="AE139" s="271"/>
      <c r="AF139" s="271"/>
      <c r="AG139" s="271"/>
      <c r="AH139" s="271"/>
      <c r="AI139" s="271"/>
      <c r="AJ139" s="271"/>
      <c r="AK139" s="271"/>
      <c r="AL139" s="271"/>
      <c r="AM139" s="271"/>
      <c r="AN139" s="271"/>
      <c r="AO139" s="273"/>
      <c r="AP139" s="278"/>
      <c r="AQ139" s="271"/>
      <c r="AR139" s="271"/>
      <c r="AS139" s="271"/>
      <c r="AT139" s="271"/>
      <c r="AU139" s="271"/>
      <c r="AV139" s="271"/>
      <c r="AW139" s="271"/>
      <c r="AX139" s="271"/>
      <c r="AY139" s="271"/>
      <c r="AZ139" s="271"/>
      <c r="BA139" s="271"/>
      <c r="BB139" s="271"/>
      <c r="BC139" s="271"/>
      <c r="BD139" s="271"/>
      <c r="BE139" s="271"/>
      <c r="BF139" s="271"/>
      <c r="BG139" s="271"/>
      <c r="BH139" s="271"/>
      <c r="BI139" s="271"/>
      <c r="BJ139" s="271"/>
      <c r="BK139" s="271"/>
      <c r="BL139" s="271"/>
      <c r="BM139" s="271" t="s">
        <v>443</v>
      </c>
      <c r="BN139" s="271"/>
      <c r="BO139" s="272"/>
      <c r="BP139" s="272"/>
      <c r="BQ139" s="272"/>
      <c r="BR139" s="272"/>
      <c r="BS139" s="272"/>
      <c r="BT139" s="272"/>
      <c r="BU139" s="272"/>
      <c r="BV139" s="271"/>
      <c r="BW139" s="271"/>
      <c r="BX139" s="271"/>
      <c r="BY139" s="271"/>
      <c r="BZ139" s="271"/>
      <c r="CA139" s="271"/>
      <c r="CB139" s="271"/>
      <c r="CC139" s="271"/>
      <c r="CD139" s="271"/>
      <c r="CE139" s="271"/>
      <c r="CF139" s="271"/>
      <c r="CG139" s="271"/>
      <c r="CH139" s="271"/>
      <c r="CI139" s="271"/>
    </row>
    <row r="140" spans="1:87" ht="16.2" outlineLevel="1">
      <c r="A140" s="264" t="str">
        <f>E140&amp;G140</f>
        <v>modesg_out_empr_info_nfincod_nace_esg</v>
      </c>
      <c r="B140" s="141" t="s">
        <v>26</v>
      </c>
      <c r="C140" s="137" t="s">
        <v>310</v>
      </c>
      <c r="D140" s="226" t="s">
        <v>40</v>
      </c>
      <c r="E140" s="227" t="s">
        <v>325</v>
      </c>
      <c r="F140" s="227"/>
      <c r="G140" s="228" t="s">
        <v>281</v>
      </c>
      <c r="H140" s="226" t="str">
        <f>VLOOKUP(A140,'2. Status Detalhe Campos FY24'!$A$7:$G$732,7,0)</f>
        <v xml:space="preserve">6. Em implementação </v>
      </c>
      <c r="I140" s="266" t="s">
        <v>38</v>
      </c>
      <c r="J140" s="275">
        <v>45614</v>
      </c>
      <c r="K140" s="275">
        <v>45615</v>
      </c>
      <c r="L140" s="280">
        <f t="array" ref="L140">MIN(IF(W140:CI140&gt;0,$W$16:$CI$16))</f>
        <v>45646</v>
      </c>
      <c r="M140" s="281">
        <f t="array" ref="M140">MAX(IF(W140:CI140&gt;0,$W$16:$CI$16))</f>
        <v>45646</v>
      </c>
      <c r="N140" s="281"/>
      <c r="O140" s="239">
        <f>VLOOKUP(H140,Auxiliar!$B$16:$E$24,4,0)</f>
        <v>0</v>
      </c>
      <c r="P140" s="239">
        <f ca="1">IF(TODAY()&lt;=L140,0,MIN((TODAY()-L140)/(M140-L140+1),100%))</f>
        <v>1</v>
      </c>
      <c r="Q140" s="238">
        <f t="shared" ca="1" si="33"/>
        <v>-1</v>
      </c>
      <c r="R140" s="252" t="s">
        <v>38</v>
      </c>
      <c r="S140" s="270"/>
      <c r="T140" s="260">
        <v>16.100000000000001</v>
      </c>
      <c r="U140" s="260">
        <f>ROUND(T140/8,1)</f>
        <v>2</v>
      </c>
      <c r="V140" s="260">
        <f>SUM(W140:CI140)-U140</f>
        <v>-2</v>
      </c>
      <c r="W140" s="271"/>
      <c r="X140" s="271"/>
      <c r="Y140" s="271"/>
      <c r="Z140" s="271"/>
      <c r="AA140" s="271"/>
      <c r="AB140" s="271"/>
      <c r="AC140" s="271"/>
      <c r="AD140" s="272"/>
      <c r="AE140" s="271"/>
      <c r="AF140" s="271"/>
      <c r="AG140" s="271"/>
      <c r="AH140" s="271"/>
      <c r="AI140" s="271"/>
      <c r="AJ140" s="271"/>
      <c r="AK140" s="271"/>
      <c r="AL140" s="271"/>
      <c r="AM140" s="271"/>
      <c r="AN140" s="271"/>
      <c r="AO140" s="273"/>
      <c r="AP140" s="278"/>
      <c r="AQ140" s="271"/>
      <c r="AR140" s="271"/>
      <c r="AS140" s="271"/>
      <c r="AT140" s="271"/>
      <c r="AU140" s="271"/>
      <c r="AV140" s="271"/>
      <c r="AW140" s="271"/>
      <c r="AX140" s="271"/>
      <c r="AY140" s="271"/>
      <c r="AZ140" s="271"/>
      <c r="BA140" s="271"/>
      <c r="BB140" s="271"/>
      <c r="BC140" s="271"/>
      <c r="BD140" s="271"/>
      <c r="BE140" s="271"/>
      <c r="BF140" s="271"/>
      <c r="BG140" s="271"/>
      <c r="BH140" s="271"/>
      <c r="BI140" s="271"/>
      <c r="BJ140" s="271"/>
      <c r="BK140" s="271"/>
      <c r="BL140" s="271"/>
      <c r="BM140" s="271" t="s">
        <v>443</v>
      </c>
      <c r="BN140" s="271"/>
      <c r="BO140" s="272"/>
      <c r="BP140" s="272"/>
      <c r="BQ140" s="272"/>
      <c r="BR140" s="272"/>
      <c r="BS140" s="272"/>
      <c r="BT140" s="272"/>
      <c r="BU140" s="272"/>
      <c r="BV140" s="271"/>
      <c r="BW140" s="271"/>
      <c r="BX140" s="271"/>
      <c r="BY140" s="271"/>
      <c r="BZ140" s="271"/>
      <c r="CA140" s="271"/>
      <c r="CB140" s="271"/>
      <c r="CC140" s="271"/>
      <c r="CD140" s="271"/>
      <c r="CE140" s="271"/>
      <c r="CF140" s="271"/>
      <c r="CG140" s="271"/>
      <c r="CH140" s="271"/>
      <c r="CI140" s="271"/>
    </row>
    <row r="141" spans="1:87" ht="15" customHeight="1">
      <c r="A141" s="264"/>
      <c r="B141" s="141" t="s">
        <v>26</v>
      </c>
      <c r="C141" s="137" t="s">
        <v>310</v>
      </c>
      <c r="D141" s="133"/>
      <c r="E141" s="230" t="s">
        <v>325</v>
      </c>
      <c r="F141" s="230" t="s">
        <v>1913</v>
      </c>
      <c r="G141" s="231">
        <f>COUNTA(G142:G143)</f>
        <v>2</v>
      </c>
      <c r="H141" s="285" t="s">
        <v>1921</v>
      </c>
      <c r="I141" s="266" t="s">
        <v>38</v>
      </c>
      <c r="J141" s="267">
        <f>MIN(J142:J149)</f>
        <v>45614</v>
      </c>
      <c r="K141" s="267">
        <f>MIN(K142:K160)</f>
        <v>45596</v>
      </c>
      <c r="L141" s="267">
        <f>MIN(L142:L160)</f>
        <v>45625</v>
      </c>
      <c r="M141" s="268">
        <f>MAX(M142:M160)</f>
        <v>45667</v>
      </c>
      <c r="N141" s="312">
        <f t="array" ref="N141">MAX(IF(W141:CI141&gt;0,$W$16:$CI$16))</f>
        <v>45667</v>
      </c>
      <c r="O141" s="311">
        <f>SUMPRODUCT(O142:O143,U142:U143)/SUM(U142:U143)</f>
        <v>1</v>
      </c>
      <c r="P141" s="311">
        <f ca="1">SUMPRODUCT(P142:P143,U142:U143)/SUM(U142:U143)</f>
        <v>1</v>
      </c>
      <c r="Q141" s="246">
        <f ca="1">O141-P141</f>
        <v>0</v>
      </c>
      <c r="R141" s="329" t="s">
        <v>1955</v>
      </c>
      <c r="S141" s="270"/>
      <c r="T141" s="260"/>
      <c r="U141" s="260"/>
      <c r="V141" s="260"/>
      <c r="W141" s="271"/>
      <c r="X141" s="271"/>
      <c r="Y141" s="271"/>
      <c r="Z141" s="271"/>
      <c r="AA141" s="271"/>
      <c r="AB141" s="271"/>
      <c r="AC141" s="271"/>
      <c r="AD141" s="272"/>
      <c r="AE141" s="271"/>
      <c r="AF141" s="271"/>
      <c r="AG141" s="271"/>
      <c r="AH141" s="271"/>
      <c r="AI141" s="271"/>
      <c r="AJ141" s="271"/>
      <c r="AK141" s="271"/>
      <c r="AL141" s="271"/>
      <c r="AM141" s="271"/>
      <c r="AN141" s="271"/>
      <c r="AO141" s="273"/>
      <c r="AP141" s="278"/>
      <c r="AQ141" s="271"/>
      <c r="AR141" s="271"/>
      <c r="AS141" s="271"/>
      <c r="AT141" s="271"/>
      <c r="AU141" s="271"/>
      <c r="AV141" s="271"/>
      <c r="AW141" s="271"/>
      <c r="AX141" s="271"/>
      <c r="AY141" s="271"/>
      <c r="AZ141" s="271"/>
      <c r="BA141" s="271"/>
      <c r="BB141" s="271"/>
      <c r="BC141" s="271"/>
      <c r="BD141" s="271"/>
      <c r="BE141" s="271"/>
      <c r="BF141" s="271"/>
      <c r="BG141" s="271"/>
      <c r="BH141" s="271"/>
      <c r="BI141" s="271"/>
      <c r="BJ141" s="271"/>
      <c r="BK141" s="271"/>
      <c r="BL141" s="271"/>
      <c r="BM141" s="271"/>
      <c r="BN141" s="271"/>
      <c r="BO141" s="272"/>
      <c r="BP141" s="272"/>
      <c r="BQ141" s="272"/>
      <c r="BR141" s="272"/>
      <c r="BS141" s="272"/>
      <c r="BT141" s="272"/>
      <c r="BU141" s="272"/>
      <c r="BV141" s="271"/>
      <c r="BW141" s="271"/>
      <c r="BX141" s="271"/>
      <c r="BY141" s="271"/>
      <c r="BZ141" s="271"/>
      <c r="CA141" s="271"/>
      <c r="CB141" s="271" t="s">
        <v>443</v>
      </c>
      <c r="CC141" s="271"/>
      <c r="CD141" s="271"/>
      <c r="CE141" s="271"/>
      <c r="CF141" s="271"/>
      <c r="CG141" s="271"/>
      <c r="CH141" s="271"/>
      <c r="CI141" s="271"/>
    </row>
    <row r="142" spans="1:87" ht="16.2" outlineLevel="1">
      <c r="A142" s="264" t="str">
        <f>E142&amp;G142</f>
        <v>modesg_out_empr_info_nfinorigem_alinhamentos</v>
      </c>
      <c r="B142" s="141" t="s">
        <v>26</v>
      </c>
      <c r="C142" s="137" t="s">
        <v>310</v>
      </c>
      <c r="D142" s="226" t="s">
        <v>40</v>
      </c>
      <c r="E142" s="227" t="s">
        <v>325</v>
      </c>
      <c r="F142" s="227"/>
      <c r="G142" s="226" t="s">
        <v>328</v>
      </c>
      <c r="H142" s="226" t="str">
        <f>VLOOKUP(A142,'2. Status Detalhe Campos FY24'!$A$7:$G$732,7,0)</f>
        <v>1. Concluído</v>
      </c>
      <c r="I142" s="266" t="s">
        <v>38</v>
      </c>
      <c r="J142" s="275">
        <v>45614</v>
      </c>
      <c r="K142" s="275">
        <v>45615</v>
      </c>
      <c r="L142" s="280">
        <f t="array" ref="L142">MIN(IF(W142:CI142&gt;0,$W$16:$CI$16))</f>
        <v>45667</v>
      </c>
      <c r="M142" s="281">
        <f t="array" ref="M142">MAX(IF(W142:CI142&gt;0,$W$16:$CI$16))</f>
        <v>45667</v>
      </c>
      <c r="N142" s="281"/>
      <c r="O142" s="239">
        <f>VLOOKUP(H142,Auxiliar!$B$16:$E$24,4,0)</f>
        <v>1</v>
      </c>
      <c r="P142" s="239">
        <f ca="1">IF(TODAY()&lt;=L142,0,MIN((TODAY()-L142)/(M142-L142+1),100%))</f>
        <v>1</v>
      </c>
      <c r="Q142" s="238">
        <f t="shared" ca="1" si="33"/>
        <v>0</v>
      </c>
      <c r="R142" s="252" t="s">
        <v>38</v>
      </c>
      <c r="S142" s="270"/>
      <c r="T142" s="260">
        <v>4.0999999999999996</v>
      </c>
      <c r="U142" s="260">
        <f>ROUND(T142/8,1)</f>
        <v>0.5</v>
      </c>
      <c r="V142" s="260">
        <f>SUM(W142:CI142)-U142</f>
        <v>-0.5</v>
      </c>
      <c r="W142" s="271"/>
      <c r="X142" s="271"/>
      <c r="Y142" s="271"/>
      <c r="Z142" s="271"/>
      <c r="AA142" s="271"/>
      <c r="AB142" s="271"/>
      <c r="AC142" s="271"/>
      <c r="AD142" s="272"/>
      <c r="AE142" s="271"/>
      <c r="AF142" s="271"/>
      <c r="AG142" s="271"/>
      <c r="AH142" s="271"/>
      <c r="AI142" s="271"/>
      <c r="AJ142" s="271"/>
      <c r="AK142" s="271"/>
      <c r="AL142" s="271"/>
      <c r="AM142" s="271"/>
      <c r="AN142" s="271"/>
      <c r="AO142" s="273"/>
      <c r="AP142" s="278"/>
      <c r="AQ142" s="271"/>
      <c r="AR142" s="271"/>
      <c r="AS142" s="271"/>
      <c r="AT142" s="271"/>
      <c r="AU142" s="271"/>
      <c r="AV142" s="271"/>
      <c r="AW142" s="271"/>
      <c r="AX142" s="271"/>
      <c r="AY142" s="271"/>
      <c r="AZ142" s="271"/>
      <c r="BA142" s="271"/>
      <c r="BB142" s="271"/>
      <c r="BC142" s="271"/>
      <c r="BD142" s="271"/>
      <c r="BE142" s="271"/>
      <c r="BF142" s="271"/>
      <c r="BG142" s="271"/>
      <c r="BH142" s="271"/>
      <c r="BI142" s="271"/>
      <c r="BJ142" s="271"/>
      <c r="BK142" s="271"/>
      <c r="BL142" s="271"/>
      <c r="BM142" s="271"/>
      <c r="BN142" s="271"/>
      <c r="BO142" s="272"/>
      <c r="BP142" s="272"/>
      <c r="BQ142" s="272"/>
      <c r="BR142" s="272"/>
      <c r="BS142" s="272"/>
      <c r="BT142" s="272"/>
      <c r="BU142" s="272"/>
      <c r="BV142" s="271"/>
      <c r="BW142" s="271"/>
      <c r="BX142" s="271"/>
      <c r="BY142" s="271"/>
      <c r="BZ142" s="271"/>
      <c r="CA142" s="271"/>
      <c r="CB142" s="271" t="s">
        <v>443</v>
      </c>
      <c r="CC142" s="271"/>
      <c r="CD142" s="271"/>
      <c r="CE142" s="271"/>
      <c r="CF142" s="271"/>
      <c r="CG142" s="271"/>
      <c r="CH142" s="271"/>
      <c r="CI142" s="271"/>
    </row>
    <row r="143" spans="1:87" ht="16.2" outlineLevel="1">
      <c r="A143" s="264" t="str">
        <f>E143&amp;G143</f>
        <v>modesg_out_empr_info_nfinorigem_flg_nfrd</v>
      </c>
      <c r="B143" s="141" t="s">
        <v>26</v>
      </c>
      <c r="C143" s="137" t="s">
        <v>310</v>
      </c>
      <c r="D143" s="226" t="s">
        <v>40</v>
      </c>
      <c r="E143" s="227" t="s">
        <v>325</v>
      </c>
      <c r="F143" s="227"/>
      <c r="G143" s="226" t="s">
        <v>330</v>
      </c>
      <c r="H143" s="226" t="str">
        <f>VLOOKUP(A143,'2. Status Detalhe Campos FY24'!$A$7:$G$732,7,0)</f>
        <v>1. Concluído</v>
      </c>
      <c r="I143" s="266" t="s">
        <v>38</v>
      </c>
      <c r="J143" s="275">
        <v>45614</v>
      </c>
      <c r="K143" s="275">
        <v>45615</v>
      </c>
      <c r="L143" s="280">
        <f t="array" ref="L143">MIN(IF(W143:CI143&gt;0,$W$16:$CI$16))</f>
        <v>45667</v>
      </c>
      <c r="M143" s="281">
        <f t="array" ref="M143">MAX(IF(W143:CI143&gt;0,$W$16:$CI$16))</f>
        <v>45667</v>
      </c>
      <c r="N143" s="281"/>
      <c r="O143" s="239">
        <f>VLOOKUP(H143,Auxiliar!$B$16:$E$24,4,0)</f>
        <v>1</v>
      </c>
      <c r="P143" s="239">
        <f ca="1">IF(TODAY()&lt;=L143,0,MIN((TODAY()-L143)/(M143-L143+1),100%))</f>
        <v>1</v>
      </c>
      <c r="Q143" s="238">
        <f t="shared" ca="1" si="33"/>
        <v>0</v>
      </c>
      <c r="R143" s="252" t="s">
        <v>38</v>
      </c>
      <c r="S143" s="270"/>
      <c r="T143" s="260">
        <v>4.0999999999999996</v>
      </c>
      <c r="U143" s="260">
        <f>ROUND(T143/8,1)</f>
        <v>0.5</v>
      </c>
      <c r="V143" s="260">
        <f>SUM(W143:CI143)-U143</f>
        <v>-0.5</v>
      </c>
      <c r="W143" s="271"/>
      <c r="X143" s="271"/>
      <c r="Y143" s="271"/>
      <c r="Z143" s="271"/>
      <c r="AA143" s="271"/>
      <c r="AB143" s="271"/>
      <c r="AC143" s="271"/>
      <c r="AD143" s="272"/>
      <c r="AE143" s="271"/>
      <c r="AF143" s="271"/>
      <c r="AG143" s="271"/>
      <c r="AH143" s="271"/>
      <c r="AI143" s="271"/>
      <c r="AJ143" s="271"/>
      <c r="AK143" s="271"/>
      <c r="AL143" s="271"/>
      <c r="AM143" s="271"/>
      <c r="AN143" s="271"/>
      <c r="AO143" s="273"/>
      <c r="AP143" s="278"/>
      <c r="AQ143" s="271"/>
      <c r="AR143" s="271"/>
      <c r="AS143" s="271"/>
      <c r="AT143" s="271"/>
      <c r="AU143" s="271"/>
      <c r="AV143" s="271"/>
      <c r="AW143" s="271"/>
      <c r="AX143" s="271"/>
      <c r="AY143" s="271"/>
      <c r="AZ143" s="271"/>
      <c r="BA143" s="271"/>
      <c r="BB143" s="271"/>
      <c r="BC143" s="271"/>
      <c r="BD143" s="271"/>
      <c r="BE143" s="271"/>
      <c r="BF143" s="271"/>
      <c r="BG143" s="271"/>
      <c r="BH143" s="271"/>
      <c r="BI143" s="271"/>
      <c r="BJ143" s="271"/>
      <c r="BK143" s="271"/>
      <c r="BL143" s="271"/>
      <c r="BM143" s="271"/>
      <c r="BN143" s="271"/>
      <c r="BO143" s="272"/>
      <c r="BP143" s="272"/>
      <c r="BQ143" s="272"/>
      <c r="BR143" s="272"/>
      <c r="BS143" s="272"/>
      <c r="BT143" s="272"/>
      <c r="BU143" s="272"/>
      <c r="BV143" s="271"/>
      <c r="BW143" s="271"/>
      <c r="BX143" s="271"/>
      <c r="BY143" s="271"/>
      <c r="BZ143" s="271"/>
      <c r="CA143" s="271"/>
      <c r="CB143" s="271" t="s">
        <v>443</v>
      </c>
      <c r="CC143" s="271"/>
      <c r="CD143" s="271"/>
      <c r="CE143" s="271"/>
      <c r="CF143" s="271"/>
      <c r="CG143" s="271"/>
      <c r="CH143" s="271"/>
      <c r="CI143" s="271"/>
    </row>
    <row r="144" spans="1:87" ht="15" customHeight="1" collapsed="1">
      <c r="A144" s="264"/>
      <c r="B144" s="141" t="s">
        <v>26</v>
      </c>
      <c r="C144" s="137" t="s">
        <v>310</v>
      </c>
      <c r="D144" s="133"/>
      <c r="E144" s="230" t="s">
        <v>325</v>
      </c>
      <c r="F144" s="230" t="s">
        <v>1943</v>
      </c>
      <c r="G144" s="231">
        <f>COUNTA(G145:G147)</f>
        <v>3</v>
      </c>
      <c r="H144" s="285" t="s">
        <v>1921</v>
      </c>
      <c r="I144" s="266" t="s">
        <v>38</v>
      </c>
      <c r="J144" s="267">
        <f>MIN(J145:J155)</f>
        <v>45614</v>
      </c>
      <c r="K144" s="267">
        <f>MIN(K145:K166)</f>
        <v>45596</v>
      </c>
      <c r="L144" s="267">
        <f>MIN(L145:L166)</f>
        <v>45625</v>
      </c>
      <c r="M144" s="268">
        <f>MAX(M145:M166)</f>
        <v>45667</v>
      </c>
      <c r="N144" s="312">
        <f t="array" ref="N144">MAX(IF(W144:CI144&gt;0,$W$16:$CI$16))</f>
        <v>45674</v>
      </c>
      <c r="O144" s="311">
        <f>SUMPRODUCT(O145:O149,U145:U149)/SUM(U145:U149)</f>
        <v>1</v>
      </c>
      <c r="P144" s="311">
        <f ca="1">SUMPRODUCT(P145:P149,U145:U149)/SUM(U145:U149)</f>
        <v>1</v>
      </c>
      <c r="Q144" s="246">
        <f ca="1">O144-P144</f>
        <v>0</v>
      </c>
      <c r="R144" s="329" t="s">
        <v>1968</v>
      </c>
      <c r="S144" s="270"/>
      <c r="T144" s="260"/>
      <c r="U144" s="260"/>
      <c r="V144" s="260"/>
      <c r="W144" s="271"/>
      <c r="X144" s="271"/>
      <c r="Y144" s="271"/>
      <c r="Z144" s="271"/>
      <c r="AA144" s="271"/>
      <c r="AB144" s="271"/>
      <c r="AC144" s="271"/>
      <c r="AD144" s="272"/>
      <c r="AE144" s="271"/>
      <c r="AF144" s="271"/>
      <c r="AG144" s="271"/>
      <c r="AH144" s="271"/>
      <c r="AI144" s="271"/>
      <c r="AJ144" s="271"/>
      <c r="AK144" s="271"/>
      <c r="AL144" s="271"/>
      <c r="AM144" s="271"/>
      <c r="AN144" s="271"/>
      <c r="AO144" s="273"/>
      <c r="AP144" s="278"/>
      <c r="AQ144" s="271"/>
      <c r="AR144" s="271"/>
      <c r="AS144" s="271"/>
      <c r="AT144" s="271"/>
      <c r="AU144" s="271"/>
      <c r="AV144" s="271"/>
      <c r="AW144" s="271"/>
      <c r="AX144" s="271"/>
      <c r="AY144" s="271"/>
      <c r="AZ144" s="271"/>
      <c r="BA144" s="271"/>
      <c r="BB144" s="271"/>
      <c r="BC144" s="271"/>
      <c r="BD144" s="271"/>
      <c r="BE144" s="271"/>
      <c r="BF144" s="271"/>
      <c r="BG144" s="271"/>
      <c r="BH144" s="271"/>
      <c r="BI144" s="271"/>
      <c r="BJ144" s="271"/>
      <c r="BK144" s="271"/>
      <c r="BL144" s="271"/>
      <c r="BM144" s="271"/>
      <c r="BN144" s="271"/>
      <c r="BO144" s="272"/>
      <c r="BP144" s="272"/>
      <c r="BQ144" s="272"/>
      <c r="BR144" s="272"/>
      <c r="BS144" s="272"/>
      <c r="BT144" s="272"/>
      <c r="BU144" s="272"/>
      <c r="BV144" s="271"/>
      <c r="BW144" s="271"/>
      <c r="BX144" s="271"/>
      <c r="BY144" s="271"/>
      <c r="BZ144" s="271"/>
      <c r="CA144" s="271"/>
      <c r="CC144" s="271"/>
      <c r="CD144" s="271"/>
      <c r="CE144" s="271"/>
      <c r="CF144" s="271"/>
      <c r="CG144" s="271" t="s">
        <v>443</v>
      </c>
      <c r="CH144" s="271"/>
      <c r="CI144" s="271"/>
    </row>
    <row r="145" spans="1:87" ht="16.2" outlineLevel="1">
      <c r="A145" s="264" t="str">
        <f>E145&amp;G145</f>
        <v>modesg_out_empr_info_nfinflg_emprs_excl_paris</v>
      </c>
      <c r="B145" s="141" t="s">
        <v>26</v>
      </c>
      <c r="C145" s="137" t="s">
        <v>310</v>
      </c>
      <c r="D145" s="226" t="s">
        <v>40</v>
      </c>
      <c r="E145" s="227" t="s">
        <v>325</v>
      </c>
      <c r="F145" s="227"/>
      <c r="G145" s="226" t="s">
        <v>327</v>
      </c>
      <c r="H145" s="226" t="str">
        <f>VLOOKUP(A145,'2. Status Detalhe Campos FY24'!$A$7:$G$732,7,0)</f>
        <v>1. Concluído</v>
      </c>
      <c r="I145" s="266" t="s">
        <v>38</v>
      </c>
      <c r="J145" s="275">
        <v>45614</v>
      </c>
      <c r="K145" s="275">
        <v>45615</v>
      </c>
      <c r="L145" s="280">
        <f t="array" ref="L145">MIN(IF(W145:CI145&gt;0,$W$16:$CI$16))</f>
        <v>45646</v>
      </c>
      <c r="M145" s="281">
        <f t="array" ref="M145">MAX(IF(W145:CI145&gt;0,$W$16:$CI$16))</f>
        <v>45646</v>
      </c>
      <c r="N145" s="281"/>
      <c r="O145" s="311">
        <f>VLOOKUP(H145,Auxiliar!$B$16:$E$24,4,0)</f>
        <v>1</v>
      </c>
      <c r="P145" s="311">
        <f ca="1">IF(TODAY()&lt;=L145,0,MIN((TODAY()-L145)/(M145-L145+1),100%))</f>
        <v>1</v>
      </c>
      <c r="Q145" s="238">
        <f ca="1">O145-P145</f>
        <v>0</v>
      </c>
      <c r="R145" s="252" t="s">
        <v>38</v>
      </c>
      <c r="S145" s="270"/>
      <c r="T145" s="260">
        <v>8.1</v>
      </c>
      <c r="U145" s="260">
        <f>ROUND(T145/8,1)</f>
        <v>1</v>
      </c>
      <c r="V145" s="260">
        <f>SUM(W145:CI145)-U145</f>
        <v>-1</v>
      </c>
      <c r="W145" s="271"/>
      <c r="X145" s="271"/>
      <c r="Y145" s="271"/>
      <c r="Z145" s="271"/>
      <c r="AA145" s="271"/>
      <c r="AB145" s="271"/>
      <c r="AC145" s="271"/>
      <c r="AD145" s="272"/>
      <c r="AE145" s="271"/>
      <c r="AF145" s="271"/>
      <c r="AG145" s="271"/>
      <c r="AH145" s="271"/>
      <c r="AI145" s="271"/>
      <c r="AJ145" s="271"/>
      <c r="AK145" s="271"/>
      <c r="AL145" s="271"/>
      <c r="AM145" s="271"/>
      <c r="AN145" s="271"/>
      <c r="AO145" s="273"/>
      <c r="AP145" s="278"/>
      <c r="AQ145" s="271"/>
      <c r="AR145" s="271"/>
      <c r="AS145" s="271"/>
      <c r="AT145" s="271"/>
      <c r="AU145" s="271"/>
      <c r="AV145" s="271"/>
      <c r="AW145" s="271"/>
      <c r="AX145" s="271"/>
      <c r="AY145" s="271"/>
      <c r="AZ145" s="271"/>
      <c r="BA145" s="271"/>
      <c r="BB145" s="271"/>
      <c r="BC145" s="271"/>
      <c r="BD145" s="271"/>
      <c r="BE145" s="271"/>
      <c r="BF145" s="271"/>
      <c r="BG145" s="271"/>
      <c r="BH145" s="271"/>
      <c r="BI145" s="271"/>
      <c r="BJ145" s="271"/>
      <c r="BK145" s="271"/>
      <c r="BL145" s="271"/>
      <c r="BM145" s="271" t="s">
        <v>443</v>
      </c>
      <c r="BN145" s="271"/>
      <c r="BO145" s="272"/>
      <c r="BP145" s="272"/>
      <c r="BQ145" s="272"/>
      <c r="BR145" s="272"/>
      <c r="BS145" s="272"/>
      <c r="BT145" s="272"/>
      <c r="BU145" s="272"/>
      <c r="BV145" s="271"/>
      <c r="BW145" s="271"/>
      <c r="BX145" s="271"/>
      <c r="BY145" s="271"/>
      <c r="BZ145" s="271"/>
      <c r="CA145" s="271"/>
      <c r="CB145" s="271"/>
      <c r="CC145" s="271"/>
      <c r="CD145" s="271"/>
      <c r="CE145" s="271"/>
      <c r="CF145" s="271"/>
      <c r="CG145" s="271"/>
      <c r="CH145" s="271"/>
      <c r="CI145" s="271"/>
    </row>
    <row r="146" spans="1:87" ht="16.2" outlineLevel="1">
      <c r="A146" s="264" t="str">
        <f>E146&amp;G146</f>
        <v>modesg_out_empr_info_nfinflg_nfrd</v>
      </c>
      <c r="B146" s="141" t="s">
        <v>26</v>
      </c>
      <c r="C146" s="137" t="s">
        <v>310</v>
      </c>
      <c r="D146" s="226" t="s">
        <v>40</v>
      </c>
      <c r="E146" s="227" t="s">
        <v>325</v>
      </c>
      <c r="F146" s="227"/>
      <c r="G146" s="226" t="s">
        <v>244</v>
      </c>
      <c r="H146" s="226" t="str">
        <f>VLOOKUP(A146,'2. Status Detalhe Campos FY24'!$A$7:$G$732,7,0)</f>
        <v>1. Concluído</v>
      </c>
      <c r="I146" s="266" t="s">
        <v>38</v>
      </c>
      <c r="J146" s="275">
        <v>45614</v>
      </c>
      <c r="K146" s="275">
        <v>45615</v>
      </c>
      <c r="L146" s="280">
        <f t="array" ref="L146">MIN(IF(W146:CI146&gt;0,$W$16:$CI$16))</f>
        <v>45667</v>
      </c>
      <c r="M146" s="281">
        <f t="array" ref="M146">MAX(IF(W146:CI146&gt;0,$W$16:$CI$16))</f>
        <v>45667</v>
      </c>
      <c r="N146" s="281"/>
      <c r="O146" s="311">
        <f>VLOOKUP(H146,Auxiliar!$B$16:$E$24,4,0)</f>
        <v>1</v>
      </c>
      <c r="P146" s="311">
        <f ca="1">IF(TODAY()&lt;=L146,0,MIN((TODAY()-L146)/(M146-L146+1),100%))</f>
        <v>1</v>
      </c>
      <c r="Q146" s="238">
        <f ca="1">O146-P146</f>
        <v>0</v>
      </c>
      <c r="R146" s="252" t="s">
        <v>38</v>
      </c>
      <c r="S146" s="270"/>
      <c r="T146" s="260">
        <v>8.1</v>
      </c>
      <c r="U146" s="260">
        <f>ROUND(T146/8,1)</f>
        <v>1</v>
      </c>
      <c r="V146" s="260">
        <f>SUM(W146:CI146)-U146</f>
        <v>-1</v>
      </c>
      <c r="W146" s="271"/>
      <c r="X146" s="271"/>
      <c r="Y146" s="271"/>
      <c r="Z146" s="271"/>
      <c r="AA146" s="271"/>
      <c r="AB146" s="271"/>
      <c r="AC146" s="271"/>
      <c r="AD146" s="272"/>
      <c r="AE146" s="271"/>
      <c r="AF146" s="271"/>
      <c r="AG146" s="271"/>
      <c r="AH146" s="271"/>
      <c r="AI146" s="271"/>
      <c r="AJ146" s="271"/>
      <c r="AK146" s="271"/>
      <c r="AL146" s="271"/>
      <c r="AM146" s="271"/>
      <c r="AN146" s="271"/>
      <c r="AO146" s="273"/>
      <c r="AP146" s="278"/>
      <c r="AQ146" s="271"/>
      <c r="AR146" s="271"/>
      <c r="AS146" s="271"/>
      <c r="AT146" s="271"/>
      <c r="AU146" s="271"/>
      <c r="AV146" s="271"/>
      <c r="AW146" s="271"/>
      <c r="AX146" s="271"/>
      <c r="AY146" s="271"/>
      <c r="AZ146" s="271"/>
      <c r="BA146" s="271"/>
      <c r="BB146" s="271"/>
      <c r="BC146" s="271"/>
      <c r="BD146" s="271"/>
      <c r="BE146" s="271"/>
      <c r="BF146" s="271"/>
      <c r="BG146" s="271"/>
      <c r="BH146" s="271"/>
      <c r="BI146" s="271"/>
      <c r="BJ146" s="271"/>
      <c r="BK146" s="271"/>
      <c r="BL146" s="271"/>
      <c r="BM146" s="271"/>
      <c r="BN146" s="271"/>
      <c r="BO146" s="272"/>
      <c r="BP146" s="272"/>
      <c r="BQ146" s="272"/>
      <c r="BR146" s="272"/>
      <c r="BS146" s="272"/>
      <c r="BT146" s="272"/>
      <c r="BU146" s="272"/>
      <c r="BV146" s="271"/>
      <c r="BW146" s="271"/>
      <c r="BX146" s="271"/>
      <c r="BY146" s="271"/>
      <c r="BZ146" s="271"/>
      <c r="CA146" s="271"/>
      <c r="CB146" s="271" t="s">
        <v>443</v>
      </c>
      <c r="CC146" s="271"/>
      <c r="CD146" s="271"/>
      <c r="CE146" s="271"/>
      <c r="CF146" s="271"/>
      <c r="CG146" s="271"/>
      <c r="CH146" s="271"/>
      <c r="CI146" s="271"/>
    </row>
    <row r="147" spans="1:87" ht="16.2" outlineLevel="1">
      <c r="A147" s="264" t="str">
        <f>E147&amp;G147</f>
        <v>modesg_out_empr_info_nfinorigem_flg_emprs_excl_paris</v>
      </c>
      <c r="B147" s="141" t="s">
        <v>26</v>
      </c>
      <c r="C147" s="137" t="s">
        <v>310</v>
      </c>
      <c r="D147" s="226" t="s">
        <v>40</v>
      </c>
      <c r="E147" s="227" t="s">
        <v>325</v>
      </c>
      <c r="F147" s="227"/>
      <c r="G147" s="226" t="s">
        <v>329</v>
      </c>
      <c r="H147" s="226" t="str">
        <f>VLOOKUP(A147,'2. Status Detalhe Campos FY24'!$A$7:$G$732,7,0)</f>
        <v>1. Concluído</v>
      </c>
      <c r="I147" s="266" t="s">
        <v>38</v>
      </c>
      <c r="J147" s="275">
        <v>45614</v>
      </c>
      <c r="K147" s="275">
        <v>45615</v>
      </c>
      <c r="L147" s="280">
        <f t="array" ref="L147">MIN(IF(W147:CI147&gt;0,$W$16:$CI$16))</f>
        <v>45667</v>
      </c>
      <c r="M147" s="281">
        <f t="array" ref="M147">MAX(IF(W147:CI147&gt;0,$W$16:$CI$16))</f>
        <v>45667</v>
      </c>
      <c r="N147" s="281"/>
      <c r="O147" s="311">
        <f>VLOOKUP(H147,Auxiliar!$B$16:$E$24,4,0)</f>
        <v>1</v>
      </c>
      <c r="P147" s="311">
        <f ca="1">IF(TODAY()&lt;=L147,0,MIN((TODAY()-L147)/(M147-L147+1),100%))</f>
        <v>1</v>
      </c>
      <c r="Q147" s="238">
        <f ca="1">O147-P147</f>
        <v>0</v>
      </c>
      <c r="R147" s="252" t="s">
        <v>38</v>
      </c>
      <c r="S147" s="270"/>
      <c r="T147" s="260">
        <v>4.0999999999999996</v>
      </c>
      <c r="U147" s="260">
        <f>ROUND(T147/8,1)</f>
        <v>0.5</v>
      </c>
      <c r="V147" s="260">
        <f>SUM(W147:CI147)-U147</f>
        <v>-0.5</v>
      </c>
      <c r="W147" s="271"/>
      <c r="X147" s="271"/>
      <c r="Y147" s="271"/>
      <c r="Z147" s="271"/>
      <c r="AA147" s="271"/>
      <c r="AB147" s="271"/>
      <c r="AC147" s="271"/>
      <c r="AD147" s="272"/>
      <c r="AE147" s="271"/>
      <c r="AF147" s="271"/>
      <c r="AG147" s="271"/>
      <c r="AH147" s="271"/>
      <c r="AI147" s="271"/>
      <c r="AJ147" s="271"/>
      <c r="AK147" s="271"/>
      <c r="AL147" s="271"/>
      <c r="AM147" s="271"/>
      <c r="AN147" s="271"/>
      <c r="AO147" s="273"/>
      <c r="AP147" s="278"/>
      <c r="AQ147" s="271"/>
      <c r="AR147" s="271"/>
      <c r="AS147" s="271"/>
      <c r="AT147" s="271"/>
      <c r="AU147" s="271"/>
      <c r="AV147" s="271"/>
      <c r="AW147" s="271"/>
      <c r="AX147" s="271"/>
      <c r="AY147" s="271"/>
      <c r="AZ147" s="271"/>
      <c r="BA147" s="271"/>
      <c r="BB147" s="271"/>
      <c r="BC147" s="271"/>
      <c r="BD147" s="271"/>
      <c r="BE147" s="271"/>
      <c r="BF147" s="271"/>
      <c r="BG147" s="271"/>
      <c r="BH147" s="271"/>
      <c r="BI147" s="271"/>
      <c r="BJ147" s="271"/>
      <c r="BK147" s="271"/>
      <c r="BL147" s="271"/>
      <c r="BM147" s="271"/>
      <c r="BN147" s="271"/>
      <c r="BO147" s="272"/>
      <c r="BP147" s="272"/>
      <c r="BQ147" s="272"/>
      <c r="BR147" s="272"/>
      <c r="BS147" s="272"/>
      <c r="BT147" s="272"/>
      <c r="BU147" s="272"/>
      <c r="BV147" s="271"/>
      <c r="BW147" s="271"/>
      <c r="BX147" s="271"/>
      <c r="BY147" s="271"/>
      <c r="BZ147" s="271"/>
      <c r="CA147" s="271"/>
      <c r="CB147" s="271" t="s">
        <v>443</v>
      </c>
      <c r="CC147" s="271"/>
      <c r="CD147" s="271"/>
      <c r="CE147" s="271"/>
      <c r="CF147" s="271"/>
      <c r="CG147" s="271"/>
      <c r="CH147" s="271"/>
      <c r="CI147" s="271"/>
    </row>
    <row r="148" spans="1:87" ht="15" customHeight="1" collapsed="1">
      <c r="A148" s="264"/>
      <c r="B148" s="141" t="s">
        <v>26</v>
      </c>
      <c r="C148" s="137" t="s">
        <v>26</v>
      </c>
      <c r="D148" s="133"/>
      <c r="E148" s="232" t="s">
        <v>335</v>
      </c>
      <c r="F148" s="230" t="s">
        <v>1911</v>
      </c>
      <c r="G148" s="231">
        <f>COUNTA(G149:G151)</f>
        <v>3</v>
      </c>
      <c r="H148" s="285" t="s">
        <v>1921</v>
      </c>
      <c r="I148" s="268" t="s">
        <v>38</v>
      </c>
      <c r="J148" s="267">
        <f>MIN(J149:J151)</f>
        <v>45621</v>
      </c>
      <c r="K148" s="268">
        <f>MIN(K149:K151)</f>
        <v>45596</v>
      </c>
      <c r="L148" s="267">
        <f>MIN(L149:L151)</f>
        <v>45625</v>
      </c>
      <c r="M148" s="268">
        <f>MAX(M149:M151)</f>
        <v>45638</v>
      </c>
      <c r="N148" s="312">
        <f t="array" ref="N148">MAX(IF(W148:CI148&gt;0,$W$16:$CI$16))</f>
        <v>45674</v>
      </c>
      <c r="O148" s="311">
        <f>SUMPRODUCT(O149:O152,U149:U152)/SUM(U149:U152)</f>
        <v>1</v>
      </c>
      <c r="P148" s="311">
        <f ca="1">SUMPRODUCT(P149:P151,U149:U151)/SUM(U149:U151)</f>
        <v>1</v>
      </c>
      <c r="Q148" s="238">
        <f t="shared" ca="1" si="33"/>
        <v>0</v>
      </c>
      <c r="R148" s="329" t="s">
        <v>1961</v>
      </c>
      <c r="S148" s="270"/>
      <c r="T148" s="260"/>
      <c r="U148" s="260"/>
      <c r="V148" s="260"/>
      <c r="W148" s="271"/>
      <c r="X148" s="279"/>
      <c r="Y148" s="271"/>
      <c r="Z148" s="271"/>
      <c r="AA148" s="271"/>
      <c r="AB148" s="271"/>
      <c r="AC148" s="278"/>
      <c r="AD148" s="272"/>
      <c r="AE148" s="271"/>
      <c r="AF148" s="271"/>
      <c r="AG148" s="271"/>
      <c r="AH148" s="271"/>
      <c r="AI148" s="271"/>
      <c r="AJ148" s="271"/>
      <c r="AK148" s="271"/>
      <c r="AL148" s="271"/>
      <c r="AM148" s="271"/>
      <c r="AN148" s="271"/>
      <c r="AO148" s="271"/>
      <c r="AP148" s="271"/>
      <c r="AQ148" s="271"/>
      <c r="AR148" s="271"/>
      <c r="AS148" s="271"/>
      <c r="AT148" s="271"/>
      <c r="AU148" s="271"/>
      <c r="AV148" s="271"/>
      <c r="AW148" s="271"/>
      <c r="AX148" s="271"/>
      <c r="AY148" s="271"/>
      <c r="AZ148" s="271"/>
      <c r="BA148" s="271"/>
      <c r="BB148" s="271"/>
      <c r="BC148" s="271"/>
      <c r="BD148" s="271"/>
      <c r="BE148" s="271"/>
      <c r="BF148" s="271"/>
      <c r="BG148" s="271"/>
      <c r="BH148" s="271" t="s">
        <v>443</v>
      </c>
      <c r="BI148" s="271"/>
      <c r="BJ148" s="271"/>
      <c r="BK148" s="271"/>
      <c r="BL148" s="271"/>
      <c r="BM148" s="271"/>
      <c r="BN148" s="271"/>
      <c r="BO148" s="272"/>
      <c r="BP148" s="272"/>
      <c r="BQ148" s="272"/>
      <c r="BR148" s="272"/>
      <c r="BS148" s="272"/>
      <c r="BT148" s="272"/>
      <c r="BU148" s="272"/>
      <c r="BV148" s="271"/>
      <c r="BW148" s="271"/>
      <c r="BX148" s="271"/>
      <c r="BY148" s="271"/>
      <c r="BZ148" s="271"/>
      <c r="CA148" s="271"/>
      <c r="CB148" s="271"/>
      <c r="CC148" s="271"/>
      <c r="CD148" s="271"/>
      <c r="CE148" s="271"/>
      <c r="CF148" s="271"/>
      <c r="CG148" s="271" t="s">
        <v>1952</v>
      </c>
      <c r="CH148" s="271"/>
      <c r="CI148" s="271"/>
    </row>
    <row r="149" spans="1:87" ht="16.2" outlineLevel="1">
      <c r="A149" s="264" t="str">
        <f>E149&amp;G149</f>
        <v>lt003_entitycntrprty_emssns_scp1</v>
      </c>
      <c r="B149" s="141" t="s">
        <v>26</v>
      </c>
      <c r="C149" s="137" t="s">
        <v>26</v>
      </c>
      <c r="D149" s="226" t="s">
        <v>40</v>
      </c>
      <c r="E149" s="229" t="s">
        <v>335</v>
      </c>
      <c r="F149" s="229"/>
      <c r="G149" s="229" t="s">
        <v>353</v>
      </c>
      <c r="H149" s="226" t="str">
        <f>VLOOKUP(A149,'2. Status Detalhe Campos FY24'!$A$7:$G$732,7,0)</f>
        <v>1. Concluído</v>
      </c>
      <c r="I149" s="266" t="s">
        <v>38</v>
      </c>
      <c r="J149" s="275">
        <v>45621</v>
      </c>
      <c r="K149" s="275">
        <v>45596</v>
      </c>
      <c r="L149" s="280">
        <f t="array" ref="L149">MIN(IF(W149:CI149&gt;0,$W$16:$CI$16))</f>
        <v>45625</v>
      </c>
      <c r="M149" s="281">
        <f t="array" ref="M149">MAX(IF(W149:CI149&gt;0,$W$16:$CI$16))</f>
        <v>45625</v>
      </c>
      <c r="N149" s="281"/>
      <c r="O149" s="239">
        <f>VLOOKUP(H149,Auxiliar!$B$16:$E$24,4,0)</f>
        <v>1</v>
      </c>
      <c r="P149" s="239">
        <f ca="1">IF(TODAY()&lt;=L149,0,MIN((TODAY()-L149)/(M149-L149+1),100%))</f>
        <v>1</v>
      </c>
      <c r="Q149" s="238">
        <f t="shared" ca="1" si="33"/>
        <v>0</v>
      </c>
      <c r="R149" s="252" t="s">
        <v>38</v>
      </c>
      <c r="S149" s="270"/>
      <c r="T149" s="260">
        <v>4.0999999999999996</v>
      </c>
      <c r="U149" s="260">
        <f>ROUND(T149/8,1)</f>
        <v>0.5</v>
      </c>
      <c r="V149" s="260">
        <f>SUM(W149:CI149)-U149</f>
        <v>0</v>
      </c>
      <c r="W149" s="271"/>
      <c r="X149" s="279"/>
      <c r="Y149" s="271"/>
      <c r="Z149" s="271"/>
      <c r="AA149" s="271"/>
      <c r="AB149" s="271"/>
      <c r="AC149" s="278"/>
      <c r="AD149" s="272"/>
      <c r="AE149" s="271"/>
      <c r="AF149" s="271"/>
      <c r="AG149" s="271"/>
      <c r="AH149" s="271"/>
      <c r="AI149" s="271"/>
      <c r="AJ149" s="271"/>
      <c r="AK149" s="271"/>
      <c r="AL149" s="271"/>
      <c r="AM149" s="271"/>
      <c r="AN149" s="271"/>
      <c r="AO149" s="271"/>
      <c r="AP149" s="271"/>
      <c r="AQ149" s="271"/>
      <c r="AR149" s="271"/>
      <c r="AS149" s="271"/>
      <c r="AT149" s="271"/>
      <c r="AU149" s="271"/>
      <c r="AV149" s="271"/>
      <c r="AW149" s="271"/>
      <c r="AX149" s="271">
        <v>0.5</v>
      </c>
      <c r="AY149" s="271"/>
      <c r="AZ149" s="271"/>
      <c r="BA149" s="271"/>
      <c r="BB149" s="271"/>
      <c r="BC149" s="271"/>
      <c r="BD149" s="271"/>
      <c r="BE149" s="271"/>
      <c r="BF149" s="271"/>
      <c r="BG149" s="271"/>
      <c r="BH149" s="271"/>
      <c r="BI149" s="271"/>
      <c r="BJ149" s="271"/>
      <c r="BK149" s="271"/>
      <c r="BL149" s="271"/>
      <c r="BM149" s="271"/>
      <c r="BN149" s="271"/>
      <c r="BO149" s="272"/>
      <c r="BP149" s="272"/>
      <c r="BQ149" s="272"/>
      <c r="BR149" s="272"/>
      <c r="BS149" s="272"/>
      <c r="BT149" s="272"/>
      <c r="BU149" s="272"/>
      <c r="BV149" s="271"/>
      <c r="BW149" s="271"/>
      <c r="BX149" s="271"/>
      <c r="BY149" s="271"/>
      <c r="BZ149" s="271"/>
      <c r="CA149" s="271"/>
      <c r="CB149" s="271"/>
      <c r="CC149" s="271"/>
      <c r="CD149" s="271"/>
      <c r="CE149" s="271"/>
      <c r="CF149" s="271"/>
      <c r="CG149" s="271"/>
      <c r="CH149" s="271"/>
      <c r="CI149" s="271"/>
    </row>
    <row r="150" spans="1:87" ht="16.2" outlineLevel="1">
      <c r="A150" s="264" t="str">
        <f>E150&amp;G150</f>
        <v>lt003_entitycntrprty_emssns_scp2</v>
      </c>
      <c r="B150" s="141" t="s">
        <v>26</v>
      </c>
      <c r="C150" s="137" t="s">
        <v>26</v>
      </c>
      <c r="D150" s="226" t="s">
        <v>40</v>
      </c>
      <c r="E150" s="229" t="s">
        <v>335</v>
      </c>
      <c r="F150" s="229"/>
      <c r="G150" s="229" t="s">
        <v>354</v>
      </c>
      <c r="H150" s="226" t="str">
        <f>VLOOKUP(A150,'2. Status Detalhe Campos FY24'!$A$7:$G$732,7,0)</f>
        <v>1. Concluído</v>
      </c>
      <c r="I150" s="266" t="s">
        <v>38</v>
      </c>
      <c r="J150" s="275">
        <v>45621</v>
      </c>
      <c r="K150" s="275">
        <v>45596</v>
      </c>
      <c r="L150" s="280">
        <f t="array" ref="L150">MIN(IF(W150:CI150&gt;0,$W$16:$CI$16))</f>
        <v>45625</v>
      </c>
      <c r="M150" s="281">
        <f t="array" ref="M150">MAX(IF(W150:CI150&gt;0,$W$16:$CI$16))</f>
        <v>45625</v>
      </c>
      <c r="N150" s="281"/>
      <c r="O150" s="239">
        <f>VLOOKUP(H150,Auxiliar!$B$16:$E$24,4,0)</f>
        <v>1</v>
      </c>
      <c r="P150" s="239">
        <f ca="1">IF(TODAY()&lt;=L150,0,MIN((TODAY()-L150)/(M150-L150+1),100%))</f>
        <v>1</v>
      </c>
      <c r="Q150" s="238">
        <f t="shared" ca="1" si="33"/>
        <v>0</v>
      </c>
      <c r="R150" s="252" t="s">
        <v>38</v>
      </c>
      <c r="S150" s="270"/>
      <c r="T150" s="260">
        <v>4.0999999999999996</v>
      </c>
      <c r="U150" s="260">
        <f>ROUND(T150/8,1)</f>
        <v>0.5</v>
      </c>
      <c r="V150" s="260">
        <f>SUM(W150:CI150)-U150</f>
        <v>0</v>
      </c>
      <c r="W150" s="271"/>
      <c r="X150" s="279"/>
      <c r="Y150" s="271"/>
      <c r="Z150" s="271"/>
      <c r="AA150" s="271"/>
      <c r="AB150" s="271"/>
      <c r="AC150" s="278"/>
      <c r="AD150" s="272"/>
      <c r="AE150" s="271"/>
      <c r="AF150" s="271"/>
      <c r="AG150" s="271"/>
      <c r="AH150" s="271"/>
      <c r="AI150" s="271"/>
      <c r="AJ150" s="271"/>
      <c r="AK150" s="271"/>
      <c r="AL150" s="271"/>
      <c r="AM150" s="271"/>
      <c r="AN150" s="271"/>
      <c r="AO150" s="271"/>
      <c r="AP150" s="271"/>
      <c r="AQ150" s="271"/>
      <c r="AR150" s="271"/>
      <c r="AS150" s="271"/>
      <c r="AT150" s="271"/>
      <c r="AU150" s="271"/>
      <c r="AV150" s="271"/>
      <c r="AW150" s="271"/>
      <c r="AX150" s="271">
        <v>0.5</v>
      </c>
      <c r="AY150" s="271"/>
      <c r="AZ150" s="271"/>
      <c r="BA150" s="271"/>
      <c r="BB150" s="271"/>
      <c r="BC150" s="271"/>
      <c r="BD150" s="271"/>
      <c r="BE150" s="271"/>
      <c r="BF150" s="271"/>
      <c r="BG150" s="271"/>
      <c r="BH150" s="271"/>
      <c r="BI150" s="271"/>
      <c r="BJ150" s="271"/>
      <c r="BK150" s="271"/>
      <c r="BL150" s="271"/>
      <c r="BM150" s="271"/>
      <c r="BN150" s="271"/>
      <c r="BO150" s="272"/>
      <c r="BP150" s="272"/>
      <c r="BQ150" s="272"/>
      <c r="BR150" s="272"/>
      <c r="BS150" s="272"/>
      <c r="BT150" s="272"/>
      <c r="BU150" s="272"/>
      <c r="BV150" s="271"/>
      <c r="BW150" s="271"/>
      <c r="BX150" s="271"/>
      <c r="BY150" s="271"/>
      <c r="BZ150" s="271"/>
      <c r="CA150" s="271"/>
      <c r="CB150" s="271"/>
      <c r="CC150" s="271"/>
      <c r="CD150" s="271"/>
      <c r="CE150" s="271"/>
      <c r="CF150" s="271"/>
      <c r="CG150" s="271"/>
      <c r="CH150" s="271"/>
      <c r="CI150" s="271"/>
    </row>
    <row r="151" spans="1:87" ht="16.2" outlineLevel="1">
      <c r="A151" s="264" t="str">
        <f>E151&amp;G151</f>
        <v>lt003_entitycntrprty_emssns_scp3</v>
      </c>
      <c r="B151" s="141" t="s">
        <v>26</v>
      </c>
      <c r="C151" s="137" t="s">
        <v>26</v>
      </c>
      <c r="D151" s="226" t="s">
        <v>40</v>
      </c>
      <c r="E151" s="229" t="s">
        <v>335</v>
      </c>
      <c r="F151" s="229"/>
      <c r="G151" s="229" t="s">
        <v>355</v>
      </c>
      <c r="H151" s="226" t="str">
        <f>VLOOKUP(A151,'2. Status Detalhe Campos FY24'!$A$7:$G$732,7,0)</f>
        <v>1. Concluído</v>
      </c>
      <c r="I151" s="266" t="s">
        <v>38</v>
      </c>
      <c r="J151" s="275">
        <v>45621</v>
      </c>
      <c r="K151" s="275">
        <v>45596</v>
      </c>
      <c r="L151" s="280">
        <f t="array" ref="L151">MIN(IF(W151:CI151&gt;0,$W$16:$CI$16))</f>
        <v>45638</v>
      </c>
      <c r="M151" s="281">
        <f t="array" ref="M151">MAX(IF(W151:CI151&gt;0,$W$16:$CI$16))</f>
        <v>45638</v>
      </c>
      <c r="N151" s="281"/>
      <c r="O151" s="239">
        <f>VLOOKUP(H151,Auxiliar!$B$16:$E$24,4,0)</f>
        <v>1</v>
      </c>
      <c r="P151" s="239">
        <f ca="1">IF(TODAY()&lt;=L151,0,MIN((TODAY()-L151)/(M151-L151+1),100%))</f>
        <v>1</v>
      </c>
      <c r="Q151" s="238">
        <f t="shared" ca="1" si="33"/>
        <v>0</v>
      </c>
      <c r="R151" s="252" t="s">
        <v>38</v>
      </c>
      <c r="S151" s="270"/>
      <c r="T151" s="260">
        <v>4.0999999999999996</v>
      </c>
      <c r="U151" s="260">
        <f>ROUND(T151/8,1)</f>
        <v>0.5</v>
      </c>
      <c r="V151" s="260">
        <f>SUM(W151:CI151)-U151</f>
        <v>0</v>
      </c>
      <c r="W151" s="271"/>
      <c r="X151" s="279"/>
      <c r="Y151" s="271"/>
      <c r="Z151" s="271"/>
      <c r="AA151" s="271"/>
      <c r="AB151" s="271"/>
      <c r="AC151" s="278"/>
      <c r="AD151" s="272"/>
      <c r="AE151" s="271"/>
      <c r="AF151" s="271"/>
      <c r="AG151" s="271"/>
      <c r="AH151" s="271"/>
      <c r="AI151" s="271"/>
      <c r="AJ151" s="271"/>
      <c r="AK151" s="271"/>
      <c r="AL151" s="271"/>
      <c r="AM151" s="271"/>
      <c r="AN151" s="271"/>
      <c r="AO151" s="271"/>
      <c r="AP151" s="271"/>
      <c r="AQ151" s="271"/>
      <c r="AR151" s="271"/>
      <c r="AS151" s="271"/>
      <c r="AT151" s="271"/>
      <c r="AU151" s="271"/>
      <c r="AV151" s="271"/>
      <c r="AW151" s="271"/>
      <c r="AX151" s="271"/>
      <c r="AY151" s="271"/>
      <c r="AZ151" s="271"/>
      <c r="BA151" s="271"/>
      <c r="BB151" s="271"/>
      <c r="BC151" s="271"/>
      <c r="BD151" s="271"/>
      <c r="BE151" s="271"/>
      <c r="BF151" s="271"/>
      <c r="BG151" s="271">
        <v>0.5</v>
      </c>
      <c r="BH151" s="271"/>
      <c r="BI151" s="271"/>
      <c r="BJ151" s="271"/>
      <c r="BK151" s="271"/>
      <c r="BL151" s="271"/>
      <c r="BM151" s="271"/>
      <c r="BN151" s="271"/>
      <c r="BO151" s="272"/>
      <c r="BP151" s="272"/>
      <c r="BQ151" s="272"/>
      <c r="BR151" s="272"/>
      <c r="BS151" s="272"/>
      <c r="BT151" s="272"/>
      <c r="BU151" s="272"/>
      <c r="BV151" s="271"/>
      <c r="BW151" s="271"/>
      <c r="BX151" s="271"/>
      <c r="BY151" s="271"/>
      <c r="BZ151" s="271"/>
      <c r="CA151" s="271"/>
      <c r="CB151" s="271"/>
      <c r="CC151" s="271"/>
      <c r="CD151" s="271"/>
      <c r="CE151" s="271"/>
      <c r="CF151" s="271"/>
      <c r="CG151" s="271"/>
      <c r="CH151" s="271"/>
      <c r="CI151" s="271"/>
    </row>
    <row r="152" spans="1:87" ht="15" customHeight="1" collapsed="1">
      <c r="A152" s="264"/>
      <c r="B152" s="141" t="s">
        <v>26</v>
      </c>
      <c r="C152" s="137" t="s">
        <v>310</v>
      </c>
      <c r="D152" s="133"/>
      <c r="E152" s="230" t="s">
        <v>325</v>
      </c>
      <c r="F152" s="230" t="s">
        <v>1910</v>
      </c>
      <c r="G152" s="231">
        <f>COUNTA(G153:G158)</f>
        <v>6</v>
      </c>
      <c r="H152" s="265" t="s">
        <v>1924</v>
      </c>
      <c r="I152" s="266" t="s">
        <v>38</v>
      </c>
      <c r="J152" s="267">
        <f>MIN(J153:J158)</f>
        <v>45621</v>
      </c>
      <c r="K152" s="316">
        <f>MIN(K153:K158)</f>
        <v>45622</v>
      </c>
      <c r="L152" s="267">
        <f>MIN(L153:L158)</f>
        <v>45636</v>
      </c>
      <c r="M152" s="268">
        <f>MAX(M153:M158)</f>
        <v>45645</v>
      </c>
      <c r="N152" s="312" t="s">
        <v>1868</v>
      </c>
      <c r="O152" s="304">
        <f>SUMPRODUCT(O153:O158,U153:U158)/SUM(U153:U158)</f>
        <v>0.25</v>
      </c>
      <c r="P152" s="304">
        <f ca="1">SUMPRODUCT(P153:P158,U153:U158)/SUM(U153:U158)</f>
        <v>1</v>
      </c>
      <c r="Q152" s="238">
        <f t="shared" ca="1" si="33"/>
        <v>-0.75</v>
      </c>
      <c r="R152" s="329" t="s">
        <v>1958</v>
      </c>
      <c r="S152" s="270"/>
      <c r="T152" s="260"/>
      <c r="U152" s="260"/>
      <c r="V152" s="260"/>
      <c r="W152" s="271"/>
      <c r="X152" s="271"/>
      <c r="Y152" s="271"/>
      <c r="Z152" s="271"/>
      <c r="AA152" s="271"/>
      <c r="AB152" s="271"/>
      <c r="AC152" s="271"/>
      <c r="AD152" s="272"/>
      <c r="AE152" s="271"/>
      <c r="AF152" s="271"/>
      <c r="AG152" s="271"/>
      <c r="AH152" s="271"/>
      <c r="AI152" s="271"/>
      <c r="AJ152" s="271"/>
      <c r="AK152" s="271"/>
      <c r="AL152" s="271"/>
      <c r="AM152" s="271"/>
      <c r="AN152" s="271"/>
      <c r="AO152" s="271"/>
      <c r="AP152" s="271"/>
      <c r="AQ152" s="271"/>
      <c r="AR152" s="271"/>
      <c r="AS152" s="271"/>
      <c r="AT152" s="273"/>
      <c r="AU152" s="259"/>
      <c r="AV152" s="271"/>
      <c r="AW152" s="271"/>
      <c r="AX152" s="271"/>
      <c r="AY152" s="271"/>
      <c r="AZ152" s="271"/>
      <c r="BA152" s="271"/>
      <c r="BB152" s="271"/>
      <c r="BC152" s="271"/>
      <c r="BD152" s="271"/>
      <c r="BE152" s="271"/>
      <c r="BF152" s="271"/>
      <c r="BG152" s="271"/>
      <c r="BJ152" s="271"/>
      <c r="BK152" s="271"/>
      <c r="BL152" s="271"/>
      <c r="BM152" s="271" t="s">
        <v>443</v>
      </c>
      <c r="BO152" s="272"/>
      <c r="BP152" s="272"/>
      <c r="BQ152" s="272"/>
      <c r="BR152" s="272"/>
      <c r="BS152" s="272"/>
      <c r="BT152" s="272"/>
      <c r="BU152" s="272"/>
      <c r="BV152" s="271"/>
      <c r="BW152" s="271"/>
      <c r="BX152" s="271"/>
      <c r="BY152" s="271"/>
      <c r="BZ152" s="271"/>
      <c r="CA152" s="271"/>
      <c r="CB152" s="271"/>
      <c r="CC152" s="271"/>
      <c r="CD152" s="271"/>
      <c r="CE152" s="271"/>
      <c r="CF152" s="271"/>
      <c r="CG152" s="271"/>
      <c r="CH152" s="271"/>
      <c r="CI152" s="271"/>
    </row>
    <row r="153" spans="1:87" ht="16.2" outlineLevel="1">
      <c r="A153" s="264" t="str">
        <f t="shared" ref="A153:A158" si="34">E153&amp;G153</f>
        <v>modesg_out_empr_info_nfinorigem_scp1_emss</v>
      </c>
      <c r="B153" s="141" t="s">
        <v>26</v>
      </c>
      <c r="C153" s="137" t="s">
        <v>310</v>
      </c>
      <c r="D153" s="226" t="s">
        <v>40</v>
      </c>
      <c r="E153" s="227" t="s">
        <v>325</v>
      </c>
      <c r="F153" s="227"/>
      <c r="G153" s="226" t="s">
        <v>319</v>
      </c>
      <c r="H153" s="226" t="str">
        <f>VLOOKUP(A153,'2. Status Detalhe Campos FY24'!$A$7:$G$732,7,0)</f>
        <v>2.1 Em Teste</v>
      </c>
      <c r="I153" s="266" t="s">
        <v>38</v>
      </c>
      <c r="J153" s="275">
        <v>45621</v>
      </c>
      <c r="K153" s="275">
        <v>45622</v>
      </c>
      <c r="L153" s="280">
        <f t="array" ref="L153">MIN(IF(W153:CI153&gt;0,$W$16:$CI$16))</f>
        <v>45645</v>
      </c>
      <c r="M153" s="281">
        <f t="array" ref="M153">MAX(IF(W153:CI153&gt;0,$W$16:$CI$16))</f>
        <v>45645</v>
      </c>
      <c r="N153" s="281"/>
      <c r="O153" s="239">
        <f>VLOOKUP(H153,Auxiliar!$B$16:$E$24,4,0)</f>
        <v>0.25</v>
      </c>
      <c r="P153" s="239">
        <f t="shared" ref="P153:P158" ca="1" si="35">IF(TODAY()&lt;=L153,0,MIN((TODAY()-L153)/(M153-L153+1),100%))</f>
        <v>1</v>
      </c>
      <c r="Q153" s="238">
        <f t="shared" ca="1" si="33"/>
        <v>-0.75</v>
      </c>
      <c r="R153" s="252" t="s">
        <v>38</v>
      </c>
      <c r="S153" s="270"/>
      <c r="T153" s="260">
        <v>4.0999999999999996</v>
      </c>
      <c r="U153" s="260">
        <f t="shared" ref="U153:U158" si="36">ROUND(T153/8,1)</f>
        <v>0.5</v>
      </c>
      <c r="V153" s="260">
        <f t="shared" ref="V153:V158" si="37">SUM(W153:CI153)-U153</f>
        <v>0</v>
      </c>
      <c r="W153" s="271"/>
      <c r="X153" s="271"/>
      <c r="Y153" s="271"/>
      <c r="Z153" s="271"/>
      <c r="AA153" s="271"/>
      <c r="AB153" s="271"/>
      <c r="AC153" s="271"/>
      <c r="AD153" s="272"/>
      <c r="AE153" s="271"/>
      <c r="AF153" s="271"/>
      <c r="AG153" s="271"/>
      <c r="AH153" s="271"/>
      <c r="AI153" s="271"/>
      <c r="AJ153" s="271"/>
      <c r="AK153" s="271"/>
      <c r="AL153" s="271"/>
      <c r="AM153" s="271"/>
      <c r="AN153" s="271"/>
      <c r="AO153" s="271"/>
      <c r="AP153" s="271"/>
      <c r="AQ153" s="271"/>
      <c r="AR153" s="271"/>
      <c r="AS153" s="271"/>
      <c r="AT153" s="273"/>
      <c r="AU153" s="259"/>
      <c r="AV153" s="271"/>
      <c r="AW153" s="271"/>
      <c r="AX153" s="271"/>
      <c r="AY153" s="271"/>
      <c r="AZ153" s="271"/>
      <c r="BA153" s="271"/>
      <c r="BB153" s="271"/>
      <c r="BC153" s="271"/>
      <c r="BE153" s="271"/>
      <c r="BF153" s="271"/>
      <c r="BG153" s="271"/>
      <c r="BH153" s="271"/>
      <c r="BI153" s="271"/>
      <c r="BJ153" s="271"/>
      <c r="BK153" s="271"/>
      <c r="BL153" s="271">
        <v>0.5</v>
      </c>
      <c r="BM153" s="271"/>
      <c r="BN153" s="271"/>
      <c r="BO153" s="272"/>
      <c r="BP153" s="272"/>
      <c r="BQ153" s="272"/>
      <c r="BR153" s="272"/>
      <c r="BS153" s="272"/>
      <c r="BT153" s="272"/>
      <c r="BU153" s="272"/>
      <c r="BV153" s="271"/>
      <c r="BW153" s="271"/>
      <c r="BX153" s="271"/>
      <c r="BY153" s="271"/>
      <c r="BZ153" s="271"/>
      <c r="CA153" s="271"/>
      <c r="CB153" s="271"/>
      <c r="CC153" s="271"/>
      <c r="CD153" s="271"/>
      <c r="CE153" s="271"/>
      <c r="CF153" s="271"/>
      <c r="CG153" s="271"/>
      <c r="CH153" s="271"/>
      <c r="CI153" s="271"/>
    </row>
    <row r="154" spans="1:87" ht="16.2" outlineLevel="1">
      <c r="A154" s="264" t="str">
        <f t="shared" si="34"/>
        <v>modesg_out_empr_info_nfinorigem_scp2_emss</v>
      </c>
      <c r="B154" s="141" t="s">
        <v>26</v>
      </c>
      <c r="C154" s="137" t="s">
        <v>310</v>
      </c>
      <c r="D154" s="226" t="s">
        <v>40</v>
      </c>
      <c r="E154" s="227" t="s">
        <v>325</v>
      </c>
      <c r="F154" s="227"/>
      <c r="G154" s="226" t="s">
        <v>320</v>
      </c>
      <c r="H154" s="226" t="str">
        <f>VLOOKUP(A154,'2. Status Detalhe Campos FY24'!$A$7:$G$732,7,0)</f>
        <v>2.1 Em Teste</v>
      </c>
      <c r="I154" s="266" t="s">
        <v>38</v>
      </c>
      <c r="J154" s="275">
        <v>45621</v>
      </c>
      <c r="K154" s="275">
        <v>45622</v>
      </c>
      <c r="L154" s="280">
        <f t="array" ref="L154">MIN(IF(W154:CI154&gt;0,$W$16:$CI$16))</f>
        <v>45645</v>
      </c>
      <c r="M154" s="281">
        <f t="array" ref="M154">MAX(IF(W154:CI154&gt;0,$W$16:$CI$16))</f>
        <v>45645</v>
      </c>
      <c r="N154" s="281"/>
      <c r="O154" s="239">
        <f>VLOOKUP(H154,Auxiliar!$B$16:$E$24,4,0)</f>
        <v>0.25</v>
      </c>
      <c r="P154" s="239">
        <f t="shared" ca="1" si="35"/>
        <v>1</v>
      </c>
      <c r="Q154" s="238">
        <f t="shared" ca="1" si="33"/>
        <v>-0.75</v>
      </c>
      <c r="R154" s="252" t="s">
        <v>38</v>
      </c>
      <c r="S154" s="270"/>
      <c r="T154" s="260">
        <v>4.0999999999999996</v>
      </c>
      <c r="U154" s="260">
        <f t="shared" si="36"/>
        <v>0.5</v>
      </c>
      <c r="V154" s="260">
        <f t="shared" si="37"/>
        <v>0</v>
      </c>
      <c r="W154" s="271"/>
      <c r="X154" s="271"/>
      <c r="Y154" s="271"/>
      <c r="Z154" s="271"/>
      <c r="AA154" s="271"/>
      <c r="AB154" s="271"/>
      <c r="AC154" s="271"/>
      <c r="AD154" s="272"/>
      <c r="AE154" s="271"/>
      <c r="AF154" s="271"/>
      <c r="AG154" s="271"/>
      <c r="AH154" s="271"/>
      <c r="AI154" s="271"/>
      <c r="AJ154" s="271"/>
      <c r="AK154" s="271"/>
      <c r="AL154" s="271"/>
      <c r="AM154" s="271"/>
      <c r="AN154" s="271"/>
      <c r="AO154" s="271"/>
      <c r="AP154" s="271"/>
      <c r="AQ154" s="271"/>
      <c r="AR154" s="271"/>
      <c r="AS154" s="271"/>
      <c r="AT154" s="273"/>
      <c r="AU154" s="259"/>
      <c r="AV154" s="271"/>
      <c r="AW154" s="271"/>
      <c r="AX154" s="271"/>
      <c r="AY154" s="271"/>
      <c r="AZ154" s="271"/>
      <c r="BA154" s="271"/>
      <c r="BB154" s="271"/>
      <c r="BC154" s="271"/>
      <c r="BE154" s="271"/>
      <c r="BF154" s="271"/>
      <c r="BG154" s="271"/>
      <c r="BH154" s="271"/>
      <c r="BI154" s="271"/>
      <c r="BJ154" s="271"/>
      <c r="BK154" s="271"/>
      <c r="BL154" s="271">
        <v>0.5</v>
      </c>
      <c r="BM154" s="271"/>
      <c r="BN154" s="271"/>
      <c r="BO154" s="272"/>
      <c r="BP154" s="272"/>
      <c r="BQ154" s="272"/>
      <c r="BR154" s="272"/>
      <c r="BS154" s="272"/>
      <c r="BT154" s="272"/>
      <c r="BU154" s="272"/>
      <c r="BV154" s="271"/>
      <c r="BW154" s="271"/>
      <c r="BX154" s="271"/>
      <c r="BY154" s="271"/>
      <c r="BZ154" s="271"/>
      <c r="CA154" s="271"/>
      <c r="CB154" s="271"/>
      <c r="CC154" s="271"/>
      <c r="CD154" s="271"/>
      <c r="CE154" s="271"/>
      <c r="CF154" s="271"/>
      <c r="CG154" s="271"/>
      <c r="CH154" s="271"/>
      <c r="CI154" s="271"/>
    </row>
    <row r="155" spans="1:87" ht="16.2" outlineLevel="1">
      <c r="A155" s="264" t="str">
        <f t="shared" si="34"/>
        <v>modesg_out_empr_info_nfinorigem_scp3_emss</v>
      </c>
      <c r="B155" s="141" t="s">
        <v>26</v>
      </c>
      <c r="C155" s="137" t="s">
        <v>310</v>
      </c>
      <c r="D155" s="226" t="s">
        <v>40</v>
      </c>
      <c r="E155" s="227" t="s">
        <v>325</v>
      </c>
      <c r="F155" s="227"/>
      <c r="G155" s="226" t="s">
        <v>321</v>
      </c>
      <c r="H155" s="226" t="str">
        <f>VLOOKUP(A155,'2. Status Detalhe Campos FY24'!$A$7:$G$732,7,0)</f>
        <v>2.1 Em Teste</v>
      </c>
      <c r="I155" s="266" t="s">
        <v>38</v>
      </c>
      <c r="J155" s="275">
        <v>45621</v>
      </c>
      <c r="K155" s="275">
        <v>45622</v>
      </c>
      <c r="L155" s="280">
        <f t="array" ref="L155">MIN(IF(W155:CI155&gt;0,$W$16:$CI$16))</f>
        <v>45645</v>
      </c>
      <c r="M155" s="281">
        <f t="array" ref="M155">MAX(IF(W155:CI155&gt;0,$W$16:$CI$16))</f>
        <v>45645</v>
      </c>
      <c r="N155" s="281"/>
      <c r="O155" s="239">
        <f>VLOOKUP(H155,Auxiliar!$B$16:$E$24,4,0)</f>
        <v>0.25</v>
      </c>
      <c r="P155" s="239">
        <f t="shared" ca="1" si="35"/>
        <v>1</v>
      </c>
      <c r="Q155" s="238">
        <f t="shared" ca="1" si="33"/>
        <v>-0.75</v>
      </c>
      <c r="R155" s="252" t="s">
        <v>38</v>
      </c>
      <c r="S155" s="270"/>
      <c r="T155" s="260">
        <v>4.0999999999999996</v>
      </c>
      <c r="U155" s="260">
        <f t="shared" si="36"/>
        <v>0.5</v>
      </c>
      <c r="V155" s="260">
        <f t="shared" si="37"/>
        <v>0</v>
      </c>
      <c r="W155" s="271"/>
      <c r="X155" s="271"/>
      <c r="Y155" s="271"/>
      <c r="Z155" s="271"/>
      <c r="AA155" s="271"/>
      <c r="AB155" s="271"/>
      <c r="AC155" s="271"/>
      <c r="AD155" s="272"/>
      <c r="AE155" s="271"/>
      <c r="AF155" s="271"/>
      <c r="AG155" s="271"/>
      <c r="AH155" s="271"/>
      <c r="AI155" s="271"/>
      <c r="AJ155" s="271"/>
      <c r="AK155" s="271"/>
      <c r="AL155" s="271"/>
      <c r="AM155" s="271"/>
      <c r="AN155" s="271"/>
      <c r="AO155" s="271"/>
      <c r="AP155" s="271"/>
      <c r="AQ155" s="271"/>
      <c r="AR155" s="271"/>
      <c r="AS155" s="271"/>
      <c r="AT155" s="273"/>
      <c r="AU155" s="259"/>
      <c r="AV155" s="271"/>
      <c r="AW155" s="271"/>
      <c r="AX155" s="271"/>
      <c r="AY155" s="271"/>
      <c r="AZ155" s="271"/>
      <c r="BA155" s="271"/>
      <c r="BB155" s="271"/>
      <c r="BC155" s="271"/>
      <c r="BD155" s="271"/>
      <c r="BF155" s="271"/>
      <c r="BG155" s="271"/>
      <c r="BH155" s="271"/>
      <c r="BI155" s="271"/>
      <c r="BJ155" s="271"/>
      <c r="BK155" s="271"/>
      <c r="BL155" s="271">
        <v>0.5</v>
      </c>
      <c r="BM155" s="271"/>
      <c r="BN155" s="271"/>
      <c r="BO155" s="272"/>
      <c r="BP155" s="272"/>
      <c r="BQ155" s="272"/>
      <c r="BR155" s="272"/>
      <c r="BS155" s="272"/>
      <c r="BT155" s="272"/>
      <c r="BU155" s="272"/>
      <c r="BV155" s="271"/>
      <c r="BW155" s="271"/>
      <c r="BX155" s="271"/>
      <c r="BY155" s="271"/>
      <c r="BZ155" s="271"/>
      <c r="CA155" s="271"/>
      <c r="CB155" s="271"/>
      <c r="CC155" s="271"/>
      <c r="CD155" s="271"/>
      <c r="CE155" s="271"/>
      <c r="CF155" s="271"/>
      <c r="CG155" s="271"/>
      <c r="CH155" s="271"/>
      <c r="CI155" s="271"/>
    </row>
    <row r="156" spans="1:87" ht="16.2" outlineLevel="1">
      <c r="A156" s="264" t="str">
        <f t="shared" si="34"/>
        <v>modesg_out_empr_info_nfinscp1_emss</v>
      </c>
      <c r="B156" s="141" t="s">
        <v>26</v>
      </c>
      <c r="C156" s="137" t="s">
        <v>310</v>
      </c>
      <c r="D156" s="226" t="s">
        <v>40</v>
      </c>
      <c r="E156" s="227" t="s">
        <v>325</v>
      </c>
      <c r="F156" s="227"/>
      <c r="G156" s="226" t="s">
        <v>285</v>
      </c>
      <c r="H156" s="226" t="str">
        <f>VLOOKUP(A156,'2. Status Detalhe Campos FY24'!$A$7:$G$732,7,0)</f>
        <v>2.1 Em Teste</v>
      </c>
      <c r="I156" s="266" t="s">
        <v>38</v>
      </c>
      <c r="J156" s="275">
        <v>45621</v>
      </c>
      <c r="K156" s="275">
        <v>45622</v>
      </c>
      <c r="L156" s="280">
        <f t="array" ref="L156">MIN(IF(W156:CI156&gt;0,$W$16:$CI$16))</f>
        <v>45636</v>
      </c>
      <c r="M156" s="281">
        <f t="array" ref="M156">MAX(IF(W156:CI156&gt;0,$W$16:$CI$16))</f>
        <v>45637</v>
      </c>
      <c r="N156" s="281"/>
      <c r="O156" s="239">
        <f>VLOOKUP(H156,Auxiliar!$B$16:$E$24,4,0)</f>
        <v>0.25</v>
      </c>
      <c r="P156" s="239">
        <f t="shared" ca="1" si="35"/>
        <v>1</v>
      </c>
      <c r="Q156" s="238">
        <f t="shared" ca="1" si="33"/>
        <v>-0.75</v>
      </c>
      <c r="R156" s="252" t="s">
        <v>38</v>
      </c>
      <c r="S156" s="270"/>
      <c r="T156" s="260">
        <v>8.1</v>
      </c>
      <c r="U156" s="260">
        <f t="shared" si="36"/>
        <v>1</v>
      </c>
      <c r="V156" s="260">
        <f t="shared" si="37"/>
        <v>0</v>
      </c>
      <c r="W156" s="271"/>
      <c r="X156" s="271"/>
      <c r="Y156" s="271"/>
      <c r="Z156" s="271"/>
      <c r="AA156" s="271"/>
      <c r="AB156" s="271"/>
      <c r="AC156" s="271"/>
      <c r="AD156" s="272"/>
      <c r="AE156" s="271"/>
      <c r="AF156" s="271"/>
      <c r="AG156" s="271"/>
      <c r="AH156" s="271"/>
      <c r="AI156" s="271"/>
      <c r="AJ156" s="271"/>
      <c r="AK156" s="271"/>
      <c r="AL156" s="271"/>
      <c r="AM156" s="271"/>
      <c r="AN156" s="271"/>
      <c r="AO156" s="271"/>
      <c r="AP156" s="271"/>
      <c r="AQ156" s="271"/>
      <c r="AR156" s="271"/>
      <c r="AS156" s="271"/>
      <c r="AT156" s="273"/>
      <c r="AU156" s="259"/>
      <c r="AV156" s="271"/>
      <c r="AW156" s="271"/>
      <c r="AX156" s="271"/>
      <c r="AY156" s="271"/>
      <c r="AZ156" s="271"/>
      <c r="BA156" s="271"/>
      <c r="BB156" s="271"/>
      <c r="BC156" s="271"/>
      <c r="BD156" s="271"/>
      <c r="BE156" s="271">
        <v>0.5</v>
      </c>
      <c r="BF156" s="271">
        <v>0.5</v>
      </c>
      <c r="BG156" s="271"/>
      <c r="BH156" s="271"/>
      <c r="BI156" s="271"/>
      <c r="BJ156" s="271"/>
      <c r="BK156" s="271"/>
      <c r="BL156" s="271"/>
      <c r="BM156" s="271"/>
      <c r="BN156" s="271"/>
      <c r="BO156" s="272"/>
      <c r="BP156" s="272"/>
      <c r="BQ156" s="272"/>
      <c r="BR156" s="272"/>
      <c r="BS156" s="272"/>
      <c r="BT156" s="272"/>
      <c r="BU156" s="272"/>
      <c r="BV156" s="271"/>
      <c r="BW156" s="271"/>
      <c r="BX156" s="271"/>
      <c r="BY156" s="271"/>
      <c r="BZ156" s="271"/>
      <c r="CA156" s="271"/>
      <c r="CB156" s="271"/>
      <c r="CC156" s="271"/>
      <c r="CD156" s="271"/>
      <c r="CE156" s="271"/>
      <c r="CF156" s="271"/>
      <c r="CG156" s="271"/>
      <c r="CH156" s="271"/>
      <c r="CI156" s="271"/>
    </row>
    <row r="157" spans="1:87" ht="16.2" outlineLevel="1">
      <c r="A157" s="264" t="str">
        <f t="shared" si="34"/>
        <v>modesg_out_empr_info_nfinscp2_emss</v>
      </c>
      <c r="B157" s="141" t="s">
        <v>26</v>
      </c>
      <c r="C157" s="137" t="s">
        <v>310</v>
      </c>
      <c r="D157" s="226" t="s">
        <v>40</v>
      </c>
      <c r="E157" s="227" t="s">
        <v>325</v>
      </c>
      <c r="F157" s="227"/>
      <c r="G157" s="226" t="s">
        <v>286</v>
      </c>
      <c r="H157" s="226" t="str">
        <f>VLOOKUP(A157,'2. Status Detalhe Campos FY24'!$A$7:$G$732,7,0)</f>
        <v>2.1 Em Teste</v>
      </c>
      <c r="I157" s="266" t="s">
        <v>38</v>
      </c>
      <c r="J157" s="275">
        <v>45621</v>
      </c>
      <c r="K157" s="275">
        <v>45622</v>
      </c>
      <c r="L157" s="280">
        <f t="array" ref="L157">MIN(IF(W157:CI157&gt;0,$W$16:$CI$16))</f>
        <v>45637</v>
      </c>
      <c r="M157" s="281">
        <f t="array" ref="M157">MAX(IF(W157:CI157&gt;0,$W$16:$CI$16))</f>
        <v>45639</v>
      </c>
      <c r="N157" s="281"/>
      <c r="O157" s="239">
        <f>VLOOKUP(H157,Auxiliar!$B$16:$E$24,4,0)</f>
        <v>0.25</v>
      </c>
      <c r="P157" s="239">
        <f t="shared" ca="1" si="35"/>
        <v>1</v>
      </c>
      <c r="Q157" s="238">
        <f t="shared" ca="1" si="33"/>
        <v>-0.75</v>
      </c>
      <c r="R157" s="252" t="s">
        <v>38</v>
      </c>
      <c r="S157" s="270"/>
      <c r="T157" s="260">
        <v>8.1</v>
      </c>
      <c r="U157" s="260">
        <f t="shared" si="36"/>
        <v>1</v>
      </c>
      <c r="V157" s="260">
        <f t="shared" si="37"/>
        <v>0</v>
      </c>
      <c r="W157" s="271"/>
      <c r="X157" s="271"/>
      <c r="Y157" s="271"/>
      <c r="Z157" s="271"/>
      <c r="AA157" s="271"/>
      <c r="AB157" s="271"/>
      <c r="AC157" s="271"/>
      <c r="AD157" s="272"/>
      <c r="AE157" s="271"/>
      <c r="AF157" s="271"/>
      <c r="AG157" s="271"/>
      <c r="AH157" s="271"/>
      <c r="AI157" s="271"/>
      <c r="AJ157" s="271"/>
      <c r="AK157" s="271"/>
      <c r="AL157" s="271"/>
      <c r="AM157" s="271"/>
      <c r="AN157" s="271"/>
      <c r="AO157" s="271"/>
      <c r="AP157" s="271"/>
      <c r="AQ157" s="271"/>
      <c r="AR157" s="271"/>
      <c r="AS157" s="271"/>
      <c r="AT157" s="273"/>
      <c r="AU157" s="259"/>
      <c r="AV157" s="271"/>
      <c r="AW157" s="271"/>
      <c r="AX157" s="271"/>
      <c r="AY157" s="271"/>
      <c r="AZ157" s="271"/>
      <c r="BA157" s="271"/>
      <c r="BB157" s="271"/>
      <c r="BC157" s="271"/>
      <c r="BD157" s="271"/>
      <c r="BE157" s="271"/>
      <c r="BF157" s="271">
        <v>0.5</v>
      </c>
      <c r="BG157" s="271"/>
      <c r="BH157" s="271">
        <v>0.5</v>
      </c>
      <c r="BI157" s="271"/>
      <c r="BJ157" s="271"/>
      <c r="BK157" s="271"/>
      <c r="BL157" s="271"/>
      <c r="BM157" s="271"/>
      <c r="BN157" s="271"/>
      <c r="BO157" s="272"/>
      <c r="BP157" s="272"/>
      <c r="BQ157" s="272"/>
      <c r="BR157" s="272"/>
      <c r="BS157" s="272"/>
      <c r="BT157" s="272"/>
      <c r="BU157" s="272"/>
      <c r="BV157" s="271"/>
      <c r="BW157" s="271"/>
      <c r="BX157" s="271"/>
      <c r="BY157" s="271"/>
      <c r="BZ157" s="271"/>
      <c r="CA157" s="271"/>
      <c r="CB157" s="271"/>
      <c r="CC157" s="271"/>
      <c r="CD157" s="271"/>
      <c r="CE157" s="271"/>
      <c r="CF157" s="271"/>
      <c r="CG157" s="271"/>
      <c r="CH157" s="271"/>
      <c r="CI157" s="271"/>
    </row>
    <row r="158" spans="1:87" ht="16.2" outlineLevel="1">
      <c r="A158" s="264" t="str">
        <f t="shared" si="34"/>
        <v>modesg_out_empr_info_nfinscp3_emss</v>
      </c>
      <c r="B158" s="141" t="s">
        <v>26</v>
      </c>
      <c r="C158" s="137" t="s">
        <v>310</v>
      </c>
      <c r="D158" s="226" t="s">
        <v>40</v>
      </c>
      <c r="E158" s="227" t="s">
        <v>325</v>
      </c>
      <c r="F158" s="227"/>
      <c r="G158" s="226" t="s">
        <v>287</v>
      </c>
      <c r="H158" s="226" t="str">
        <f>VLOOKUP(A158,'2. Status Detalhe Campos FY24'!$A$7:$G$732,7,0)</f>
        <v>2.1 Em Teste</v>
      </c>
      <c r="I158" s="266" t="s">
        <v>38</v>
      </c>
      <c r="J158" s="275">
        <v>45621</v>
      </c>
      <c r="K158" s="275">
        <v>45622</v>
      </c>
      <c r="L158" s="280">
        <f t="array" ref="L158">MIN(IF(W158:CI158&gt;0,$W$16:$CI$16))</f>
        <v>45639</v>
      </c>
      <c r="M158" s="281">
        <f t="array" ref="M158">MAX(IF(W158:CI158&gt;0,$W$16:$CI$16))</f>
        <v>45639</v>
      </c>
      <c r="N158" s="281"/>
      <c r="O158" s="239">
        <f>VLOOKUP(H158,Auxiliar!$B$16:$E$24,4,0)</f>
        <v>0.25</v>
      </c>
      <c r="P158" s="239">
        <f t="shared" ca="1" si="35"/>
        <v>1</v>
      </c>
      <c r="Q158" s="238">
        <f t="shared" ca="1" si="33"/>
        <v>-0.75</v>
      </c>
      <c r="R158" s="252" t="s">
        <v>38</v>
      </c>
      <c r="S158" s="270"/>
      <c r="T158" s="260">
        <v>8.1</v>
      </c>
      <c r="U158" s="260">
        <f t="shared" si="36"/>
        <v>1</v>
      </c>
      <c r="V158" s="260">
        <f t="shared" si="37"/>
        <v>0</v>
      </c>
      <c r="W158" s="271"/>
      <c r="X158" s="271"/>
      <c r="Y158" s="271"/>
      <c r="Z158" s="271"/>
      <c r="AA158" s="271"/>
      <c r="AB158" s="271"/>
      <c r="AC158" s="271"/>
      <c r="AD158" s="272"/>
      <c r="AE158" s="271"/>
      <c r="AF158" s="271"/>
      <c r="AG158" s="271"/>
      <c r="AH158" s="271"/>
      <c r="AI158" s="271"/>
      <c r="AJ158" s="271"/>
      <c r="AK158" s="271"/>
      <c r="AL158" s="271"/>
      <c r="AM158" s="271"/>
      <c r="AN158" s="271"/>
      <c r="AO158" s="271"/>
      <c r="AP158" s="271"/>
      <c r="AQ158" s="271"/>
      <c r="AR158" s="271"/>
      <c r="AS158" s="271"/>
      <c r="AT158" s="273"/>
      <c r="AU158" s="259"/>
      <c r="AV158" s="271"/>
      <c r="AW158" s="271"/>
      <c r="AX158" s="271"/>
      <c r="AY158" s="271"/>
      <c r="AZ158" s="271"/>
      <c r="BA158" s="271"/>
      <c r="BB158" s="271"/>
      <c r="BC158" s="271"/>
      <c r="BD158" s="271"/>
      <c r="BE158" s="271"/>
      <c r="BF158" s="271"/>
      <c r="BG158" s="271"/>
      <c r="BH158" s="271">
        <v>1</v>
      </c>
      <c r="BI158" s="271"/>
      <c r="BJ158" s="271"/>
      <c r="BK158" s="271"/>
      <c r="BL158" s="271"/>
      <c r="BM158" s="271"/>
      <c r="BN158" s="271"/>
      <c r="BO158" s="272"/>
      <c r="BP158" s="272"/>
      <c r="BQ158" s="272"/>
      <c r="BR158" s="272"/>
      <c r="BS158" s="272"/>
      <c r="BT158" s="272"/>
      <c r="BU158" s="272"/>
      <c r="BV158" s="271"/>
      <c r="BW158" s="271"/>
      <c r="BX158" s="271"/>
      <c r="BY158" s="271"/>
      <c r="BZ158" s="271"/>
      <c r="CA158" s="271"/>
      <c r="CB158" s="271"/>
      <c r="CC158" s="271"/>
      <c r="CD158" s="271"/>
      <c r="CE158" s="271"/>
      <c r="CF158" s="271"/>
      <c r="CG158" s="271"/>
      <c r="CH158" s="271"/>
      <c r="CI158" s="271"/>
    </row>
    <row r="159" spans="1:87" ht="15" customHeight="1">
      <c r="A159" s="264"/>
      <c r="B159" s="141" t="s">
        <v>26</v>
      </c>
      <c r="C159" s="137" t="s">
        <v>26</v>
      </c>
      <c r="D159" s="133"/>
      <c r="E159" s="232" t="s">
        <v>379</v>
      </c>
      <c r="F159" s="230" t="s">
        <v>1954</v>
      </c>
      <c r="G159" s="231">
        <f>COUNTA(G160:G160)</f>
        <v>1</v>
      </c>
      <c r="H159" s="284" t="s">
        <v>1950</v>
      </c>
      <c r="I159" s="268">
        <f>MAX(I160)</f>
        <v>45595</v>
      </c>
      <c r="J159" s="267">
        <f>MIN(J160)</f>
        <v>45624</v>
      </c>
      <c r="K159" s="316">
        <f>MIN(K160)</f>
        <v>45624</v>
      </c>
      <c r="L159" s="267">
        <f>MIN(L160:L160)</f>
        <v>45639</v>
      </c>
      <c r="M159" s="268">
        <f>MAX(M160:M160)</f>
        <v>45639</v>
      </c>
      <c r="N159" s="312" t="s">
        <v>1868</v>
      </c>
      <c r="O159" s="304">
        <f>O160</f>
        <v>0</v>
      </c>
      <c r="P159" s="304">
        <f ca="1">SUMPRODUCT(P160:P160,U160:U160)/SUM(U160:U160)</f>
        <v>1</v>
      </c>
      <c r="Q159" s="246">
        <f t="shared" ca="1" si="33"/>
        <v>-1</v>
      </c>
      <c r="R159" s="252" t="s">
        <v>1969</v>
      </c>
      <c r="S159" s="270"/>
      <c r="T159" s="260"/>
      <c r="U159" s="260"/>
      <c r="V159" s="260"/>
      <c r="W159" s="271"/>
      <c r="X159" s="271"/>
      <c r="Y159" s="271"/>
      <c r="Z159" s="271"/>
      <c r="AA159" s="271"/>
      <c r="AB159" s="279"/>
      <c r="AC159" s="271"/>
      <c r="AD159" s="272"/>
      <c r="AE159" s="271"/>
      <c r="AF159" s="271"/>
      <c r="AG159" s="271"/>
      <c r="AH159" s="271"/>
      <c r="AI159" s="271"/>
      <c r="AJ159" s="271"/>
      <c r="AK159" s="271"/>
      <c r="AL159" s="271"/>
      <c r="AM159" s="271"/>
      <c r="AN159" s="271"/>
      <c r="AO159" s="271"/>
      <c r="AP159" s="271"/>
      <c r="AQ159" s="271"/>
      <c r="AR159" s="271"/>
      <c r="AS159" s="271"/>
      <c r="AT159" s="271"/>
      <c r="AU159" s="271"/>
      <c r="AV159" s="271"/>
      <c r="AW159" s="259"/>
      <c r="AX159" s="271"/>
      <c r="AY159" s="271"/>
      <c r="AZ159" s="271"/>
      <c r="BA159" s="271"/>
      <c r="BB159" s="271"/>
      <c r="BC159" s="271"/>
      <c r="BD159" s="271"/>
      <c r="BE159" s="271"/>
      <c r="BF159" s="271"/>
      <c r="BG159" s="271"/>
      <c r="BH159" s="271" t="s">
        <v>443</v>
      </c>
      <c r="BI159" s="271"/>
      <c r="BJ159" s="271"/>
      <c r="BK159" s="271"/>
      <c r="BL159" s="271"/>
      <c r="BN159" s="271"/>
      <c r="BO159" s="272"/>
      <c r="BP159" s="272"/>
      <c r="BQ159" s="272"/>
      <c r="BR159" s="272"/>
      <c r="BS159" s="272"/>
      <c r="BT159" s="272"/>
      <c r="BU159" s="272"/>
      <c r="BV159" s="271"/>
      <c r="BW159" s="271"/>
      <c r="BX159" s="271"/>
      <c r="BY159" s="271"/>
      <c r="BZ159" s="271"/>
      <c r="CA159" s="271"/>
      <c r="CB159" s="271" t="s">
        <v>443</v>
      </c>
      <c r="CC159" s="271"/>
      <c r="CD159" s="271"/>
      <c r="CE159" s="271"/>
      <c r="CF159" s="271"/>
      <c r="CG159" s="271"/>
      <c r="CH159" s="271"/>
      <c r="CI159" s="271"/>
    </row>
    <row r="160" spans="1:87" ht="16.2" outlineLevel="1">
      <c r="A160" s="264" t="str">
        <f>E160&amp;G160</f>
        <v>lt002_instrumentrsk_mtgtd_ccp</v>
      </c>
      <c r="B160" s="141" t="s">
        <v>26</v>
      </c>
      <c r="C160" s="137" t="s">
        <v>26</v>
      </c>
      <c r="D160" s="226" t="s">
        <v>40</v>
      </c>
      <c r="E160" s="229" t="s">
        <v>379</v>
      </c>
      <c r="F160" s="229"/>
      <c r="G160" s="229" t="s">
        <v>381</v>
      </c>
      <c r="H160" s="226" t="str">
        <f>VLOOKUP(A160,'2. Status Detalhe Campos FY24'!$A$7:$G$732,7,0)</f>
        <v xml:space="preserve">6. Em implementação </v>
      </c>
      <c r="I160" s="275">
        <v>45595</v>
      </c>
      <c r="J160" s="313">
        <v>45624</v>
      </c>
      <c r="K160" s="317">
        <v>45624</v>
      </c>
      <c r="L160" s="280">
        <f t="array" ref="L160">MIN(IF(W160:CI160&gt;0,$W$16:$CI$16))</f>
        <v>45639</v>
      </c>
      <c r="M160" s="281">
        <f t="array" ref="M160">MAX(IF(W160:CI160&gt;0,$W$16:$CI$16))</f>
        <v>45639</v>
      </c>
      <c r="N160" s="281"/>
      <c r="O160" s="239">
        <f>VLOOKUP(H160,Auxiliar!$B$16:$E$24,4,0)</f>
        <v>0</v>
      </c>
      <c r="P160" s="239">
        <f ca="1">IF(TODAY()&lt;=L160,0,MIN((TODAY()-L160)/(M160-L160+1),100%))</f>
        <v>1</v>
      </c>
      <c r="Q160" s="239">
        <f t="shared" ca="1" si="33"/>
        <v>-1</v>
      </c>
      <c r="R160" s="251"/>
      <c r="S160" s="270"/>
      <c r="T160" s="260">
        <v>4.0999999999999996</v>
      </c>
      <c r="U160" s="260">
        <f>ROUND(T160/8,1)</f>
        <v>0.5</v>
      </c>
      <c r="V160" s="260">
        <f>SUM(W160:CI160)-U160</f>
        <v>0</v>
      </c>
      <c r="W160" s="271"/>
      <c r="X160" s="271"/>
      <c r="Y160" s="271"/>
      <c r="Z160" s="271"/>
      <c r="AA160" s="271"/>
      <c r="AB160" s="279"/>
      <c r="AC160" s="271"/>
      <c r="AD160" s="272"/>
      <c r="AE160" s="271"/>
      <c r="AF160" s="271"/>
      <c r="AG160" s="271"/>
      <c r="AH160" s="271"/>
      <c r="AI160" s="271"/>
      <c r="AJ160" s="271"/>
      <c r="AK160" s="271"/>
      <c r="AL160" s="271"/>
      <c r="AM160" s="271"/>
      <c r="AN160" s="271"/>
      <c r="AO160" s="271"/>
      <c r="AP160" s="271"/>
      <c r="AQ160" s="271"/>
      <c r="AR160" s="271"/>
      <c r="AS160" s="271"/>
      <c r="AT160" s="271"/>
      <c r="AU160" s="271"/>
      <c r="AV160" s="271"/>
      <c r="AW160" s="259"/>
      <c r="AX160" s="271"/>
      <c r="AY160" s="271"/>
      <c r="AZ160" s="271"/>
      <c r="BA160" s="271"/>
      <c r="BB160" s="271"/>
      <c r="BC160" s="271"/>
      <c r="BD160" s="271"/>
      <c r="BE160" s="271"/>
      <c r="BF160" s="271"/>
      <c r="BG160" s="271"/>
      <c r="BH160" s="271">
        <v>0.5</v>
      </c>
      <c r="BI160" s="271"/>
      <c r="BJ160" s="271"/>
      <c r="BK160" s="271"/>
      <c r="BL160" s="271"/>
      <c r="BM160" s="271"/>
      <c r="BN160" s="271"/>
      <c r="BO160" s="272"/>
      <c r="BP160" s="272"/>
      <c r="BQ160" s="272"/>
      <c r="BR160" s="272"/>
      <c r="BS160" s="272"/>
      <c r="BT160" s="272"/>
      <c r="BU160" s="272"/>
      <c r="BV160" s="271"/>
      <c r="BW160" s="271"/>
      <c r="BX160" s="271"/>
      <c r="BY160" s="271"/>
      <c r="BZ160" s="271"/>
      <c r="CA160" s="271"/>
      <c r="CB160" s="271"/>
      <c r="CC160" s="271"/>
      <c r="CD160" s="271"/>
      <c r="CE160" s="271"/>
      <c r="CF160" s="271"/>
      <c r="CG160" s="271"/>
      <c r="CH160" s="271"/>
      <c r="CI160" s="271"/>
    </row>
    <row r="161" spans="1:87" ht="15" customHeight="1">
      <c r="A161" s="264"/>
      <c r="B161" s="141" t="s">
        <v>26</v>
      </c>
      <c r="C161" s="137" t="s">
        <v>26</v>
      </c>
      <c r="D161" s="133"/>
      <c r="E161" s="232" t="s">
        <v>1865</v>
      </c>
      <c r="F161" s="230" t="s">
        <v>1889</v>
      </c>
      <c r="G161" s="231">
        <f>COUNTA(G162:G164)</f>
        <v>3</v>
      </c>
      <c r="H161" s="285" t="s">
        <v>1921</v>
      </c>
      <c r="I161" s="268">
        <f>MAX(I162:I166)</f>
        <v>45646</v>
      </c>
      <c r="J161" s="267">
        <f>MIN(J162:J166)</f>
        <v>45624</v>
      </c>
      <c r="K161" s="316">
        <f>MIN(K162:K166)</f>
        <v>45624</v>
      </c>
      <c r="L161" s="268">
        <f>MIN(L162:L166)</f>
        <v>45630</v>
      </c>
      <c r="M161" s="268">
        <f>MAX(M162:M166)</f>
        <v>45667</v>
      </c>
      <c r="N161" s="312">
        <f t="array" ref="N161">MAX(IF(W161:CI161&gt;0,$W$16:$CI$16))</f>
        <v>45646</v>
      </c>
      <c r="O161" s="311">
        <f>SUMPRODUCT(O162:O164,U162:U164)/SUM(U162:U164)</f>
        <v>0.75</v>
      </c>
      <c r="P161" s="311">
        <f ca="1">SUMPRODUCT(P162:P164,U162:U164)/SUM(U162:U164)</f>
        <v>1</v>
      </c>
      <c r="Q161" s="238">
        <f t="shared" ca="1" si="33"/>
        <v>-0.25</v>
      </c>
      <c r="R161" s="329" t="s">
        <v>1949</v>
      </c>
      <c r="S161" s="270"/>
      <c r="T161" s="260"/>
      <c r="U161" s="260"/>
      <c r="V161" s="260"/>
      <c r="W161" s="271"/>
      <c r="X161" s="271"/>
      <c r="Y161" s="271"/>
      <c r="Z161" s="279"/>
      <c r="AA161" s="271"/>
      <c r="AB161" s="271"/>
      <c r="AC161" s="271"/>
      <c r="AD161" s="272"/>
      <c r="AE161" s="271"/>
      <c r="AF161" s="271"/>
      <c r="AG161" s="271"/>
      <c r="AH161" s="279"/>
      <c r="AI161" s="271"/>
      <c r="AJ161" s="271"/>
      <c r="AK161" s="271"/>
      <c r="AL161" s="271"/>
      <c r="AM161" s="271"/>
      <c r="AN161" s="271"/>
      <c r="AO161" s="271"/>
      <c r="AP161" s="271"/>
      <c r="AQ161" s="271"/>
      <c r="AR161" s="271"/>
      <c r="AS161" s="271"/>
      <c r="AT161" s="271"/>
      <c r="AU161" s="271"/>
      <c r="AV161" s="271"/>
      <c r="AW161" s="259"/>
      <c r="AX161" s="271"/>
      <c r="AY161" s="271"/>
      <c r="AZ161" s="271"/>
      <c r="BA161" s="271"/>
      <c r="BB161" s="271"/>
      <c r="BC161" s="271"/>
      <c r="BD161" s="271"/>
      <c r="BE161" s="271"/>
      <c r="BF161" s="271"/>
      <c r="BG161" s="271"/>
      <c r="BH161" s="271"/>
      <c r="BI161" s="271"/>
      <c r="BJ161" s="271"/>
      <c r="BK161" s="271"/>
      <c r="BL161" s="271"/>
      <c r="BM161" s="271" t="s">
        <v>443</v>
      </c>
      <c r="BN161" s="271"/>
      <c r="BO161" s="272"/>
      <c r="BP161" s="272"/>
      <c r="BQ161" s="272"/>
      <c r="BR161" s="272"/>
      <c r="BS161" s="272"/>
      <c r="BT161" s="272"/>
      <c r="BU161" s="272"/>
      <c r="BV161" s="271"/>
      <c r="BW161" s="271"/>
      <c r="BX161" s="271"/>
      <c r="BY161" s="271"/>
      <c r="BZ161" s="271"/>
      <c r="CA161" s="271"/>
      <c r="CB161" s="271"/>
      <c r="CC161" s="271"/>
      <c r="CD161" s="271"/>
      <c r="CE161" s="271"/>
      <c r="CF161" s="271"/>
      <c r="CG161" s="271"/>
      <c r="CH161" s="271"/>
      <c r="CI161" s="271"/>
    </row>
    <row r="162" spans="1:87" ht="16.2" outlineLevel="1">
      <c r="A162" s="264" t="str">
        <f>E162&amp;G162</f>
        <v>lt007_instr_activityenvrnmntl_objctv</v>
      </c>
      <c r="B162" s="141" t="s">
        <v>26</v>
      </c>
      <c r="C162" s="137" t="s">
        <v>26</v>
      </c>
      <c r="D162" s="226" t="s">
        <v>40</v>
      </c>
      <c r="E162" s="229" t="s">
        <v>1865</v>
      </c>
      <c r="F162" s="229"/>
      <c r="G162" s="229" t="s">
        <v>382</v>
      </c>
      <c r="H162" s="226" t="str">
        <f>VLOOKUP(A162,'2. Status Detalhe Campos FY24'!$A$7:$G$732,7,0)</f>
        <v>1. Concluído</v>
      </c>
      <c r="I162" s="275">
        <v>45593</v>
      </c>
      <c r="J162" s="313">
        <v>45624</v>
      </c>
      <c r="K162" s="317">
        <v>45624</v>
      </c>
      <c r="L162" s="280">
        <f t="array" ref="L162">MIN(IF(W162:CI162&gt;0,$W$16:$CI$16))</f>
        <v>45642</v>
      </c>
      <c r="M162" s="281">
        <f t="array" ref="M162">MAX(IF(W162:CI162&gt;0,$W$16:$CI$16))</f>
        <v>45642</v>
      </c>
      <c r="N162" s="281"/>
      <c r="O162" s="239">
        <f>VLOOKUP(H162,Auxiliar!$B$16:$E$24,4,0)</f>
        <v>1</v>
      </c>
      <c r="P162" s="239">
        <f ca="1">IF(TODAY()&lt;=L162,0,MIN((TODAY()-L162)/(M162-L162+1),100%))</f>
        <v>1</v>
      </c>
      <c r="Q162" s="238">
        <f t="shared" ca="1" si="33"/>
        <v>0</v>
      </c>
      <c r="R162" s="252" t="s">
        <v>38</v>
      </c>
      <c r="S162" s="270"/>
      <c r="T162" s="260">
        <v>4.0999999999999996</v>
      </c>
      <c r="U162" s="260">
        <f>ROUND(T162/8,1)</f>
        <v>0.5</v>
      </c>
      <c r="V162" s="260">
        <f>SUM(W162:CI162)-U162</f>
        <v>0</v>
      </c>
      <c r="W162" s="271"/>
      <c r="X162" s="271"/>
      <c r="Y162" s="271"/>
      <c r="Z162" s="279"/>
      <c r="AA162" s="271"/>
      <c r="AB162" s="271"/>
      <c r="AC162" s="271"/>
      <c r="AD162" s="272"/>
      <c r="AE162" s="271"/>
      <c r="AF162" s="271"/>
      <c r="AG162" s="271"/>
      <c r="AH162" s="279"/>
      <c r="AI162" s="271"/>
      <c r="AJ162" s="271"/>
      <c r="AK162" s="271"/>
      <c r="AL162" s="271"/>
      <c r="AM162" s="271"/>
      <c r="AN162" s="271"/>
      <c r="AO162" s="271"/>
      <c r="AP162" s="271"/>
      <c r="AQ162" s="271"/>
      <c r="AR162" s="271"/>
      <c r="AS162" s="271"/>
      <c r="AT162" s="271"/>
      <c r="AU162" s="271"/>
      <c r="AV162" s="271"/>
      <c r="AW162" s="259"/>
      <c r="AX162" s="271"/>
      <c r="AY162" s="271"/>
      <c r="AZ162" s="271"/>
      <c r="BA162" s="271"/>
      <c r="BB162" s="271"/>
      <c r="BC162" s="271"/>
      <c r="BD162" s="271"/>
      <c r="BE162" s="271"/>
      <c r="BF162" s="271"/>
      <c r="BG162" s="271"/>
      <c r="BH162" s="271"/>
      <c r="BI162" s="271">
        <v>0.5</v>
      </c>
      <c r="BJ162" s="271"/>
      <c r="BK162" s="271"/>
      <c r="BL162" s="271"/>
      <c r="BM162" s="271"/>
      <c r="BN162" s="271"/>
      <c r="BO162" s="272"/>
      <c r="BP162" s="272"/>
      <c r="BQ162" s="272"/>
      <c r="BR162" s="272"/>
      <c r="BS162" s="272"/>
      <c r="BT162" s="272"/>
      <c r="BU162" s="272"/>
      <c r="BV162" s="271"/>
      <c r="BW162" s="271"/>
      <c r="BX162" s="271"/>
      <c r="BY162" s="271"/>
      <c r="BZ162" s="271"/>
      <c r="CA162" s="271"/>
      <c r="CB162" s="271"/>
      <c r="CC162" s="271"/>
      <c r="CD162" s="271"/>
      <c r="CE162" s="271"/>
      <c r="CF162" s="271"/>
      <c r="CG162" s="271"/>
      <c r="CH162" s="271"/>
      <c r="CI162" s="271"/>
    </row>
    <row r="163" spans="1:87" ht="16.2" outlineLevel="1">
      <c r="A163" s="264" t="str">
        <f>E163&amp;G163</f>
        <v>lt007_instr_activitytyp_actvty</v>
      </c>
      <c r="B163" s="141" t="s">
        <v>26</v>
      </c>
      <c r="C163" s="137" t="s">
        <v>26</v>
      </c>
      <c r="D163" s="226" t="s">
        <v>40</v>
      </c>
      <c r="E163" s="229" t="s">
        <v>1865</v>
      </c>
      <c r="F163" s="229"/>
      <c r="G163" s="229" t="s">
        <v>383</v>
      </c>
      <c r="H163" s="226" t="str">
        <f>VLOOKUP(A163,'2. Status Detalhe Campos FY24'!$A$7:$G$732,7,0)</f>
        <v>1. Concluído</v>
      </c>
      <c r="I163" s="275">
        <v>45593</v>
      </c>
      <c r="J163" s="313">
        <v>45624</v>
      </c>
      <c r="K163" s="317">
        <v>45624</v>
      </c>
      <c r="L163" s="280">
        <f t="array" ref="L163">MIN(IF(W163:CI163&gt;0,$W$16:$CI$16))</f>
        <v>45642</v>
      </c>
      <c r="M163" s="281">
        <f t="array" ref="M163">MAX(IF(W163:CI163&gt;0,$W$16:$CI$16))</f>
        <v>45642</v>
      </c>
      <c r="N163" s="281"/>
      <c r="O163" s="239">
        <f>VLOOKUP(H163,Auxiliar!$B$16:$E$24,4,0)</f>
        <v>1</v>
      </c>
      <c r="P163" s="239">
        <f ca="1">IF(TODAY()&lt;=L163,0,MIN((TODAY()-L163)/(M163-L163+1),100%))</f>
        <v>1</v>
      </c>
      <c r="Q163" s="238">
        <f t="shared" ca="1" si="33"/>
        <v>0</v>
      </c>
      <c r="R163" s="252" t="s">
        <v>38</v>
      </c>
      <c r="S163" s="270"/>
      <c r="T163" s="260">
        <v>4.0999999999999996</v>
      </c>
      <c r="U163" s="260">
        <f>ROUND(T163/8,1)</f>
        <v>0.5</v>
      </c>
      <c r="V163" s="260">
        <f>SUM(W163:CI163)-U163</f>
        <v>0</v>
      </c>
      <c r="W163" s="271"/>
      <c r="X163" s="271"/>
      <c r="Y163" s="271"/>
      <c r="Z163" s="279"/>
      <c r="AA163" s="271"/>
      <c r="AB163" s="271"/>
      <c r="AC163" s="271"/>
      <c r="AD163" s="272"/>
      <c r="AE163" s="271"/>
      <c r="AF163" s="271"/>
      <c r="AG163" s="271"/>
      <c r="AH163" s="271"/>
      <c r="AI163" s="271"/>
      <c r="AJ163" s="271"/>
      <c r="AK163" s="271"/>
      <c r="AL163" s="271"/>
      <c r="AM163" s="271"/>
      <c r="AN163" s="271"/>
      <c r="AO163" s="271"/>
      <c r="AP163" s="271"/>
      <c r="AQ163" s="271"/>
      <c r="AR163" s="271"/>
      <c r="AS163" s="271"/>
      <c r="AT163" s="271"/>
      <c r="AU163" s="271"/>
      <c r="AV163" s="271"/>
      <c r="AW163" s="259"/>
      <c r="AX163" s="271"/>
      <c r="AY163" s="271"/>
      <c r="AZ163" s="271"/>
      <c r="BA163" s="271"/>
      <c r="BB163" s="271"/>
      <c r="BC163" s="271"/>
      <c r="BD163" s="271"/>
      <c r="BE163" s="271"/>
      <c r="BF163" s="271"/>
      <c r="BG163" s="271"/>
      <c r="BH163" s="271"/>
      <c r="BI163" s="271">
        <v>0.5</v>
      </c>
      <c r="BJ163" s="271"/>
      <c r="BK163" s="271"/>
      <c r="BL163" s="271"/>
      <c r="BM163" s="271"/>
      <c r="BN163" s="271"/>
      <c r="BO163" s="272"/>
      <c r="BP163" s="272"/>
      <c r="BQ163" s="272"/>
      <c r="BR163" s="272"/>
      <c r="BS163" s="272"/>
      <c r="BT163" s="272"/>
      <c r="BU163" s="272"/>
      <c r="BV163" s="271"/>
      <c r="BW163" s="271"/>
      <c r="BX163" s="271"/>
      <c r="BY163" s="271"/>
      <c r="BZ163" s="271"/>
      <c r="CA163" s="271"/>
      <c r="CB163" s="271"/>
      <c r="CC163" s="271"/>
      <c r="CD163" s="271"/>
      <c r="CE163" s="271"/>
      <c r="CF163" s="271"/>
      <c r="CG163" s="271"/>
      <c r="CH163" s="271"/>
      <c r="CI163" s="271"/>
    </row>
    <row r="164" spans="1:87" ht="16.2" outlineLevel="1">
      <c r="A164" s="264" t="str">
        <f>E164&amp;G164</f>
        <v>lt007_instr_activitysstnbl_indctr</v>
      </c>
      <c r="B164" s="141" t="s">
        <v>26</v>
      </c>
      <c r="C164" s="137" t="s">
        <v>26</v>
      </c>
      <c r="D164" s="226" t="s">
        <v>40</v>
      </c>
      <c r="E164" s="229" t="s">
        <v>1865</v>
      </c>
      <c r="F164" s="229"/>
      <c r="G164" s="229" t="s">
        <v>418</v>
      </c>
      <c r="H164" s="226" t="str">
        <f>VLOOKUP(A164,'2. Status Detalhe Campos FY24'!$A$7:$G$732,7,0)</f>
        <v>4. Validação EF</v>
      </c>
      <c r="I164" s="275">
        <v>45593</v>
      </c>
      <c r="J164" s="313">
        <v>45624</v>
      </c>
      <c r="K164" s="317">
        <v>45624</v>
      </c>
      <c r="L164" s="280">
        <f t="array" ref="L164">MIN(IF(W164:CI164&gt;0,$W$16:$CI$16))</f>
        <v>45644</v>
      </c>
      <c r="M164" s="281">
        <f t="array" ref="M164">MAX(IF(W164:CI164&gt;0,$W$16:$CI$16))</f>
        <v>45644</v>
      </c>
      <c r="N164" s="281"/>
      <c r="O164" s="239">
        <f>VLOOKUP(H164,Auxiliar!$B$16:$E$24,4,0)</f>
        <v>0.25</v>
      </c>
      <c r="P164" s="239">
        <f ca="1">IF(TODAY()&lt;=L164,0,MIN((TODAY()-L164)/(M164-L164+1),100%))</f>
        <v>1</v>
      </c>
      <c r="Q164" s="238">
        <f t="shared" ca="1" si="33"/>
        <v>-0.75</v>
      </c>
      <c r="R164" s="252" t="s">
        <v>38</v>
      </c>
      <c r="S164" s="270"/>
      <c r="T164" s="289">
        <v>4.0999999999999996</v>
      </c>
      <c r="U164" s="260">
        <f>ROUND(T164/8,1)</f>
        <v>0.5</v>
      </c>
      <c r="V164" s="260">
        <f>SUM(W164:CI164)-U164</f>
        <v>0</v>
      </c>
      <c r="W164" s="271"/>
      <c r="X164" s="271"/>
      <c r="Y164" s="271"/>
      <c r="Z164" s="279"/>
      <c r="AA164" s="271"/>
      <c r="AB164" s="271"/>
      <c r="AC164" s="271"/>
      <c r="AD164" s="272"/>
      <c r="AE164" s="271"/>
      <c r="AF164" s="271"/>
      <c r="AG164" s="271"/>
      <c r="AH164" s="271"/>
      <c r="AI164" s="271"/>
      <c r="AJ164" s="271"/>
      <c r="AK164" s="271"/>
      <c r="AL164" s="271"/>
      <c r="AM164" s="271"/>
      <c r="AN164" s="271"/>
      <c r="AO164" s="271"/>
      <c r="AP164" s="271"/>
      <c r="AQ164" s="271"/>
      <c r="AR164" s="271"/>
      <c r="AS164" s="271"/>
      <c r="AT164" s="271"/>
      <c r="AU164" s="271"/>
      <c r="AV164" s="271"/>
      <c r="AW164" s="259"/>
      <c r="AX164" s="271"/>
      <c r="AY164" s="271"/>
      <c r="AZ164" s="271"/>
      <c r="BA164" s="271"/>
      <c r="BB164" s="271"/>
      <c r="BC164" s="271"/>
      <c r="BD164" s="271"/>
      <c r="BE164" s="271"/>
      <c r="BF164" s="271"/>
      <c r="BG164" s="271"/>
      <c r="BH164" s="271"/>
      <c r="BI164" s="271"/>
      <c r="BJ164" s="271"/>
      <c r="BK164" s="271">
        <v>0.5</v>
      </c>
      <c r="BL164" s="271"/>
      <c r="BM164" s="271"/>
      <c r="BN164" s="271"/>
      <c r="BO164" s="272"/>
      <c r="BP164" s="272"/>
      <c r="BQ164" s="272"/>
      <c r="BR164" s="272"/>
      <c r="BS164" s="272"/>
      <c r="BT164" s="272"/>
      <c r="BU164" s="272"/>
      <c r="BV164" s="271"/>
      <c r="BW164" s="271"/>
      <c r="BX164" s="271"/>
      <c r="BY164" s="271"/>
      <c r="BZ164" s="271"/>
      <c r="CA164" s="271"/>
      <c r="CB164" s="271"/>
      <c r="CC164" s="271"/>
      <c r="CD164" s="271"/>
      <c r="CE164" s="271"/>
      <c r="CF164" s="271"/>
      <c r="CG164" s="271"/>
      <c r="CH164" s="271"/>
      <c r="CI164" s="271"/>
    </row>
    <row r="165" spans="1:87" ht="15" customHeight="1" collapsed="1">
      <c r="A165" s="264"/>
      <c r="B165" s="141" t="s">
        <v>26</v>
      </c>
      <c r="C165" s="137" t="s">
        <v>26</v>
      </c>
      <c r="D165" s="133"/>
      <c r="E165" s="232" t="s">
        <v>1865</v>
      </c>
      <c r="F165" s="230" t="s">
        <v>1953</v>
      </c>
      <c r="G165" s="231">
        <f>COUNTA(G166)</f>
        <v>1</v>
      </c>
      <c r="H165" s="284" t="s">
        <v>1950</v>
      </c>
      <c r="I165" s="268">
        <f>MAX(I166:I172)</f>
        <v>45646</v>
      </c>
      <c r="J165" s="267">
        <f>MIN(J166:J172)</f>
        <v>45624</v>
      </c>
      <c r="K165" s="316">
        <f>MIN(K166:K172)</f>
        <v>45624</v>
      </c>
      <c r="L165" s="268">
        <f>MIN(L166:L172)</f>
        <v>45630</v>
      </c>
      <c r="M165" s="268">
        <f>MAX(M166:M172)</f>
        <v>45667</v>
      </c>
      <c r="N165" s="312" t="s">
        <v>1868</v>
      </c>
      <c r="O165" s="304">
        <f>O166</f>
        <v>0</v>
      </c>
      <c r="P165" s="304">
        <f ca="1">P166</f>
        <v>1</v>
      </c>
      <c r="Q165" s="238">
        <f ca="1">O165-P165</f>
        <v>-1</v>
      </c>
      <c r="R165" s="252" t="s">
        <v>1969</v>
      </c>
      <c r="S165" s="270"/>
      <c r="T165" s="260"/>
      <c r="U165" s="260"/>
      <c r="V165" s="260"/>
      <c r="W165" s="271"/>
      <c r="X165" s="271"/>
      <c r="Y165" s="271"/>
      <c r="Z165" s="279"/>
      <c r="AA165" s="271"/>
      <c r="AB165" s="271"/>
      <c r="AC165" s="271"/>
      <c r="AD165" s="272"/>
      <c r="AE165" s="271"/>
      <c r="AF165" s="271"/>
      <c r="AG165" s="271"/>
      <c r="AH165" s="279"/>
      <c r="AI165" s="271"/>
      <c r="AJ165" s="271"/>
      <c r="AK165" s="271"/>
      <c r="AL165" s="271"/>
      <c r="AM165" s="271"/>
      <c r="AN165" s="271"/>
      <c r="AO165" s="271"/>
      <c r="AP165" s="271"/>
      <c r="AQ165" s="271"/>
      <c r="AR165" s="271"/>
      <c r="AS165" s="271"/>
      <c r="AT165" s="271"/>
      <c r="AU165" s="271"/>
      <c r="AV165" s="271"/>
      <c r="AW165" s="259"/>
      <c r="AX165" s="271"/>
      <c r="AY165" s="271"/>
      <c r="AZ165" s="271"/>
      <c r="BA165" s="271"/>
      <c r="BB165" s="271"/>
      <c r="BC165" s="271"/>
      <c r="BD165" s="271"/>
      <c r="BE165" s="271"/>
      <c r="BF165" s="271"/>
      <c r="BG165" s="271"/>
      <c r="BH165" s="271"/>
      <c r="BI165" s="271"/>
      <c r="BJ165" s="271"/>
      <c r="BK165" s="271"/>
      <c r="BL165" s="271"/>
      <c r="BM165" s="271" t="s">
        <v>443</v>
      </c>
      <c r="BN165" s="271"/>
      <c r="BO165" s="272"/>
      <c r="BP165" s="272"/>
      <c r="BQ165" s="272"/>
      <c r="BR165" s="272"/>
      <c r="BS165" s="272"/>
      <c r="BT165" s="272"/>
      <c r="BU165" s="272"/>
      <c r="BV165" s="271"/>
      <c r="BW165" s="271"/>
      <c r="BX165" s="271"/>
      <c r="BY165" s="271"/>
      <c r="BZ165" s="271"/>
      <c r="CA165" s="271"/>
      <c r="CB165" s="271" t="s">
        <v>1952</v>
      </c>
      <c r="CC165" s="271"/>
      <c r="CD165" s="271"/>
      <c r="CE165" s="271"/>
      <c r="CF165" s="271"/>
      <c r="CG165" s="271"/>
      <c r="CH165" s="271"/>
      <c r="CI165" s="271"/>
    </row>
    <row r="166" spans="1:87" ht="16.2" outlineLevel="1">
      <c r="A166" s="264" t="str">
        <f>E166&amp;G166</f>
        <v>lt007_instr_activitysstnbl_ctgry</v>
      </c>
      <c r="B166" s="141" t="s">
        <v>26</v>
      </c>
      <c r="C166" s="137" t="s">
        <v>26</v>
      </c>
      <c r="D166" s="226" t="s">
        <v>40</v>
      </c>
      <c r="E166" s="229" t="s">
        <v>1865</v>
      </c>
      <c r="F166" s="229"/>
      <c r="G166" s="229" t="s">
        <v>419</v>
      </c>
      <c r="H166" s="226" t="str">
        <f>VLOOKUP(A166,'2. Status Detalhe Campos FY24'!$A$7:$G$732,7,0)</f>
        <v xml:space="preserve">6. Em implementação </v>
      </c>
      <c r="I166" s="275">
        <v>45593</v>
      </c>
      <c r="J166" s="313">
        <v>45624</v>
      </c>
      <c r="K166" s="317">
        <v>45624</v>
      </c>
      <c r="L166" s="280">
        <f t="array" ref="L166">MIN(IF(W166:CI166&gt;0,$W$16:$CI$16))</f>
        <v>45644</v>
      </c>
      <c r="M166" s="281">
        <f t="array" ref="M166">MAX(IF(W166:CI166&gt;0,$W$16:$CI$16))</f>
        <v>45644</v>
      </c>
      <c r="N166" s="281"/>
      <c r="O166" s="239">
        <f>VLOOKUP(H166,Auxiliar!$B$16:$E$24,4,0)</f>
        <v>0</v>
      </c>
      <c r="P166" s="239">
        <f ca="1">IF(TODAY()&lt;=L166,0,MIN((TODAY()-L166)/(M166-L166+1),100%))</f>
        <v>1</v>
      </c>
      <c r="Q166" s="238">
        <f t="shared" ca="1" si="33"/>
        <v>-1</v>
      </c>
      <c r="R166" s="252" t="s">
        <v>38</v>
      </c>
      <c r="S166" s="270"/>
      <c r="T166" s="289">
        <v>4.0999999999999996</v>
      </c>
      <c r="U166" s="260">
        <f>ROUND(T166/8,1)</f>
        <v>0.5</v>
      </c>
      <c r="V166" s="260">
        <f>SUM(W166:CI166)-U166</f>
        <v>0</v>
      </c>
      <c r="W166" s="271"/>
      <c r="X166" s="271"/>
      <c r="Y166" s="271"/>
      <c r="Z166" s="279"/>
      <c r="AA166" s="271"/>
      <c r="AB166" s="271"/>
      <c r="AC166" s="271"/>
      <c r="AD166" s="272"/>
      <c r="AE166" s="271"/>
      <c r="AF166" s="271"/>
      <c r="AG166" s="271"/>
      <c r="AH166" s="271"/>
      <c r="AI166" s="271"/>
      <c r="AJ166" s="271"/>
      <c r="AK166" s="271"/>
      <c r="AL166" s="271"/>
      <c r="AM166" s="271"/>
      <c r="AN166" s="271"/>
      <c r="AO166" s="271"/>
      <c r="AP166" s="271"/>
      <c r="AQ166" s="271"/>
      <c r="AR166" s="271"/>
      <c r="AS166" s="271"/>
      <c r="AT166" s="271"/>
      <c r="AU166" s="271"/>
      <c r="AV166" s="271"/>
      <c r="AW166" s="259"/>
      <c r="AX166" s="271"/>
      <c r="AY166" s="271"/>
      <c r="AZ166" s="271"/>
      <c r="BA166" s="271"/>
      <c r="BB166" s="271"/>
      <c r="BC166" s="271"/>
      <c r="BD166" s="271"/>
      <c r="BE166" s="271"/>
      <c r="BF166" s="271"/>
      <c r="BG166" s="271"/>
      <c r="BH166" s="271"/>
      <c r="BI166" s="271"/>
      <c r="BJ166" s="271"/>
      <c r="BK166" s="271">
        <v>0.5</v>
      </c>
      <c r="BL166" s="271"/>
      <c r="BM166" s="271"/>
      <c r="BN166" s="271"/>
      <c r="BO166" s="272"/>
      <c r="BP166" s="272"/>
      <c r="BQ166" s="272"/>
      <c r="BR166" s="272"/>
      <c r="BS166" s="272"/>
      <c r="BT166" s="272"/>
      <c r="BU166" s="272"/>
      <c r="BV166" s="271"/>
      <c r="BW166" s="271"/>
      <c r="BX166" s="271"/>
      <c r="BY166" s="271"/>
      <c r="BZ166" s="271"/>
      <c r="CA166" s="271"/>
      <c r="CB166" s="271"/>
      <c r="CC166" s="271"/>
      <c r="CD166" s="271"/>
      <c r="CE166" s="271"/>
      <c r="CF166" s="271"/>
      <c r="CG166" s="271"/>
      <c r="CH166" s="271"/>
      <c r="CI166" s="271"/>
    </row>
    <row r="167" spans="1:87" ht="15" customHeight="1">
      <c r="A167" s="264"/>
      <c r="B167" s="141" t="s">
        <v>26</v>
      </c>
      <c r="C167" s="137" t="s">
        <v>26</v>
      </c>
      <c r="D167" s="133"/>
      <c r="E167" s="232" t="s">
        <v>368</v>
      </c>
      <c r="F167" s="230" t="s">
        <v>1911</v>
      </c>
      <c r="G167" s="231">
        <f>COUNTA(G168:G168)</f>
        <v>1</v>
      </c>
      <c r="H167" s="285" t="s">
        <v>1921</v>
      </c>
      <c r="I167" s="268">
        <f>MAX(I168:I173)</f>
        <v>45646</v>
      </c>
      <c r="J167" s="267">
        <f>MIN(J168:J173)</f>
        <v>45624</v>
      </c>
      <c r="K167" s="316">
        <f>MIN(K168:K173)</f>
        <v>45624</v>
      </c>
      <c r="L167" s="267">
        <f>MIN(L168:L173)</f>
        <v>45630</v>
      </c>
      <c r="M167" s="268">
        <f>MAX(M168:M173)</f>
        <v>45667</v>
      </c>
      <c r="N167" s="312">
        <f t="array" ref="N167">MAX(IF(W167:CI167&gt;0,$W$16:$CI$16))</f>
        <v>45667</v>
      </c>
      <c r="O167" s="311">
        <f>SUMPRODUCT(O168:O168,U168:U168)/SUM(U168:U168)</f>
        <v>1</v>
      </c>
      <c r="P167" s="311">
        <f ca="1">SUMPRODUCT(P168:P168,U168:U168)/SUM(U168:U168)</f>
        <v>1</v>
      </c>
      <c r="Q167" s="238">
        <f t="shared" ref="Q167:Q188" ca="1" si="38">O167-P167</f>
        <v>0</v>
      </c>
      <c r="R167" s="329" t="s">
        <v>1955</v>
      </c>
      <c r="S167" s="270"/>
      <c r="T167" s="260"/>
      <c r="U167" s="260"/>
      <c r="V167" s="260"/>
      <c r="W167" s="271"/>
      <c r="X167" s="271"/>
      <c r="Y167" s="271"/>
      <c r="Z167" s="271"/>
      <c r="AA167" s="271"/>
      <c r="AB167" s="271"/>
      <c r="AC167" s="271"/>
      <c r="AD167" s="272"/>
      <c r="AE167" s="271"/>
      <c r="AF167" s="271"/>
      <c r="AG167" s="271"/>
      <c r="AH167" s="271"/>
      <c r="AI167" s="271"/>
      <c r="AJ167" s="271"/>
      <c r="AK167" s="271"/>
      <c r="AL167" s="271"/>
      <c r="AM167" s="271"/>
      <c r="AN167" s="271"/>
      <c r="AO167" s="271"/>
      <c r="AP167" s="271"/>
      <c r="AQ167" s="271"/>
      <c r="AR167" s="271"/>
      <c r="AS167" s="271"/>
      <c r="AT167" s="271"/>
      <c r="AU167" s="271"/>
      <c r="AV167" s="271"/>
      <c r="AW167" s="259"/>
      <c r="AX167" s="271"/>
      <c r="AY167" s="271"/>
      <c r="AZ167" s="271"/>
      <c r="BA167" s="271"/>
      <c r="BB167" s="271"/>
      <c r="BC167" s="271"/>
      <c r="BD167" s="271"/>
      <c r="BE167" s="271"/>
      <c r="BF167" s="271"/>
      <c r="BG167" s="271"/>
      <c r="BH167" s="271"/>
      <c r="BI167" s="271"/>
      <c r="BJ167" s="271"/>
      <c r="BK167" s="271"/>
      <c r="BL167" s="271"/>
      <c r="BN167" s="271"/>
      <c r="BO167" s="272"/>
      <c r="BP167" s="272"/>
      <c r="BQ167" s="272"/>
      <c r="BR167" s="272"/>
      <c r="BS167" s="272"/>
      <c r="BT167" s="272"/>
      <c r="BU167" s="272"/>
      <c r="BV167" s="271"/>
      <c r="BW167" s="271"/>
      <c r="BX167" s="271"/>
      <c r="BY167" s="271"/>
      <c r="BZ167" s="271"/>
      <c r="CA167" s="271"/>
      <c r="CB167" s="271" t="s">
        <v>443</v>
      </c>
      <c r="CC167" s="271"/>
      <c r="CD167" s="271"/>
      <c r="CE167" s="271"/>
      <c r="CF167" s="271"/>
      <c r="CG167" s="271"/>
      <c r="CH167" s="271"/>
      <c r="CI167" s="271"/>
    </row>
    <row r="168" spans="1:87" ht="16.2" outlineLevel="1">
      <c r="A168" s="264" t="str">
        <f t="shared" ref="A168:A173" si="39">E168&amp;G168</f>
        <v>lt004_protectionprtctn_vl</v>
      </c>
      <c r="B168" s="141" t="s">
        <v>26</v>
      </c>
      <c r="C168" s="137" t="s">
        <v>26</v>
      </c>
      <c r="D168" s="226" t="s">
        <v>40</v>
      </c>
      <c r="E168" s="229" t="s">
        <v>368</v>
      </c>
      <c r="F168" s="229"/>
      <c r="G168" s="229" t="s">
        <v>438</v>
      </c>
      <c r="H168" s="226" t="str">
        <f>VLOOKUP(A168,'2. Status Detalhe Campos FY24'!$A$7:$G$732,7,0)</f>
        <v>1. Concluído</v>
      </c>
      <c r="I168" s="275">
        <v>45588</v>
      </c>
      <c r="J168" s="313">
        <v>45624</v>
      </c>
      <c r="K168" s="317">
        <v>45624</v>
      </c>
      <c r="L168" s="280">
        <f t="array" ref="L168">MIN(IF(W168:CI168&gt;0,$W$16:$CI$16))</f>
        <v>45642</v>
      </c>
      <c r="M168" s="281">
        <f t="array" ref="M168">MAX(IF(W168:CI168&gt;0,$W$16:$CI$16))</f>
        <v>45642</v>
      </c>
      <c r="N168" s="281"/>
      <c r="O168" s="239">
        <f>VLOOKUP(H168,Auxiliar!$B$16:$E$24,4,0)</f>
        <v>1</v>
      </c>
      <c r="P168" s="239">
        <f t="shared" ref="P168:P173" ca="1" si="40">IF(TODAY()&lt;=L168,0,MIN((TODAY()-L168)/(M168-L168+1),100%))</f>
        <v>1</v>
      </c>
      <c r="Q168" s="238">
        <f t="shared" ca="1" si="38"/>
        <v>0</v>
      </c>
      <c r="R168" s="252" t="s">
        <v>38</v>
      </c>
      <c r="S168" s="270"/>
      <c r="T168" s="289">
        <v>4.0999999999999996</v>
      </c>
      <c r="U168" s="260">
        <f t="shared" ref="U168:U173" si="41">ROUND(T168/8,1)</f>
        <v>0.5</v>
      </c>
      <c r="V168" s="260">
        <f>SUM(W168:CI168)-U168</f>
        <v>0</v>
      </c>
      <c r="W168" s="287"/>
      <c r="X168" s="279"/>
      <c r="Y168" s="271"/>
      <c r="Z168" s="271"/>
      <c r="AA168" s="271"/>
      <c r="AB168" s="271"/>
      <c r="AC168" s="271"/>
      <c r="AD168" s="272"/>
      <c r="AE168" s="271"/>
      <c r="AF168" s="271"/>
      <c r="AG168" s="271"/>
      <c r="AH168" s="271"/>
      <c r="AI168" s="271"/>
      <c r="AJ168" s="271"/>
      <c r="AK168" s="271"/>
      <c r="AL168" s="271"/>
      <c r="AM168" s="271"/>
      <c r="AN168" s="271"/>
      <c r="AO168" s="271"/>
      <c r="AP168" s="271"/>
      <c r="AQ168" s="271"/>
      <c r="AR168" s="271"/>
      <c r="AS168" s="271"/>
      <c r="AT168" s="271"/>
      <c r="AU168" s="271"/>
      <c r="AV168" s="271"/>
      <c r="AW168" s="259"/>
      <c r="AX168" s="271"/>
      <c r="AY168" s="271"/>
      <c r="AZ168" s="271"/>
      <c r="BA168" s="271"/>
      <c r="BB168" s="271"/>
      <c r="BC168" s="271"/>
      <c r="BD168" s="271"/>
      <c r="BE168" s="271"/>
      <c r="BF168" s="271"/>
      <c r="BG168" s="271"/>
      <c r="BH168" s="271"/>
      <c r="BI168" s="271">
        <v>0.5</v>
      </c>
      <c r="BJ168" s="271"/>
      <c r="BK168" s="271"/>
      <c r="BL168" s="271"/>
      <c r="BM168" s="271"/>
      <c r="BN168" s="271"/>
      <c r="BO168" s="272"/>
      <c r="BP168" s="272"/>
      <c r="BQ168" s="272"/>
      <c r="BR168" s="272"/>
      <c r="BS168" s="272"/>
      <c r="BT168" s="272"/>
      <c r="BU168" s="272"/>
      <c r="BV168" s="271"/>
      <c r="BW168" s="271"/>
      <c r="BX168" s="271"/>
      <c r="BY168" s="271"/>
      <c r="BZ168" s="271"/>
      <c r="CA168" s="271"/>
      <c r="CB168" s="271"/>
      <c r="CC168" s="271"/>
      <c r="CD168" s="271"/>
      <c r="CE168" s="271"/>
      <c r="CF168" s="271"/>
      <c r="CG168" s="271"/>
      <c r="CH168" s="271"/>
      <c r="CI168" s="271"/>
    </row>
    <row r="169" spans="1:87" ht="15" customHeight="1" collapsed="1">
      <c r="A169" s="264"/>
      <c r="B169" s="141" t="s">
        <v>26</v>
      </c>
      <c r="C169" s="137" t="s">
        <v>26</v>
      </c>
      <c r="D169" s="133"/>
      <c r="E169" s="232" t="s">
        <v>368</v>
      </c>
      <c r="F169" s="230" t="s">
        <v>1911</v>
      </c>
      <c r="G169" s="231">
        <f>COUNTA(G170:G173)</f>
        <v>4</v>
      </c>
      <c r="H169" s="345" t="s">
        <v>1210</v>
      </c>
      <c r="I169" s="268">
        <f>MAX(I170:M173)</f>
        <v>45646</v>
      </c>
      <c r="J169" s="267">
        <f>MIN(J170:J176)</f>
        <v>45624</v>
      </c>
      <c r="K169" s="316">
        <f>MIN(K170:K176)</f>
        <v>45624</v>
      </c>
      <c r="L169" s="267">
        <f>MIN(L170:L176)</f>
        <v>45630</v>
      </c>
      <c r="M169" s="268">
        <f>MAX(M170:M176)</f>
        <v>45667</v>
      </c>
      <c r="N169" s="312">
        <f t="array" ref="N169">MAX(IF(W169:CI169&gt;0,$W$16:$CI$16))</f>
        <v>45646</v>
      </c>
      <c r="O169" s="346"/>
      <c r="P169" s="346"/>
      <c r="Q169" s="238">
        <f>O169-P169</f>
        <v>0</v>
      </c>
      <c r="R169" s="329" t="s">
        <v>1967</v>
      </c>
      <c r="S169" s="270"/>
      <c r="T169" s="260"/>
      <c r="U169" s="260"/>
      <c r="V169" s="260"/>
      <c r="W169" s="271"/>
      <c r="X169" s="271"/>
      <c r="Y169" s="271"/>
      <c r="Z169" s="271"/>
      <c r="AA169" s="271"/>
      <c r="AB169" s="271"/>
      <c r="AC169" s="271"/>
      <c r="AD169" s="272"/>
      <c r="AE169" s="271"/>
      <c r="AF169" s="271"/>
      <c r="AG169" s="271"/>
      <c r="AH169" s="271"/>
      <c r="AI169" s="271"/>
      <c r="AJ169" s="271"/>
      <c r="AK169" s="271"/>
      <c r="AL169" s="271"/>
      <c r="AM169" s="271"/>
      <c r="AN169" s="271"/>
      <c r="AO169" s="271"/>
      <c r="AP169" s="271"/>
      <c r="AQ169" s="271"/>
      <c r="AR169" s="271"/>
      <c r="AS169" s="271"/>
      <c r="AT169" s="271"/>
      <c r="AU169" s="271"/>
      <c r="AV169" s="271"/>
      <c r="AW169" s="259"/>
      <c r="AX169" s="271"/>
      <c r="AY169" s="271"/>
      <c r="AZ169" s="271"/>
      <c r="BA169" s="271"/>
      <c r="BB169" s="271"/>
      <c r="BC169" s="271"/>
      <c r="BD169" s="271"/>
      <c r="BE169" s="271"/>
      <c r="BF169" s="271"/>
      <c r="BG169" s="271"/>
      <c r="BH169" s="271"/>
      <c r="BI169" s="271"/>
      <c r="BJ169" s="271"/>
      <c r="BK169" s="271"/>
      <c r="BL169" s="271"/>
      <c r="BM169" s="271" t="s">
        <v>443</v>
      </c>
      <c r="BN169" s="271"/>
      <c r="BO169" s="272"/>
      <c r="BP169" s="272"/>
      <c r="BQ169" s="272"/>
      <c r="BR169" s="272"/>
      <c r="BS169" s="272"/>
      <c r="BT169" s="272"/>
      <c r="BU169" s="272"/>
      <c r="BV169" s="271"/>
      <c r="BW169" s="271"/>
      <c r="BX169" s="271"/>
      <c r="BY169" s="271"/>
      <c r="BZ169" s="271"/>
      <c r="CA169" s="271"/>
      <c r="CB169" s="271"/>
      <c r="CC169" s="271"/>
      <c r="CD169" s="271"/>
      <c r="CE169" s="271"/>
      <c r="CF169" s="271"/>
      <c r="CG169" s="271"/>
      <c r="CH169" s="271"/>
      <c r="CI169" s="271"/>
    </row>
    <row r="170" spans="1:87" ht="16.2" outlineLevel="1">
      <c r="A170" s="264" t="str">
        <f t="shared" si="39"/>
        <v>lt004_protectionflg_fin</v>
      </c>
      <c r="B170" s="141" t="s">
        <v>26</v>
      </c>
      <c r="C170" s="137" t="s">
        <v>26</v>
      </c>
      <c r="D170" s="226" t="s">
        <v>40</v>
      </c>
      <c r="E170" s="229" t="s">
        <v>368</v>
      </c>
      <c r="F170" s="229"/>
      <c r="G170" s="229" t="s">
        <v>480</v>
      </c>
      <c r="H170" s="226" t="str">
        <f>VLOOKUP(A170,'2. Status Detalhe Campos FY24'!$A$7:$G$732,7,0)</f>
        <v>0. Cancelado</v>
      </c>
      <c r="I170" s="266">
        <v>45593</v>
      </c>
      <c r="J170" s="313">
        <v>45624</v>
      </c>
      <c r="K170" s="317">
        <v>45624</v>
      </c>
      <c r="L170" s="280">
        <f t="array" ref="L170">MIN(IF(W170:CI170&gt;0,$W$16:$CI$16))</f>
        <v>45645</v>
      </c>
      <c r="M170" s="281">
        <f t="array" ref="M170">MAX(IF(W170:CI170&gt;0,$W$16:$CI$16))</f>
        <v>45645</v>
      </c>
      <c r="N170" s="281"/>
      <c r="O170" s="239">
        <f>VLOOKUP(H170,Auxiliar!$B$16:$E$24,4,0)</f>
        <v>0</v>
      </c>
      <c r="P170" s="239">
        <f t="shared" ca="1" si="40"/>
        <v>1</v>
      </c>
      <c r="Q170" s="238">
        <f t="shared" ca="1" si="38"/>
        <v>-1</v>
      </c>
      <c r="R170" s="252" t="s">
        <v>38</v>
      </c>
      <c r="S170" s="270"/>
      <c r="T170" s="260">
        <v>4.0999999999999996</v>
      </c>
      <c r="U170" s="260">
        <f t="shared" si="41"/>
        <v>0.5</v>
      </c>
      <c r="V170" s="260">
        <f>SUM(W170:CI170)-U170</f>
        <v>0</v>
      </c>
      <c r="W170" s="271"/>
      <c r="X170" s="271"/>
      <c r="Y170" s="271"/>
      <c r="Z170" s="271"/>
      <c r="AA170" s="271"/>
      <c r="AB170" s="271"/>
      <c r="AC170" s="271"/>
      <c r="AD170" s="272"/>
      <c r="AE170" s="271"/>
      <c r="AF170" s="271"/>
      <c r="AG170" s="271"/>
      <c r="AH170" s="271"/>
      <c r="AI170" s="271"/>
      <c r="AJ170" s="271"/>
      <c r="AK170" s="271"/>
      <c r="AL170" s="271"/>
      <c r="AM170" s="271"/>
      <c r="AN170" s="271"/>
      <c r="AO170" s="271"/>
      <c r="AP170" s="271"/>
      <c r="AQ170" s="271"/>
      <c r="AR170" s="271"/>
      <c r="AS170" s="271"/>
      <c r="AT170" s="271"/>
      <c r="AU170" s="271"/>
      <c r="AV170" s="271"/>
      <c r="AW170" s="259"/>
      <c r="AX170" s="271"/>
      <c r="AY170" s="271"/>
      <c r="AZ170" s="271"/>
      <c r="BA170" s="271"/>
      <c r="BB170" s="271"/>
      <c r="BC170" s="271"/>
      <c r="BD170" s="271"/>
      <c r="BE170" s="271"/>
      <c r="BF170" s="271"/>
      <c r="BG170" s="271"/>
      <c r="BH170" s="271"/>
      <c r="BI170" s="271"/>
      <c r="BJ170" s="271"/>
      <c r="BK170" s="271"/>
      <c r="BL170" s="271">
        <v>0.5</v>
      </c>
      <c r="BM170" s="271"/>
      <c r="BN170" s="271"/>
      <c r="BO170" s="272"/>
      <c r="BP170" s="272"/>
      <c r="BQ170" s="272"/>
      <c r="BR170" s="272"/>
      <c r="BS170" s="272"/>
      <c r="BT170" s="272"/>
      <c r="BU170" s="272"/>
      <c r="BV170" s="271"/>
      <c r="BW170" s="271"/>
      <c r="BX170" s="271"/>
      <c r="BY170" s="271"/>
      <c r="BZ170" s="271"/>
      <c r="CA170" s="271"/>
      <c r="CB170" s="271"/>
      <c r="CC170" s="271"/>
      <c r="CD170" s="271"/>
      <c r="CE170" s="271"/>
      <c r="CF170" s="271"/>
      <c r="CG170" s="271"/>
      <c r="CH170" s="271"/>
      <c r="CI170" s="271"/>
    </row>
    <row r="171" spans="1:87" ht="16.2" outlineLevel="1">
      <c r="A171" s="264" t="str">
        <f>E171&amp;G171</f>
        <v>lt004_protectionflg_col</v>
      </c>
      <c r="B171" s="141" t="s">
        <v>26</v>
      </c>
      <c r="C171" s="137" t="s">
        <v>26</v>
      </c>
      <c r="D171" s="226" t="s">
        <v>40</v>
      </c>
      <c r="E171" s="229" t="s">
        <v>368</v>
      </c>
      <c r="F171" s="229"/>
      <c r="G171" s="229" t="s">
        <v>479</v>
      </c>
      <c r="H171" s="226" t="str">
        <f>VLOOKUP(A171,'2. Status Detalhe Campos FY24'!$A$7:$G$732,7,0)</f>
        <v>0. Cancelado</v>
      </c>
      <c r="I171" s="266">
        <v>45593</v>
      </c>
      <c r="J171" s="313">
        <v>45624</v>
      </c>
      <c r="K171" s="317">
        <v>45624</v>
      </c>
      <c r="L171" s="280">
        <f t="array" ref="L171">MIN(IF(W171:CI171&gt;0,$W$16:$CI$16))</f>
        <v>45646</v>
      </c>
      <c r="M171" s="281">
        <f t="array" ref="M171">MAX(IF(W171:CI171&gt;0,$W$16:$CI$16))</f>
        <v>45646</v>
      </c>
      <c r="N171" s="281"/>
      <c r="O171" s="239">
        <f>VLOOKUP(H171,Auxiliar!$B$16:$E$24,4,0)</f>
        <v>0</v>
      </c>
      <c r="P171" s="239">
        <f ca="1">IF(TODAY()&lt;=L171,0,MIN((TODAY()-L171)/(M171-L171+1),100%))</f>
        <v>1</v>
      </c>
      <c r="Q171" s="238">
        <f ca="1">O171-P171</f>
        <v>-1</v>
      </c>
      <c r="R171" s="252" t="s">
        <v>38</v>
      </c>
      <c r="S171" s="270"/>
      <c r="T171" s="260">
        <v>4.0999999999999996</v>
      </c>
      <c r="U171" s="260">
        <f>ROUND(T171/8,1)</f>
        <v>0.5</v>
      </c>
      <c r="V171" s="260">
        <f>SUM(W171:CI171)-U171</f>
        <v>0</v>
      </c>
      <c r="W171" s="271"/>
      <c r="X171" s="271"/>
      <c r="Y171" s="271"/>
      <c r="Z171" s="271"/>
      <c r="AA171" s="271"/>
      <c r="AB171" s="271"/>
      <c r="AC171" s="271"/>
      <c r="AD171" s="272"/>
      <c r="AE171" s="271"/>
      <c r="AF171" s="271"/>
      <c r="AG171" s="271"/>
      <c r="AH171" s="271"/>
      <c r="AI171" s="271"/>
      <c r="AJ171" s="271"/>
      <c r="AK171" s="271"/>
      <c r="AL171" s="271"/>
      <c r="AM171" s="271"/>
      <c r="AN171" s="271"/>
      <c r="AO171" s="271"/>
      <c r="AP171" s="271"/>
      <c r="AQ171" s="271"/>
      <c r="AR171" s="271"/>
      <c r="AS171" s="271"/>
      <c r="AT171" s="271"/>
      <c r="AU171" s="271"/>
      <c r="AV171" s="271"/>
      <c r="AW171" s="259"/>
      <c r="AX171" s="271"/>
      <c r="AY171" s="271"/>
      <c r="AZ171" s="271"/>
      <c r="BA171" s="271"/>
      <c r="BB171" s="271"/>
      <c r="BC171" s="271"/>
      <c r="BD171" s="271"/>
      <c r="BE171" s="271"/>
      <c r="BF171" s="271"/>
      <c r="BG171" s="271"/>
      <c r="BH171" s="271"/>
      <c r="BI171" s="271"/>
      <c r="BJ171" s="271"/>
      <c r="BK171" s="271"/>
      <c r="BL171" s="271"/>
      <c r="BM171" s="271">
        <v>0.5</v>
      </c>
      <c r="BN171" s="271"/>
      <c r="BO171" s="272"/>
      <c r="BP171" s="272"/>
      <c r="BQ171" s="272"/>
      <c r="BR171" s="272"/>
      <c r="BS171" s="272"/>
      <c r="BT171" s="272"/>
      <c r="BU171" s="272"/>
      <c r="BV171" s="271"/>
      <c r="BW171" s="271"/>
      <c r="BX171" s="271"/>
      <c r="BY171" s="271"/>
      <c r="BZ171" s="271"/>
      <c r="CA171" s="271"/>
      <c r="CB171" s="271"/>
      <c r="CC171" s="271"/>
      <c r="CD171" s="271"/>
      <c r="CE171" s="271"/>
      <c r="CF171" s="271"/>
      <c r="CG171" s="271"/>
      <c r="CH171" s="271"/>
      <c r="CI171" s="271"/>
    </row>
    <row r="172" spans="1:87" ht="16.2" outlineLevel="1">
      <c r="A172" s="264" t="str">
        <f t="shared" si="39"/>
        <v>lt004_protectionflg_exec</v>
      </c>
      <c r="B172" s="141" t="s">
        <v>26</v>
      </c>
      <c r="C172" s="137" t="s">
        <v>26</v>
      </c>
      <c r="D172" s="226" t="s">
        <v>40</v>
      </c>
      <c r="E172" s="229" t="s">
        <v>368</v>
      </c>
      <c r="F172" s="229"/>
      <c r="G172" s="229" t="s">
        <v>1279</v>
      </c>
      <c r="H172" s="226" t="str">
        <f>VLOOKUP(A172,'2. Status Detalhe Campos FY24'!$A$7:$G$732,7,0)</f>
        <v>0. Cancelado</v>
      </c>
      <c r="I172" s="266">
        <v>45593</v>
      </c>
      <c r="J172" s="313">
        <v>45624</v>
      </c>
      <c r="K172" s="317">
        <v>45624</v>
      </c>
      <c r="L172" s="280">
        <f t="array" ref="L172">MIN(IF(W172:CI172&gt;0,$W$16:$CI$16))</f>
        <v>45645</v>
      </c>
      <c r="M172" s="281">
        <f t="array" ref="M172">MAX(IF(W172:CI172&gt;0,$W$16:$CI$16))</f>
        <v>45645</v>
      </c>
      <c r="N172" s="281"/>
      <c r="O172" s="239">
        <f>VLOOKUP(H172,Auxiliar!$B$16:$E$24,4,0)</f>
        <v>0</v>
      </c>
      <c r="P172" s="239">
        <f t="shared" ca="1" si="40"/>
        <v>1</v>
      </c>
      <c r="Q172" s="238">
        <f t="shared" ca="1" si="38"/>
        <v>-1</v>
      </c>
      <c r="R172" s="252" t="s">
        <v>38</v>
      </c>
      <c r="S172" s="270"/>
      <c r="T172" s="260">
        <v>4.0999999999999996</v>
      </c>
      <c r="U172" s="260">
        <f t="shared" si="41"/>
        <v>0.5</v>
      </c>
      <c r="V172" s="260">
        <f>SUM(W172:CI172)-U172</f>
        <v>0</v>
      </c>
      <c r="W172" s="271"/>
      <c r="X172" s="271"/>
      <c r="Y172" s="271"/>
      <c r="Z172" s="271"/>
      <c r="AA172" s="271"/>
      <c r="AB172" s="271"/>
      <c r="AC172" s="271"/>
      <c r="AD172" s="272"/>
      <c r="AE172" s="271"/>
      <c r="AF172" s="271"/>
      <c r="AG172" s="271"/>
      <c r="AH172" s="271"/>
      <c r="AI172" s="271"/>
      <c r="AJ172" s="271"/>
      <c r="AK172" s="271"/>
      <c r="AL172" s="271"/>
      <c r="AM172" s="271"/>
      <c r="AN172" s="271"/>
      <c r="AO172" s="271"/>
      <c r="AP172" s="271"/>
      <c r="AQ172" s="271"/>
      <c r="AR172" s="271"/>
      <c r="AS172" s="271"/>
      <c r="AT172" s="271"/>
      <c r="AU172" s="271"/>
      <c r="AV172" s="271"/>
      <c r="AW172" s="259"/>
      <c r="AX172" s="271"/>
      <c r="AY172" s="271"/>
      <c r="AZ172" s="271"/>
      <c r="BA172" s="271"/>
      <c r="BB172" s="271"/>
      <c r="BC172" s="271"/>
      <c r="BD172" s="271"/>
      <c r="BE172" s="271"/>
      <c r="BF172" s="271"/>
      <c r="BG172" s="271"/>
      <c r="BH172" s="271"/>
      <c r="BI172" s="271"/>
      <c r="BJ172" s="271"/>
      <c r="BK172" s="271"/>
      <c r="BL172" s="271">
        <v>0.5</v>
      </c>
      <c r="BM172" s="271"/>
      <c r="BN172" s="271"/>
      <c r="BO172" s="272"/>
      <c r="BP172" s="272"/>
      <c r="BQ172" s="272"/>
      <c r="BR172" s="272"/>
      <c r="BS172" s="272"/>
      <c r="BT172" s="272"/>
      <c r="BU172" s="272"/>
      <c r="BV172" s="271"/>
      <c r="BW172" s="271"/>
      <c r="BX172" s="271"/>
      <c r="BY172" s="271"/>
      <c r="BZ172" s="271"/>
      <c r="CA172" s="271"/>
      <c r="CB172" s="271"/>
      <c r="CC172" s="271"/>
      <c r="CD172" s="271"/>
      <c r="CE172" s="271"/>
      <c r="CF172" s="271"/>
      <c r="CG172" s="271"/>
      <c r="CH172" s="271"/>
      <c r="CI172" s="271"/>
    </row>
    <row r="173" spans="1:87" ht="16.2" outlineLevel="1">
      <c r="A173" s="264" t="str">
        <f t="shared" si="39"/>
        <v>lt004_protectionflg_pro</v>
      </c>
      <c r="B173" s="141" t="s">
        <v>26</v>
      </c>
      <c r="C173" s="137" t="s">
        <v>26</v>
      </c>
      <c r="D173" s="226" t="s">
        <v>40</v>
      </c>
      <c r="E173" s="229" t="s">
        <v>368</v>
      </c>
      <c r="F173" s="229"/>
      <c r="G173" s="229" t="s">
        <v>481</v>
      </c>
      <c r="H173" s="226" t="str">
        <f>VLOOKUP(A173,'2. Status Detalhe Campos FY24'!$A$7:$G$732,7,0)</f>
        <v>0. Cancelado</v>
      </c>
      <c r="I173" s="266">
        <v>45593</v>
      </c>
      <c r="J173" s="313">
        <v>45624</v>
      </c>
      <c r="K173" s="317">
        <v>45624</v>
      </c>
      <c r="L173" s="280">
        <f t="array" ref="L173">MIN(IF(W173:CI173&gt;0,$W$16:$CI$16))</f>
        <v>45646</v>
      </c>
      <c r="M173" s="281">
        <f t="array" ref="M173">MAX(IF(W173:CI173&gt;0,$W$16:$CI$16))</f>
        <v>45646</v>
      </c>
      <c r="N173" s="281"/>
      <c r="O173" s="239">
        <f>VLOOKUP(H173,Auxiliar!$B$16:$E$24,4,0)</f>
        <v>0</v>
      </c>
      <c r="P173" s="239">
        <f t="shared" ca="1" si="40"/>
        <v>1</v>
      </c>
      <c r="Q173" s="238">
        <f t="shared" ca="1" si="38"/>
        <v>-1</v>
      </c>
      <c r="R173" s="252" t="s">
        <v>38</v>
      </c>
      <c r="S173" s="270"/>
      <c r="T173" s="260">
        <v>4.0999999999999996</v>
      </c>
      <c r="U173" s="260">
        <f t="shared" si="41"/>
        <v>0.5</v>
      </c>
      <c r="V173" s="260">
        <f>SUM(W173:CI173)-U173</f>
        <v>0</v>
      </c>
      <c r="W173" s="271"/>
      <c r="X173" s="271"/>
      <c r="Y173" s="271"/>
      <c r="Z173" s="271"/>
      <c r="AA173" s="271"/>
      <c r="AB173" s="271"/>
      <c r="AC173" s="271"/>
      <c r="AD173" s="272"/>
      <c r="AE173" s="271"/>
      <c r="AF173" s="271"/>
      <c r="AG173" s="271"/>
      <c r="AH173" s="271"/>
      <c r="AI173" s="271"/>
      <c r="AJ173" s="271"/>
      <c r="AK173" s="271"/>
      <c r="AL173" s="271"/>
      <c r="AM173" s="271"/>
      <c r="AN173" s="271"/>
      <c r="AO173" s="271"/>
      <c r="AP173" s="271"/>
      <c r="AQ173" s="271"/>
      <c r="AR173" s="271"/>
      <c r="AS173" s="271"/>
      <c r="AT173" s="271"/>
      <c r="AU173" s="271"/>
      <c r="AV173" s="271"/>
      <c r="AW173" s="259"/>
      <c r="AX173" s="271"/>
      <c r="AY173" s="271"/>
      <c r="AZ173" s="271"/>
      <c r="BA173" s="271"/>
      <c r="BB173" s="271"/>
      <c r="BC173" s="271"/>
      <c r="BD173" s="271"/>
      <c r="BE173" s="271"/>
      <c r="BF173" s="271"/>
      <c r="BG173" s="271"/>
      <c r="BH173" s="271"/>
      <c r="BI173" s="271"/>
      <c r="BJ173" s="271"/>
      <c r="BK173" s="271"/>
      <c r="BL173" s="271"/>
      <c r="BM173" s="271">
        <v>0.5</v>
      </c>
      <c r="BN173" s="271"/>
      <c r="BO173" s="272"/>
      <c r="BP173" s="272"/>
      <c r="BQ173" s="272"/>
      <c r="BR173" s="272"/>
      <c r="BS173" s="272"/>
      <c r="BT173" s="272"/>
      <c r="BU173" s="272"/>
      <c r="BV173" s="271"/>
      <c r="BW173" s="271"/>
      <c r="BX173" s="271"/>
      <c r="BY173" s="271"/>
      <c r="BZ173" s="271"/>
      <c r="CA173" s="271"/>
      <c r="CB173" s="271"/>
      <c r="CC173" s="271"/>
      <c r="CD173" s="271"/>
      <c r="CE173" s="271"/>
      <c r="CF173" s="271"/>
      <c r="CG173" s="271"/>
      <c r="CH173" s="271"/>
      <c r="CI173" s="271"/>
    </row>
    <row r="174" spans="1:87" ht="15" customHeight="1" collapsed="1">
      <c r="A174" s="264"/>
      <c r="B174" s="141" t="s">
        <v>26</v>
      </c>
      <c r="C174" s="137" t="s">
        <v>26</v>
      </c>
      <c r="D174" s="133"/>
      <c r="E174" s="232" t="s">
        <v>368</v>
      </c>
      <c r="F174" s="230" t="s">
        <v>1951</v>
      </c>
      <c r="G174" s="231">
        <f>COUNTA(G175)</f>
        <v>1</v>
      </c>
      <c r="H174" s="285" t="s">
        <v>1921</v>
      </c>
      <c r="I174" s="294">
        <f>MIN(I175)</f>
        <v>45603</v>
      </c>
      <c r="J174" s="267">
        <f>MIN(J175)</f>
        <v>45624</v>
      </c>
      <c r="K174" s="316">
        <f>MIN(K175)</f>
        <v>45624</v>
      </c>
      <c r="L174" s="267">
        <f>MIN(L175)</f>
        <v>45645</v>
      </c>
      <c r="M174" s="268">
        <f>MAX(M175)</f>
        <v>45645</v>
      </c>
      <c r="N174" s="312">
        <f t="array" ref="N174">MAX(IF(W174:CI174&gt;0,$W$16:$CI$16))</f>
        <v>45667</v>
      </c>
      <c r="O174" s="311">
        <f>O175</f>
        <v>1</v>
      </c>
      <c r="P174" s="311">
        <f ca="1">P175</f>
        <v>1</v>
      </c>
      <c r="Q174" s="238">
        <f t="shared" ca="1" si="38"/>
        <v>0</v>
      </c>
      <c r="R174" s="329" t="s">
        <v>1956</v>
      </c>
      <c r="S174" s="270"/>
      <c r="T174" s="260"/>
      <c r="U174" s="260"/>
      <c r="V174" s="260"/>
      <c r="W174" s="271"/>
      <c r="X174" s="271"/>
      <c r="Y174" s="271"/>
      <c r="Z174" s="271"/>
      <c r="AA174" s="271"/>
      <c r="AB174" s="271"/>
      <c r="AC174" s="271"/>
      <c r="AD174" s="272"/>
      <c r="AE174" s="271"/>
      <c r="AF174" s="271"/>
      <c r="AG174" s="271"/>
      <c r="AH174" s="279"/>
      <c r="AI174" s="271"/>
      <c r="AJ174" s="271"/>
      <c r="AK174" s="271"/>
      <c r="AL174" s="271"/>
      <c r="AM174" s="271"/>
      <c r="AN174" s="271"/>
      <c r="AO174" s="271"/>
      <c r="AP174" s="271"/>
      <c r="AQ174" s="271"/>
      <c r="AR174" s="271"/>
      <c r="AS174" s="271"/>
      <c r="AT174" s="271"/>
      <c r="AU174" s="271"/>
      <c r="AV174" s="271"/>
      <c r="AW174" s="259"/>
      <c r="AX174" s="271"/>
      <c r="AY174" s="271"/>
      <c r="AZ174" s="271"/>
      <c r="BA174" s="271"/>
      <c r="BB174" s="271"/>
      <c r="BC174" s="271"/>
      <c r="BD174" s="271"/>
      <c r="BE174" s="271"/>
      <c r="BF174" s="271"/>
      <c r="BG174" s="271"/>
      <c r="BH174" s="271"/>
      <c r="BI174" s="271"/>
      <c r="BJ174" s="271"/>
      <c r="BK174" s="271"/>
      <c r="BL174" s="271"/>
      <c r="BM174" s="271" t="s">
        <v>443</v>
      </c>
      <c r="BN174" s="271"/>
      <c r="BO174" s="272"/>
      <c r="BP174" s="272"/>
      <c r="BQ174" s="272"/>
      <c r="BR174" s="272"/>
      <c r="BS174" s="272"/>
      <c r="BT174" s="272"/>
      <c r="BU174" s="272"/>
      <c r="BV174" s="271"/>
      <c r="BW174" s="271"/>
      <c r="BX174" s="271"/>
      <c r="BY174" s="271"/>
      <c r="BZ174" s="271"/>
      <c r="CA174" s="271"/>
      <c r="CB174" s="271" t="s">
        <v>443</v>
      </c>
      <c r="CC174" s="271"/>
      <c r="CD174" s="271"/>
      <c r="CE174" s="271"/>
      <c r="CF174" s="271"/>
      <c r="CG174" s="271"/>
      <c r="CH174" s="271"/>
      <c r="CI174" s="271"/>
    </row>
    <row r="175" spans="1:87" ht="16.2" outlineLevel="1">
      <c r="A175" s="264" t="str">
        <f>E175&amp;G175</f>
        <v>lt004_protectiontyp_prtctn</v>
      </c>
      <c r="B175" s="141" t="s">
        <v>26</v>
      </c>
      <c r="C175" s="137" t="s">
        <v>26</v>
      </c>
      <c r="D175" s="226" t="s">
        <v>40</v>
      </c>
      <c r="E175" s="229" t="s">
        <v>368</v>
      </c>
      <c r="F175" s="229"/>
      <c r="G175" s="229" t="s">
        <v>436</v>
      </c>
      <c r="H175" s="226" t="str">
        <f>VLOOKUP(A175,'2. Status Detalhe Campos FY24'!$A$7:$G$732,7,0)</f>
        <v>1. Concluído</v>
      </c>
      <c r="I175" s="297">
        <v>45603</v>
      </c>
      <c r="J175" s="297">
        <v>45624</v>
      </c>
      <c r="K175" s="297">
        <v>45624</v>
      </c>
      <c r="L175" s="280">
        <f t="array" ref="L175">MIN(IF(W175:CI175&gt;0,$W$16:$CI$16))</f>
        <v>45645</v>
      </c>
      <c r="M175" s="281">
        <f t="array" ref="M175">MAX(IF(W175:CI175&gt;0,$W$16:$CI$16))</f>
        <v>45645</v>
      </c>
      <c r="N175" s="281"/>
      <c r="O175" s="239">
        <f>VLOOKUP(H175,Auxiliar!$B$16:$E$24,4,0)</f>
        <v>1</v>
      </c>
      <c r="P175" s="239">
        <f ca="1">IF(TODAY()&lt;=L175,0,MIN((TODAY()-L175)/(M175-L175+1),100%))</f>
        <v>1</v>
      </c>
      <c r="Q175" s="238">
        <f t="shared" ca="1" si="38"/>
        <v>0</v>
      </c>
      <c r="R175" s="252" t="s">
        <v>38</v>
      </c>
      <c r="S175" s="270"/>
      <c r="T175" s="289">
        <v>4.0999999999999996</v>
      </c>
      <c r="U175" s="260">
        <f>ROUND(T175/8,1)</f>
        <v>0.5</v>
      </c>
      <c r="V175" s="260">
        <f>SUM(W175:CI175)-U175</f>
        <v>0</v>
      </c>
      <c r="W175" s="271"/>
      <c r="X175" s="271"/>
      <c r="Y175" s="271"/>
      <c r="Z175" s="271"/>
      <c r="AA175" s="271"/>
      <c r="AB175" s="287"/>
      <c r="AC175" s="271"/>
      <c r="AD175" s="272"/>
      <c r="AE175" s="271"/>
      <c r="AF175" s="271"/>
      <c r="AG175" s="271"/>
      <c r="AH175" s="279"/>
      <c r="AI175" s="271"/>
      <c r="AJ175" s="271"/>
      <c r="AK175" s="271"/>
      <c r="AL175" s="271"/>
      <c r="AM175" s="271"/>
      <c r="AN175" s="271"/>
      <c r="AO175" s="271"/>
      <c r="AP175" s="271"/>
      <c r="AQ175" s="271"/>
      <c r="AR175" s="271"/>
      <c r="AS175" s="271"/>
      <c r="AT175" s="271"/>
      <c r="AU175" s="271"/>
      <c r="AV175" s="271"/>
      <c r="AW175" s="259"/>
      <c r="AX175" s="271"/>
      <c r="AY175" s="271"/>
      <c r="AZ175" s="271"/>
      <c r="BA175" s="271"/>
      <c r="BB175" s="271"/>
      <c r="BC175" s="271"/>
      <c r="BD175" s="271"/>
      <c r="BE175" s="271"/>
      <c r="BF175" s="271"/>
      <c r="BG175" s="271"/>
      <c r="BH175" s="271"/>
      <c r="BI175" s="271"/>
      <c r="BJ175" s="271"/>
      <c r="BK175" s="271"/>
      <c r="BL175" s="271">
        <v>0.5</v>
      </c>
      <c r="BM175" s="271"/>
      <c r="BN175" s="271"/>
      <c r="BO175" s="272"/>
      <c r="BP175" s="272"/>
      <c r="BQ175" s="272"/>
      <c r="BR175" s="272"/>
      <c r="BS175" s="272"/>
      <c r="BT175" s="272"/>
      <c r="BU175" s="272"/>
      <c r="BV175" s="271"/>
      <c r="BW175" s="271"/>
      <c r="BX175" s="271"/>
      <c r="BY175" s="271"/>
      <c r="BZ175" s="271"/>
      <c r="CA175" s="271"/>
      <c r="CB175" s="271"/>
      <c r="CC175" s="271"/>
      <c r="CD175" s="271"/>
      <c r="CE175" s="271"/>
      <c r="CF175" s="271"/>
      <c r="CG175" s="271"/>
      <c r="CH175" s="271"/>
      <c r="CI175" s="271"/>
    </row>
    <row r="176" spans="1:87" ht="15" customHeight="1" collapsed="1">
      <c r="A176" s="264"/>
      <c r="B176" s="141" t="s">
        <v>26</v>
      </c>
      <c r="C176" s="137" t="s">
        <v>310</v>
      </c>
      <c r="D176" s="133"/>
      <c r="E176" s="230" t="s">
        <v>333</v>
      </c>
      <c r="F176" s="230" t="s">
        <v>1889</v>
      </c>
      <c r="G176" s="231">
        <f>COUNTA(G177:G188)</f>
        <v>12</v>
      </c>
      <c r="H176" s="284" t="s">
        <v>1920</v>
      </c>
      <c r="I176" s="266" t="s">
        <v>38</v>
      </c>
      <c r="J176" s="286">
        <f>MIN(J177:J188)</f>
        <v>45628</v>
      </c>
      <c r="K176" s="316">
        <f>MIN(K177:K188)</f>
        <v>45629</v>
      </c>
      <c r="L176" s="267">
        <f>MIN(L177:L188)</f>
        <v>45630</v>
      </c>
      <c r="M176" s="268">
        <f>MAX(M177:M188)</f>
        <v>45667</v>
      </c>
      <c r="N176" s="312" t="s">
        <v>1868</v>
      </c>
      <c r="O176" s="242">
        <v>0</v>
      </c>
      <c r="P176" s="242">
        <v>0</v>
      </c>
      <c r="Q176" s="238">
        <f t="shared" si="38"/>
        <v>0</v>
      </c>
      <c r="R176" s="252" t="s">
        <v>1970</v>
      </c>
      <c r="S176" s="270"/>
      <c r="T176" s="260"/>
      <c r="U176" s="260"/>
      <c r="V176" s="260"/>
      <c r="W176" s="271"/>
      <c r="X176" s="271"/>
      <c r="Y176" s="271"/>
      <c r="Z176" s="271"/>
      <c r="AA176" s="271"/>
      <c r="AB176" s="271"/>
      <c r="AC176" s="271"/>
      <c r="AD176" s="272"/>
      <c r="AE176" s="271"/>
      <c r="AF176" s="271"/>
      <c r="AG176" s="271"/>
      <c r="AH176" s="271"/>
      <c r="AI176" s="271"/>
      <c r="AJ176" s="271"/>
      <c r="AK176" s="271"/>
      <c r="AL176" s="271"/>
      <c r="AM176" s="271"/>
      <c r="AN176" s="271"/>
      <c r="AO176" s="271"/>
      <c r="AP176" s="271"/>
      <c r="AQ176" s="271"/>
      <c r="AR176" s="271"/>
      <c r="AS176" s="271"/>
      <c r="AT176" s="271"/>
      <c r="AU176" s="271"/>
      <c r="AV176" s="271"/>
      <c r="AW176" s="273"/>
      <c r="AX176" s="271"/>
      <c r="AY176" s="273"/>
      <c r="AZ176" s="259"/>
      <c r="BA176" s="271"/>
      <c r="BB176" s="271"/>
      <c r="BC176" s="271"/>
      <c r="BD176" s="271"/>
      <c r="BE176" s="271"/>
      <c r="BF176" s="271"/>
      <c r="BG176" s="271"/>
      <c r="BH176" s="271"/>
      <c r="BI176" s="271"/>
      <c r="BJ176" s="271"/>
      <c r="BK176" s="271"/>
      <c r="BL176" s="271"/>
      <c r="BM176" s="271"/>
      <c r="BN176" s="271"/>
      <c r="BO176" s="272"/>
      <c r="BP176" s="272"/>
      <c r="BQ176" s="272"/>
      <c r="BR176" s="272"/>
      <c r="BS176" s="272"/>
      <c r="BT176" s="272"/>
      <c r="BU176" s="272"/>
      <c r="BV176" s="271"/>
      <c r="BW176" s="271"/>
      <c r="BX176" s="271"/>
      <c r="BY176" s="271"/>
      <c r="BZ176" s="271"/>
      <c r="CA176" s="271"/>
      <c r="CB176" s="271" t="s">
        <v>443</v>
      </c>
      <c r="CC176" s="271"/>
      <c r="CD176" s="271"/>
      <c r="CE176" s="271"/>
      <c r="CF176" s="271"/>
      <c r="CG176" s="271"/>
      <c r="CH176" s="271"/>
      <c r="CI176" s="271"/>
    </row>
    <row r="177" spans="1:87" ht="16.2" outlineLevel="1">
      <c r="A177" s="264" t="str">
        <f t="shared" ref="A177:A188" si="42">E177&amp;G177</f>
        <v>modesg_out_sfcs_taxon_europeiacbalcao</v>
      </c>
      <c r="B177" s="141" t="s">
        <v>26</v>
      </c>
      <c r="C177" s="137" t="s">
        <v>310</v>
      </c>
      <c r="D177" s="226" t="s">
        <v>40</v>
      </c>
      <c r="E177" s="227" t="s">
        <v>333</v>
      </c>
      <c r="F177" s="227"/>
      <c r="G177" s="226" t="s">
        <v>183</v>
      </c>
      <c r="H177" s="226" t="e">
        <f>VLOOKUP(A177,'2. Status Detalhe Campos FY24'!$A$7:$G$732,7,0)</f>
        <v>#N/A</v>
      </c>
      <c r="I177" s="266" t="s">
        <v>38</v>
      </c>
      <c r="J177" s="313">
        <v>45628</v>
      </c>
      <c r="K177" s="314">
        <v>45629</v>
      </c>
      <c r="L177" s="280">
        <f t="array" ref="L177">MIN(IF(W177:CI177&gt;0,$W$16:$CI$16))</f>
        <v>45630</v>
      </c>
      <c r="M177" s="281">
        <f t="array" ref="M177">MAX(IF(W177:CI177&gt;0,$W$16:$CI$16))</f>
        <v>45630</v>
      </c>
      <c r="N177" s="281"/>
      <c r="O177" s="239" t="e">
        <f>VLOOKUP(H177,Auxiliar!$B$16:$E$24,4,0)</f>
        <v>#N/A</v>
      </c>
      <c r="P177" s="239">
        <f t="shared" ref="P177:P188" ca="1" si="43">IF(TODAY()&lt;=L177,0,MIN((TODAY()-L177)/(M177-L177+1),100%))</f>
        <v>1</v>
      </c>
      <c r="Q177" s="238" t="e">
        <f t="shared" ca="1" si="38"/>
        <v>#N/A</v>
      </c>
      <c r="R177" s="332"/>
      <c r="S177" s="270"/>
      <c r="T177" s="260">
        <v>4.0999999999999996</v>
      </c>
      <c r="U177" s="260">
        <f t="shared" ref="U177:U188" si="44">ROUND(T177/8,1)</f>
        <v>0.5</v>
      </c>
      <c r="V177" s="260">
        <f t="shared" ref="V177:V188" si="45">SUM(W177:CI177)-U177</f>
        <v>0</v>
      </c>
      <c r="W177" s="271"/>
      <c r="X177" s="271"/>
      <c r="Y177" s="271"/>
      <c r="Z177" s="271"/>
      <c r="AA177" s="271"/>
      <c r="AB177" s="271"/>
      <c r="AC177" s="271"/>
      <c r="AD177" s="272"/>
      <c r="AE177" s="271"/>
      <c r="AF177" s="271"/>
      <c r="AG177" s="271"/>
      <c r="AH177" s="271"/>
      <c r="AI177" s="271"/>
      <c r="AJ177" s="271"/>
      <c r="AK177" s="271"/>
      <c r="AL177" s="271"/>
      <c r="AM177" s="271"/>
      <c r="AN177" s="271"/>
      <c r="AO177" s="271"/>
      <c r="AP177" s="271"/>
      <c r="AQ177" s="271"/>
      <c r="AR177" s="271"/>
      <c r="AS177" s="271"/>
      <c r="AT177" s="271"/>
      <c r="AU177" s="271"/>
      <c r="AV177" s="271"/>
      <c r="AW177" s="273"/>
      <c r="AX177" s="271"/>
      <c r="AY177" s="273"/>
      <c r="AZ177" s="259"/>
      <c r="BA177" s="271">
        <v>0.5</v>
      </c>
      <c r="BB177" s="271"/>
      <c r="BC177" s="271"/>
      <c r="BD177" s="271"/>
      <c r="BE177" s="271"/>
      <c r="BF177" s="271"/>
      <c r="BG177" s="271"/>
      <c r="BH177" s="271"/>
      <c r="BI177" s="271"/>
      <c r="BJ177" s="271"/>
      <c r="BK177" s="271"/>
      <c r="BL177" s="271"/>
      <c r="BM177" s="271"/>
      <c r="BN177" s="271"/>
      <c r="BO177" s="272"/>
      <c r="BP177" s="272"/>
      <c r="BQ177" s="272"/>
      <c r="BR177" s="272"/>
      <c r="BS177" s="272"/>
      <c r="BT177" s="272"/>
      <c r="BU177" s="272"/>
      <c r="BV177" s="271"/>
      <c r="BW177" s="271"/>
      <c r="BX177" s="271"/>
      <c r="BY177" s="271"/>
      <c r="BZ177" s="271"/>
      <c r="CA177" s="271"/>
      <c r="CB177" s="271"/>
      <c r="CC177" s="271"/>
      <c r="CD177" s="271"/>
      <c r="CE177" s="271"/>
      <c r="CF177" s="271"/>
      <c r="CG177" s="271"/>
      <c r="CH177" s="271"/>
      <c r="CI177" s="271"/>
    </row>
    <row r="178" spans="1:87" ht="16.2" outlineLevel="1">
      <c r="A178" s="264" t="str">
        <f t="shared" si="42"/>
        <v>modesg_out_sfcs_taxon_europeiacempresa</v>
      </c>
      <c r="B178" s="141" t="s">
        <v>26</v>
      </c>
      <c r="C178" s="137" t="s">
        <v>310</v>
      </c>
      <c r="D178" s="226" t="s">
        <v>40</v>
      </c>
      <c r="E178" s="227" t="s">
        <v>333</v>
      </c>
      <c r="F178" s="227"/>
      <c r="G178" s="226" t="s">
        <v>184</v>
      </c>
      <c r="H178" s="226" t="e">
        <f>VLOOKUP(A178,'2. Status Detalhe Campos FY24'!$A$7:$G$732,7,0)</f>
        <v>#N/A</v>
      </c>
      <c r="I178" s="266" t="s">
        <v>38</v>
      </c>
      <c r="J178" s="313">
        <v>45628</v>
      </c>
      <c r="K178" s="314">
        <v>45629</v>
      </c>
      <c r="L178" s="280">
        <f t="array" ref="L178">MIN(IF(W178:CI178&gt;0,$W$16:$CI$16))</f>
        <v>45630</v>
      </c>
      <c r="M178" s="281">
        <f t="array" ref="M178">MAX(IF(W178:CI178&gt;0,$W$16:$CI$16))</f>
        <v>45630</v>
      </c>
      <c r="N178" s="281"/>
      <c r="O178" s="239" t="e">
        <f>VLOOKUP(H178,Auxiliar!$B$16:$E$24,4,0)</f>
        <v>#N/A</v>
      </c>
      <c r="P178" s="239">
        <f t="shared" ca="1" si="43"/>
        <v>1</v>
      </c>
      <c r="Q178" s="238" t="e">
        <f t="shared" ca="1" si="38"/>
        <v>#N/A</v>
      </c>
      <c r="R178" s="332"/>
      <c r="S178" s="270"/>
      <c r="T178" s="260">
        <v>4.0999999999999996</v>
      </c>
      <c r="U178" s="260">
        <f t="shared" si="44"/>
        <v>0.5</v>
      </c>
      <c r="V178" s="260">
        <f t="shared" si="45"/>
        <v>0</v>
      </c>
      <c r="W178" s="271"/>
      <c r="X178" s="271"/>
      <c r="Y178" s="271"/>
      <c r="Z178" s="271"/>
      <c r="AA178" s="271"/>
      <c r="AB178" s="271"/>
      <c r="AC178" s="271"/>
      <c r="AD178" s="272"/>
      <c r="AE178" s="271"/>
      <c r="AF178" s="271"/>
      <c r="AG178" s="271"/>
      <c r="AH178" s="271"/>
      <c r="AI178" s="271"/>
      <c r="AJ178" s="271"/>
      <c r="AK178" s="271"/>
      <c r="AL178" s="271"/>
      <c r="AM178" s="271"/>
      <c r="AN178" s="271"/>
      <c r="AO178" s="271"/>
      <c r="AP178" s="271"/>
      <c r="AQ178" s="271"/>
      <c r="AR178" s="271"/>
      <c r="AS178" s="271"/>
      <c r="AT178" s="271"/>
      <c r="AU178" s="271"/>
      <c r="AV178" s="271"/>
      <c r="AW178" s="273"/>
      <c r="AX178" s="271"/>
      <c r="AY178" s="273"/>
      <c r="AZ178" s="259"/>
      <c r="BA178" s="271">
        <v>0.5</v>
      </c>
      <c r="BB178" s="271"/>
      <c r="BC178" s="271"/>
      <c r="BD178" s="271"/>
      <c r="BE178" s="271"/>
      <c r="BF178" s="271"/>
      <c r="BG178" s="271"/>
      <c r="BH178" s="271"/>
      <c r="BI178" s="271"/>
      <c r="BJ178" s="271"/>
      <c r="BK178" s="271"/>
      <c r="BL178" s="271"/>
      <c r="BM178" s="271"/>
      <c r="BN178" s="271"/>
      <c r="BO178" s="272"/>
      <c r="BP178" s="272"/>
      <c r="BQ178" s="272"/>
      <c r="BR178" s="272"/>
      <c r="BS178" s="272"/>
      <c r="BT178" s="272"/>
      <c r="BU178" s="272"/>
      <c r="BV178" s="271"/>
      <c r="BW178" s="271"/>
      <c r="BX178" s="271"/>
      <c r="BY178" s="271"/>
      <c r="BZ178" s="271"/>
      <c r="CA178" s="271"/>
      <c r="CB178" s="271"/>
      <c r="CC178" s="271"/>
      <c r="CD178" s="271"/>
      <c r="CE178" s="271"/>
      <c r="CF178" s="271"/>
      <c r="CG178" s="271"/>
      <c r="CH178" s="271"/>
      <c r="CI178" s="271"/>
    </row>
    <row r="179" spans="1:87" ht="16.2" outlineLevel="1">
      <c r="A179" s="264" t="str">
        <f t="shared" si="42"/>
        <v>modesg_out_sfcs_taxon_europeiacnumecta</v>
      </c>
      <c r="B179" s="141" t="s">
        <v>26</v>
      </c>
      <c r="C179" s="137" t="s">
        <v>310</v>
      </c>
      <c r="D179" s="226" t="s">
        <v>40</v>
      </c>
      <c r="E179" s="227" t="s">
        <v>333</v>
      </c>
      <c r="F179" s="227"/>
      <c r="G179" s="226" t="s">
        <v>189</v>
      </c>
      <c r="H179" s="226" t="e">
        <f>VLOOKUP(A179,'2. Status Detalhe Campos FY24'!$A$7:$G$732,7,0)</f>
        <v>#N/A</v>
      </c>
      <c r="I179" s="266" t="s">
        <v>38</v>
      </c>
      <c r="J179" s="313">
        <v>45628</v>
      </c>
      <c r="K179" s="314">
        <v>45629</v>
      </c>
      <c r="L179" s="280">
        <f t="array" ref="L179">MIN(IF(W179:CI179&gt;0,$W$16:$CI$16))</f>
        <v>45631</v>
      </c>
      <c r="M179" s="281">
        <f t="array" ref="M179">MAX(IF(W179:CI179&gt;0,$W$16:$CI$16))</f>
        <v>45631</v>
      </c>
      <c r="N179" s="281"/>
      <c r="O179" s="239" t="e">
        <f>VLOOKUP(H179,Auxiliar!$B$16:$E$24,4,0)</f>
        <v>#N/A</v>
      </c>
      <c r="P179" s="239">
        <f t="shared" ca="1" si="43"/>
        <v>1</v>
      </c>
      <c r="Q179" s="238" t="e">
        <f t="shared" ca="1" si="38"/>
        <v>#N/A</v>
      </c>
      <c r="R179" s="332"/>
      <c r="S179" s="270"/>
      <c r="T179" s="260">
        <v>4.0999999999999996</v>
      </c>
      <c r="U179" s="260">
        <f t="shared" si="44"/>
        <v>0.5</v>
      </c>
      <c r="V179" s="260">
        <f t="shared" si="45"/>
        <v>0</v>
      </c>
      <c r="W179" s="271"/>
      <c r="X179" s="271"/>
      <c r="Y179" s="271"/>
      <c r="Z179" s="271"/>
      <c r="AA179" s="271"/>
      <c r="AB179" s="271"/>
      <c r="AC179" s="271"/>
      <c r="AD179" s="272"/>
      <c r="AE179" s="271"/>
      <c r="AF179" s="271"/>
      <c r="AG179" s="271"/>
      <c r="AH179" s="271"/>
      <c r="AI179" s="271"/>
      <c r="AJ179" s="271"/>
      <c r="AK179" s="271"/>
      <c r="AL179" s="271"/>
      <c r="AM179" s="271"/>
      <c r="AN179" s="271"/>
      <c r="AO179" s="271"/>
      <c r="AP179" s="271"/>
      <c r="AQ179" s="271"/>
      <c r="AR179" s="271"/>
      <c r="AS179" s="271"/>
      <c r="AT179" s="271"/>
      <c r="AU179" s="271"/>
      <c r="AV179" s="271"/>
      <c r="AW179" s="273"/>
      <c r="AX179" s="271"/>
      <c r="AY179" s="273"/>
      <c r="AZ179" s="259"/>
      <c r="BA179" s="271"/>
      <c r="BB179" s="271">
        <v>0.5</v>
      </c>
      <c r="BC179" s="271"/>
      <c r="BD179" s="271"/>
      <c r="BE179" s="271"/>
      <c r="BF179" s="271"/>
      <c r="BG179" s="271"/>
      <c r="BH179" s="271"/>
      <c r="BI179" s="271"/>
      <c r="BJ179" s="271"/>
      <c r="BK179" s="271"/>
      <c r="BL179" s="271"/>
      <c r="BM179" s="271"/>
      <c r="BN179" s="271"/>
      <c r="BO179" s="272"/>
      <c r="BP179" s="272"/>
      <c r="BQ179" s="272"/>
      <c r="BR179" s="272"/>
      <c r="BS179" s="272"/>
      <c r="BT179" s="272"/>
      <c r="BU179" s="272"/>
      <c r="BV179" s="271"/>
      <c r="BW179" s="271"/>
      <c r="BX179" s="271"/>
      <c r="BY179" s="271"/>
      <c r="BZ179" s="271"/>
      <c r="CA179" s="271"/>
      <c r="CB179" s="271"/>
      <c r="CC179" s="271"/>
      <c r="CD179" s="271"/>
      <c r="CE179" s="271"/>
      <c r="CF179" s="271"/>
      <c r="CG179" s="271"/>
      <c r="CH179" s="271"/>
      <c r="CI179" s="271"/>
    </row>
    <row r="180" spans="1:87" ht="16.2" outlineLevel="1">
      <c r="A180" s="264" t="str">
        <f t="shared" si="42"/>
        <v>modesg_out_sfcs_taxon_europeiacod_regra</v>
      </c>
      <c r="B180" s="141" t="s">
        <v>26</v>
      </c>
      <c r="C180" s="137" t="s">
        <v>310</v>
      </c>
      <c r="D180" s="226" t="s">
        <v>40</v>
      </c>
      <c r="E180" s="227" t="s">
        <v>333</v>
      </c>
      <c r="F180" s="227"/>
      <c r="G180" s="226" t="s">
        <v>191</v>
      </c>
      <c r="H180" s="226" t="e">
        <f>VLOOKUP(A180,'2. Status Detalhe Campos FY24'!$A$7:$G$732,7,0)</f>
        <v>#N/A</v>
      </c>
      <c r="I180" s="266" t="s">
        <v>38</v>
      </c>
      <c r="J180" s="313">
        <v>45628</v>
      </c>
      <c r="K180" s="314">
        <v>45629</v>
      </c>
      <c r="L180" s="280">
        <f t="array" ref="L180">MIN(IF(W180:CI180&gt;0,$W$16:$CI$16))</f>
        <v>45631</v>
      </c>
      <c r="M180" s="281">
        <f t="array" ref="M180">MAX(IF(W180:CI180&gt;0,$W$16:$CI$16))</f>
        <v>45631</v>
      </c>
      <c r="N180" s="281"/>
      <c r="O180" s="239" t="e">
        <f>VLOOKUP(H180,Auxiliar!$B$16:$E$24,4,0)</f>
        <v>#N/A</v>
      </c>
      <c r="P180" s="239">
        <f t="shared" ca="1" si="43"/>
        <v>1</v>
      </c>
      <c r="Q180" s="238" t="e">
        <f t="shared" ca="1" si="38"/>
        <v>#N/A</v>
      </c>
      <c r="R180" s="332"/>
      <c r="S180" s="270"/>
      <c r="T180" s="260">
        <v>4.0999999999999996</v>
      </c>
      <c r="U180" s="260">
        <f t="shared" si="44"/>
        <v>0.5</v>
      </c>
      <c r="V180" s="260">
        <f t="shared" si="45"/>
        <v>0</v>
      </c>
      <c r="W180" s="271"/>
      <c r="X180" s="271"/>
      <c r="Y180" s="271"/>
      <c r="Z180" s="271"/>
      <c r="AA180" s="271"/>
      <c r="AB180" s="271"/>
      <c r="AC180" s="271"/>
      <c r="AD180" s="272"/>
      <c r="AE180" s="271"/>
      <c r="AF180" s="271"/>
      <c r="AG180" s="271"/>
      <c r="AH180" s="271"/>
      <c r="AI180" s="271"/>
      <c r="AJ180" s="271"/>
      <c r="AK180" s="271"/>
      <c r="AL180" s="271"/>
      <c r="AM180" s="271"/>
      <c r="AN180" s="271"/>
      <c r="AO180" s="271"/>
      <c r="AP180" s="271"/>
      <c r="AQ180" s="271"/>
      <c r="AR180" s="271"/>
      <c r="AS180" s="271"/>
      <c r="AT180" s="271"/>
      <c r="AU180" s="271"/>
      <c r="AV180" s="271"/>
      <c r="AW180" s="273"/>
      <c r="AX180" s="271"/>
      <c r="AY180" s="273"/>
      <c r="AZ180" s="259"/>
      <c r="BA180" s="271"/>
      <c r="BB180" s="271">
        <v>0.5</v>
      </c>
      <c r="BC180" s="271"/>
      <c r="BD180" s="271"/>
      <c r="BE180" s="271"/>
      <c r="BF180" s="271"/>
      <c r="BG180" s="271"/>
      <c r="BH180" s="271"/>
      <c r="BI180" s="271"/>
      <c r="BJ180" s="271"/>
      <c r="BK180" s="271"/>
      <c r="BL180" s="271"/>
      <c r="BM180" s="271"/>
      <c r="BN180" s="271"/>
      <c r="BO180" s="272"/>
      <c r="BP180" s="272"/>
      <c r="BQ180" s="272"/>
      <c r="BR180" s="272"/>
      <c r="BS180" s="272"/>
      <c r="BT180" s="272"/>
      <c r="BU180" s="272"/>
      <c r="BV180" s="271"/>
      <c r="BW180" s="271"/>
      <c r="BX180" s="271"/>
      <c r="BY180" s="271"/>
      <c r="BZ180" s="271"/>
      <c r="CA180" s="271"/>
      <c r="CB180" s="271"/>
      <c r="CC180" s="271"/>
      <c r="CD180" s="271"/>
      <c r="CE180" s="271"/>
      <c r="CF180" s="271"/>
      <c r="CG180" s="271"/>
      <c r="CH180" s="271"/>
      <c r="CI180" s="271"/>
    </row>
    <row r="181" spans="1:87" ht="16.2" outlineLevel="1">
      <c r="A181" s="264" t="str">
        <f t="shared" si="42"/>
        <v>modesg_out_sfcs_taxon_europeiamontante_pndrc</v>
      </c>
      <c r="B181" s="141" t="s">
        <v>26</v>
      </c>
      <c r="C181" s="137" t="s">
        <v>310</v>
      </c>
      <c r="D181" s="226" t="s">
        <v>40</v>
      </c>
      <c r="E181" s="227" t="s">
        <v>333</v>
      </c>
      <c r="F181" s="227"/>
      <c r="G181" s="226" t="s">
        <v>202</v>
      </c>
      <c r="H181" s="226" t="e">
        <f>VLOOKUP(A181,'2. Status Detalhe Campos FY24'!$A$7:$G$732,7,0)</f>
        <v>#N/A</v>
      </c>
      <c r="I181" s="266" t="s">
        <v>38</v>
      </c>
      <c r="J181" s="313">
        <v>45628</v>
      </c>
      <c r="K181" s="314">
        <v>45629</v>
      </c>
      <c r="L181" s="280">
        <f t="array" ref="L181">MIN(IF(W181:CI181&gt;0,$W$16:$CI$16))</f>
        <v>45632</v>
      </c>
      <c r="M181" s="281">
        <f t="array" ref="M181">MAX(IF(W181:CI181&gt;0,$W$16:$CI$16))</f>
        <v>45635</v>
      </c>
      <c r="N181" s="281"/>
      <c r="O181" s="239" t="e">
        <f>VLOOKUP(H181,Auxiliar!$B$16:$E$24,4,0)</f>
        <v>#N/A</v>
      </c>
      <c r="P181" s="239">
        <f t="shared" ca="1" si="43"/>
        <v>1</v>
      </c>
      <c r="Q181" s="238" t="e">
        <f t="shared" ca="1" si="38"/>
        <v>#N/A</v>
      </c>
      <c r="R181" s="332"/>
      <c r="S181" s="270"/>
      <c r="T181" s="260">
        <v>16.100000000000001</v>
      </c>
      <c r="U181" s="260">
        <f t="shared" si="44"/>
        <v>2</v>
      </c>
      <c r="V181" s="260">
        <f t="shared" si="45"/>
        <v>0</v>
      </c>
      <c r="W181" s="271"/>
      <c r="X181" s="271"/>
      <c r="Y181" s="271"/>
      <c r="Z181" s="271"/>
      <c r="AA181" s="271"/>
      <c r="AB181" s="271"/>
      <c r="AC181" s="271"/>
      <c r="AD181" s="272"/>
      <c r="AE181" s="271"/>
      <c r="AF181" s="271"/>
      <c r="AG181" s="271"/>
      <c r="AH181" s="271"/>
      <c r="AI181" s="271"/>
      <c r="AJ181" s="271"/>
      <c r="AK181" s="271"/>
      <c r="AL181" s="271"/>
      <c r="AM181" s="271"/>
      <c r="AN181" s="271"/>
      <c r="AO181" s="271"/>
      <c r="AP181" s="271"/>
      <c r="AQ181" s="271"/>
      <c r="AR181" s="271"/>
      <c r="AS181" s="271"/>
      <c r="AT181" s="271"/>
      <c r="AU181" s="271"/>
      <c r="AV181" s="271"/>
      <c r="AW181" s="273"/>
      <c r="AX181" s="271"/>
      <c r="AY181" s="273"/>
      <c r="AZ181" s="259"/>
      <c r="BA181" s="271"/>
      <c r="BB181" s="271"/>
      <c r="BC181" s="271">
        <v>1</v>
      </c>
      <c r="BD181" s="271">
        <v>1</v>
      </c>
      <c r="BE181" s="271"/>
      <c r="BF181" s="271"/>
      <c r="BG181" s="271"/>
      <c r="BH181" s="271"/>
      <c r="BI181" s="271"/>
      <c r="BJ181" s="271"/>
      <c r="BK181" s="271"/>
      <c r="BL181" s="271"/>
      <c r="BM181" s="271"/>
      <c r="BN181" s="271"/>
      <c r="BO181" s="272"/>
      <c r="BP181" s="272"/>
      <c r="BQ181" s="272"/>
      <c r="BR181" s="272"/>
      <c r="BS181" s="272"/>
      <c r="BT181" s="272"/>
      <c r="BU181" s="272"/>
      <c r="BV181" s="271"/>
      <c r="BW181" s="271"/>
      <c r="BX181" s="271"/>
      <c r="BY181" s="271"/>
      <c r="BZ181" s="271"/>
      <c r="CA181" s="271"/>
      <c r="CB181" s="271"/>
      <c r="CC181" s="271"/>
      <c r="CD181" s="271"/>
      <c r="CE181" s="271"/>
      <c r="CF181" s="271"/>
      <c r="CG181" s="271"/>
      <c r="CH181" s="271"/>
      <c r="CI181" s="271"/>
    </row>
    <row r="182" spans="1:87" ht="16.2" outlineLevel="1">
      <c r="A182" s="264" t="str">
        <f t="shared" si="42"/>
        <v>modesg_out_sfcs_taxon_europeianome_ctgr_sfcs</v>
      </c>
      <c r="B182" s="141" t="s">
        <v>26</v>
      </c>
      <c r="C182" s="137" t="s">
        <v>310</v>
      </c>
      <c r="D182" s="226" t="s">
        <v>40</v>
      </c>
      <c r="E182" s="227" t="s">
        <v>333</v>
      </c>
      <c r="F182" s="227"/>
      <c r="G182" s="226" t="s">
        <v>203</v>
      </c>
      <c r="H182" s="226" t="e">
        <f>VLOOKUP(A182,'2. Status Detalhe Campos FY24'!$A$7:$G$732,7,0)</f>
        <v>#N/A</v>
      </c>
      <c r="I182" s="266" t="s">
        <v>38</v>
      </c>
      <c r="J182" s="313">
        <v>45628</v>
      </c>
      <c r="K182" s="314">
        <v>45629</v>
      </c>
      <c r="L182" s="280">
        <f t="array" ref="L182">MIN(IF(W182:CI182&gt;0,$W$16:$CI$16))</f>
        <v>45636</v>
      </c>
      <c r="M182" s="281">
        <f t="array" ref="M182">MAX(IF(W182:CI182&gt;0,$W$16:$CI$16))</f>
        <v>45637</v>
      </c>
      <c r="N182" s="281"/>
      <c r="O182" s="239" t="e">
        <f>VLOOKUP(H182,Auxiliar!$B$16:$E$24,4,0)</f>
        <v>#N/A</v>
      </c>
      <c r="P182" s="239">
        <f t="shared" ca="1" si="43"/>
        <v>1</v>
      </c>
      <c r="Q182" s="238" t="e">
        <f t="shared" ca="1" si="38"/>
        <v>#N/A</v>
      </c>
      <c r="R182" s="332"/>
      <c r="S182" s="270"/>
      <c r="T182" s="260">
        <v>16.100000000000001</v>
      </c>
      <c r="U182" s="260">
        <f t="shared" si="44"/>
        <v>2</v>
      </c>
      <c r="V182" s="260">
        <f t="shared" si="45"/>
        <v>0</v>
      </c>
      <c r="W182" s="271"/>
      <c r="X182" s="271"/>
      <c r="Y182" s="271"/>
      <c r="Z182" s="271"/>
      <c r="AA182" s="271"/>
      <c r="AB182" s="271"/>
      <c r="AC182" s="271"/>
      <c r="AD182" s="272"/>
      <c r="AE182" s="271"/>
      <c r="AF182" s="271"/>
      <c r="AG182" s="271"/>
      <c r="AH182" s="271"/>
      <c r="AI182" s="271"/>
      <c r="AJ182" s="271"/>
      <c r="AK182" s="271"/>
      <c r="AL182" s="271"/>
      <c r="AM182" s="271"/>
      <c r="AN182" s="271"/>
      <c r="AO182" s="271"/>
      <c r="AP182" s="271"/>
      <c r="AQ182" s="271"/>
      <c r="AR182" s="271"/>
      <c r="AS182" s="271"/>
      <c r="AT182" s="271"/>
      <c r="AU182" s="271"/>
      <c r="AV182" s="271"/>
      <c r="AW182" s="273"/>
      <c r="AX182" s="271"/>
      <c r="AY182" s="273"/>
      <c r="AZ182" s="259"/>
      <c r="BA182" s="271"/>
      <c r="BB182" s="271"/>
      <c r="BC182" s="271"/>
      <c r="BD182" s="271"/>
      <c r="BE182" s="271">
        <v>1</v>
      </c>
      <c r="BF182" s="271">
        <v>1</v>
      </c>
      <c r="BG182" s="271"/>
      <c r="BH182" s="271"/>
      <c r="BI182" s="271"/>
      <c r="BJ182" s="271"/>
      <c r="BK182" s="271"/>
      <c r="BL182" s="271"/>
      <c r="BM182" s="271"/>
      <c r="BN182" s="271"/>
      <c r="BO182" s="272"/>
      <c r="BP182" s="272"/>
      <c r="BQ182" s="272"/>
      <c r="BR182" s="272"/>
      <c r="BS182" s="272"/>
      <c r="BT182" s="272"/>
      <c r="BU182" s="272"/>
      <c r="BV182" s="271"/>
      <c r="BW182" s="271"/>
      <c r="BX182" s="271"/>
      <c r="BY182" s="271"/>
      <c r="BZ182" s="271"/>
      <c r="CA182" s="271"/>
      <c r="CB182" s="271"/>
      <c r="CC182" s="271"/>
      <c r="CD182" s="271"/>
      <c r="CE182" s="271"/>
      <c r="CF182" s="271"/>
      <c r="CG182" s="271"/>
      <c r="CH182" s="271"/>
      <c r="CI182" s="271"/>
    </row>
    <row r="183" spans="1:87" ht="16.2" outlineLevel="1">
      <c r="A183" s="264" t="str">
        <f t="shared" si="42"/>
        <v>modesg_out_sfcs_taxon_europeianome_general_specific_purpose</v>
      </c>
      <c r="B183" s="141" t="s">
        <v>26</v>
      </c>
      <c r="C183" s="137" t="s">
        <v>310</v>
      </c>
      <c r="D183" s="226" t="s">
        <v>40</v>
      </c>
      <c r="E183" s="227" t="s">
        <v>333</v>
      </c>
      <c r="F183" s="227"/>
      <c r="G183" s="226" t="s">
        <v>204</v>
      </c>
      <c r="H183" s="226" t="e">
        <f>VLOOKUP(A183,'2. Status Detalhe Campos FY24'!$A$7:$G$732,7,0)</f>
        <v>#N/A</v>
      </c>
      <c r="I183" s="266" t="s">
        <v>38</v>
      </c>
      <c r="J183" s="313">
        <v>45628</v>
      </c>
      <c r="K183" s="314">
        <v>45629</v>
      </c>
      <c r="L183" s="280">
        <f t="array" ref="L183">MIN(IF(W183:CI183&gt;0,$W$16:$CI$16))</f>
        <v>45638</v>
      </c>
      <c r="M183" s="281">
        <f t="array" ref="M183">MAX(IF(W183:CI183&gt;0,$W$16:$CI$16))</f>
        <v>45638</v>
      </c>
      <c r="N183" s="281"/>
      <c r="O183" s="239" t="e">
        <f>VLOOKUP(H183,Auxiliar!$B$16:$E$24,4,0)</f>
        <v>#N/A</v>
      </c>
      <c r="P183" s="239">
        <f t="shared" ca="1" si="43"/>
        <v>1</v>
      </c>
      <c r="Q183" s="238" t="e">
        <f t="shared" ca="1" si="38"/>
        <v>#N/A</v>
      </c>
      <c r="R183" s="332"/>
      <c r="S183" s="270"/>
      <c r="T183" s="260">
        <v>8.1</v>
      </c>
      <c r="U183" s="260">
        <f t="shared" si="44"/>
        <v>1</v>
      </c>
      <c r="V183" s="260">
        <f t="shared" si="45"/>
        <v>0</v>
      </c>
      <c r="W183" s="271"/>
      <c r="X183" s="271"/>
      <c r="Y183" s="271"/>
      <c r="Z183" s="271"/>
      <c r="AA183" s="271"/>
      <c r="AB183" s="271"/>
      <c r="AC183" s="271"/>
      <c r="AD183" s="272"/>
      <c r="AE183" s="271"/>
      <c r="AF183" s="271"/>
      <c r="AG183" s="271"/>
      <c r="AH183" s="271"/>
      <c r="AI183" s="271"/>
      <c r="AJ183" s="271"/>
      <c r="AK183" s="271"/>
      <c r="AL183" s="271"/>
      <c r="AM183" s="271"/>
      <c r="AN183" s="271"/>
      <c r="AO183" s="271"/>
      <c r="AP183" s="271"/>
      <c r="AQ183" s="271"/>
      <c r="AR183" s="271"/>
      <c r="AS183" s="271"/>
      <c r="AT183" s="271"/>
      <c r="AU183" s="271"/>
      <c r="AV183" s="271"/>
      <c r="AW183" s="273"/>
      <c r="AX183" s="271"/>
      <c r="AY183" s="273"/>
      <c r="AZ183" s="259"/>
      <c r="BA183" s="271"/>
      <c r="BB183" s="271"/>
      <c r="BC183" s="271"/>
      <c r="BD183" s="271"/>
      <c r="BE183" s="271"/>
      <c r="BF183" s="271"/>
      <c r="BG183" s="271">
        <v>1</v>
      </c>
      <c r="BH183" s="271"/>
      <c r="BI183" s="271"/>
      <c r="BJ183" s="271"/>
      <c r="BK183" s="271"/>
      <c r="BL183" s="271"/>
      <c r="BM183" s="271"/>
      <c r="BN183" s="271"/>
      <c r="BO183" s="272"/>
      <c r="BP183" s="272"/>
      <c r="BQ183" s="272"/>
      <c r="BR183" s="272"/>
      <c r="BS183" s="272"/>
      <c r="BT183" s="272"/>
      <c r="BU183" s="272"/>
      <c r="BV183" s="271"/>
      <c r="BW183" s="271"/>
      <c r="BX183" s="271"/>
      <c r="BY183" s="271"/>
      <c r="BZ183" s="271"/>
      <c r="CA183" s="271"/>
      <c r="CB183" s="271"/>
      <c r="CC183" s="271"/>
      <c r="CD183" s="271"/>
      <c r="CE183" s="271"/>
      <c r="CF183" s="271"/>
      <c r="CG183" s="271"/>
      <c r="CH183" s="271"/>
      <c r="CI183" s="271"/>
    </row>
    <row r="184" spans="1:87" ht="16.2" outlineLevel="1">
      <c r="A184" s="264" t="str">
        <f t="shared" si="42"/>
        <v>modesg_out_sfcs_taxon_europeianome_purpose_esg</v>
      </c>
      <c r="B184" s="141" t="s">
        <v>26</v>
      </c>
      <c r="C184" s="137" t="s">
        <v>310</v>
      </c>
      <c r="D184" s="226" t="s">
        <v>40</v>
      </c>
      <c r="E184" s="227" t="s">
        <v>333</v>
      </c>
      <c r="F184" s="227"/>
      <c r="G184" s="226" t="s">
        <v>205</v>
      </c>
      <c r="H184" s="226" t="e">
        <f>VLOOKUP(A184,'2. Status Detalhe Campos FY24'!$A$7:$G$732,7,0)</f>
        <v>#N/A</v>
      </c>
      <c r="I184" s="266" t="s">
        <v>38</v>
      </c>
      <c r="J184" s="313">
        <v>45628</v>
      </c>
      <c r="K184" s="314">
        <v>45629</v>
      </c>
      <c r="L184" s="280">
        <f t="array" ref="L184">MIN(IF(W184:CI184&gt;0,$W$16:$CI$16))</f>
        <v>45639</v>
      </c>
      <c r="M184" s="281">
        <f t="array" ref="M184">MAX(IF(W184:CI184&gt;0,$W$16:$CI$16))</f>
        <v>45639</v>
      </c>
      <c r="N184" s="281"/>
      <c r="O184" s="239" t="e">
        <f>VLOOKUP(H184,Auxiliar!$B$16:$E$24,4,0)</f>
        <v>#N/A</v>
      </c>
      <c r="P184" s="239">
        <f t="shared" ca="1" si="43"/>
        <v>1</v>
      </c>
      <c r="Q184" s="238" t="e">
        <f t="shared" ca="1" si="38"/>
        <v>#N/A</v>
      </c>
      <c r="R184" s="332"/>
      <c r="S184" s="270"/>
      <c r="T184" s="260">
        <v>8.1</v>
      </c>
      <c r="U184" s="260">
        <f t="shared" si="44"/>
        <v>1</v>
      </c>
      <c r="V184" s="260">
        <f t="shared" si="45"/>
        <v>0</v>
      </c>
      <c r="W184" s="271"/>
      <c r="X184" s="271"/>
      <c r="Y184" s="271"/>
      <c r="Z184" s="271"/>
      <c r="AA184" s="271"/>
      <c r="AB184" s="271"/>
      <c r="AC184" s="271"/>
      <c r="AD184" s="272"/>
      <c r="AE184" s="271"/>
      <c r="AF184" s="271"/>
      <c r="AG184" s="271"/>
      <c r="AH184" s="271"/>
      <c r="AI184" s="271"/>
      <c r="AJ184" s="271"/>
      <c r="AK184" s="271"/>
      <c r="AL184" s="271"/>
      <c r="AM184" s="271"/>
      <c r="AN184" s="271"/>
      <c r="AO184" s="271"/>
      <c r="AP184" s="271"/>
      <c r="AQ184" s="271"/>
      <c r="AR184" s="271"/>
      <c r="AS184" s="271"/>
      <c r="AT184" s="271"/>
      <c r="AU184" s="271"/>
      <c r="AV184" s="271"/>
      <c r="AW184" s="273"/>
      <c r="AX184" s="271"/>
      <c r="AY184" s="273"/>
      <c r="AZ184" s="259"/>
      <c r="BA184" s="271"/>
      <c r="BB184" s="271"/>
      <c r="BC184" s="271"/>
      <c r="BD184" s="271"/>
      <c r="BE184" s="271"/>
      <c r="BF184" s="271"/>
      <c r="BG184" s="271"/>
      <c r="BH184" s="271">
        <v>1</v>
      </c>
      <c r="BI184" s="271"/>
      <c r="BJ184" s="271"/>
      <c r="BK184" s="271"/>
      <c r="BL184" s="271"/>
      <c r="BM184" s="271"/>
      <c r="BN184" s="271"/>
      <c r="BO184" s="272"/>
      <c r="BP184" s="272"/>
      <c r="BQ184" s="272"/>
      <c r="BR184" s="272"/>
      <c r="BS184" s="272"/>
      <c r="BT184" s="272"/>
      <c r="BU184" s="272"/>
      <c r="BV184" s="271"/>
      <c r="BW184" s="271"/>
      <c r="BX184" s="271"/>
      <c r="BY184" s="271"/>
      <c r="BZ184" s="271"/>
      <c r="CA184" s="271"/>
      <c r="CB184" s="271"/>
      <c r="CC184" s="271"/>
      <c r="CD184" s="271"/>
      <c r="CE184" s="271"/>
      <c r="CF184" s="271"/>
      <c r="CG184" s="271"/>
      <c r="CH184" s="271"/>
      <c r="CI184" s="271"/>
    </row>
    <row r="185" spans="1:87" ht="16.2" outlineLevel="1">
      <c r="A185" s="264" t="str">
        <f t="shared" si="42"/>
        <v>modesg_out_sfcs_taxon_europeianome_specific_eligible</v>
      </c>
      <c r="B185" s="141" t="s">
        <v>26</v>
      </c>
      <c r="C185" s="137" t="s">
        <v>310</v>
      </c>
      <c r="D185" s="226" t="s">
        <v>40</v>
      </c>
      <c r="E185" s="227" t="s">
        <v>333</v>
      </c>
      <c r="F185" s="227"/>
      <c r="G185" s="226" t="s">
        <v>206</v>
      </c>
      <c r="H185" s="226" t="e">
        <f>VLOOKUP(A185,'2. Status Detalhe Campos FY24'!$A$7:$G$732,7,0)</f>
        <v>#N/A</v>
      </c>
      <c r="I185" s="266" t="s">
        <v>38</v>
      </c>
      <c r="J185" s="313">
        <v>45628</v>
      </c>
      <c r="K185" s="314">
        <v>45629</v>
      </c>
      <c r="L185" s="280">
        <f t="array" ref="L185">MIN(IF(W185:CI185&gt;0,$W$16:$CI$16))</f>
        <v>45642</v>
      </c>
      <c r="M185" s="281">
        <f t="array" ref="M185">MAX(IF(W185:CI185&gt;0,$W$16:$CI$16))</f>
        <v>45642</v>
      </c>
      <c r="N185" s="281"/>
      <c r="O185" s="239" t="e">
        <f>VLOOKUP(H185,Auxiliar!$B$16:$E$24,4,0)</f>
        <v>#N/A</v>
      </c>
      <c r="P185" s="239">
        <f t="shared" ca="1" si="43"/>
        <v>1</v>
      </c>
      <c r="Q185" s="238" t="e">
        <f t="shared" ca="1" si="38"/>
        <v>#N/A</v>
      </c>
      <c r="R185" s="332"/>
      <c r="S185" s="270"/>
      <c r="T185" s="260">
        <v>8.1</v>
      </c>
      <c r="U185" s="260">
        <f t="shared" si="44"/>
        <v>1</v>
      </c>
      <c r="V185" s="260">
        <f t="shared" si="45"/>
        <v>0</v>
      </c>
      <c r="W185" s="271"/>
      <c r="X185" s="271"/>
      <c r="Y185" s="271"/>
      <c r="Z185" s="271"/>
      <c r="AA185" s="271"/>
      <c r="AB185" s="271"/>
      <c r="AC185" s="271"/>
      <c r="AD185" s="272"/>
      <c r="AE185" s="271"/>
      <c r="AF185" s="271"/>
      <c r="AG185" s="271"/>
      <c r="AH185" s="271"/>
      <c r="AI185" s="271"/>
      <c r="AJ185" s="271"/>
      <c r="AK185" s="271"/>
      <c r="AL185" s="271"/>
      <c r="AM185" s="271"/>
      <c r="AN185" s="271"/>
      <c r="AO185" s="271"/>
      <c r="AP185" s="271"/>
      <c r="AQ185" s="271"/>
      <c r="AR185" s="271"/>
      <c r="AS185" s="271"/>
      <c r="AT185" s="271"/>
      <c r="AU185" s="271"/>
      <c r="AV185" s="271"/>
      <c r="AW185" s="273"/>
      <c r="AX185" s="271"/>
      <c r="AY185" s="273"/>
      <c r="AZ185" s="259"/>
      <c r="BA185" s="271"/>
      <c r="BB185" s="271"/>
      <c r="BC185" s="271"/>
      <c r="BD185" s="271"/>
      <c r="BE185" s="271"/>
      <c r="BF185" s="271"/>
      <c r="BG185" s="271"/>
      <c r="BH185" s="271"/>
      <c r="BI185" s="271">
        <v>1</v>
      </c>
      <c r="BJ185" s="271"/>
      <c r="BK185" s="271"/>
      <c r="BL185" s="271"/>
      <c r="BM185" s="271"/>
      <c r="BN185" s="271"/>
      <c r="BO185" s="272"/>
      <c r="BP185" s="272"/>
      <c r="BQ185" s="272"/>
      <c r="BR185" s="272"/>
      <c r="BS185" s="272"/>
      <c r="BT185" s="272"/>
      <c r="BU185" s="272"/>
      <c r="BV185" s="271"/>
      <c r="BW185" s="271"/>
      <c r="BX185" s="271"/>
      <c r="BY185" s="271"/>
      <c r="BZ185" s="271"/>
      <c r="CA185" s="271"/>
      <c r="CB185" s="271"/>
      <c r="CC185" s="271"/>
      <c r="CD185" s="271"/>
      <c r="CE185" s="271"/>
      <c r="CF185" s="271"/>
      <c r="CG185" s="271"/>
      <c r="CH185" s="271"/>
      <c r="CI185" s="271"/>
    </row>
    <row r="186" spans="1:87" ht="16.2" outlineLevel="1">
      <c r="A186" s="264" t="str">
        <f t="shared" si="42"/>
        <v>modesg_out_sfcs_taxon_europeianome_specific_sustainable</v>
      </c>
      <c r="B186" s="141" t="s">
        <v>26</v>
      </c>
      <c r="C186" s="137" t="s">
        <v>310</v>
      </c>
      <c r="D186" s="226" t="s">
        <v>40</v>
      </c>
      <c r="E186" s="227" t="s">
        <v>333</v>
      </c>
      <c r="F186" s="227"/>
      <c r="G186" s="226" t="s">
        <v>207</v>
      </c>
      <c r="H186" s="226" t="e">
        <f>VLOOKUP(A186,'2. Status Detalhe Campos FY24'!$A$7:$G$732,7,0)</f>
        <v>#N/A</v>
      </c>
      <c r="I186" s="266" t="s">
        <v>38</v>
      </c>
      <c r="J186" s="313">
        <v>45628</v>
      </c>
      <c r="K186" s="314">
        <v>45629</v>
      </c>
      <c r="L186" s="280">
        <f t="array" ref="L186">MIN(IF(W186:CI186&gt;0,$W$16:$CI$16))</f>
        <v>45643</v>
      </c>
      <c r="M186" s="281">
        <f t="array" ref="M186">MAX(IF(W186:CI186&gt;0,$W$16:$CI$16))</f>
        <v>45643</v>
      </c>
      <c r="N186" s="281"/>
      <c r="O186" s="239" t="e">
        <f>VLOOKUP(H186,Auxiliar!$B$16:$E$24,4,0)</f>
        <v>#N/A</v>
      </c>
      <c r="P186" s="239">
        <f t="shared" ca="1" si="43"/>
        <v>1</v>
      </c>
      <c r="Q186" s="238" t="e">
        <f t="shared" ca="1" si="38"/>
        <v>#N/A</v>
      </c>
      <c r="R186" s="332"/>
      <c r="S186" s="270"/>
      <c r="T186" s="260">
        <v>8.1</v>
      </c>
      <c r="U186" s="260">
        <f t="shared" si="44"/>
        <v>1</v>
      </c>
      <c r="V186" s="260">
        <f t="shared" si="45"/>
        <v>0</v>
      </c>
      <c r="W186" s="271"/>
      <c r="X186" s="271"/>
      <c r="Y186" s="271"/>
      <c r="Z186" s="271"/>
      <c r="AA186" s="271"/>
      <c r="AB186" s="271"/>
      <c r="AC186" s="271"/>
      <c r="AD186" s="272"/>
      <c r="AE186" s="271"/>
      <c r="AF186" s="271"/>
      <c r="AG186" s="271"/>
      <c r="AH186" s="271"/>
      <c r="AI186" s="271"/>
      <c r="AJ186" s="271"/>
      <c r="AK186" s="271"/>
      <c r="AL186" s="271"/>
      <c r="AM186" s="271"/>
      <c r="AN186" s="271"/>
      <c r="AO186" s="271"/>
      <c r="AP186" s="271"/>
      <c r="AQ186" s="271"/>
      <c r="AR186" s="271"/>
      <c r="AS186" s="271"/>
      <c r="AT186" s="271"/>
      <c r="AU186" s="271"/>
      <c r="AV186" s="271"/>
      <c r="AW186" s="273"/>
      <c r="AX186" s="271"/>
      <c r="AY186" s="273"/>
      <c r="AZ186" s="259"/>
      <c r="BA186" s="271"/>
      <c r="BB186" s="271"/>
      <c r="BC186" s="271"/>
      <c r="BD186" s="271"/>
      <c r="BE186" s="271"/>
      <c r="BF186" s="271"/>
      <c r="BG186" s="271"/>
      <c r="BH186" s="271"/>
      <c r="BI186" s="271"/>
      <c r="BJ186" s="271">
        <v>1</v>
      </c>
      <c r="BK186" s="271"/>
      <c r="BL186" s="271"/>
      <c r="BM186" s="271"/>
      <c r="BN186" s="271"/>
      <c r="BO186" s="272"/>
      <c r="BP186" s="272"/>
      <c r="BQ186" s="272"/>
      <c r="BR186" s="272"/>
      <c r="BS186" s="272"/>
      <c r="BT186" s="272"/>
      <c r="BU186" s="272"/>
      <c r="BV186" s="271"/>
      <c r="BW186" s="271"/>
      <c r="BX186" s="271"/>
      <c r="BY186" s="271"/>
      <c r="BZ186" s="271"/>
      <c r="CA186" s="271"/>
      <c r="CB186" s="271"/>
      <c r="CC186" s="271"/>
      <c r="CD186" s="271"/>
      <c r="CE186" s="271"/>
      <c r="CF186" s="271"/>
      <c r="CG186" s="271"/>
      <c r="CH186" s="271"/>
      <c r="CI186" s="271"/>
    </row>
    <row r="187" spans="1:87" ht="16.2" outlineLevel="1">
      <c r="A187" s="264" t="str">
        <f t="shared" si="42"/>
        <v>modesg_out_sfcs_taxon_europeiaref_date</v>
      </c>
      <c r="B187" s="141" t="s">
        <v>26</v>
      </c>
      <c r="C187" s="137" t="s">
        <v>310</v>
      </c>
      <c r="D187" s="226" t="s">
        <v>40</v>
      </c>
      <c r="E187" s="227" t="s">
        <v>333</v>
      </c>
      <c r="F187" s="227"/>
      <c r="G187" s="226" t="s">
        <v>208</v>
      </c>
      <c r="H187" s="226" t="e">
        <f>VLOOKUP(A187,'2. Status Detalhe Campos FY24'!$A$7:$G$732,7,0)</f>
        <v>#N/A</v>
      </c>
      <c r="I187" s="266" t="s">
        <v>38</v>
      </c>
      <c r="J187" s="313">
        <v>45628</v>
      </c>
      <c r="K187" s="314">
        <v>45629</v>
      </c>
      <c r="L187" s="280">
        <f t="array" ref="L187">MIN(IF(W187:CI187&gt;0,$W$16:$CI$16))</f>
        <v>45644</v>
      </c>
      <c r="M187" s="281">
        <f t="array" ref="M187">MAX(IF(W187:CI187&gt;0,$W$16:$CI$16))</f>
        <v>45644</v>
      </c>
      <c r="N187" s="281"/>
      <c r="O187" s="239" t="e">
        <f>VLOOKUP(H187,Auxiliar!$B$16:$E$24,4,0)</f>
        <v>#N/A</v>
      </c>
      <c r="P187" s="239">
        <f t="shared" ca="1" si="43"/>
        <v>1</v>
      </c>
      <c r="Q187" s="238" t="e">
        <f t="shared" ca="1" si="38"/>
        <v>#N/A</v>
      </c>
      <c r="R187" s="332"/>
      <c r="S187" s="270"/>
      <c r="T187" s="260">
        <v>4.0999999999999996</v>
      </c>
      <c r="U187" s="260">
        <f t="shared" si="44"/>
        <v>0.5</v>
      </c>
      <c r="V187" s="260">
        <f t="shared" si="45"/>
        <v>0</v>
      </c>
      <c r="W187" s="271"/>
      <c r="X187" s="271"/>
      <c r="Y187" s="271"/>
      <c r="Z187" s="271"/>
      <c r="AA187" s="271"/>
      <c r="AB187" s="271"/>
      <c r="AC187" s="271"/>
      <c r="AD187" s="272"/>
      <c r="AE187" s="271"/>
      <c r="AF187" s="271"/>
      <c r="AG187" s="271"/>
      <c r="AH187" s="271"/>
      <c r="AI187" s="271"/>
      <c r="AJ187" s="271"/>
      <c r="AK187" s="271"/>
      <c r="AL187" s="271"/>
      <c r="AM187" s="271"/>
      <c r="AN187" s="271"/>
      <c r="AO187" s="271"/>
      <c r="AP187" s="271"/>
      <c r="AQ187" s="271"/>
      <c r="AR187" s="271"/>
      <c r="AS187" s="271"/>
      <c r="AT187" s="271"/>
      <c r="AU187" s="271"/>
      <c r="AV187" s="271"/>
      <c r="AW187" s="273"/>
      <c r="AX187" s="271"/>
      <c r="AY187" s="273"/>
      <c r="AZ187" s="259"/>
      <c r="BA187" s="271"/>
      <c r="BB187" s="271"/>
      <c r="BC187" s="271"/>
      <c r="BD187" s="271"/>
      <c r="BE187" s="271"/>
      <c r="BF187" s="271"/>
      <c r="BG187" s="271"/>
      <c r="BH187" s="271"/>
      <c r="BI187" s="271"/>
      <c r="BJ187" s="271"/>
      <c r="BK187" s="271">
        <v>0.5</v>
      </c>
      <c r="BL187" s="271"/>
      <c r="BM187" s="271"/>
      <c r="BN187" s="271"/>
      <c r="BO187" s="272"/>
      <c r="BP187" s="272"/>
      <c r="BQ187" s="272"/>
      <c r="BR187" s="272"/>
      <c r="BS187" s="272"/>
      <c r="BT187" s="272"/>
      <c r="BU187" s="272"/>
      <c r="BV187" s="271"/>
      <c r="BW187" s="271"/>
      <c r="BX187" s="271"/>
      <c r="BY187" s="271"/>
      <c r="BZ187" s="271"/>
      <c r="CA187" s="271"/>
      <c r="CB187" s="271"/>
      <c r="CC187" s="271"/>
      <c r="CD187" s="271"/>
      <c r="CE187" s="271"/>
      <c r="CF187" s="271"/>
      <c r="CG187" s="271"/>
      <c r="CH187" s="271"/>
      <c r="CI187" s="271"/>
    </row>
    <row r="188" spans="1:87" ht="16.2" outlineLevel="1">
      <c r="A188" s="264" t="str">
        <f t="shared" si="42"/>
        <v>modesg_out_sfcs_taxon_europeiazdeposit</v>
      </c>
      <c r="B188" s="141" t="s">
        <v>26</v>
      </c>
      <c r="C188" s="137" t="s">
        <v>310</v>
      </c>
      <c r="D188" s="226" t="s">
        <v>40</v>
      </c>
      <c r="E188" s="227" t="s">
        <v>333</v>
      </c>
      <c r="F188" s="227"/>
      <c r="G188" s="226" t="s">
        <v>210</v>
      </c>
      <c r="H188" s="226" t="e">
        <f>VLOOKUP(A188,'2. Status Detalhe Campos FY24'!$A$7:$G$732,7,0)</f>
        <v>#N/A</v>
      </c>
      <c r="I188" s="266" t="s">
        <v>38</v>
      </c>
      <c r="J188" s="313">
        <v>45628</v>
      </c>
      <c r="K188" s="314">
        <v>45629</v>
      </c>
      <c r="L188" s="280">
        <f t="array" ref="L188">MIN(IF(W188:CI188&gt;0,$W$16:$CI$16))</f>
        <v>45644</v>
      </c>
      <c r="M188" s="281">
        <f t="array" ref="M188">MAX(IF(W188:CI188&gt;0,$W$16:$CI$16))</f>
        <v>45667</v>
      </c>
      <c r="N188" s="281"/>
      <c r="O188" s="239" t="e">
        <f>VLOOKUP(H188,Auxiliar!$B$16:$E$24,4,0)</f>
        <v>#N/A</v>
      </c>
      <c r="P188" s="239">
        <f t="shared" ca="1" si="43"/>
        <v>1</v>
      </c>
      <c r="Q188" s="238" t="e">
        <f t="shared" ca="1" si="38"/>
        <v>#N/A</v>
      </c>
      <c r="R188" s="332"/>
      <c r="S188" s="270"/>
      <c r="T188" s="260">
        <v>8.1</v>
      </c>
      <c r="U188" s="260">
        <f t="shared" si="44"/>
        <v>1</v>
      </c>
      <c r="V188" s="260">
        <f t="shared" si="45"/>
        <v>0</v>
      </c>
      <c r="W188" s="271"/>
      <c r="X188" s="271"/>
      <c r="Y188" s="271"/>
      <c r="Z188" s="271"/>
      <c r="AA188" s="271"/>
      <c r="AB188" s="271"/>
      <c r="AC188" s="271"/>
      <c r="AD188" s="272"/>
      <c r="AE188" s="271"/>
      <c r="AF188" s="271"/>
      <c r="AG188" s="271"/>
      <c r="AH188" s="271"/>
      <c r="AI188" s="271"/>
      <c r="AJ188" s="271"/>
      <c r="AK188" s="271"/>
      <c r="AL188" s="271"/>
      <c r="AM188" s="271"/>
      <c r="AN188" s="271"/>
      <c r="AO188" s="271"/>
      <c r="AP188" s="271"/>
      <c r="AQ188" s="271"/>
      <c r="AR188" s="271"/>
      <c r="AS188" s="271"/>
      <c r="AT188" s="271"/>
      <c r="AU188" s="271"/>
      <c r="AV188" s="271"/>
      <c r="AW188" s="273"/>
      <c r="AX188" s="271"/>
      <c r="AY188" s="273"/>
      <c r="AZ188" s="259"/>
      <c r="BA188" s="271"/>
      <c r="BB188" s="271"/>
      <c r="BC188" s="271"/>
      <c r="BD188" s="271"/>
      <c r="BE188" s="271"/>
      <c r="BF188" s="271"/>
      <c r="BG188" s="271"/>
      <c r="BH188" s="271"/>
      <c r="BI188" s="271"/>
      <c r="BJ188" s="271"/>
      <c r="BK188" s="271">
        <v>0.5</v>
      </c>
      <c r="BM188" s="271"/>
      <c r="BN188" s="271"/>
      <c r="BO188" s="272"/>
      <c r="BP188" s="272"/>
      <c r="BQ188" s="272"/>
      <c r="BR188" s="272"/>
      <c r="BS188" s="272"/>
      <c r="BT188" s="272"/>
      <c r="BU188" s="272"/>
      <c r="BV188" s="271"/>
      <c r="BW188" s="271"/>
      <c r="BX188" s="271"/>
      <c r="BY188" s="271"/>
      <c r="BZ188" s="271"/>
      <c r="CA188" s="271"/>
      <c r="CB188" s="271">
        <v>0.5</v>
      </c>
      <c r="CC188" s="271"/>
      <c r="CD188" s="271"/>
      <c r="CE188" s="271"/>
      <c r="CF188" s="271"/>
      <c r="CG188" s="271"/>
      <c r="CH188" s="271"/>
      <c r="CI188" s="271"/>
    </row>
    <row r="189" spans="1:87" ht="15" customHeight="1" collapsed="1">
      <c r="A189" s="264"/>
      <c r="B189" s="141" t="s">
        <v>26</v>
      </c>
      <c r="C189" s="137" t="s">
        <v>26</v>
      </c>
      <c r="D189" s="133"/>
      <c r="E189" s="232" t="s">
        <v>379</v>
      </c>
      <c r="F189" s="230" t="s">
        <v>1927</v>
      </c>
      <c r="G189" s="231">
        <f>COUNTA(G190:G192)</f>
        <v>3</v>
      </c>
      <c r="H189" s="265" t="s">
        <v>1924</v>
      </c>
      <c r="I189" s="294">
        <f>MAX(I190:I192)</f>
        <v>45603</v>
      </c>
      <c r="J189" s="286">
        <f>MIN(J190:J192)</f>
        <v>45631</v>
      </c>
      <c r="K189" s="316">
        <f>MIN(K190:K192)</f>
        <v>45631</v>
      </c>
      <c r="L189" s="268">
        <f>MIN(L190:L192)</f>
        <v>45642</v>
      </c>
      <c r="M189" s="268">
        <f>MAX(M190:M192)</f>
        <v>45643</v>
      </c>
      <c r="N189" s="312" t="s">
        <v>1868</v>
      </c>
      <c r="O189" s="304">
        <f>SUMPRODUCT(O190:O192,U190:U192)/SUM(U190:U192)</f>
        <v>0</v>
      </c>
      <c r="P189" s="304">
        <f ca="1">SUMPRODUCT(P190:P192,U190:U192)/SUM(U190:U192)</f>
        <v>1</v>
      </c>
      <c r="Q189" s="238">
        <f t="shared" ref="Q189:Q197" ca="1" si="46">O189-P189</f>
        <v>-1</v>
      </c>
      <c r="R189" s="329" t="s">
        <v>1958</v>
      </c>
      <c r="S189" s="270"/>
      <c r="T189" s="260"/>
      <c r="U189" s="260"/>
      <c r="V189" s="260"/>
      <c r="W189" s="271"/>
      <c r="X189" s="271"/>
      <c r="Y189" s="271"/>
      <c r="Z189" s="287"/>
      <c r="AA189" s="271"/>
      <c r="AB189" s="279"/>
      <c r="AC189" s="271"/>
      <c r="AD189" s="272"/>
      <c r="AE189" s="271"/>
      <c r="AF189" s="271"/>
      <c r="AG189" s="271"/>
      <c r="AH189" s="279"/>
      <c r="AI189" s="271"/>
      <c r="AJ189" s="271"/>
      <c r="AK189" s="271"/>
      <c r="AL189" s="271"/>
      <c r="AM189" s="271"/>
      <c r="AN189" s="278"/>
      <c r="AO189" s="271"/>
      <c r="AP189" s="271"/>
      <c r="AQ189" s="271"/>
      <c r="AR189" s="271"/>
      <c r="AS189" s="271"/>
      <c r="AT189" s="271"/>
      <c r="AU189" s="279"/>
      <c r="AV189" s="271"/>
      <c r="AW189" s="271"/>
      <c r="AX189" s="271"/>
      <c r="AY189" s="271"/>
      <c r="AZ189" s="271"/>
      <c r="BA189" s="271"/>
      <c r="BB189" s="259"/>
      <c r="BC189" s="271"/>
      <c r="BD189" s="271"/>
      <c r="BE189" s="271"/>
      <c r="BF189" s="271"/>
      <c r="BG189" s="271"/>
      <c r="BH189" s="271"/>
      <c r="BI189" s="271"/>
      <c r="BJ189" s="271"/>
      <c r="BK189" s="271"/>
      <c r="BL189" s="271"/>
      <c r="BM189" s="271" t="s">
        <v>443</v>
      </c>
      <c r="BN189" s="271"/>
      <c r="BO189" s="272"/>
      <c r="BP189" s="272"/>
      <c r="BQ189" s="272"/>
      <c r="BR189" s="272"/>
      <c r="BS189" s="272"/>
      <c r="BT189" s="272"/>
      <c r="BU189" s="272"/>
      <c r="BV189" s="271"/>
      <c r="BW189" s="271"/>
      <c r="BX189" s="271"/>
      <c r="BY189" s="271"/>
      <c r="BZ189" s="271"/>
      <c r="CA189" s="271"/>
      <c r="CB189" s="271"/>
      <c r="CC189" s="271"/>
      <c r="CD189" s="271"/>
      <c r="CE189" s="271"/>
      <c r="CF189" s="271"/>
      <c r="CG189" s="271"/>
      <c r="CH189" s="271"/>
      <c r="CI189" s="271"/>
    </row>
    <row r="190" spans="1:87" ht="16.2" outlineLevel="1">
      <c r="A190" s="264" t="str">
        <f>E190&amp;G190</f>
        <v>lt002_instrumentmthd_usd_instrmnt_scp_1</v>
      </c>
      <c r="B190" s="141" t="s">
        <v>26</v>
      </c>
      <c r="C190" s="137" t="s">
        <v>26</v>
      </c>
      <c r="D190" s="226" t="s">
        <v>40</v>
      </c>
      <c r="E190" s="229" t="s">
        <v>379</v>
      </c>
      <c r="F190" s="229"/>
      <c r="G190" s="229" t="s">
        <v>385</v>
      </c>
      <c r="H190" s="226" t="str">
        <f>VLOOKUP(A190,'2. Status Detalhe Campos FY24'!$A$7:$G$732,7,0)</f>
        <v>2.2 Em especificação</v>
      </c>
      <c r="I190" s="275">
        <v>45603</v>
      </c>
      <c r="J190" s="313">
        <v>45631</v>
      </c>
      <c r="K190" s="313">
        <v>45631</v>
      </c>
      <c r="L190" s="280">
        <f t="array" ref="L190">MIN(IF(W190:CI190&gt;0,$W$16:$CI$16))</f>
        <v>45642</v>
      </c>
      <c r="M190" s="281">
        <f t="array" ref="M190">MAX(IF(W190:CI190&gt;0,$W$16:$CI$16))</f>
        <v>45642</v>
      </c>
      <c r="N190" s="281"/>
      <c r="O190" s="335">
        <f>VLOOKUP(H190,Auxiliar!$B$16:$E$24,4,0)</f>
        <v>0</v>
      </c>
      <c r="P190" s="335">
        <f ca="1">IF(TODAY()&lt;=L190,0,MIN((TODAY()-L190)/(M190-L190+1),100%))</f>
        <v>1</v>
      </c>
      <c r="Q190" s="238">
        <f t="shared" ca="1" si="46"/>
        <v>-1</v>
      </c>
      <c r="R190" s="332"/>
      <c r="S190" s="270"/>
      <c r="T190" s="260">
        <v>4.0999999999999996</v>
      </c>
      <c r="U190" s="260">
        <f>ROUND(T190/8,1)</f>
        <v>0.5</v>
      </c>
      <c r="V190" s="260">
        <f>SUM(W190:CI190)-U190</f>
        <v>0</v>
      </c>
      <c r="W190" s="271"/>
      <c r="X190" s="271"/>
      <c r="Y190" s="271"/>
      <c r="Z190" s="287"/>
      <c r="AA190" s="271"/>
      <c r="AB190" s="279"/>
      <c r="AC190" s="271"/>
      <c r="AD190" s="272"/>
      <c r="AE190" s="271"/>
      <c r="AF190" s="271"/>
      <c r="AG190" s="271"/>
      <c r="AH190" s="279"/>
      <c r="AI190" s="271"/>
      <c r="AJ190" s="271"/>
      <c r="AK190" s="271"/>
      <c r="AL190" s="271"/>
      <c r="AM190" s="271"/>
      <c r="AN190" s="278"/>
      <c r="AO190" s="271"/>
      <c r="AP190" s="271"/>
      <c r="AQ190" s="271"/>
      <c r="AR190" s="271"/>
      <c r="AS190" s="271"/>
      <c r="AT190" s="271"/>
      <c r="AU190" s="279"/>
      <c r="AV190" s="271"/>
      <c r="AW190" s="271"/>
      <c r="AX190" s="271"/>
      <c r="AY190" s="271"/>
      <c r="AZ190" s="271"/>
      <c r="BA190" s="271"/>
      <c r="BB190" s="259"/>
      <c r="BC190" s="271"/>
      <c r="BD190" s="271"/>
      <c r="BE190" s="271"/>
      <c r="BF190" s="271"/>
      <c r="BG190" s="271"/>
      <c r="BH190" s="271"/>
      <c r="BI190" s="271">
        <v>0.5</v>
      </c>
      <c r="BJ190" s="271"/>
      <c r="BK190" s="271"/>
      <c r="BL190" s="271"/>
      <c r="BM190" s="274"/>
      <c r="BN190" s="271"/>
      <c r="BO190" s="272"/>
      <c r="BP190" s="272"/>
      <c r="BQ190" s="272"/>
      <c r="BR190" s="272"/>
      <c r="BS190" s="272"/>
      <c r="BT190" s="272"/>
      <c r="BU190" s="272"/>
      <c r="BV190" s="271"/>
      <c r="BW190" s="271"/>
      <c r="BX190" s="271"/>
      <c r="BY190" s="271"/>
      <c r="BZ190" s="271"/>
      <c r="CA190" s="271"/>
      <c r="CB190" s="271"/>
      <c r="CC190" s="271"/>
      <c r="CD190" s="271"/>
      <c r="CE190" s="271"/>
      <c r="CF190" s="271"/>
      <c r="CG190" s="271"/>
      <c r="CH190" s="271"/>
      <c r="CI190" s="271"/>
    </row>
    <row r="191" spans="1:87" ht="16.2" outlineLevel="1">
      <c r="A191" s="264" t="str">
        <f>E191&amp;G191</f>
        <v>lt002_instrumentmthd_usd_instrmnt_scp_2</v>
      </c>
      <c r="B191" s="141" t="s">
        <v>26</v>
      </c>
      <c r="C191" s="137" t="s">
        <v>26</v>
      </c>
      <c r="D191" s="226" t="s">
        <v>40</v>
      </c>
      <c r="E191" s="229" t="s">
        <v>379</v>
      </c>
      <c r="F191" s="229"/>
      <c r="G191" s="229" t="s">
        <v>386</v>
      </c>
      <c r="H191" s="226" t="str">
        <f>VLOOKUP(A191,'2. Status Detalhe Campos FY24'!$A$7:$G$732,7,0)</f>
        <v>2.2 Em especificação</v>
      </c>
      <c r="I191" s="275">
        <v>45603</v>
      </c>
      <c r="J191" s="313">
        <v>45631</v>
      </c>
      <c r="K191" s="313">
        <v>45631</v>
      </c>
      <c r="L191" s="280">
        <f t="array" ref="L191">MIN(IF(W191:CI191&gt;0,$W$16:$CI$16))</f>
        <v>45643</v>
      </c>
      <c r="M191" s="281">
        <f t="array" ref="M191">MAX(IF(W191:CI191&gt;0,$W$16:$CI$16))</f>
        <v>45643</v>
      </c>
      <c r="N191" s="281"/>
      <c r="O191" s="335">
        <f>VLOOKUP(H191,Auxiliar!$B$16:$E$24,4,0)</f>
        <v>0</v>
      </c>
      <c r="P191" s="335">
        <f ca="1">IF(TODAY()&lt;=L191,0,MIN((TODAY()-L191)/(M191-L191+1),100%))</f>
        <v>1</v>
      </c>
      <c r="Q191" s="238">
        <f t="shared" ca="1" si="46"/>
        <v>-1</v>
      </c>
      <c r="R191" s="332"/>
      <c r="S191" s="270"/>
      <c r="T191" s="260">
        <v>4.0999999999999996</v>
      </c>
      <c r="U191" s="260">
        <f>ROUND(T191/8,1)</f>
        <v>0.5</v>
      </c>
      <c r="V191" s="260">
        <f>SUM(W191:CI191)-U191</f>
        <v>0</v>
      </c>
      <c r="W191" s="271"/>
      <c r="X191" s="271"/>
      <c r="Y191" s="271"/>
      <c r="Z191" s="287"/>
      <c r="AA191" s="271"/>
      <c r="AB191" s="279"/>
      <c r="AC191" s="271"/>
      <c r="AD191" s="272"/>
      <c r="AE191" s="271"/>
      <c r="AF191" s="271"/>
      <c r="AG191" s="271"/>
      <c r="AH191" s="279"/>
      <c r="AI191" s="271"/>
      <c r="AJ191" s="271"/>
      <c r="AK191" s="271"/>
      <c r="AL191" s="271"/>
      <c r="AM191" s="271"/>
      <c r="AN191" s="278"/>
      <c r="AO191" s="271"/>
      <c r="AP191" s="271"/>
      <c r="AQ191" s="271"/>
      <c r="AR191" s="271"/>
      <c r="AS191" s="271"/>
      <c r="AT191" s="271"/>
      <c r="AU191" s="279"/>
      <c r="AV191" s="271"/>
      <c r="AW191" s="271"/>
      <c r="AX191" s="271"/>
      <c r="AY191" s="271"/>
      <c r="AZ191" s="271"/>
      <c r="BA191" s="271"/>
      <c r="BB191" s="259"/>
      <c r="BC191" s="271"/>
      <c r="BD191" s="271"/>
      <c r="BE191" s="271"/>
      <c r="BF191" s="271"/>
      <c r="BG191" s="271"/>
      <c r="BH191" s="271"/>
      <c r="BI191" s="271"/>
      <c r="BJ191" s="271">
        <v>0.5</v>
      </c>
      <c r="BK191" s="271"/>
      <c r="BL191" s="271"/>
      <c r="BM191" s="271"/>
      <c r="BN191" s="271"/>
      <c r="BO191" s="272"/>
      <c r="BP191" s="272"/>
      <c r="BQ191" s="272"/>
      <c r="BR191" s="272"/>
      <c r="BS191" s="272"/>
      <c r="BT191" s="272"/>
      <c r="BU191" s="272"/>
      <c r="BV191" s="271"/>
      <c r="BW191" s="271"/>
      <c r="BX191" s="271"/>
      <c r="BY191" s="271"/>
      <c r="BZ191" s="271"/>
      <c r="CA191" s="271"/>
      <c r="CB191" s="271"/>
      <c r="CC191" s="271"/>
      <c r="CD191" s="271"/>
      <c r="CE191" s="271"/>
      <c r="CF191" s="271"/>
      <c r="CG191" s="271"/>
      <c r="CH191" s="271"/>
      <c r="CI191" s="271"/>
    </row>
    <row r="192" spans="1:87" ht="16.2" outlineLevel="1">
      <c r="A192" s="264" t="str">
        <f>E192&amp;G192</f>
        <v>lt002_instrumentmthd_usd_instrmnt_scp_3</v>
      </c>
      <c r="B192" s="141" t="s">
        <v>26</v>
      </c>
      <c r="C192" s="137" t="s">
        <v>26</v>
      </c>
      <c r="D192" s="226" t="s">
        <v>40</v>
      </c>
      <c r="E192" s="229" t="s">
        <v>379</v>
      </c>
      <c r="F192" s="229"/>
      <c r="G192" s="229" t="s">
        <v>387</v>
      </c>
      <c r="H192" s="226" t="str">
        <f>VLOOKUP(A192,'2. Status Detalhe Campos FY24'!$A$7:$G$732,7,0)</f>
        <v>2.2 Em especificação</v>
      </c>
      <c r="I192" s="275">
        <v>45603</v>
      </c>
      <c r="J192" s="313">
        <v>45631</v>
      </c>
      <c r="K192" s="313">
        <v>45631</v>
      </c>
      <c r="L192" s="280">
        <f t="array" ref="L192">MIN(IF(W192:CI192&gt;0,$W$16:$CI$16))</f>
        <v>45643</v>
      </c>
      <c r="M192" s="281">
        <f t="array" ref="M192">MAX(IF(W192:CI192&gt;0,$W$16:$CI$16))</f>
        <v>45643</v>
      </c>
      <c r="N192" s="281"/>
      <c r="O192" s="335">
        <f>VLOOKUP(H192,Auxiliar!$B$16:$E$24,4,0)</f>
        <v>0</v>
      </c>
      <c r="P192" s="335">
        <f ca="1">IF(TODAY()&lt;=L192,0,MIN((TODAY()-L192)/(M192-L192+1),100%))</f>
        <v>1</v>
      </c>
      <c r="Q192" s="238">
        <f t="shared" ca="1" si="46"/>
        <v>-1</v>
      </c>
      <c r="R192" s="332"/>
      <c r="S192" s="270"/>
      <c r="T192" s="260">
        <v>4.0999999999999996</v>
      </c>
      <c r="U192" s="260">
        <f>ROUND(T192/8,1)</f>
        <v>0.5</v>
      </c>
      <c r="V192" s="260">
        <f>SUM(W192:CI192)-U192</f>
        <v>0</v>
      </c>
      <c r="W192" s="271"/>
      <c r="X192" s="271"/>
      <c r="Y192" s="271"/>
      <c r="Z192" s="287"/>
      <c r="AA192" s="271"/>
      <c r="AB192" s="279"/>
      <c r="AC192" s="271"/>
      <c r="AD192" s="272"/>
      <c r="AE192" s="271"/>
      <c r="AF192" s="271"/>
      <c r="AG192" s="271"/>
      <c r="AH192" s="279"/>
      <c r="AI192" s="271"/>
      <c r="AJ192" s="271"/>
      <c r="AK192" s="271"/>
      <c r="AL192" s="271"/>
      <c r="AM192" s="271"/>
      <c r="AN192" s="278"/>
      <c r="AO192" s="271"/>
      <c r="AP192" s="271"/>
      <c r="AQ192" s="271"/>
      <c r="AR192" s="271"/>
      <c r="AS192" s="271"/>
      <c r="AT192" s="271"/>
      <c r="AU192" s="279"/>
      <c r="AV192" s="271"/>
      <c r="AW192" s="271"/>
      <c r="AX192" s="271"/>
      <c r="AY192" s="271"/>
      <c r="AZ192" s="271"/>
      <c r="BA192" s="271"/>
      <c r="BB192" s="259"/>
      <c r="BC192" s="271"/>
      <c r="BD192" s="271"/>
      <c r="BE192" s="271"/>
      <c r="BF192" s="271"/>
      <c r="BG192" s="271"/>
      <c r="BH192" s="271"/>
      <c r="BI192" s="271"/>
      <c r="BJ192" s="271">
        <v>0.5</v>
      </c>
      <c r="BK192" s="271"/>
      <c r="BL192" s="271"/>
      <c r="BM192" s="271"/>
      <c r="BN192" s="271"/>
      <c r="BO192" s="272"/>
      <c r="BP192" s="272"/>
      <c r="BQ192" s="272"/>
      <c r="BR192" s="272"/>
      <c r="BS192" s="272"/>
      <c r="BT192" s="272"/>
      <c r="BU192" s="272"/>
      <c r="BV192" s="271"/>
      <c r="BW192" s="271"/>
      <c r="BX192" s="271"/>
      <c r="BY192" s="271"/>
      <c r="BZ192" s="271"/>
      <c r="CA192" s="271"/>
      <c r="CB192" s="271"/>
      <c r="CC192" s="271"/>
      <c r="CD192" s="271"/>
      <c r="CE192" s="271"/>
      <c r="CF192" s="271"/>
      <c r="CG192" s="271"/>
      <c r="CH192" s="271"/>
      <c r="CI192" s="271"/>
    </row>
    <row r="193" spans="1:87" ht="15" customHeight="1" collapsed="1">
      <c r="A193" s="264"/>
      <c r="B193" s="141" t="s">
        <v>26</v>
      </c>
      <c r="C193" s="137" t="s">
        <v>310</v>
      </c>
      <c r="D193" s="133"/>
      <c r="E193" s="230" t="s">
        <v>325</v>
      </c>
      <c r="F193" s="230" t="s">
        <v>1911</v>
      </c>
      <c r="G193" s="231">
        <f>COUNTA(G194:G197)</f>
        <v>4</v>
      </c>
      <c r="H193" s="285" t="s">
        <v>1921</v>
      </c>
      <c r="I193" s="266" t="s">
        <v>38</v>
      </c>
      <c r="J193" s="302">
        <f>MIN(J194:J197)</f>
        <v>45638</v>
      </c>
      <c r="K193" s="266"/>
      <c r="L193" s="267">
        <f>MIN(L194:L197)</f>
        <v>45638</v>
      </c>
      <c r="M193" s="268">
        <f>MAX(M194:M197)</f>
        <v>45646</v>
      </c>
      <c r="N193" s="312">
        <f t="array" ref="N193">MAX(IF(W193:CI193&gt;0,$W$16:$CI$16))</f>
        <v>45646</v>
      </c>
      <c r="O193" s="311">
        <f>SUMPRODUCT(O194:O197,U194:U197)/SUM(U194:U197)</f>
        <v>0</v>
      </c>
      <c r="P193" s="311">
        <f ca="1">SUMPRODUCT(P194:P197,U194:U197)/SUM(U194:U197)</f>
        <v>1</v>
      </c>
      <c r="Q193" s="238">
        <f t="shared" ca="1" si="46"/>
        <v>-1</v>
      </c>
      <c r="R193" s="329" t="s">
        <v>1949</v>
      </c>
      <c r="S193" s="270"/>
      <c r="T193" s="260"/>
      <c r="U193" s="260"/>
      <c r="V193" s="260"/>
      <c r="W193" s="271"/>
      <c r="X193" s="271"/>
      <c r="Y193" s="271"/>
      <c r="Z193" s="271"/>
      <c r="AA193" s="271"/>
      <c r="AB193" s="271"/>
      <c r="AC193" s="271"/>
      <c r="AD193" s="272"/>
      <c r="AE193" s="271"/>
      <c r="AF193" s="271"/>
      <c r="AG193" s="271"/>
      <c r="AH193" s="271"/>
      <c r="AI193" s="271"/>
      <c r="AJ193" s="271"/>
      <c r="AK193" s="271"/>
      <c r="AL193" s="271"/>
      <c r="AM193" s="271"/>
      <c r="AN193" s="271"/>
      <c r="AO193" s="271"/>
      <c r="AP193" s="271"/>
      <c r="AQ193" s="271"/>
      <c r="AR193" s="271"/>
      <c r="AS193" s="271"/>
      <c r="AT193" s="271"/>
      <c r="AU193" s="271"/>
      <c r="AV193" s="271"/>
      <c r="AW193" s="273"/>
      <c r="AX193" s="271"/>
      <c r="AY193" s="271"/>
      <c r="AZ193" s="271"/>
      <c r="BA193" s="271"/>
      <c r="BB193" s="271"/>
      <c r="BC193" s="271"/>
      <c r="BD193" s="271"/>
      <c r="BE193" s="271"/>
      <c r="BF193" s="271"/>
      <c r="BG193" s="273"/>
      <c r="BH193" s="271"/>
      <c r="BI193" s="271"/>
      <c r="BJ193" s="271"/>
      <c r="BK193" s="271"/>
      <c r="BL193" s="271"/>
      <c r="BM193" s="271" t="s">
        <v>443</v>
      </c>
      <c r="BN193" s="271"/>
      <c r="BO193" s="272"/>
      <c r="BP193" s="272"/>
      <c r="BQ193" s="272"/>
      <c r="BR193" s="272"/>
      <c r="BS193" s="272"/>
      <c r="BT193" s="272"/>
      <c r="BU193" s="272"/>
      <c r="BV193" s="271"/>
      <c r="BW193" s="271"/>
      <c r="BX193" s="271"/>
      <c r="BY193" s="271"/>
      <c r="BZ193" s="271"/>
      <c r="CA193" s="271"/>
      <c r="CB193" s="271"/>
      <c r="CC193" s="271"/>
      <c r="CD193" s="271"/>
      <c r="CE193" s="271"/>
      <c r="CF193" s="271"/>
      <c r="CG193" s="271"/>
      <c r="CH193" s="271"/>
      <c r="CI193" s="271"/>
    </row>
    <row r="194" spans="1:87" ht="16.2" outlineLevel="1">
      <c r="A194" s="264" t="str">
        <f>E194&amp;G194</f>
        <v>modesg_out_empr_info_nfinflg_rsc_fsc_agd</v>
      </c>
      <c r="B194" s="141" t="s">
        <v>26</v>
      </c>
      <c r="C194" s="137" t="s">
        <v>310</v>
      </c>
      <c r="D194" s="226" t="s">
        <v>40</v>
      </c>
      <c r="E194" s="227" t="s">
        <v>325</v>
      </c>
      <c r="F194" s="227"/>
      <c r="G194" s="226" t="s">
        <v>282</v>
      </c>
      <c r="H194" s="226" t="str">
        <f>VLOOKUP(A194,'2. Status Detalhe Campos FY24'!$A$7:$G$732,7,0)</f>
        <v xml:space="preserve">6. Em implementação </v>
      </c>
      <c r="I194" s="266" t="s">
        <v>38</v>
      </c>
      <c r="J194" s="275">
        <v>45638</v>
      </c>
      <c r="K194" s="275">
        <v>45639</v>
      </c>
      <c r="L194" s="280">
        <f t="array" ref="L194">MIN(IF(W194:CI194&gt;0,$W$16:$CI$16))</f>
        <v>45643</v>
      </c>
      <c r="M194" s="281">
        <f t="array" ref="M194">MAX(IF(W194:CI194&gt;0,$W$16:$CI$16))</f>
        <v>45644</v>
      </c>
      <c r="N194" s="281"/>
      <c r="O194" s="239">
        <f>VLOOKUP(H194,Auxiliar!$B$16:$E$24,4,0)</f>
        <v>0</v>
      </c>
      <c r="P194" s="239">
        <f ca="1">IF(TODAY()&lt;=L194,0,MIN((TODAY()-L194)/(M194-L194+1),100%))</f>
        <v>1</v>
      </c>
      <c r="Q194" s="238">
        <f t="shared" ca="1" si="46"/>
        <v>-1</v>
      </c>
      <c r="R194" s="331" t="s">
        <v>38</v>
      </c>
      <c r="S194" s="270"/>
      <c r="T194" s="260">
        <v>16.100000000000001</v>
      </c>
      <c r="U194" s="260">
        <f>ROUND(T194/8,1)</f>
        <v>2</v>
      </c>
      <c r="V194" s="260">
        <f>SUM(W194:CI194)-U194</f>
        <v>0</v>
      </c>
      <c r="W194" s="271"/>
      <c r="X194" s="271"/>
      <c r="Y194" s="271"/>
      <c r="Z194" s="271"/>
      <c r="AA194" s="271"/>
      <c r="AB194" s="271"/>
      <c r="AC194" s="271"/>
      <c r="AD194" s="272"/>
      <c r="AE194" s="271"/>
      <c r="AF194" s="271"/>
      <c r="AG194" s="271"/>
      <c r="AH194" s="271"/>
      <c r="AI194" s="271"/>
      <c r="AJ194" s="271"/>
      <c r="AK194" s="271"/>
      <c r="AL194" s="271"/>
      <c r="AM194" s="271"/>
      <c r="AN194" s="271"/>
      <c r="AO194" s="271"/>
      <c r="AP194" s="271"/>
      <c r="AQ194" s="271"/>
      <c r="AR194" s="271"/>
      <c r="AS194" s="271"/>
      <c r="AT194" s="271"/>
      <c r="AU194" s="271"/>
      <c r="AV194" s="271"/>
      <c r="AW194" s="273"/>
      <c r="AX194" s="271"/>
      <c r="AY194" s="271"/>
      <c r="AZ194" s="271"/>
      <c r="BA194" s="271"/>
      <c r="BB194" s="271"/>
      <c r="BC194" s="271"/>
      <c r="BD194" s="271"/>
      <c r="BE194" s="271"/>
      <c r="BF194" s="271"/>
      <c r="BG194" s="273"/>
      <c r="BH194" s="259"/>
      <c r="BI194" s="271"/>
      <c r="BJ194" s="271">
        <v>1</v>
      </c>
      <c r="BK194" s="271">
        <v>1</v>
      </c>
      <c r="BL194" s="271"/>
      <c r="BM194" s="271"/>
      <c r="BN194" s="271"/>
      <c r="BO194" s="272"/>
      <c r="BP194" s="272"/>
      <c r="BQ194" s="272"/>
      <c r="BR194" s="272"/>
      <c r="BS194" s="272"/>
      <c r="BT194" s="272"/>
      <c r="BU194" s="272"/>
      <c r="BV194" s="271"/>
      <c r="BW194" s="271"/>
      <c r="BX194" s="271"/>
      <c r="BY194" s="271"/>
      <c r="BZ194" s="271"/>
      <c r="CA194" s="271"/>
      <c r="CB194" s="271"/>
      <c r="CC194" s="271"/>
      <c r="CD194" s="271"/>
      <c r="CE194" s="271"/>
      <c r="CF194" s="271"/>
      <c r="CG194" s="271"/>
      <c r="CH194" s="271"/>
      <c r="CI194" s="271"/>
    </row>
    <row r="195" spans="1:87" ht="16.2" outlineLevel="1">
      <c r="A195" s="264" t="str">
        <f>E195&amp;G195</f>
        <v>modesg_out_empr_info_nfinflg_rsc_fsc_crnc</v>
      </c>
      <c r="B195" s="141" t="s">
        <v>26</v>
      </c>
      <c r="C195" s="137" t="s">
        <v>310</v>
      </c>
      <c r="D195" s="226" t="s">
        <v>40</v>
      </c>
      <c r="E195" s="227" t="s">
        <v>325</v>
      </c>
      <c r="F195" s="227"/>
      <c r="G195" s="226" t="s">
        <v>283</v>
      </c>
      <c r="H195" s="226" t="str">
        <f>VLOOKUP(A195,'2. Status Detalhe Campos FY24'!$A$7:$G$732,7,0)</f>
        <v xml:space="preserve">6. Em implementação </v>
      </c>
      <c r="I195" s="266" t="s">
        <v>38</v>
      </c>
      <c r="J195" s="275">
        <v>45638</v>
      </c>
      <c r="K195" s="275">
        <v>45639</v>
      </c>
      <c r="L195" s="280">
        <f t="array" ref="L195">MIN(IF(W195:CI195&gt;0,$W$16:$CI$16))</f>
        <v>45645</v>
      </c>
      <c r="M195" s="281">
        <f t="array" ref="M195">MAX(IF(W195:CI195&gt;0,$W$16:$CI$16))</f>
        <v>45646</v>
      </c>
      <c r="N195" s="281"/>
      <c r="O195" s="239">
        <f>VLOOKUP(H195,Auxiliar!$B$16:$E$24,4,0)</f>
        <v>0</v>
      </c>
      <c r="P195" s="239">
        <f ca="1">IF(TODAY()&lt;=L195,0,MIN((TODAY()-L195)/(M195-L195+1),100%))</f>
        <v>1</v>
      </c>
      <c r="Q195" s="238">
        <f t="shared" ca="1" si="46"/>
        <v>-1</v>
      </c>
      <c r="R195" s="331" t="s">
        <v>38</v>
      </c>
      <c r="S195" s="270"/>
      <c r="T195" s="260">
        <v>16.100000000000001</v>
      </c>
      <c r="U195" s="260">
        <f>ROUND(T195/8,1)</f>
        <v>2</v>
      </c>
      <c r="V195" s="260">
        <f>SUM(W195:CI195)-U195</f>
        <v>0</v>
      </c>
      <c r="W195" s="271"/>
      <c r="X195" s="271"/>
      <c r="Y195" s="271"/>
      <c r="Z195" s="271"/>
      <c r="AA195" s="271"/>
      <c r="AB195" s="271"/>
      <c r="AC195" s="271"/>
      <c r="AD195" s="272"/>
      <c r="AE195" s="271"/>
      <c r="AF195" s="271"/>
      <c r="AG195" s="271"/>
      <c r="AH195" s="271"/>
      <c r="AI195" s="271"/>
      <c r="AJ195" s="271"/>
      <c r="AK195" s="271"/>
      <c r="AL195" s="271"/>
      <c r="AM195" s="271"/>
      <c r="AN195" s="271"/>
      <c r="AO195" s="271"/>
      <c r="AP195" s="271"/>
      <c r="AQ195" s="271"/>
      <c r="AR195" s="271"/>
      <c r="AS195" s="271"/>
      <c r="AT195" s="271"/>
      <c r="AU195" s="271"/>
      <c r="AV195" s="271"/>
      <c r="AW195" s="273"/>
      <c r="AX195" s="271"/>
      <c r="AY195" s="271"/>
      <c r="AZ195" s="271"/>
      <c r="BA195" s="271"/>
      <c r="BB195" s="271"/>
      <c r="BC195" s="271"/>
      <c r="BD195" s="271"/>
      <c r="BE195" s="271"/>
      <c r="BF195" s="271"/>
      <c r="BG195" s="273"/>
      <c r="BH195" s="259"/>
      <c r="BI195" s="271"/>
      <c r="BJ195" s="271"/>
      <c r="BK195" s="271"/>
      <c r="BL195" s="271">
        <v>1</v>
      </c>
      <c r="BM195" s="271">
        <v>1</v>
      </c>
      <c r="BN195" s="271"/>
      <c r="BO195" s="272"/>
      <c r="BP195" s="272"/>
      <c r="BQ195" s="272"/>
      <c r="BR195" s="272"/>
      <c r="BS195" s="272"/>
      <c r="BT195" s="272"/>
      <c r="BU195" s="272"/>
      <c r="BV195" s="271"/>
      <c r="BW195" s="271"/>
      <c r="BX195" s="271"/>
      <c r="BY195" s="271"/>
      <c r="BZ195" s="271"/>
      <c r="CA195" s="271"/>
      <c r="CB195" s="271"/>
      <c r="CC195" s="271"/>
      <c r="CD195" s="271"/>
      <c r="CE195" s="271"/>
      <c r="CF195" s="271"/>
      <c r="CG195" s="271"/>
      <c r="CH195" s="271"/>
      <c r="CI195" s="271"/>
    </row>
    <row r="196" spans="1:87" ht="16.2" outlineLevel="1">
      <c r="A196" s="264" t="str">
        <f>E196&amp;G196</f>
        <v>modesg_out_empr_info_nfinorigem_flg_rsc_fsc_agd</v>
      </c>
      <c r="B196" s="141" t="s">
        <v>26</v>
      </c>
      <c r="C196" s="137" t="s">
        <v>310</v>
      </c>
      <c r="D196" s="226" t="s">
        <v>40</v>
      </c>
      <c r="E196" s="227" t="s">
        <v>325</v>
      </c>
      <c r="F196" s="227"/>
      <c r="G196" s="226" t="s">
        <v>317</v>
      </c>
      <c r="H196" s="226" t="str">
        <f>VLOOKUP(A196,'2. Status Detalhe Campos FY24'!$A$7:$G$732,7,0)</f>
        <v xml:space="preserve">6. Em implementação </v>
      </c>
      <c r="I196" s="266" t="s">
        <v>38</v>
      </c>
      <c r="J196" s="275">
        <v>45638</v>
      </c>
      <c r="K196" s="275">
        <v>45639</v>
      </c>
      <c r="L196" s="280">
        <f t="array" ref="L196">MIN(IF(W196:CI196&gt;0,$W$16:$CI$16))</f>
        <v>45638</v>
      </c>
      <c r="M196" s="281">
        <f t="array" ref="M196">MAX(IF(W196:CI196&gt;0,$W$16:$CI$16))</f>
        <v>45638</v>
      </c>
      <c r="N196" s="281"/>
      <c r="O196" s="239">
        <f>VLOOKUP(H196,Auxiliar!$B$16:$E$24,4,0)</f>
        <v>0</v>
      </c>
      <c r="P196" s="239">
        <f ca="1">IF(TODAY()&lt;=L196,0,MIN((TODAY()-L196)/(M196-L196+1),100%))</f>
        <v>1</v>
      </c>
      <c r="Q196" s="238">
        <f t="shared" ca="1" si="46"/>
        <v>-1</v>
      </c>
      <c r="R196" s="331" t="s">
        <v>38</v>
      </c>
      <c r="S196" s="270"/>
      <c r="T196" s="260">
        <v>4.0999999999999996</v>
      </c>
      <c r="U196" s="260">
        <f>ROUND(T196/8,1)</f>
        <v>0.5</v>
      </c>
      <c r="V196" s="260">
        <f>SUM(W196:CI196)-U196</f>
        <v>0</v>
      </c>
      <c r="W196" s="271"/>
      <c r="X196" s="271"/>
      <c r="Y196" s="271"/>
      <c r="Z196" s="271"/>
      <c r="AA196" s="271"/>
      <c r="AB196" s="271"/>
      <c r="AC196" s="271"/>
      <c r="AD196" s="272"/>
      <c r="AE196" s="271"/>
      <c r="AF196" s="271"/>
      <c r="AG196" s="271"/>
      <c r="AH196" s="271"/>
      <c r="AI196" s="271"/>
      <c r="AJ196" s="271"/>
      <c r="AK196" s="271"/>
      <c r="AL196" s="271"/>
      <c r="AM196" s="271"/>
      <c r="AN196" s="271"/>
      <c r="AO196" s="271"/>
      <c r="AP196" s="271"/>
      <c r="AQ196" s="271"/>
      <c r="AR196" s="271"/>
      <c r="AS196" s="271"/>
      <c r="AT196" s="271"/>
      <c r="AU196" s="271"/>
      <c r="AV196" s="271"/>
      <c r="AW196" s="273"/>
      <c r="AX196" s="271"/>
      <c r="AY196" s="271"/>
      <c r="AZ196" s="271"/>
      <c r="BA196" s="271"/>
      <c r="BB196" s="271"/>
      <c r="BC196" s="271"/>
      <c r="BD196" s="271"/>
      <c r="BE196" s="271"/>
      <c r="BF196" s="271"/>
      <c r="BG196" s="273">
        <v>0.5</v>
      </c>
      <c r="BH196" s="259"/>
      <c r="BI196" s="271"/>
      <c r="BJ196" s="271"/>
      <c r="BK196" s="271"/>
      <c r="BL196" s="271"/>
      <c r="BM196" s="271"/>
      <c r="BN196" s="271"/>
      <c r="BO196" s="272"/>
      <c r="BP196" s="272"/>
      <c r="BQ196" s="272"/>
      <c r="BR196" s="272"/>
      <c r="BS196" s="272"/>
      <c r="BT196" s="272"/>
      <c r="BU196" s="272"/>
      <c r="BV196" s="271"/>
      <c r="BW196" s="271"/>
      <c r="BX196" s="271"/>
      <c r="BY196" s="271"/>
      <c r="BZ196" s="271"/>
      <c r="CA196" s="271"/>
      <c r="CB196" s="271"/>
      <c r="CC196" s="271"/>
      <c r="CD196" s="271"/>
      <c r="CE196" s="271"/>
      <c r="CF196" s="271"/>
      <c r="CG196" s="271"/>
      <c r="CH196" s="271"/>
      <c r="CI196" s="271"/>
    </row>
    <row r="197" spans="1:87" ht="16.2" outlineLevel="1">
      <c r="A197" s="264" t="str">
        <f>E197&amp;G197</f>
        <v>modesg_out_empr_info_nfinorigem_flg_rsc_fsc_crnc</v>
      </c>
      <c r="B197" s="141" t="s">
        <v>26</v>
      </c>
      <c r="C197" s="137" t="s">
        <v>310</v>
      </c>
      <c r="D197" s="226" t="s">
        <v>40</v>
      </c>
      <c r="E197" s="227" t="s">
        <v>325</v>
      </c>
      <c r="F197" s="227"/>
      <c r="G197" s="226" t="s">
        <v>318</v>
      </c>
      <c r="H197" s="226" t="str">
        <f>VLOOKUP(A197,'2. Status Detalhe Campos FY24'!$A$7:$G$732,7,0)</f>
        <v xml:space="preserve">6. Em implementação </v>
      </c>
      <c r="I197" s="266" t="s">
        <v>38</v>
      </c>
      <c r="J197" s="275">
        <v>45638</v>
      </c>
      <c r="K197" s="275">
        <v>45639</v>
      </c>
      <c r="L197" s="280">
        <f t="array" ref="L197">MIN(IF(W197:CI197&gt;0,$W$16:$CI$16))</f>
        <v>45638</v>
      </c>
      <c r="M197" s="281">
        <f t="array" ref="M197">MAX(IF(W197:CI197&gt;0,$W$16:$CI$16))</f>
        <v>45638</v>
      </c>
      <c r="N197" s="281"/>
      <c r="O197" s="239">
        <f>VLOOKUP(H197,Auxiliar!$B$16:$E$24,4,0)</f>
        <v>0</v>
      </c>
      <c r="P197" s="239">
        <f ca="1">IF(TODAY()&lt;=L197,0,MIN((TODAY()-L197)/(M197-L197+1),100%))</f>
        <v>1</v>
      </c>
      <c r="Q197" s="238">
        <f t="shared" ca="1" si="46"/>
        <v>-1</v>
      </c>
      <c r="R197" s="331" t="s">
        <v>38</v>
      </c>
      <c r="S197" s="270"/>
      <c r="T197" s="260">
        <v>4.0999999999999996</v>
      </c>
      <c r="U197" s="260">
        <f>ROUND(T197/8,1)</f>
        <v>0.5</v>
      </c>
      <c r="V197" s="260">
        <f>SUM(W197:CI197)-U197</f>
        <v>0</v>
      </c>
      <c r="W197" s="271"/>
      <c r="X197" s="271"/>
      <c r="Y197" s="271"/>
      <c r="Z197" s="271"/>
      <c r="AA197" s="271"/>
      <c r="AB197" s="271"/>
      <c r="AC197" s="271"/>
      <c r="AD197" s="272"/>
      <c r="AE197" s="271"/>
      <c r="AF197" s="271"/>
      <c r="AG197" s="271"/>
      <c r="AH197" s="271"/>
      <c r="AI197" s="271"/>
      <c r="AJ197" s="271"/>
      <c r="AK197" s="271"/>
      <c r="AL197" s="271"/>
      <c r="AM197" s="271"/>
      <c r="AN197" s="271"/>
      <c r="AO197" s="271"/>
      <c r="AP197" s="271"/>
      <c r="AQ197" s="271"/>
      <c r="AR197" s="271"/>
      <c r="AS197" s="271"/>
      <c r="AT197" s="271"/>
      <c r="AU197" s="271"/>
      <c r="AV197" s="271"/>
      <c r="AW197" s="273"/>
      <c r="AX197" s="271"/>
      <c r="AY197" s="271"/>
      <c r="AZ197" s="271"/>
      <c r="BA197" s="271"/>
      <c r="BB197" s="271"/>
      <c r="BC197" s="271"/>
      <c r="BD197" s="271"/>
      <c r="BE197" s="271"/>
      <c r="BF197" s="271"/>
      <c r="BG197" s="273">
        <v>0.5</v>
      </c>
      <c r="BH197" s="259"/>
      <c r="BI197" s="271"/>
      <c r="BJ197" s="271"/>
      <c r="BK197" s="271"/>
      <c r="BL197" s="271"/>
      <c r="BM197" s="271"/>
      <c r="BN197" s="271"/>
      <c r="BO197" s="272"/>
      <c r="BP197" s="272"/>
      <c r="BQ197" s="272"/>
      <c r="BR197" s="272"/>
      <c r="BS197" s="272"/>
      <c r="BT197" s="272"/>
      <c r="BU197" s="272"/>
      <c r="BV197" s="271"/>
      <c r="BW197" s="271"/>
      <c r="BX197" s="271"/>
      <c r="BY197" s="271"/>
      <c r="BZ197" s="271"/>
      <c r="CA197" s="271"/>
      <c r="CB197" s="271"/>
      <c r="CC197" s="271"/>
      <c r="CD197" s="271"/>
      <c r="CE197" s="271"/>
      <c r="CF197" s="271"/>
      <c r="CG197" s="271"/>
      <c r="CH197" s="271"/>
      <c r="CI197" s="271"/>
    </row>
    <row r="198" spans="1:87" ht="15" customHeight="1" collapsed="1">
      <c r="A198" s="264"/>
      <c r="B198" s="141" t="s">
        <v>26</v>
      </c>
      <c r="C198" s="137" t="s">
        <v>26</v>
      </c>
      <c r="D198" s="133"/>
      <c r="E198" s="232" t="s">
        <v>368</v>
      </c>
      <c r="F198" s="230" t="s">
        <v>1926</v>
      </c>
      <c r="G198" s="231">
        <f>COUNTA(G199:G204)</f>
        <v>6</v>
      </c>
      <c r="H198" s="285" t="s">
        <v>1921</v>
      </c>
      <c r="I198" s="294">
        <f>MIN(I199:I204)</f>
        <v>45603</v>
      </c>
      <c r="J198" s="267">
        <f>MIN(J199:J204)</f>
        <v>45631</v>
      </c>
      <c r="K198" s="267">
        <f>MIN(K199:K204)</f>
        <v>45631</v>
      </c>
      <c r="L198" s="268">
        <f>MIN(L199:L204)</f>
        <v>45649</v>
      </c>
      <c r="M198" s="268">
        <f>MAX(M199:M204)</f>
        <v>45649</v>
      </c>
      <c r="N198" s="312">
        <f t="array" ref="N198">MAX(IF(W198:CI198&gt;0,$W$16:$CI$16))</f>
        <v>45667</v>
      </c>
      <c r="O198" s="311">
        <f>SUMPRODUCT(O199:O204,U199:U204)/SUM(U199:U204)</f>
        <v>1</v>
      </c>
      <c r="P198" s="311">
        <f ca="1">SUMPRODUCT(P199:P204,U199:U204)/SUM(U199:U204)</f>
        <v>1</v>
      </c>
      <c r="Q198" s="238">
        <f t="shared" ref="Q198:Q204" ca="1" si="47">O198-P198</f>
        <v>0</v>
      </c>
      <c r="R198" s="329" t="s">
        <v>1955</v>
      </c>
      <c r="S198" s="270"/>
      <c r="T198" s="260"/>
      <c r="U198" s="260"/>
      <c r="V198" s="260"/>
      <c r="W198" s="271"/>
      <c r="X198" s="271"/>
      <c r="Y198" s="271"/>
      <c r="Z198" s="271"/>
      <c r="AA198" s="271"/>
      <c r="AB198" s="271"/>
      <c r="AC198" s="278"/>
      <c r="AD198" s="272"/>
      <c r="AE198" s="271"/>
      <c r="AF198" s="271"/>
      <c r="AG198" s="271"/>
      <c r="AH198" s="279"/>
      <c r="AI198" s="271"/>
      <c r="AJ198" s="271"/>
      <c r="AK198" s="271"/>
      <c r="AL198" s="271"/>
      <c r="AM198" s="271"/>
      <c r="AN198" s="278"/>
      <c r="AO198" s="271"/>
      <c r="AP198" s="271"/>
      <c r="AQ198" s="271"/>
      <c r="AR198" s="271"/>
      <c r="AS198" s="271"/>
      <c r="AT198" s="271"/>
      <c r="AU198" s="279"/>
      <c r="AV198" s="271"/>
      <c r="AW198" s="271"/>
      <c r="AX198" s="271"/>
      <c r="AY198" s="271"/>
      <c r="AZ198" s="271"/>
      <c r="BA198" s="271"/>
      <c r="BB198" s="259"/>
      <c r="BC198" s="271"/>
      <c r="BD198" s="271"/>
      <c r="BE198" s="271"/>
      <c r="BF198" s="271"/>
      <c r="BG198" s="271"/>
      <c r="BH198" s="271"/>
      <c r="BI198" s="271"/>
      <c r="BJ198" s="271"/>
      <c r="BK198" s="271"/>
      <c r="BL198" s="271"/>
      <c r="BM198" s="271"/>
      <c r="BO198" s="272"/>
      <c r="BP198" s="272"/>
      <c r="BQ198" s="272"/>
      <c r="BR198" s="272"/>
      <c r="BS198" s="272"/>
      <c r="BT198" s="272"/>
      <c r="BU198" s="272"/>
      <c r="BV198" s="271"/>
      <c r="BW198" s="271"/>
      <c r="BX198" s="271"/>
      <c r="BY198" s="271"/>
      <c r="BZ198" s="271"/>
      <c r="CA198" s="271"/>
      <c r="CB198" s="274" t="s">
        <v>443</v>
      </c>
      <c r="CC198" s="271"/>
      <c r="CD198" s="271"/>
      <c r="CE198" s="271"/>
      <c r="CF198" s="271"/>
      <c r="CG198" s="271"/>
      <c r="CH198" s="271"/>
      <c r="CI198" s="271"/>
    </row>
    <row r="199" spans="1:87" ht="16.2" outlineLevel="1">
      <c r="A199" s="264" t="str">
        <f t="shared" ref="A199:A204" si="48">E199&amp;G199</f>
        <v>lt004_protectionemssns_scp1_prtctn</v>
      </c>
      <c r="B199" s="141" t="s">
        <v>26</v>
      </c>
      <c r="C199" s="137" t="s">
        <v>26</v>
      </c>
      <c r="D199" s="226" t="s">
        <v>40</v>
      </c>
      <c r="E199" s="229" t="s">
        <v>368</v>
      </c>
      <c r="F199" s="229"/>
      <c r="G199" s="229" t="s">
        <v>373</v>
      </c>
      <c r="H199" s="226" t="str">
        <f>VLOOKUP(A199,'2. Status Detalhe Campos FY24'!$A$7:$G$732,7,0)</f>
        <v>1. Concluído</v>
      </c>
      <c r="I199" s="266">
        <v>45603</v>
      </c>
      <c r="J199" s="313">
        <v>45631</v>
      </c>
      <c r="K199" s="313">
        <v>45631</v>
      </c>
      <c r="L199" s="280">
        <f t="array" ref="L199">MIN(IF(W199:CI199&gt;0,$W$16:$CI$16))</f>
        <v>45649</v>
      </c>
      <c r="M199" s="281">
        <f t="array" ref="M199">MAX(IF(W199:CI199&gt;0,$W$16:$CI$16))</f>
        <v>45649</v>
      </c>
      <c r="N199" s="281"/>
      <c r="O199" s="239">
        <f>VLOOKUP(H199,Auxiliar!$B$16:$E$24,4,0)</f>
        <v>1</v>
      </c>
      <c r="P199" s="239">
        <f t="shared" ref="P199:P204" ca="1" si="49">IF(TODAY()&lt;=L199,0,MIN((TODAY()-L199)/(M199-L199+1),100%))</f>
        <v>1</v>
      </c>
      <c r="Q199" s="238">
        <f t="shared" ca="1" si="47"/>
        <v>0</v>
      </c>
      <c r="R199" s="331" t="s">
        <v>38</v>
      </c>
      <c r="S199" s="270" t="s">
        <v>1864</v>
      </c>
      <c r="T199" s="260">
        <v>4.0999999999999996</v>
      </c>
      <c r="U199" s="260">
        <f t="shared" ref="U199:U204" si="50">ROUND(T199/8,1)</f>
        <v>0.5</v>
      </c>
      <c r="V199" s="260">
        <f t="shared" ref="V199:V204" si="51">SUM(W199:CI199)-U199</f>
        <v>0</v>
      </c>
      <c r="W199" s="271"/>
      <c r="X199" s="271"/>
      <c r="Y199" s="271"/>
      <c r="Z199" s="271"/>
      <c r="AA199" s="271"/>
      <c r="AB199" s="271"/>
      <c r="AC199" s="278"/>
      <c r="AD199" s="272"/>
      <c r="AE199" s="271"/>
      <c r="AF199" s="271"/>
      <c r="AG199" s="271"/>
      <c r="AH199" s="279"/>
      <c r="AI199" s="271"/>
      <c r="AJ199" s="271"/>
      <c r="AK199" s="271"/>
      <c r="AL199" s="271"/>
      <c r="AM199" s="271"/>
      <c r="AN199" s="278"/>
      <c r="AO199" s="271"/>
      <c r="AP199" s="271"/>
      <c r="AQ199" s="271"/>
      <c r="AR199" s="271"/>
      <c r="AS199" s="271"/>
      <c r="AT199" s="271"/>
      <c r="AU199" s="279"/>
      <c r="AV199" s="271"/>
      <c r="AW199" s="271"/>
      <c r="AX199" s="271"/>
      <c r="AY199" s="271"/>
      <c r="AZ199" s="271"/>
      <c r="BA199" s="271"/>
      <c r="BB199" s="259"/>
      <c r="BC199" s="271"/>
      <c r="BD199" s="271"/>
      <c r="BE199" s="271"/>
      <c r="BF199" s="271"/>
      <c r="BG199" s="271"/>
      <c r="BH199" s="271"/>
      <c r="BI199" s="271"/>
      <c r="BJ199" s="271"/>
      <c r="BK199" s="271"/>
      <c r="BL199" s="271"/>
      <c r="BM199" s="271"/>
      <c r="BN199" s="271">
        <v>0.5</v>
      </c>
      <c r="BO199" s="272"/>
      <c r="BP199" s="272"/>
      <c r="BQ199" s="272"/>
      <c r="BR199" s="272"/>
      <c r="BS199" s="272"/>
      <c r="BT199" s="272"/>
      <c r="BU199" s="272"/>
      <c r="BV199" s="271"/>
      <c r="BW199" s="271"/>
      <c r="BX199" s="271"/>
      <c r="BY199" s="271"/>
      <c r="BZ199" s="271"/>
      <c r="CA199" s="271"/>
      <c r="CB199" s="271"/>
      <c r="CC199" s="271"/>
      <c r="CD199" s="271"/>
      <c r="CE199" s="271"/>
      <c r="CF199" s="271"/>
      <c r="CG199" s="271"/>
      <c r="CH199" s="271"/>
      <c r="CI199" s="271"/>
    </row>
    <row r="200" spans="1:87" ht="16.2" outlineLevel="1">
      <c r="A200" s="264" t="str">
        <f t="shared" si="48"/>
        <v>lt004_protectionemssns_scp2_prtctn</v>
      </c>
      <c r="B200" s="141" t="s">
        <v>26</v>
      </c>
      <c r="C200" s="137" t="s">
        <v>26</v>
      </c>
      <c r="D200" s="226" t="s">
        <v>40</v>
      </c>
      <c r="E200" s="229" t="s">
        <v>368</v>
      </c>
      <c r="F200" s="229"/>
      <c r="G200" s="229" t="s">
        <v>374</v>
      </c>
      <c r="H200" s="226" t="str">
        <f>VLOOKUP(A200,'2. Status Detalhe Campos FY24'!$A$7:$G$732,7,0)</f>
        <v>1. Concluído</v>
      </c>
      <c r="I200" s="266">
        <v>45603</v>
      </c>
      <c r="J200" s="313">
        <v>45631</v>
      </c>
      <c r="K200" s="313">
        <v>45631</v>
      </c>
      <c r="L200" s="280">
        <f t="array" ref="L200">MIN(IF(W200:CI200&gt;0,$W$16:$CI$16))</f>
        <v>45649</v>
      </c>
      <c r="M200" s="281">
        <f t="array" ref="M200">MAX(IF(W200:CI200&gt;0,$W$16:$CI$16))</f>
        <v>45649</v>
      </c>
      <c r="N200" s="281"/>
      <c r="O200" s="239">
        <f>VLOOKUP(H200,Auxiliar!$B$16:$E$24,4,0)</f>
        <v>1</v>
      </c>
      <c r="P200" s="239">
        <f t="shared" ca="1" si="49"/>
        <v>1</v>
      </c>
      <c r="Q200" s="238">
        <f t="shared" ca="1" si="47"/>
        <v>0</v>
      </c>
      <c r="R200" s="331" t="s">
        <v>38</v>
      </c>
      <c r="S200" s="270" t="s">
        <v>1864</v>
      </c>
      <c r="T200" s="260">
        <v>4.0999999999999996</v>
      </c>
      <c r="U200" s="260">
        <f t="shared" si="50"/>
        <v>0.5</v>
      </c>
      <c r="V200" s="260">
        <f t="shared" si="51"/>
        <v>0</v>
      </c>
      <c r="W200" s="271"/>
      <c r="X200" s="271"/>
      <c r="Y200" s="271"/>
      <c r="Z200" s="271"/>
      <c r="AA200" s="271"/>
      <c r="AB200" s="271"/>
      <c r="AC200" s="278"/>
      <c r="AD200" s="272"/>
      <c r="AE200" s="271"/>
      <c r="AF200" s="271"/>
      <c r="AG200" s="271"/>
      <c r="AH200" s="279"/>
      <c r="AI200" s="271"/>
      <c r="AJ200" s="271"/>
      <c r="AK200" s="271"/>
      <c r="AL200" s="271"/>
      <c r="AM200" s="271"/>
      <c r="AN200" s="278"/>
      <c r="AO200" s="271"/>
      <c r="AP200" s="271"/>
      <c r="AQ200" s="271"/>
      <c r="AR200" s="271"/>
      <c r="AS200" s="271"/>
      <c r="AT200" s="271"/>
      <c r="AU200" s="279"/>
      <c r="AV200" s="271"/>
      <c r="AW200" s="271"/>
      <c r="AX200" s="271"/>
      <c r="AY200" s="271"/>
      <c r="AZ200" s="271"/>
      <c r="BA200" s="271"/>
      <c r="BB200" s="259"/>
      <c r="BC200" s="271"/>
      <c r="BD200" s="271"/>
      <c r="BE200" s="271"/>
      <c r="BF200" s="271"/>
      <c r="BG200" s="271"/>
      <c r="BH200" s="271"/>
      <c r="BI200" s="271"/>
      <c r="BJ200" s="271"/>
      <c r="BK200" s="271"/>
      <c r="BL200" s="271"/>
      <c r="BM200" s="271"/>
      <c r="BN200" s="271">
        <v>0.5</v>
      </c>
      <c r="BO200" s="272"/>
      <c r="BP200" s="272"/>
      <c r="BQ200" s="272"/>
      <c r="BR200" s="272"/>
      <c r="BS200" s="272"/>
      <c r="BT200" s="272"/>
      <c r="BU200" s="272"/>
      <c r="BV200" s="271"/>
      <c r="BW200" s="271"/>
      <c r="BX200" s="271"/>
      <c r="BY200" s="271"/>
      <c r="BZ200" s="271"/>
      <c r="CA200" s="271"/>
      <c r="CB200" s="271"/>
      <c r="CC200" s="271"/>
      <c r="CD200" s="271"/>
      <c r="CE200" s="271"/>
      <c r="CF200" s="271"/>
      <c r="CG200" s="271"/>
      <c r="CH200" s="271"/>
      <c r="CI200" s="271"/>
    </row>
    <row r="201" spans="1:87" ht="16.2" outlineLevel="1">
      <c r="A201" s="264" t="str">
        <f t="shared" si="48"/>
        <v>lt004_protectionemssns_scp3_prtctn</v>
      </c>
      <c r="B201" s="141" t="s">
        <v>26</v>
      </c>
      <c r="C201" s="137" t="s">
        <v>26</v>
      </c>
      <c r="D201" s="226" t="s">
        <v>40</v>
      </c>
      <c r="E201" s="229" t="s">
        <v>368</v>
      </c>
      <c r="F201" s="229"/>
      <c r="G201" s="229" t="s">
        <v>375</v>
      </c>
      <c r="H201" s="226" t="str">
        <f>VLOOKUP(A201,'2. Status Detalhe Campos FY24'!$A$7:$G$732,7,0)</f>
        <v>1. Concluído</v>
      </c>
      <c r="I201" s="266">
        <v>45603</v>
      </c>
      <c r="J201" s="313">
        <v>45631</v>
      </c>
      <c r="K201" s="313">
        <v>45631</v>
      </c>
      <c r="L201" s="280">
        <f t="array" ref="L201">MIN(IF(W201:CI201&gt;0,$W$16:$CI$16))</f>
        <v>45649</v>
      </c>
      <c r="M201" s="281">
        <f t="array" ref="M201">MAX(IF(W201:CI201&gt;0,$W$16:$CI$16))</f>
        <v>45649</v>
      </c>
      <c r="N201" s="281"/>
      <c r="O201" s="239">
        <f>VLOOKUP(H201,Auxiliar!$B$16:$E$24,4,0)</f>
        <v>1</v>
      </c>
      <c r="P201" s="239">
        <f t="shared" ca="1" si="49"/>
        <v>1</v>
      </c>
      <c r="Q201" s="238">
        <f t="shared" ca="1" si="47"/>
        <v>0</v>
      </c>
      <c r="R201" s="331" t="s">
        <v>38</v>
      </c>
      <c r="S201" s="270" t="s">
        <v>1864</v>
      </c>
      <c r="T201" s="260">
        <v>4.0999999999999996</v>
      </c>
      <c r="U201" s="260">
        <f t="shared" si="50"/>
        <v>0.5</v>
      </c>
      <c r="V201" s="260">
        <f t="shared" si="51"/>
        <v>0</v>
      </c>
      <c r="W201" s="271"/>
      <c r="X201" s="271"/>
      <c r="Y201" s="271"/>
      <c r="Z201" s="271"/>
      <c r="AA201" s="271"/>
      <c r="AB201" s="271"/>
      <c r="AC201" s="278"/>
      <c r="AD201" s="272"/>
      <c r="AE201" s="271"/>
      <c r="AF201" s="271"/>
      <c r="AG201" s="271"/>
      <c r="AH201" s="279"/>
      <c r="AI201" s="271"/>
      <c r="AJ201" s="271"/>
      <c r="AK201" s="271"/>
      <c r="AL201" s="271"/>
      <c r="AM201" s="271"/>
      <c r="AN201" s="278"/>
      <c r="AO201" s="271"/>
      <c r="AP201" s="271"/>
      <c r="AQ201" s="271"/>
      <c r="AR201" s="271"/>
      <c r="AS201" s="271"/>
      <c r="AT201" s="271"/>
      <c r="AU201" s="279"/>
      <c r="AV201" s="271"/>
      <c r="AW201" s="271"/>
      <c r="AX201" s="271"/>
      <c r="AY201" s="271"/>
      <c r="AZ201" s="271"/>
      <c r="BA201" s="271"/>
      <c r="BB201" s="259"/>
      <c r="BC201" s="271"/>
      <c r="BD201" s="271"/>
      <c r="BE201" s="271"/>
      <c r="BF201" s="271"/>
      <c r="BG201" s="271"/>
      <c r="BH201" s="271"/>
      <c r="BI201" s="271"/>
      <c r="BJ201" s="271"/>
      <c r="BK201" s="271"/>
      <c r="BL201" s="271"/>
      <c r="BM201" s="271"/>
      <c r="BN201" s="271">
        <v>0.5</v>
      </c>
      <c r="BO201" s="272"/>
      <c r="BP201" s="272"/>
      <c r="BQ201" s="272"/>
      <c r="BR201" s="272"/>
      <c r="BS201" s="272"/>
      <c r="BT201" s="272"/>
      <c r="BU201" s="272"/>
      <c r="BV201" s="271"/>
      <c r="BW201" s="271"/>
      <c r="BX201" s="271"/>
      <c r="BY201" s="271"/>
      <c r="BZ201" s="271"/>
      <c r="CA201" s="271"/>
      <c r="CB201" s="271"/>
      <c r="CC201" s="271"/>
      <c r="CD201" s="271"/>
      <c r="CE201" s="271"/>
      <c r="CF201" s="271"/>
      <c r="CG201" s="271"/>
      <c r="CH201" s="271"/>
      <c r="CI201" s="271"/>
    </row>
    <row r="202" spans="1:87" ht="16.2" outlineLevel="1">
      <c r="A202" s="264" t="str">
        <f t="shared" si="48"/>
        <v>lt004_protectionmthd_usd_prtctn_scp_1</v>
      </c>
      <c r="B202" s="141" t="s">
        <v>26</v>
      </c>
      <c r="C202" s="137" t="s">
        <v>26</v>
      </c>
      <c r="D202" s="226" t="s">
        <v>40</v>
      </c>
      <c r="E202" s="229" t="s">
        <v>368</v>
      </c>
      <c r="F202" s="229"/>
      <c r="G202" s="229" t="s">
        <v>376</v>
      </c>
      <c r="H202" s="226" t="str">
        <f>VLOOKUP(A202,'2. Status Detalhe Campos FY24'!$A$7:$G$732,7,0)</f>
        <v>1. Concluído</v>
      </c>
      <c r="I202" s="266">
        <v>45603</v>
      </c>
      <c r="J202" s="313">
        <v>45631</v>
      </c>
      <c r="K202" s="313">
        <v>45631</v>
      </c>
      <c r="L202" s="280">
        <f t="array" ref="L202">MIN(IF(W202:CI202&gt;0,$W$16:$CI$16))</f>
        <v>45649</v>
      </c>
      <c r="M202" s="281">
        <f t="array" ref="M202">MAX(IF(W202:CI202&gt;0,$W$16:$CI$16))</f>
        <v>45649</v>
      </c>
      <c r="N202" s="281"/>
      <c r="O202" s="239">
        <f>VLOOKUP(H202,Auxiliar!$B$16:$E$24,4,0)</f>
        <v>1</v>
      </c>
      <c r="P202" s="239">
        <f t="shared" ca="1" si="49"/>
        <v>1</v>
      </c>
      <c r="Q202" s="238">
        <f t="shared" ca="1" si="47"/>
        <v>0</v>
      </c>
      <c r="R202" s="331" t="s">
        <v>38</v>
      </c>
      <c r="S202" s="270" t="s">
        <v>1864</v>
      </c>
      <c r="T202" s="260">
        <v>4.0999999999999996</v>
      </c>
      <c r="U202" s="260">
        <f t="shared" si="50"/>
        <v>0.5</v>
      </c>
      <c r="V202" s="260">
        <f t="shared" si="51"/>
        <v>0</v>
      </c>
      <c r="W202" s="271"/>
      <c r="X202" s="271"/>
      <c r="Y202" s="271"/>
      <c r="Z202" s="271"/>
      <c r="AA202" s="271"/>
      <c r="AB202" s="271"/>
      <c r="AC202" s="278"/>
      <c r="AD202" s="272"/>
      <c r="AE202" s="271"/>
      <c r="AF202" s="271"/>
      <c r="AG202" s="271"/>
      <c r="AH202" s="279"/>
      <c r="AI202" s="271"/>
      <c r="AJ202" s="271"/>
      <c r="AK202" s="271"/>
      <c r="AL202" s="271"/>
      <c r="AM202" s="271"/>
      <c r="AN202" s="278"/>
      <c r="AO202" s="271"/>
      <c r="AP202" s="271"/>
      <c r="AQ202" s="271"/>
      <c r="AR202" s="271"/>
      <c r="AS202" s="271"/>
      <c r="AT202" s="271"/>
      <c r="AU202" s="279"/>
      <c r="AV202" s="271"/>
      <c r="AW202" s="271"/>
      <c r="AX202" s="271"/>
      <c r="AY202" s="271"/>
      <c r="AZ202" s="271"/>
      <c r="BA202" s="271"/>
      <c r="BB202" s="259"/>
      <c r="BC202" s="271"/>
      <c r="BD202" s="271"/>
      <c r="BE202" s="271"/>
      <c r="BF202" s="271"/>
      <c r="BG202" s="271"/>
      <c r="BH202" s="271"/>
      <c r="BI202" s="271"/>
      <c r="BJ202" s="271"/>
      <c r="BK202" s="271"/>
      <c r="BL202" s="271"/>
      <c r="BM202" s="271"/>
      <c r="BN202" s="271">
        <v>0.5</v>
      </c>
      <c r="BO202" s="272"/>
      <c r="BP202" s="272"/>
      <c r="BQ202" s="272"/>
      <c r="BR202" s="272"/>
      <c r="BS202" s="272"/>
      <c r="BT202" s="272"/>
      <c r="BU202" s="272"/>
      <c r="BV202" s="271"/>
      <c r="BW202" s="271"/>
      <c r="BX202" s="271"/>
      <c r="BY202" s="271"/>
      <c r="BZ202" s="271"/>
      <c r="CA202" s="271"/>
      <c r="CB202" s="271"/>
      <c r="CC202" s="271"/>
      <c r="CD202" s="271"/>
      <c r="CE202" s="271"/>
      <c r="CF202" s="271"/>
      <c r="CG202" s="271"/>
      <c r="CH202" s="271"/>
      <c r="CI202" s="271"/>
    </row>
    <row r="203" spans="1:87" ht="16.2" outlineLevel="1">
      <c r="A203" s="264" t="str">
        <f t="shared" si="48"/>
        <v>lt004_protectionmthd_usd_prtctn_scp_2</v>
      </c>
      <c r="B203" s="141" t="s">
        <v>26</v>
      </c>
      <c r="C203" s="137" t="s">
        <v>26</v>
      </c>
      <c r="D203" s="226" t="s">
        <v>40</v>
      </c>
      <c r="E203" s="229" t="s">
        <v>368</v>
      </c>
      <c r="F203" s="229"/>
      <c r="G203" s="229" t="s">
        <v>377</v>
      </c>
      <c r="H203" s="226" t="str">
        <f>VLOOKUP(A203,'2. Status Detalhe Campos FY24'!$A$7:$G$732,7,0)</f>
        <v>1. Concluído</v>
      </c>
      <c r="I203" s="266">
        <v>45603</v>
      </c>
      <c r="J203" s="313">
        <v>45631</v>
      </c>
      <c r="K203" s="313">
        <v>45631</v>
      </c>
      <c r="L203" s="280">
        <f t="array" ref="L203">MIN(IF(W203:CI203&gt;0,$W$16:$CI$16))</f>
        <v>45649</v>
      </c>
      <c r="M203" s="281">
        <f t="array" ref="M203">MAX(IF(W203:CI203&gt;0,$W$16:$CI$16))</f>
        <v>45649</v>
      </c>
      <c r="N203" s="281"/>
      <c r="O203" s="239">
        <f>VLOOKUP(H203,Auxiliar!$B$16:$E$24,4,0)</f>
        <v>1</v>
      </c>
      <c r="P203" s="239">
        <f t="shared" ca="1" si="49"/>
        <v>1</v>
      </c>
      <c r="Q203" s="238">
        <f t="shared" ca="1" si="47"/>
        <v>0</v>
      </c>
      <c r="R203" s="331" t="s">
        <v>38</v>
      </c>
      <c r="S203" s="270" t="s">
        <v>1864</v>
      </c>
      <c r="T203" s="260">
        <v>4.0999999999999996</v>
      </c>
      <c r="U203" s="260">
        <f t="shared" si="50"/>
        <v>0.5</v>
      </c>
      <c r="V203" s="260">
        <f t="shared" si="51"/>
        <v>0</v>
      </c>
      <c r="W203" s="271"/>
      <c r="X203" s="271"/>
      <c r="Y203" s="271"/>
      <c r="Z203" s="271"/>
      <c r="AA203" s="271"/>
      <c r="AB203" s="271"/>
      <c r="AC203" s="278"/>
      <c r="AD203" s="272"/>
      <c r="AE203" s="271"/>
      <c r="AF203" s="271"/>
      <c r="AG203" s="271"/>
      <c r="AH203" s="279"/>
      <c r="AI203" s="271"/>
      <c r="AJ203" s="271"/>
      <c r="AK203" s="271"/>
      <c r="AL203" s="271"/>
      <c r="AM203" s="271"/>
      <c r="AN203" s="278"/>
      <c r="AO203" s="271"/>
      <c r="AP203" s="271"/>
      <c r="AQ203" s="271"/>
      <c r="AR203" s="271"/>
      <c r="AS203" s="271"/>
      <c r="AT203" s="271"/>
      <c r="AU203" s="279"/>
      <c r="AV203" s="271"/>
      <c r="AW203" s="271"/>
      <c r="AX203" s="271"/>
      <c r="AY203" s="271"/>
      <c r="AZ203" s="271"/>
      <c r="BA203" s="271"/>
      <c r="BB203" s="259"/>
      <c r="BC203" s="271"/>
      <c r="BD203" s="271"/>
      <c r="BE203" s="271"/>
      <c r="BF203" s="271"/>
      <c r="BG203" s="271"/>
      <c r="BH203" s="271"/>
      <c r="BI203" s="271"/>
      <c r="BJ203" s="271"/>
      <c r="BK203" s="271"/>
      <c r="BL203" s="271"/>
      <c r="BM203" s="271"/>
      <c r="BN203" s="271">
        <v>0.5</v>
      </c>
      <c r="BO203" s="272"/>
      <c r="BP203" s="272"/>
      <c r="BQ203" s="272"/>
      <c r="BR203" s="272"/>
      <c r="BS203" s="272"/>
      <c r="BT203" s="272"/>
      <c r="BU203" s="272"/>
      <c r="BV203" s="271"/>
      <c r="BW203" s="271"/>
      <c r="BX203" s="271"/>
      <c r="BY203" s="271"/>
      <c r="BZ203" s="271"/>
      <c r="CA203" s="271"/>
      <c r="CB203" s="271"/>
      <c r="CC203" s="271"/>
      <c r="CD203" s="271"/>
      <c r="CE203" s="271"/>
      <c r="CF203" s="271"/>
      <c r="CG203" s="271"/>
      <c r="CH203" s="271"/>
      <c r="CI203" s="271"/>
    </row>
    <row r="204" spans="1:87" ht="16.2" outlineLevel="1">
      <c r="A204" s="264" t="str">
        <f t="shared" si="48"/>
        <v>lt004_protectionmthd_usd_prtctn_scp_3</v>
      </c>
      <c r="B204" s="141" t="s">
        <v>26</v>
      </c>
      <c r="C204" s="137" t="s">
        <v>26</v>
      </c>
      <c r="D204" s="226" t="s">
        <v>40</v>
      </c>
      <c r="E204" s="229" t="s">
        <v>368</v>
      </c>
      <c r="F204" s="229"/>
      <c r="G204" s="229" t="s">
        <v>378</v>
      </c>
      <c r="H204" s="226" t="str">
        <f>VLOOKUP(A204,'2. Status Detalhe Campos FY24'!$A$7:$G$732,7,0)</f>
        <v>1. Concluído</v>
      </c>
      <c r="I204" s="266">
        <v>45603</v>
      </c>
      <c r="J204" s="313">
        <v>45631</v>
      </c>
      <c r="K204" s="313">
        <v>45631</v>
      </c>
      <c r="L204" s="280">
        <f t="array" ref="L204">MIN(IF(W204:CI204&gt;0,$W$16:$CI$16))</f>
        <v>45649</v>
      </c>
      <c r="M204" s="281">
        <f t="array" ref="M204">MAX(IF(W204:CI204&gt;0,$W$16:$CI$16))</f>
        <v>45649</v>
      </c>
      <c r="N204" s="281"/>
      <c r="O204" s="239">
        <f>VLOOKUP(H204,Auxiliar!$B$16:$E$24,4,0)</f>
        <v>1</v>
      </c>
      <c r="P204" s="239">
        <f t="shared" ca="1" si="49"/>
        <v>1</v>
      </c>
      <c r="Q204" s="238">
        <f t="shared" ca="1" si="47"/>
        <v>0</v>
      </c>
      <c r="R204" s="331" t="s">
        <v>38</v>
      </c>
      <c r="S204" s="270" t="s">
        <v>1864</v>
      </c>
      <c r="T204" s="260">
        <v>4.0999999999999996</v>
      </c>
      <c r="U204" s="260">
        <f t="shared" si="50"/>
        <v>0.5</v>
      </c>
      <c r="V204" s="260">
        <f t="shared" si="51"/>
        <v>0</v>
      </c>
      <c r="W204" s="271"/>
      <c r="X204" s="271"/>
      <c r="Y204" s="271"/>
      <c r="Z204" s="271"/>
      <c r="AA204" s="271"/>
      <c r="AB204" s="271"/>
      <c r="AC204" s="278"/>
      <c r="AD204" s="272"/>
      <c r="AE204" s="271"/>
      <c r="AF204" s="271"/>
      <c r="AG204" s="271"/>
      <c r="AH204" s="279"/>
      <c r="AI204" s="271"/>
      <c r="AJ204" s="271"/>
      <c r="AK204" s="271"/>
      <c r="AL204" s="271"/>
      <c r="AM204" s="271"/>
      <c r="AN204" s="278"/>
      <c r="AO204" s="271"/>
      <c r="AP204" s="271"/>
      <c r="AQ204" s="271"/>
      <c r="AR204" s="271"/>
      <c r="AS204" s="271"/>
      <c r="AT204" s="271"/>
      <c r="AU204" s="279"/>
      <c r="AV204" s="271"/>
      <c r="AW204" s="271"/>
      <c r="AX204" s="271"/>
      <c r="AY204" s="271"/>
      <c r="AZ204" s="271"/>
      <c r="BA204" s="271"/>
      <c r="BB204" s="259"/>
      <c r="BC204" s="271"/>
      <c r="BD204" s="271"/>
      <c r="BE204" s="271"/>
      <c r="BF204" s="271"/>
      <c r="BG204" s="271"/>
      <c r="BH204" s="271"/>
      <c r="BI204" s="271"/>
      <c r="BJ204" s="271"/>
      <c r="BK204" s="271"/>
      <c r="BL204" s="271"/>
      <c r="BM204" s="271"/>
      <c r="BN204" s="271">
        <v>0.5</v>
      </c>
      <c r="BO204" s="272"/>
      <c r="BP204" s="272"/>
      <c r="BQ204" s="272"/>
      <c r="BR204" s="272"/>
      <c r="BS204" s="272"/>
      <c r="BT204" s="272"/>
      <c r="BU204" s="272"/>
      <c r="BV204" s="271"/>
      <c r="BW204" s="271"/>
      <c r="BX204" s="271"/>
      <c r="BY204" s="271"/>
      <c r="BZ204" s="271"/>
      <c r="CA204" s="271"/>
      <c r="CB204" s="271"/>
      <c r="CC204" s="271"/>
      <c r="CD204" s="271"/>
      <c r="CE204" s="271"/>
      <c r="CF204" s="271"/>
      <c r="CG204" s="271"/>
      <c r="CH204" s="271"/>
      <c r="CI204" s="271"/>
    </row>
    <row r="205" spans="1:87" ht="15" customHeight="1" collapsed="1">
      <c r="A205" s="264"/>
      <c r="B205" s="141" t="s">
        <v>26</v>
      </c>
      <c r="C205" s="137" t="s">
        <v>34</v>
      </c>
      <c r="D205" s="133"/>
      <c r="E205" s="230" t="s">
        <v>37</v>
      </c>
      <c r="F205" s="230" t="s">
        <v>1913</v>
      </c>
      <c r="G205" s="231">
        <f>COUNTA(G206:G217)</f>
        <v>12</v>
      </c>
      <c r="H205" s="344" t="s">
        <v>572</v>
      </c>
      <c r="I205" s="266" t="s">
        <v>38</v>
      </c>
      <c r="J205" s="267">
        <f>MIN(J206:J217)</f>
        <v>45630</v>
      </c>
      <c r="K205" s="267">
        <f>MIN(K206:K217)</f>
        <v>45631</v>
      </c>
      <c r="L205" s="269">
        <f>MIN(L206:L217)</f>
        <v>45646</v>
      </c>
      <c r="M205" s="269">
        <f>MAX(M206:M217)</f>
        <v>45659</v>
      </c>
      <c r="N205" s="312" t="s">
        <v>1868</v>
      </c>
      <c r="O205" s="242" t="e">
        <f>SUMPRODUCT(O206:O217,U206:U217)/SUM(U206:U217)</f>
        <v>#N/A</v>
      </c>
      <c r="P205" s="242">
        <v>0</v>
      </c>
      <c r="Q205" s="238" t="e">
        <f>O205-P205</f>
        <v>#N/A</v>
      </c>
      <c r="R205" s="331" t="s">
        <v>1971</v>
      </c>
      <c r="S205" s="270"/>
      <c r="T205" s="260"/>
      <c r="U205" s="260"/>
      <c r="V205" s="260"/>
      <c r="W205" s="271"/>
      <c r="X205" s="271"/>
      <c r="Y205" s="271"/>
      <c r="Z205" s="271"/>
      <c r="AA205" s="271"/>
      <c r="AB205" s="271"/>
      <c r="AC205" s="271"/>
      <c r="AD205" s="272"/>
      <c r="AE205" s="271"/>
      <c r="AF205" s="271"/>
      <c r="AG205" s="271"/>
      <c r="AH205" s="271"/>
      <c r="AI205" s="271"/>
      <c r="AJ205" s="271"/>
      <c r="AK205" s="271"/>
      <c r="AL205" s="271"/>
      <c r="AM205" s="271"/>
      <c r="AN205" s="271"/>
      <c r="AO205" s="271"/>
      <c r="AP205" s="271"/>
      <c r="AQ205" s="271"/>
      <c r="AR205" s="271"/>
      <c r="AS205" s="271"/>
      <c r="AT205" s="271"/>
      <c r="AU205" s="271"/>
      <c r="AV205" s="271"/>
      <c r="AW205" s="273"/>
      <c r="AX205" s="271"/>
      <c r="AY205" s="271"/>
      <c r="AZ205" s="271"/>
      <c r="BA205" s="273"/>
      <c r="BB205" s="259"/>
      <c r="BC205" s="271"/>
      <c r="BD205" s="271"/>
      <c r="BE205" s="271"/>
      <c r="BF205" s="271"/>
      <c r="BG205" s="271"/>
      <c r="BH205" s="271"/>
      <c r="BI205" s="271"/>
      <c r="BJ205" s="271"/>
      <c r="BK205" s="271"/>
      <c r="BL205" s="271"/>
      <c r="BM205" s="271"/>
      <c r="BN205" s="271"/>
      <c r="BO205" s="272"/>
      <c r="BP205" s="272"/>
      <c r="BQ205" s="272"/>
      <c r="BR205" s="272"/>
      <c r="BS205" s="272"/>
      <c r="BT205" s="272"/>
      <c r="BU205" s="272"/>
      <c r="BV205" s="271"/>
      <c r="BW205" s="271"/>
      <c r="BX205" s="271"/>
      <c r="BY205" s="271"/>
      <c r="BZ205" s="271"/>
      <c r="CA205" s="271"/>
      <c r="CB205" s="271" t="s">
        <v>443</v>
      </c>
      <c r="CC205" s="271"/>
      <c r="CD205" s="271"/>
      <c r="CE205" s="271"/>
      <c r="CF205" s="271"/>
      <c r="CG205" s="271"/>
      <c r="CH205" s="271"/>
      <c r="CI205" s="271"/>
    </row>
    <row r="206" spans="1:87" ht="15" customHeight="1" outlineLevel="1">
      <c r="A206" s="264" t="str">
        <f t="shared" ref="A206:A247" si="52">E206&amp;G206</f>
        <v>ENERGY_CERTIFICATE_EST_INPUTPROPERTY_BANK_ID</v>
      </c>
      <c r="B206" s="141" t="s">
        <v>26</v>
      </c>
      <c r="C206" s="137" t="s">
        <v>34</v>
      </c>
      <c r="D206" s="226" t="s">
        <v>40</v>
      </c>
      <c r="E206" s="227" t="s">
        <v>37</v>
      </c>
      <c r="F206" s="227"/>
      <c r="G206" s="226" t="s">
        <v>41</v>
      </c>
      <c r="H206" s="226" t="str">
        <f>VLOOKUP(A206,'2. Status Detalhe Campos FY24'!$A$7:$G$732,7,0)</f>
        <v>2.1 Em Teste</v>
      </c>
      <c r="I206" s="266" t="s">
        <v>38</v>
      </c>
      <c r="J206" s="275">
        <v>45630</v>
      </c>
      <c r="K206" s="275">
        <v>45631</v>
      </c>
      <c r="L206" s="276">
        <f t="array" ref="L206">MIN(IF(W206:CI206&gt;0,$W$16:$CI$16))</f>
        <v>45646</v>
      </c>
      <c r="M206" s="277">
        <f t="array" ref="M206">MAX(IF(W206:CI206&gt;0,$W$16:$CI$16))</f>
        <v>45646</v>
      </c>
      <c r="N206" s="277"/>
      <c r="O206" s="239">
        <f>VLOOKUP(H206,Auxiliar!$B$16:$E$24,4,0)</f>
        <v>0.25</v>
      </c>
      <c r="P206" s="239">
        <f ca="1">IF(TODAY()&lt;=L206,0,MIN((TODAY()-L206)/(M206-L206+1),100%))</f>
        <v>1</v>
      </c>
      <c r="Q206" s="238">
        <f t="shared" ref="Q206:Q247" ca="1" si="53">O206-P206</f>
        <v>-0.75</v>
      </c>
      <c r="R206" s="332"/>
      <c r="S206" s="270"/>
      <c r="T206" s="260">
        <v>0.6</v>
      </c>
      <c r="U206" s="260">
        <f t="shared" ref="U206:U247" si="54">ROUND(T206/8,1)</f>
        <v>0.1</v>
      </c>
      <c r="V206" s="260">
        <f t="shared" ref="V206:V217" si="55">SUM(W206:CI206)-U206</f>
        <v>0</v>
      </c>
      <c r="W206" s="271"/>
      <c r="X206" s="271"/>
      <c r="Y206" s="271"/>
      <c r="Z206" s="271"/>
      <c r="AA206" s="271"/>
      <c r="AB206" s="271"/>
      <c r="AC206" s="271"/>
      <c r="AD206" s="272"/>
      <c r="AE206" s="271"/>
      <c r="AF206" s="271"/>
      <c r="AG206" s="271"/>
      <c r="AH206" s="271"/>
      <c r="AI206" s="271"/>
      <c r="AJ206" s="271"/>
      <c r="AK206" s="271"/>
      <c r="AL206" s="271"/>
      <c r="AM206" s="271"/>
      <c r="AN206" s="271"/>
      <c r="AO206" s="271"/>
      <c r="AP206" s="271"/>
      <c r="AQ206" s="271"/>
      <c r="AR206" s="271"/>
      <c r="AS206" s="271"/>
      <c r="AT206" s="271"/>
      <c r="AU206" s="271"/>
      <c r="AV206" s="271"/>
      <c r="AW206" s="273"/>
      <c r="AX206" s="271"/>
      <c r="AY206" s="271"/>
      <c r="AZ206" s="271"/>
      <c r="BA206" s="259"/>
      <c r="BB206" s="271"/>
      <c r="BC206" s="271"/>
      <c r="BD206" s="271"/>
      <c r="BE206" s="271"/>
      <c r="BF206" s="271"/>
      <c r="BG206" s="271"/>
      <c r="BH206" s="271"/>
      <c r="BI206" s="271"/>
      <c r="BJ206" s="271"/>
      <c r="BK206" s="271"/>
      <c r="BL206" s="271"/>
      <c r="BM206" s="271">
        <v>0.1</v>
      </c>
      <c r="BN206" s="271"/>
      <c r="BO206" s="272"/>
      <c r="BP206" s="272"/>
      <c r="BQ206" s="272"/>
      <c r="BR206" s="272"/>
      <c r="BS206" s="272"/>
      <c r="BT206" s="272"/>
      <c r="BU206" s="272"/>
      <c r="BV206" s="271"/>
      <c r="BW206" s="271"/>
      <c r="BX206" s="271"/>
      <c r="BY206" s="271"/>
      <c r="BZ206" s="271"/>
      <c r="CA206" s="271"/>
      <c r="CB206" s="271"/>
      <c r="CC206" s="271"/>
      <c r="CD206" s="271"/>
      <c r="CE206" s="271"/>
      <c r="CF206" s="271"/>
      <c r="CG206" s="271"/>
      <c r="CH206" s="271"/>
      <c r="CI206" s="271"/>
    </row>
    <row r="207" spans="1:87" ht="15" customHeight="1" outlineLevel="1">
      <c r="A207" s="264" t="str">
        <f t="shared" si="52"/>
        <v>ENERGY_CERTIFICATE_EST_INPUTENCRYPTED_KEY</v>
      </c>
      <c r="B207" s="141" t="s">
        <v>26</v>
      </c>
      <c r="C207" s="137" t="s">
        <v>34</v>
      </c>
      <c r="D207" s="226" t="s">
        <v>40</v>
      </c>
      <c r="E207" s="227" t="s">
        <v>37</v>
      </c>
      <c r="F207" s="227"/>
      <c r="G207" s="226" t="s">
        <v>42</v>
      </c>
      <c r="H207" s="226" t="e">
        <f>VLOOKUP(A207,'2. Status Detalhe Campos FY24'!$A$7:$G$732,7,0)</f>
        <v>#N/A</v>
      </c>
      <c r="I207" s="266" t="s">
        <v>38</v>
      </c>
      <c r="J207" s="275">
        <v>45630</v>
      </c>
      <c r="K207" s="275">
        <v>45631</v>
      </c>
      <c r="L207" s="276">
        <f t="array" ref="L207">MIN(IF(W207:CI207&gt;0,$W$16:$CI$16))</f>
        <v>45646</v>
      </c>
      <c r="M207" s="277">
        <f t="array" ref="M207">MAX(IF(W207:CI207&gt;0,$W$16:$CI$16))</f>
        <v>45646</v>
      </c>
      <c r="N207" s="277"/>
      <c r="O207" s="239" t="e">
        <f>VLOOKUP(H207,Auxiliar!$B$16:$E$24,4,0)</f>
        <v>#N/A</v>
      </c>
      <c r="P207" s="239">
        <f t="shared" ref="P207:P247" ca="1" si="56">IF(TODAY()&lt;=L207,0,MIN((TODAY()-L207)/(M207-L207+1),100%))</f>
        <v>1</v>
      </c>
      <c r="Q207" s="238" t="e">
        <f t="shared" ca="1" si="53"/>
        <v>#N/A</v>
      </c>
      <c r="R207" s="332"/>
      <c r="S207" s="270"/>
      <c r="T207" s="260">
        <v>0.6</v>
      </c>
      <c r="U207" s="260">
        <f t="shared" si="54"/>
        <v>0.1</v>
      </c>
      <c r="V207" s="260">
        <f t="shared" si="55"/>
        <v>0</v>
      </c>
      <c r="W207" s="271"/>
      <c r="X207" s="271"/>
      <c r="Y207" s="271"/>
      <c r="Z207" s="271"/>
      <c r="AA207" s="271"/>
      <c r="AB207" s="271"/>
      <c r="AC207" s="271"/>
      <c r="AD207" s="272"/>
      <c r="AE207" s="271"/>
      <c r="AF207" s="271"/>
      <c r="AG207" s="271"/>
      <c r="AH207" s="271"/>
      <c r="AI207" s="271"/>
      <c r="AJ207" s="271"/>
      <c r="AK207" s="271"/>
      <c r="AL207" s="271"/>
      <c r="AM207" s="271"/>
      <c r="AN207" s="271"/>
      <c r="AO207" s="271"/>
      <c r="AP207" s="271"/>
      <c r="AQ207" s="271"/>
      <c r="AR207" s="271"/>
      <c r="AS207" s="271"/>
      <c r="AT207" s="271"/>
      <c r="AU207" s="271"/>
      <c r="AV207" s="271"/>
      <c r="AW207" s="273"/>
      <c r="AX207" s="271"/>
      <c r="AY207" s="271"/>
      <c r="AZ207" s="271"/>
      <c r="BA207" s="259"/>
      <c r="BB207" s="271"/>
      <c r="BC207" s="271"/>
      <c r="BD207" s="271"/>
      <c r="BE207" s="271"/>
      <c r="BF207" s="271"/>
      <c r="BG207" s="271"/>
      <c r="BH207" s="271"/>
      <c r="BI207" s="271"/>
      <c r="BJ207" s="271"/>
      <c r="BK207" s="271"/>
      <c r="BL207" s="271"/>
      <c r="BM207" s="271">
        <v>0.1</v>
      </c>
      <c r="BN207" s="271"/>
      <c r="BO207" s="272"/>
      <c r="BP207" s="272"/>
      <c r="BQ207" s="272"/>
      <c r="BR207" s="272"/>
      <c r="BS207" s="272"/>
      <c r="BT207" s="272"/>
      <c r="BU207" s="272"/>
      <c r="BV207" s="271"/>
      <c r="BW207" s="271"/>
      <c r="BX207" s="271"/>
      <c r="BY207" s="271"/>
      <c r="BZ207" s="271"/>
      <c r="CA207" s="271"/>
      <c r="CB207" s="271"/>
      <c r="CC207" s="271"/>
      <c r="CD207" s="271"/>
      <c r="CE207" s="271"/>
      <c r="CF207" s="271"/>
      <c r="CG207" s="271"/>
      <c r="CH207" s="271"/>
      <c r="CI207" s="271"/>
    </row>
    <row r="208" spans="1:87" ht="15" customHeight="1" outlineLevel="1">
      <c r="A208" s="264" t="str">
        <f t="shared" si="52"/>
        <v>ENERGY_CERTIFICATE_EST_INPUTPROPERTY_BRANCH_CODE</v>
      </c>
      <c r="B208" s="141" t="s">
        <v>26</v>
      </c>
      <c r="C208" s="137" t="s">
        <v>34</v>
      </c>
      <c r="D208" s="226" t="s">
        <v>40</v>
      </c>
      <c r="E208" s="227" t="s">
        <v>37</v>
      </c>
      <c r="F208" s="227"/>
      <c r="G208" s="226" t="s">
        <v>43</v>
      </c>
      <c r="H208" s="226" t="str">
        <f>VLOOKUP(A208,'2. Status Detalhe Campos FY24'!$A$7:$G$732,7,0)</f>
        <v>2.1 Em Teste</v>
      </c>
      <c r="I208" s="266" t="s">
        <v>38</v>
      </c>
      <c r="J208" s="275">
        <v>45630</v>
      </c>
      <c r="K208" s="275">
        <v>45631</v>
      </c>
      <c r="L208" s="276">
        <f t="array" ref="L208">MIN(IF(W208:CI208&gt;0,$W$16:$CI$16))</f>
        <v>45646</v>
      </c>
      <c r="M208" s="277">
        <f t="array" ref="M208">MAX(IF(W208:CI208&gt;0,$W$16:$CI$16))</f>
        <v>45646</v>
      </c>
      <c r="N208" s="277"/>
      <c r="O208" s="239">
        <f>VLOOKUP(H208,Auxiliar!$B$16:$E$24,4,0)</f>
        <v>0.25</v>
      </c>
      <c r="P208" s="239">
        <f t="shared" ca="1" si="56"/>
        <v>1</v>
      </c>
      <c r="Q208" s="238">
        <f t="shared" ca="1" si="53"/>
        <v>-0.75</v>
      </c>
      <c r="R208" s="332"/>
      <c r="S208" s="270"/>
      <c r="T208" s="260">
        <v>0.6</v>
      </c>
      <c r="U208" s="260">
        <f t="shared" si="54"/>
        <v>0.1</v>
      </c>
      <c r="V208" s="260">
        <f t="shared" si="55"/>
        <v>0</v>
      </c>
      <c r="W208" s="271"/>
      <c r="X208" s="271"/>
      <c r="Y208" s="271"/>
      <c r="Z208" s="271"/>
      <c r="AA208" s="271"/>
      <c r="AB208" s="271"/>
      <c r="AC208" s="271"/>
      <c r="AD208" s="272"/>
      <c r="AE208" s="271"/>
      <c r="AF208" s="271"/>
      <c r="AG208" s="271"/>
      <c r="AH208" s="271"/>
      <c r="AI208" s="271"/>
      <c r="AJ208" s="271"/>
      <c r="AK208" s="271"/>
      <c r="AL208" s="271"/>
      <c r="AM208" s="271"/>
      <c r="AN208" s="271"/>
      <c r="AO208" s="271"/>
      <c r="AP208" s="271"/>
      <c r="AQ208" s="271"/>
      <c r="AR208" s="271"/>
      <c r="AS208" s="271"/>
      <c r="AT208" s="271"/>
      <c r="AU208" s="271"/>
      <c r="AV208" s="271"/>
      <c r="AW208" s="273"/>
      <c r="AX208" s="271"/>
      <c r="AY208" s="271"/>
      <c r="AZ208" s="271"/>
      <c r="BA208" s="259"/>
      <c r="BB208" s="271"/>
      <c r="BC208" s="271"/>
      <c r="BD208" s="271"/>
      <c r="BE208" s="271"/>
      <c r="BF208" s="271"/>
      <c r="BG208" s="271"/>
      <c r="BH208" s="271"/>
      <c r="BI208" s="271"/>
      <c r="BJ208" s="271"/>
      <c r="BK208" s="271"/>
      <c r="BL208" s="271"/>
      <c r="BM208" s="271">
        <v>0.1</v>
      </c>
      <c r="BN208" s="271"/>
      <c r="BO208" s="272"/>
      <c r="BP208" s="272"/>
      <c r="BQ208" s="272"/>
      <c r="BR208" s="272"/>
      <c r="BS208" s="272"/>
      <c r="BT208" s="272"/>
      <c r="BU208" s="272"/>
      <c r="BV208" s="271"/>
      <c r="BW208" s="271"/>
      <c r="BX208" s="271"/>
      <c r="BY208" s="271"/>
      <c r="BZ208" s="271"/>
      <c r="CA208" s="271"/>
      <c r="CB208" s="271"/>
      <c r="CC208" s="271"/>
      <c r="CD208" s="271"/>
      <c r="CE208" s="271"/>
      <c r="CF208" s="271"/>
      <c r="CG208" s="271"/>
      <c r="CH208" s="271"/>
      <c r="CI208" s="271"/>
    </row>
    <row r="209" spans="1:87" ht="15" customHeight="1" outlineLevel="1">
      <c r="A209" s="264" t="str">
        <f t="shared" si="52"/>
        <v>ENERGY_CERTIFICATE_EST_INPUTPROPERTY_CONTRACT_ID</v>
      </c>
      <c r="B209" s="141" t="s">
        <v>26</v>
      </c>
      <c r="C209" s="137" t="s">
        <v>34</v>
      </c>
      <c r="D209" s="226" t="s">
        <v>40</v>
      </c>
      <c r="E209" s="227" t="s">
        <v>37</v>
      </c>
      <c r="F209" s="227"/>
      <c r="G209" s="226" t="s">
        <v>44</v>
      </c>
      <c r="H209" s="226" t="str">
        <f>VLOOKUP(A209,'2. Status Detalhe Campos FY24'!$A$7:$G$732,7,0)</f>
        <v>2.1 Em Teste</v>
      </c>
      <c r="I209" s="266" t="s">
        <v>38</v>
      </c>
      <c r="J209" s="275">
        <v>45630</v>
      </c>
      <c r="K209" s="275">
        <v>45631</v>
      </c>
      <c r="L209" s="276">
        <f t="array" ref="L209">MIN(IF(W209:CI209&gt;0,$W$16:$CI$16))</f>
        <v>45646</v>
      </c>
      <c r="M209" s="277">
        <f t="array" ref="M209">MAX(IF(W209:CI209&gt;0,$W$16:$CI$16))</f>
        <v>45646</v>
      </c>
      <c r="N209" s="277"/>
      <c r="O209" s="239">
        <f>VLOOKUP(H209,Auxiliar!$B$16:$E$24,4,0)</f>
        <v>0.25</v>
      </c>
      <c r="P209" s="239">
        <f t="shared" ca="1" si="56"/>
        <v>1</v>
      </c>
      <c r="Q209" s="238">
        <f t="shared" ca="1" si="53"/>
        <v>-0.75</v>
      </c>
      <c r="R209" s="332"/>
      <c r="S209" s="270"/>
      <c r="T209" s="260">
        <v>0.6</v>
      </c>
      <c r="U209" s="260">
        <f t="shared" si="54"/>
        <v>0.1</v>
      </c>
      <c r="V209" s="260">
        <f t="shared" si="55"/>
        <v>0</v>
      </c>
      <c r="W209" s="271"/>
      <c r="X209" s="271"/>
      <c r="Y209" s="271"/>
      <c r="Z209" s="271"/>
      <c r="AA209" s="271"/>
      <c r="AB209" s="271"/>
      <c r="AC209" s="271"/>
      <c r="AD209" s="272"/>
      <c r="AE209" s="271"/>
      <c r="AF209" s="271"/>
      <c r="AG209" s="271"/>
      <c r="AH209" s="271"/>
      <c r="AI209" s="271"/>
      <c r="AJ209" s="271"/>
      <c r="AK209" s="271"/>
      <c r="AL209" s="271"/>
      <c r="AM209" s="271"/>
      <c r="AN209" s="271"/>
      <c r="AO209" s="271"/>
      <c r="AP209" s="271"/>
      <c r="AQ209" s="271"/>
      <c r="AR209" s="271"/>
      <c r="AS209" s="271"/>
      <c r="AT209" s="271"/>
      <c r="AU209" s="271"/>
      <c r="AV209" s="271"/>
      <c r="AW209" s="273"/>
      <c r="AX209" s="271"/>
      <c r="AY209" s="271"/>
      <c r="AZ209" s="271"/>
      <c r="BA209" s="259"/>
      <c r="BB209" s="271"/>
      <c r="BC209" s="271"/>
      <c r="BD209" s="271"/>
      <c r="BE209" s="271"/>
      <c r="BF209" s="271"/>
      <c r="BG209" s="271"/>
      <c r="BH209" s="271"/>
      <c r="BI209" s="271"/>
      <c r="BJ209" s="271"/>
      <c r="BK209" s="271"/>
      <c r="BL209" s="271"/>
      <c r="BM209" s="271">
        <v>0.1</v>
      </c>
      <c r="BN209" s="271"/>
      <c r="BO209" s="272"/>
      <c r="BP209" s="272"/>
      <c r="BQ209" s="272"/>
      <c r="BR209" s="272"/>
      <c r="BS209" s="272"/>
      <c r="BT209" s="272"/>
      <c r="BU209" s="272"/>
      <c r="BV209" s="271"/>
      <c r="BW209" s="271"/>
      <c r="BX209" s="271"/>
      <c r="BY209" s="271"/>
      <c r="BZ209" s="271"/>
      <c r="CA209" s="271"/>
      <c r="CB209" s="271"/>
      <c r="CC209" s="271"/>
      <c r="CD209" s="271"/>
      <c r="CE209" s="271"/>
      <c r="CF209" s="271"/>
      <c r="CG209" s="271"/>
      <c r="CH209" s="271"/>
      <c r="CI209" s="271"/>
    </row>
    <row r="210" spans="1:87" ht="15" customHeight="1" outlineLevel="1">
      <c r="A210" s="264" t="str">
        <f t="shared" si="52"/>
        <v>ENERGY_CERTIFICATE_EST_INPUTPROPERTY_REFERENCE_CODE</v>
      </c>
      <c r="B210" s="141" t="s">
        <v>26</v>
      </c>
      <c r="C210" s="137" t="s">
        <v>34</v>
      </c>
      <c r="D210" s="226" t="s">
        <v>40</v>
      </c>
      <c r="E210" s="227" t="s">
        <v>37</v>
      </c>
      <c r="F210" s="227"/>
      <c r="G210" s="226" t="s">
        <v>45</v>
      </c>
      <c r="H210" s="226" t="str">
        <f>VLOOKUP(A210,'2. Status Detalhe Campos FY24'!$A$7:$G$732,7,0)</f>
        <v>2.1 Em Teste</v>
      </c>
      <c r="I210" s="266" t="s">
        <v>38</v>
      </c>
      <c r="J210" s="275">
        <v>45630</v>
      </c>
      <c r="K210" s="275">
        <v>45631</v>
      </c>
      <c r="L210" s="276">
        <f t="array" ref="L210">MIN(IF(W210:CI210&gt;0,$W$16:$CI$16))</f>
        <v>45646</v>
      </c>
      <c r="M210" s="277">
        <f t="array" ref="M210">MAX(IF(W210:CI210&gt;0,$W$16:$CI$16))</f>
        <v>45646</v>
      </c>
      <c r="N210" s="277"/>
      <c r="O210" s="239">
        <f>VLOOKUP(H210,Auxiliar!$B$16:$E$24,4,0)</f>
        <v>0.25</v>
      </c>
      <c r="P210" s="239">
        <f t="shared" ca="1" si="56"/>
        <v>1</v>
      </c>
      <c r="Q210" s="238">
        <f t="shared" ca="1" si="53"/>
        <v>-0.75</v>
      </c>
      <c r="R210" s="332"/>
      <c r="S210" s="270"/>
      <c r="T210" s="260">
        <v>0.6</v>
      </c>
      <c r="U210" s="260">
        <f t="shared" si="54"/>
        <v>0.1</v>
      </c>
      <c r="V210" s="260">
        <f t="shared" si="55"/>
        <v>0</v>
      </c>
      <c r="W210" s="271"/>
      <c r="X210" s="271"/>
      <c r="Y210" s="271"/>
      <c r="Z210" s="271"/>
      <c r="AA210" s="271"/>
      <c r="AB210" s="271"/>
      <c r="AC210" s="271"/>
      <c r="AD210" s="272"/>
      <c r="AE210" s="271"/>
      <c r="AF210" s="271"/>
      <c r="AG210" s="271"/>
      <c r="AH210" s="271"/>
      <c r="AI210" s="271"/>
      <c r="AJ210" s="271"/>
      <c r="AK210" s="271"/>
      <c r="AL210" s="271"/>
      <c r="AM210" s="271"/>
      <c r="AN210" s="271"/>
      <c r="AO210" s="271"/>
      <c r="AP210" s="271"/>
      <c r="AQ210" s="271"/>
      <c r="AR210" s="271"/>
      <c r="AS210" s="271"/>
      <c r="AT210" s="271"/>
      <c r="AU210" s="271"/>
      <c r="AV210" s="271"/>
      <c r="AW210" s="273"/>
      <c r="AX210" s="271"/>
      <c r="AY210" s="271"/>
      <c r="AZ210" s="271"/>
      <c r="BA210" s="259"/>
      <c r="BB210" s="271"/>
      <c r="BC210" s="271"/>
      <c r="BD210" s="271"/>
      <c r="BE210" s="271"/>
      <c r="BF210" s="271"/>
      <c r="BG210" s="271"/>
      <c r="BH210" s="271"/>
      <c r="BI210" s="271"/>
      <c r="BJ210" s="271"/>
      <c r="BK210" s="271"/>
      <c r="BL210" s="271"/>
      <c r="BM210" s="271">
        <v>0.1</v>
      </c>
      <c r="BN210" s="271"/>
      <c r="BO210" s="272"/>
      <c r="BP210" s="272"/>
      <c r="BQ210" s="272"/>
      <c r="BR210" s="272"/>
      <c r="BS210" s="272"/>
      <c r="BT210" s="272"/>
      <c r="BU210" s="272"/>
      <c r="BV210" s="271"/>
      <c r="BW210" s="271"/>
      <c r="BX210" s="271"/>
      <c r="BY210" s="271"/>
      <c r="BZ210" s="271"/>
      <c r="CA210" s="271"/>
      <c r="CB210" s="271"/>
      <c r="CC210" s="271"/>
      <c r="CD210" s="271"/>
      <c r="CE210" s="271"/>
      <c r="CF210" s="271"/>
      <c r="CG210" s="271"/>
      <c r="CH210" s="271"/>
      <c r="CI210" s="271"/>
    </row>
    <row r="211" spans="1:87" ht="15" customHeight="1" outlineLevel="1">
      <c r="A211" s="264" t="str">
        <f t="shared" si="52"/>
        <v>ENERGY_CERTIFICATE_EST_INPUTDATA_EXTRACTION_DATE</v>
      </c>
      <c r="B211" s="141" t="s">
        <v>26</v>
      </c>
      <c r="C211" s="137" t="s">
        <v>34</v>
      </c>
      <c r="D211" s="226" t="s">
        <v>40</v>
      </c>
      <c r="E211" s="227" t="s">
        <v>37</v>
      </c>
      <c r="F211" s="227"/>
      <c r="G211" s="226" t="s">
        <v>46</v>
      </c>
      <c r="H211" s="226" t="e">
        <f>VLOOKUP(A211,'2. Status Detalhe Campos FY24'!$A$7:$G$732,7,0)</f>
        <v>#N/A</v>
      </c>
      <c r="I211" s="266" t="s">
        <v>38</v>
      </c>
      <c r="J211" s="275">
        <v>45630</v>
      </c>
      <c r="K211" s="275">
        <v>45631</v>
      </c>
      <c r="L211" s="276">
        <f t="array" ref="L211">MIN(IF(W211:CI211&gt;0,$W$16:$CI$16))</f>
        <v>45646</v>
      </c>
      <c r="M211" s="277">
        <f t="array" ref="M211">MAX(IF(W211:CI211&gt;0,$W$16:$CI$16))</f>
        <v>45646</v>
      </c>
      <c r="N211" s="277"/>
      <c r="O211" s="239" t="e">
        <f>VLOOKUP(H211,Auxiliar!$B$16:$E$24,4,0)</f>
        <v>#N/A</v>
      </c>
      <c r="P211" s="239">
        <f t="shared" ca="1" si="56"/>
        <v>1</v>
      </c>
      <c r="Q211" s="238" t="e">
        <f t="shared" ca="1" si="53"/>
        <v>#N/A</v>
      </c>
      <c r="R211" s="332"/>
      <c r="S211" s="270"/>
      <c r="T211" s="260">
        <v>0.6</v>
      </c>
      <c r="U211" s="260">
        <f t="shared" si="54"/>
        <v>0.1</v>
      </c>
      <c r="V211" s="260">
        <f t="shared" si="55"/>
        <v>0</v>
      </c>
      <c r="W211" s="271"/>
      <c r="X211" s="271"/>
      <c r="Y211" s="271"/>
      <c r="Z211" s="271"/>
      <c r="AA211" s="271"/>
      <c r="AB211" s="271"/>
      <c r="AC211" s="271"/>
      <c r="AD211" s="272"/>
      <c r="AE211" s="271"/>
      <c r="AF211" s="271"/>
      <c r="AG211" s="271"/>
      <c r="AH211" s="271"/>
      <c r="AI211" s="271"/>
      <c r="AJ211" s="271"/>
      <c r="AK211" s="271"/>
      <c r="AL211" s="271"/>
      <c r="AM211" s="271"/>
      <c r="AN211" s="271"/>
      <c r="AO211" s="271"/>
      <c r="AP211" s="271"/>
      <c r="AQ211" s="271"/>
      <c r="AR211" s="271"/>
      <c r="AS211" s="271"/>
      <c r="AT211" s="271"/>
      <c r="AU211" s="271"/>
      <c r="AV211" s="271"/>
      <c r="AW211" s="273"/>
      <c r="AX211" s="271"/>
      <c r="AY211" s="271"/>
      <c r="AZ211" s="271"/>
      <c r="BA211" s="259"/>
      <c r="BB211" s="271"/>
      <c r="BC211" s="271"/>
      <c r="BD211" s="271"/>
      <c r="BE211" s="271"/>
      <c r="BF211" s="271"/>
      <c r="BG211" s="271"/>
      <c r="BH211" s="271"/>
      <c r="BI211" s="271"/>
      <c r="BJ211" s="271"/>
      <c r="BK211" s="271"/>
      <c r="BL211" s="271"/>
      <c r="BM211" s="271">
        <v>0.1</v>
      </c>
      <c r="BN211" s="271"/>
      <c r="BO211" s="272"/>
      <c r="BP211" s="272"/>
      <c r="BQ211" s="272"/>
      <c r="BR211" s="272"/>
      <c r="BS211" s="272"/>
      <c r="BT211" s="272"/>
      <c r="BU211" s="272"/>
      <c r="BV211" s="271"/>
      <c r="BW211" s="271"/>
      <c r="BX211" s="271"/>
      <c r="BY211" s="271"/>
      <c r="BZ211" s="271"/>
      <c r="CA211" s="271"/>
      <c r="CB211" s="271"/>
      <c r="CC211" s="271"/>
      <c r="CD211" s="271"/>
      <c r="CE211" s="271"/>
      <c r="CF211" s="271"/>
      <c r="CG211" s="271"/>
      <c r="CH211" s="271"/>
      <c r="CI211" s="271"/>
    </row>
    <row r="212" spans="1:87" ht="15" customHeight="1" outlineLevel="1">
      <c r="A212" s="264" t="str">
        <f t="shared" si="52"/>
        <v>ENERGY_CERTIFICATE_EST_INPUTEPC</v>
      </c>
      <c r="B212" s="141" t="s">
        <v>26</v>
      </c>
      <c r="C212" s="137" t="s">
        <v>34</v>
      </c>
      <c r="D212" s="226" t="s">
        <v>40</v>
      </c>
      <c r="E212" s="227" t="s">
        <v>37</v>
      </c>
      <c r="F212" s="227"/>
      <c r="G212" s="226" t="s">
        <v>47</v>
      </c>
      <c r="H212" s="226" t="e">
        <f>VLOOKUP(A212,'2. Status Detalhe Campos FY24'!$A$7:$G$732,7,0)</f>
        <v>#N/A</v>
      </c>
      <c r="I212" s="266" t="s">
        <v>38</v>
      </c>
      <c r="J212" s="275">
        <v>45630</v>
      </c>
      <c r="K212" s="275">
        <v>45631</v>
      </c>
      <c r="L212" s="276">
        <f t="array" ref="L212">MIN(IF(W212:CI212&gt;0,$W$16:$CI$16))</f>
        <v>45646</v>
      </c>
      <c r="M212" s="277">
        <f t="array" ref="M212">MAX(IF(W212:CI212&gt;0,$W$16:$CI$16))</f>
        <v>45646</v>
      </c>
      <c r="N212" s="277"/>
      <c r="O212" s="239" t="e">
        <f>VLOOKUP(H212,Auxiliar!$B$16:$E$24,4,0)</f>
        <v>#N/A</v>
      </c>
      <c r="P212" s="239">
        <f t="shared" ca="1" si="56"/>
        <v>1</v>
      </c>
      <c r="Q212" s="238" t="e">
        <f t="shared" ca="1" si="53"/>
        <v>#N/A</v>
      </c>
      <c r="R212" s="332"/>
      <c r="S212" s="270"/>
      <c r="T212" s="260">
        <v>0.6</v>
      </c>
      <c r="U212" s="260">
        <f t="shared" si="54"/>
        <v>0.1</v>
      </c>
      <c r="V212" s="260">
        <f t="shared" si="55"/>
        <v>0</v>
      </c>
      <c r="W212" s="271"/>
      <c r="X212" s="271"/>
      <c r="Y212" s="271"/>
      <c r="Z212" s="271"/>
      <c r="AA212" s="271"/>
      <c r="AB212" s="271"/>
      <c r="AC212" s="271"/>
      <c r="AD212" s="272"/>
      <c r="AE212" s="271"/>
      <c r="AF212" s="271"/>
      <c r="AG212" s="271"/>
      <c r="AH212" s="271"/>
      <c r="AI212" s="271"/>
      <c r="AJ212" s="271"/>
      <c r="AK212" s="271"/>
      <c r="AL212" s="271"/>
      <c r="AM212" s="271"/>
      <c r="AN212" s="271"/>
      <c r="AO212" s="271"/>
      <c r="AP212" s="271"/>
      <c r="AQ212" s="271"/>
      <c r="AR212" s="271"/>
      <c r="AS212" s="271"/>
      <c r="AT212" s="271"/>
      <c r="AU212" s="271"/>
      <c r="AV212" s="271"/>
      <c r="AW212" s="273"/>
      <c r="AX212" s="271"/>
      <c r="AY212" s="271"/>
      <c r="AZ212" s="271"/>
      <c r="BA212" s="259"/>
      <c r="BB212" s="271"/>
      <c r="BC212" s="271"/>
      <c r="BD212" s="271"/>
      <c r="BE212" s="271"/>
      <c r="BF212" s="271"/>
      <c r="BG212" s="271"/>
      <c r="BH212" s="271"/>
      <c r="BI212" s="271"/>
      <c r="BJ212" s="271"/>
      <c r="BK212" s="271"/>
      <c r="BL212" s="271"/>
      <c r="BM212" s="271">
        <v>0.1</v>
      </c>
      <c r="BN212" s="271"/>
      <c r="BO212" s="272"/>
      <c r="BP212" s="272"/>
      <c r="BQ212" s="272"/>
      <c r="BR212" s="272"/>
      <c r="BS212" s="272"/>
      <c r="BT212" s="272"/>
      <c r="BU212" s="272"/>
      <c r="BV212" s="271"/>
      <c r="BW212" s="271"/>
      <c r="BX212" s="271"/>
      <c r="BY212" s="271"/>
      <c r="BZ212" s="271"/>
      <c r="CA212" s="271"/>
      <c r="CB212" s="271"/>
      <c r="CC212" s="271"/>
      <c r="CD212" s="271"/>
      <c r="CE212" s="271"/>
      <c r="CF212" s="271"/>
      <c r="CG212" s="271"/>
      <c r="CH212" s="271"/>
      <c r="CI212" s="271"/>
    </row>
    <row r="213" spans="1:87" ht="15" customHeight="1" outlineLevel="1">
      <c r="A213" s="264" t="str">
        <f t="shared" si="52"/>
        <v>ENERGY_CERTIFICATE_EST_INPUTDATA_PROVIDER</v>
      </c>
      <c r="B213" s="141" t="s">
        <v>26</v>
      </c>
      <c r="C213" s="137" t="s">
        <v>34</v>
      </c>
      <c r="D213" s="226" t="s">
        <v>40</v>
      </c>
      <c r="E213" s="227" t="s">
        <v>37</v>
      </c>
      <c r="F213" s="227"/>
      <c r="G213" s="226" t="s">
        <v>48</v>
      </c>
      <c r="H213" s="226" t="str">
        <f>VLOOKUP(A213,'2. Status Detalhe Campos FY24'!$A$7:$G$732,7,0)</f>
        <v>0. Cancelado</v>
      </c>
      <c r="I213" s="266" t="s">
        <v>38</v>
      </c>
      <c r="J213" s="275">
        <v>45630</v>
      </c>
      <c r="K213" s="275">
        <v>45631</v>
      </c>
      <c r="L213" s="276">
        <f t="array" ref="L213">MIN(IF(W213:CI213&gt;0,$W$16:$CI$16))</f>
        <v>45646</v>
      </c>
      <c r="M213" s="277">
        <f t="array" ref="M213">MAX(IF(W213:CI213&gt;0,$W$16:$CI$16))</f>
        <v>45646</v>
      </c>
      <c r="N213" s="277"/>
      <c r="O213" s="239">
        <f>VLOOKUP(H213,Auxiliar!$B$16:$E$24,4,0)</f>
        <v>0</v>
      </c>
      <c r="P213" s="239">
        <f t="shared" ca="1" si="56"/>
        <v>1</v>
      </c>
      <c r="Q213" s="238">
        <f t="shared" ca="1" si="53"/>
        <v>-1</v>
      </c>
      <c r="R213" s="332"/>
      <c r="S213" s="270"/>
      <c r="T213" s="260">
        <v>0.6</v>
      </c>
      <c r="U213" s="260">
        <f t="shared" si="54"/>
        <v>0.1</v>
      </c>
      <c r="V213" s="260">
        <f t="shared" si="55"/>
        <v>0</v>
      </c>
      <c r="W213" s="271"/>
      <c r="X213" s="271"/>
      <c r="Y213" s="271"/>
      <c r="Z213" s="271"/>
      <c r="AA213" s="271"/>
      <c r="AB213" s="271"/>
      <c r="AC213" s="271"/>
      <c r="AD213" s="272"/>
      <c r="AE213" s="271"/>
      <c r="AF213" s="271"/>
      <c r="AG213" s="271"/>
      <c r="AH213" s="271"/>
      <c r="AI213" s="271"/>
      <c r="AJ213" s="271"/>
      <c r="AK213" s="271"/>
      <c r="AL213" s="271"/>
      <c r="AM213" s="271"/>
      <c r="AN213" s="271"/>
      <c r="AO213" s="271"/>
      <c r="AP213" s="271"/>
      <c r="AQ213" s="271"/>
      <c r="AR213" s="271"/>
      <c r="AS213" s="271"/>
      <c r="AT213" s="271"/>
      <c r="AU213" s="271"/>
      <c r="AV213" s="271"/>
      <c r="AW213" s="273"/>
      <c r="AX213" s="271"/>
      <c r="AY213" s="271"/>
      <c r="AZ213" s="271"/>
      <c r="BA213" s="259"/>
      <c r="BB213" s="271"/>
      <c r="BC213" s="271"/>
      <c r="BD213" s="271"/>
      <c r="BE213" s="271"/>
      <c r="BF213" s="271"/>
      <c r="BG213" s="271"/>
      <c r="BH213" s="271"/>
      <c r="BI213" s="271"/>
      <c r="BJ213" s="271"/>
      <c r="BK213" s="271"/>
      <c r="BL213" s="271"/>
      <c r="BM213" s="271">
        <v>0.1</v>
      </c>
      <c r="BN213" s="271"/>
      <c r="BO213" s="272"/>
      <c r="BP213" s="272"/>
      <c r="BQ213" s="272"/>
      <c r="BR213" s="272"/>
      <c r="BS213" s="272"/>
      <c r="BT213" s="272"/>
      <c r="BU213" s="272"/>
      <c r="BV213" s="271"/>
      <c r="BW213" s="271"/>
      <c r="BX213" s="271"/>
      <c r="BY213" s="271"/>
      <c r="BZ213" s="271"/>
      <c r="CA213" s="271"/>
      <c r="CB213" s="271"/>
      <c r="CC213" s="271"/>
      <c r="CD213" s="271"/>
      <c r="CE213" s="271"/>
      <c r="CF213" s="271"/>
      <c r="CG213" s="271"/>
      <c r="CH213" s="271"/>
      <c r="CI213" s="271"/>
    </row>
    <row r="214" spans="1:87" ht="15" customHeight="1" outlineLevel="1">
      <c r="A214" s="264" t="str">
        <f t="shared" si="52"/>
        <v>ENERGY_CERTIFICATE_EST_INPUTACTUAL_VALUE_IND</v>
      </c>
      <c r="B214" s="141" t="s">
        <v>26</v>
      </c>
      <c r="C214" s="137" t="s">
        <v>34</v>
      </c>
      <c r="D214" s="226" t="s">
        <v>40</v>
      </c>
      <c r="E214" s="227" t="s">
        <v>37</v>
      </c>
      <c r="F214" s="227"/>
      <c r="G214" s="226" t="s">
        <v>49</v>
      </c>
      <c r="H214" s="226" t="str">
        <f>VLOOKUP(A214,'2. Status Detalhe Campos FY24'!$A$7:$G$732,7,0)</f>
        <v>0. Cancelado</v>
      </c>
      <c r="I214" s="266" t="s">
        <v>38</v>
      </c>
      <c r="J214" s="275">
        <v>45630</v>
      </c>
      <c r="K214" s="275">
        <v>45631</v>
      </c>
      <c r="L214" s="276">
        <f t="array" ref="L214">MIN(IF(W214:CI214&gt;0,$W$16:$CI$16))</f>
        <v>45646</v>
      </c>
      <c r="M214" s="277">
        <f t="array" ref="M214">MAX(IF(W214:CI214&gt;0,$W$16:$CI$16))</f>
        <v>45646</v>
      </c>
      <c r="N214" s="277"/>
      <c r="O214" s="239">
        <f>VLOOKUP(H214,Auxiliar!$B$16:$E$24,4,0)</f>
        <v>0</v>
      </c>
      <c r="P214" s="239">
        <f t="shared" ca="1" si="56"/>
        <v>1</v>
      </c>
      <c r="Q214" s="238">
        <f t="shared" ca="1" si="53"/>
        <v>-1</v>
      </c>
      <c r="R214" s="332"/>
      <c r="S214" s="270"/>
      <c r="T214" s="260">
        <v>0.6</v>
      </c>
      <c r="U214" s="260">
        <f t="shared" si="54"/>
        <v>0.1</v>
      </c>
      <c r="V214" s="260">
        <f t="shared" si="55"/>
        <v>0</v>
      </c>
      <c r="W214" s="271"/>
      <c r="X214" s="271"/>
      <c r="Y214" s="271"/>
      <c r="Z214" s="271"/>
      <c r="AA214" s="271"/>
      <c r="AB214" s="271"/>
      <c r="AC214" s="271"/>
      <c r="AD214" s="272"/>
      <c r="AE214" s="271"/>
      <c r="AF214" s="271"/>
      <c r="AG214" s="271"/>
      <c r="AH214" s="271"/>
      <c r="AI214" s="271"/>
      <c r="AJ214" s="271"/>
      <c r="AK214" s="271"/>
      <c r="AL214" s="271"/>
      <c r="AM214" s="271"/>
      <c r="AN214" s="271"/>
      <c r="AO214" s="271"/>
      <c r="AP214" s="271"/>
      <c r="AQ214" s="271"/>
      <c r="AR214" s="271"/>
      <c r="AS214" s="271"/>
      <c r="AT214" s="271"/>
      <c r="AU214" s="271"/>
      <c r="AV214" s="271"/>
      <c r="AW214" s="273"/>
      <c r="AX214" s="271"/>
      <c r="AY214" s="271"/>
      <c r="AZ214" s="271"/>
      <c r="BA214" s="259"/>
      <c r="BB214" s="271"/>
      <c r="BC214" s="271"/>
      <c r="BD214" s="271"/>
      <c r="BE214" s="271"/>
      <c r="BF214" s="271"/>
      <c r="BG214" s="271"/>
      <c r="BH214" s="271"/>
      <c r="BI214" s="271"/>
      <c r="BJ214" s="271"/>
      <c r="BK214" s="271"/>
      <c r="BL214" s="271"/>
      <c r="BM214" s="271">
        <v>0.1</v>
      </c>
      <c r="BN214" s="271"/>
      <c r="BO214" s="272"/>
      <c r="BP214" s="272"/>
      <c r="BQ214" s="272"/>
      <c r="BR214" s="272"/>
      <c r="BS214" s="272"/>
      <c r="BT214" s="272"/>
      <c r="BU214" s="272"/>
      <c r="BV214" s="271"/>
      <c r="BW214" s="271"/>
      <c r="BX214" s="271"/>
      <c r="BY214" s="271"/>
      <c r="BZ214" s="271"/>
      <c r="CA214" s="271"/>
      <c r="CB214" s="271"/>
      <c r="CC214" s="271"/>
      <c r="CD214" s="271"/>
      <c r="CE214" s="271"/>
      <c r="CF214" s="271"/>
      <c r="CG214" s="271"/>
      <c r="CH214" s="271"/>
      <c r="CI214" s="271"/>
    </row>
    <row r="215" spans="1:87" ht="15" customHeight="1" outlineLevel="1">
      <c r="A215" s="264" t="str">
        <f t="shared" si="52"/>
        <v>ENERGY_CERTIFICATE_EST_INPUTQUALITY_SCORE</v>
      </c>
      <c r="B215" s="141" t="s">
        <v>26</v>
      </c>
      <c r="C215" s="137" t="s">
        <v>34</v>
      </c>
      <c r="D215" s="226" t="s">
        <v>40</v>
      </c>
      <c r="E215" s="227" t="s">
        <v>37</v>
      </c>
      <c r="F215" s="227"/>
      <c r="G215" s="226" t="s">
        <v>50</v>
      </c>
      <c r="H215" s="226" t="e">
        <f>VLOOKUP(A215,'2. Status Detalhe Campos FY24'!$A$7:$G$732,7,0)</f>
        <v>#N/A</v>
      </c>
      <c r="I215" s="266" t="s">
        <v>38</v>
      </c>
      <c r="J215" s="275">
        <v>45630</v>
      </c>
      <c r="K215" s="275">
        <v>45631</v>
      </c>
      <c r="L215" s="276">
        <f t="array" ref="L215">MIN(IF(W215:CI215&gt;0,$W$16:$CI$16))</f>
        <v>45646</v>
      </c>
      <c r="M215" s="277">
        <f t="array" ref="M215">MAX(IF(W215:CI215&gt;0,$W$16:$CI$16))</f>
        <v>45646</v>
      </c>
      <c r="N215" s="277"/>
      <c r="O215" s="239" t="e">
        <f>VLOOKUP(H215,Auxiliar!$B$16:$E$24,4,0)</f>
        <v>#N/A</v>
      </c>
      <c r="P215" s="239">
        <f t="shared" ca="1" si="56"/>
        <v>1</v>
      </c>
      <c r="Q215" s="238" t="e">
        <f t="shared" ca="1" si="53"/>
        <v>#N/A</v>
      </c>
      <c r="R215" s="332"/>
      <c r="S215" s="270"/>
      <c r="T215" s="260">
        <v>0.6</v>
      </c>
      <c r="U215" s="260">
        <f t="shared" si="54"/>
        <v>0.1</v>
      </c>
      <c r="V215" s="260">
        <f t="shared" si="55"/>
        <v>0</v>
      </c>
      <c r="W215" s="271"/>
      <c r="X215" s="271"/>
      <c r="Y215" s="271"/>
      <c r="Z215" s="271"/>
      <c r="AA215" s="271"/>
      <c r="AB215" s="271"/>
      <c r="AC215" s="271"/>
      <c r="AD215" s="272"/>
      <c r="AE215" s="271"/>
      <c r="AF215" s="271"/>
      <c r="AG215" s="271"/>
      <c r="AH215" s="271"/>
      <c r="AI215" s="271"/>
      <c r="AJ215" s="271"/>
      <c r="AK215" s="271"/>
      <c r="AL215" s="271"/>
      <c r="AM215" s="271"/>
      <c r="AN215" s="271"/>
      <c r="AO215" s="271"/>
      <c r="AP215" s="271"/>
      <c r="AQ215" s="271"/>
      <c r="AR215" s="271"/>
      <c r="AS215" s="271"/>
      <c r="AT215" s="271"/>
      <c r="AU215" s="271"/>
      <c r="AV215" s="271"/>
      <c r="AW215" s="273"/>
      <c r="AX215" s="271"/>
      <c r="AY215" s="271"/>
      <c r="AZ215" s="271"/>
      <c r="BA215" s="259"/>
      <c r="BB215" s="271"/>
      <c r="BC215" s="271"/>
      <c r="BD215" s="271"/>
      <c r="BE215" s="271"/>
      <c r="BF215" s="271"/>
      <c r="BG215" s="271"/>
      <c r="BH215" s="271"/>
      <c r="BI215" s="271"/>
      <c r="BJ215" s="271"/>
      <c r="BK215" s="271"/>
      <c r="BL215" s="271"/>
      <c r="BM215" s="271">
        <v>0.1</v>
      </c>
      <c r="BN215" s="271"/>
      <c r="BO215" s="272"/>
      <c r="BP215" s="272"/>
      <c r="BQ215" s="272"/>
      <c r="BR215" s="272"/>
      <c r="BS215" s="272"/>
      <c r="BT215" s="272"/>
      <c r="BU215" s="272"/>
      <c r="BV215" s="271"/>
      <c r="BW215" s="271"/>
      <c r="BX215" s="271"/>
      <c r="BY215" s="271"/>
      <c r="BZ215" s="271"/>
      <c r="CA215" s="271"/>
      <c r="CB215" s="271"/>
      <c r="CC215" s="271"/>
      <c r="CD215" s="271"/>
      <c r="CE215" s="271"/>
      <c r="CF215" s="271"/>
      <c r="CG215" s="271"/>
      <c r="CH215" s="271"/>
      <c r="CI215" s="271"/>
    </row>
    <row r="216" spans="1:87" ht="15" customHeight="1" outlineLevel="1">
      <c r="A216" s="264" t="str">
        <f t="shared" si="52"/>
        <v>ENERGY_CERTIFICATE_EST_INPUTENERGY_CONSUMPTION_VALUE_YEAR</v>
      </c>
      <c r="B216" s="141" t="s">
        <v>26</v>
      </c>
      <c r="C216" s="137" t="s">
        <v>34</v>
      </c>
      <c r="D216" s="226" t="s">
        <v>40</v>
      </c>
      <c r="E216" s="227" t="s">
        <v>37</v>
      </c>
      <c r="F216" s="227"/>
      <c r="G216" s="226" t="s">
        <v>51</v>
      </c>
      <c r="H216" s="226" t="e">
        <f>VLOOKUP(A216,'2. Status Detalhe Campos FY24'!$A$7:$G$732,7,0)</f>
        <v>#N/A</v>
      </c>
      <c r="I216" s="266" t="s">
        <v>38</v>
      </c>
      <c r="J216" s="275">
        <v>45630</v>
      </c>
      <c r="K216" s="275">
        <v>45631</v>
      </c>
      <c r="L216" s="276">
        <f t="array" ref="L216">MIN(IF(W216:CI216&gt;0,$W$16:$CI$16))</f>
        <v>45659</v>
      </c>
      <c r="M216" s="277">
        <f t="array" ref="M216">MAX(IF(W216:CI216&gt;0,$W$16:$CI$16))</f>
        <v>45659</v>
      </c>
      <c r="N216" s="277"/>
      <c r="O216" s="239" t="e">
        <f>VLOOKUP(H216,Auxiliar!$B$16:$E$24,4,0)</f>
        <v>#N/A</v>
      </c>
      <c r="P216" s="239">
        <f t="shared" ca="1" si="56"/>
        <v>1</v>
      </c>
      <c r="Q216" s="238" t="e">
        <f t="shared" ca="1" si="53"/>
        <v>#N/A</v>
      </c>
      <c r="R216" s="332"/>
      <c r="S216" s="270"/>
      <c r="T216" s="260">
        <v>0.6</v>
      </c>
      <c r="U216" s="260">
        <f t="shared" si="54"/>
        <v>0.1</v>
      </c>
      <c r="V216" s="260">
        <f t="shared" si="55"/>
        <v>0</v>
      </c>
      <c r="W216" s="271"/>
      <c r="X216" s="271"/>
      <c r="Y216" s="271"/>
      <c r="Z216" s="271"/>
      <c r="AA216" s="271"/>
      <c r="AB216" s="271"/>
      <c r="AC216" s="271"/>
      <c r="AD216" s="272"/>
      <c r="AE216" s="271"/>
      <c r="AF216" s="271"/>
      <c r="AG216" s="271"/>
      <c r="AH216" s="271"/>
      <c r="AI216" s="271"/>
      <c r="AJ216" s="271"/>
      <c r="AK216" s="271"/>
      <c r="AL216" s="271"/>
      <c r="AM216" s="271"/>
      <c r="AN216" s="271"/>
      <c r="AO216" s="271"/>
      <c r="AP216" s="271"/>
      <c r="AQ216" s="271"/>
      <c r="AR216" s="271"/>
      <c r="AS216" s="271"/>
      <c r="AT216" s="271"/>
      <c r="AU216" s="271"/>
      <c r="AV216" s="271"/>
      <c r="AW216" s="273"/>
      <c r="AX216" s="271"/>
      <c r="AY216" s="271"/>
      <c r="AZ216" s="271"/>
      <c r="BA216" s="259"/>
      <c r="BB216" s="271"/>
      <c r="BC216" s="271"/>
      <c r="BD216" s="271"/>
      <c r="BE216" s="271"/>
      <c r="BF216" s="271"/>
      <c r="BG216" s="271"/>
      <c r="BH216" s="271"/>
      <c r="BI216" s="271"/>
      <c r="BJ216" s="271"/>
      <c r="BK216" s="271"/>
      <c r="BL216" s="271"/>
      <c r="BM216" s="271"/>
      <c r="BN216" s="271"/>
      <c r="BO216" s="272"/>
      <c r="BP216" s="272"/>
      <c r="BQ216" s="272"/>
      <c r="BR216" s="272"/>
      <c r="BS216" s="272"/>
      <c r="BT216" s="272"/>
      <c r="BU216" s="272"/>
      <c r="BV216" s="271">
        <v>0.1</v>
      </c>
      <c r="BW216" s="271"/>
      <c r="BX216" s="271"/>
      <c r="BY216" s="271"/>
      <c r="BZ216" s="271"/>
      <c r="CA216" s="271"/>
      <c r="CB216" s="271"/>
      <c r="CC216" s="271"/>
      <c r="CD216" s="271"/>
      <c r="CE216" s="271"/>
      <c r="CF216" s="271"/>
      <c r="CG216" s="271"/>
      <c r="CH216" s="271"/>
      <c r="CI216" s="271"/>
    </row>
    <row r="217" spans="1:87" ht="15" customHeight="1" outlineLevel="1">
      <c r="A217" s="264" t="str">
        <f t="shared" si="52"/>
        <v>ENERGY_CERTIFICATE_EST_INPUTCARBON_EMISSION_VALUE_YEAR</v>
      </c>
      <c r="B217" s="141" t="s">
        <v>26</v>
      </c>
      <c r="C217" s="137" t="s">
        <v>34</v>
      </c>
      <c r="D217" s="226" t="s">
        <v>40</v>
      </c>
      <c r="E217" s="227" t="s">
        <v>37</v>
      </c>
      <c r="F217" s="227"/>
      <c r="G217" s="226" t="s">
        <v>52</v>
      </c>
      <c r="H217" s="226" t="e">
        <f>VLOOKUP(A217,'2. Status Detalhe Campos FY24'!$A$7:$G$732,7,0)</f>
        <v>#N/A</v>
      </c>
      <c r="I217" s="266" t="s">
        <v>38</v>
      </c>
      <c r="J217" s="275">
        <v>45630</v>
      </c>
      <c r="K217" s="275">
        <v>45631</v>
      </c>
      <c r="L217" s="276">
        <f t="array" ref="L217">MIN(IF(W217:CI217&gt;0,$W$16:$CI$16))</f>
        <v>45659</v>
      </c>
      <c r="M217" s="277">
        <f t="array" ref="M217">MAX(IF(W217:CI217&gt;0,$W$16:$CI$16))</f>
        <v>45659</v>
      </c>
      <c r="N217" s="277"/>
      <c r="O217" s="239" t="e">
        <f>VLOOKUP(H217,Auxiliar!$B$16:$E$24,4,0)</f>
        <v>#N/A</v>
      </c>
      <c r="P217" s="239">
        <f t="shared" ca="1" si="56"/>
        <v>1</v>
      </c>
      <c r="Q217" s="238" t="e">
        <f t="shared" ca="1" si="53"/>
        <v>#N/A</v>
      </c>
      <c r="R217" s="332"/>
      <c r="S217" s="270"/>
      <c r="T217" s="260">
        <v>0.6</v>
      </c>
      <c r="U217" s="260">
        <f t="shared" si="54"/>
        <v>0.1</v>
      </c>
      <c r="V217" s="260">
        <f t="shared" si="55"/>
        <v>0</v>
      </c>
      <c r="W217" s="271"/>
      <c r="X217" s="271"/>
      <c r="Y217" s="271"/>
      <c r="Z217" s="271"/>
      <c r="AA217" s="271"/>
      <c r="AB217" s="271"/>
      <c r="AC217" s="271"/>
      <c r="AD217" s="272"/>
      <c r="AE217" s="271"/>
      <c r="AF217" s="271"/>
      <c r="AG217" s="271"/>
      <c r="AH217" s="271"/>
      <c r="AI217" s="271"/>
      <c r="AJ217" s="271"/>
      <c r="AK217" s="271"/>
      <c r="AL217" s="271"/>
      <c r="AM217" s="271"/>
      <c r="AN217" s="271"/>
      <c r="AO217" s="271"/>
      <c r="AP217" s="271"/>
      <c r="AQ217" s="271"/>
      <c r="AR217" s="271"/>
      <c r="AS217" s="271"/>
      <c r="AT217" s="271"/>
      <c r="AU217" s="271"/>
      <c r="AV217" s="271"/>
      <c r="AW217" s="273"/>
      <c r="AX217" s="271"/>
      <c r="AY217" s="271"/>
      <c r="AZ217" s="271"/>
      <c r="BA217" s="259"/>
      <c r="BB217" s="271"/>
      <c r="BC217" s="271"/>
      <c r="BD217" s="271"/>
      <c r="BE217" s="271"/>
      <c r="BF217" s="271"/>
      <c r="BG217" s="271"/>
      <c r="BH217" s="271"/>
      <c r="BI217" s="271"/>
      <c r="BJ217" s="271"/>
      <c r="BK217" s="271"/>
      <c r="BL217" s="271"/>
      <c r="BM217" s="271"/>
      <c r="BN217" s="271"/>
      <c r="BO217" s="272"/>
      <c r="BP217" s="272"/>
      <c r="BQ217" s="272"/>
      <c r="BR217" s="272"/>
      <c r="BS217" s="272"/>
      <c r="BT217" s="272"/>
      <c r="BU217" s="272"/>
      <c r="BV217" s="271">
        <v>0.1</v>
      </c>
      <c r="BW217" s="271"/>
      <c r="BX217" s="271"/>
      <c r="BY217" s="271"/>
      <c r="BZ217" s="271"/>
      <c r="CA217" s="271"/>
      <c r="CB217" s="271"/>
      <c r="CC217" s="271"/>
      <c r="CD217" s="271"/>
      <c r="CE217" s="271"/>
      <c r="CF217" s="271"/>
      <c r="CG217" s="271"/>
      <c r="CH217" s="271"/>
      <c r="CI217" s="271"/>
    </row>
    <row r="218" spans="1:87" ht="15" customHeight="1">
      <c r="A218" s="264"/>
      <c r="B218" s="141" t="s">
        <v>26</v>
      </c>
      <c r="C218" s="137" t="s">
        <v>54</v>
      </c>
      <c r="D218" s="133"/>
      <c r="E218" s="232" t="s">
        <v>94</v>
      </c>
      <c r="F218" s="230" t="s">
        <v>1889</v>
      </c>
      <c r="G218" s="245">
        <v>1</v>
      </c>
      <c r="H218" s="285" t="s">
        <v>1921</v>
      </c>
      <c r="I218" s="268">
        <v>45604</v>
      </c>
      <c r="J218" s="268">
        <v>45645</v>
      </c>
      <c r="K218" s="268">
        <v>45645</v>
      </c>
      <c r="L218" s="269"/>
      <c r="M218" s="300"/>
      <c r="N218" s="312">
        <f t="array" ref="N218">MAX(IF(W218:CI218&gt;0,$W$16:$CI$16))</f>
        <v>45667</v>
      </c>
      <c r="O218" s="311">
        <v>1</v>
      </c>
      <c r="P218" s="311">
        <v>1</v>
      </c>
      <c r="Q218" s="238">
        <f>O218-P218</f>
        <v>0</v>
      </c>
      <c r="R218" s="329" t="s">
        <v>1956</v>
      </c>
      <c r="S218" s="270"/>
      <c r="T218" s="260"/>
      <c r="U218" s="260"/>
      <c r="V218" s="260"/>
      <c r="W218" s="271"/>
      <c r="X218" s="271"/>
      <c r="Y218" s="271"/>
      <c r="Z218" s="271"/>
      <c r="AA218" s="271"/>
      <c r="AB218" s="271"/>
      <c r="AC218" s="271"/>
      <c r="AD218" s="272"/>
      <c r="AE218" s="271"/>
      <c r="AF218" s="271"/>
      <c r="AG218" s="271"/>
      <c r="AH218" s="271"/>
      <c r="AI218" s="279"/>
      <c r="AJ218" s="271"/>
      <c r="AK218" s="271"/>
      <c r="AL218" s="271"/>
      <c r="AM218" s="271"/>
      <c r="AN218" s="271"/>
      <c r="AO218" s="271"/>
      <c r="AP218" s="271"/>
      <c r="AQ218" s="271"/>
      <c r="AR218" s="271"/>
      <c r="AS218" s="271"/>
      <c r="AT218" s="271"/>
      <c r="AU218" s="271"/>
      <c r="AV218" s="271"/>
      <c r="AW218" s="271"/>
      <c r="AX218" s="271"/>
      <c r="AY218" s="271"/>
      <c r="AZ218" s="271"/>
      <c r="BA218" s="271"/>
      <c r="BB218" s="273"/>
      <c r="BC218" s="271"/>
      <c r="BD218" s="271"/>
      <c r="BE218" s="271"/>
      <c r="BF218" s="271"/>
      <c r="BG218" s="271"/>
      <c r="BH218" s="271"/>
      <c r="BI218" s="271"/>
      <c r="BJ218" s="271"/>
      <c r="BK218" s="271"/>
      <c r="BL218" s="259"/>
      <c r="BM218" s="271"/>
      <c r="BN218" s="271"/>
      <c r="BO218" s="272"/>
      <c r="BP218" s="272"/>
      <c r="BQ218" s="272"/>
      <c r="BR218" s="272"/>
      <c r="BS218" s="272"/>
      <c r="BT218" s="272"/>
      <c r="BU218" s="272"/>
      <c r="BV218" s="271"/>
      <c r="BW218" s="271"/>
      <c r="BX218" s="271"/>
      <c r="BY218" s="271"/>
      <c r="BZ218" s="271"/>
      <c r="CA218" s="271"/>
      <c r="CB218" s="271" t="s">
        <v>443</v>
      </c>
      <c r="CC218" s="271"/>
      <c r="CD218" s="271"/>
      <c r="CE218" s="271"/>
      <c r="CF218" s="271"/>
      <c r="CG218" s="271"/>
      <c r="CH218" s="271"/>
      <c r="CI218" s="271"/>
    </row>
    <row r="219" spans="1:87" ht="15" customHeight="1">
      <c r="A219" s="264"/>
      <c r="B219" s="141" t="s">
        <v>26</v>
      </c>
      <c r="C219" s="137" t="s">
        <v>34</v>
      </c>
      <c r="D219" s="133"/>
      <c r="E219" s="232" t="s">
        <v>1922</v>
      </c>
      <c r="F219" s="230" t="s">
        <v>1945</v>
      </c>
      <c r="G219" s="245" t="s">
        <v>1868</v>
      </c>
      <c r="H219" s="265" t="s">
        <v>1924</v>
      </c>
      <c r="I219" s="268">
        <v>45604</v>
      </c>
      <c r="J219" s="268">
        <v>45630</v>
      </c>
      <c r="K219" s="268">
        <v>45631</v>
      </c>
      <c r="L219" s="269">
        <f t="array" ref="L219">MIN(IF(W219:CI219&gt;0,$W$16:$CI$16))</f>
        <v>45665</v>
      </c>
      <c r="M219" s="300">
        <f t="array" ref="M219">MAX(IF(W219:CI219&gt;0,$W$16:$CI$16))</f>
        <v>45667</v>
      </c>
      <c r="N219" s="312" t="s">
        <v>1868</v>
      </c>
      <c r="O219" s="306">
        <v>0</v>
      </c>
      <c r="P219" s="306">
        <v>0</v>
      </c>
      <c r="Q219" s="238">
        <f>O219-P219</f>
        <v>0</v>
      </c>
      <c r="R219" s="331"/>
      <c r="S219" s="270"/>
      <c r="T219" s="260"/>
      <c r="U219" s="260"/>
      <c r="V219" s="260"/>
      <c r="W219" s="271"/>
      <c r="X219" s="271"/>
      <c r="Y219" s="271"/>
      <c r="Z219" s="271"/>
      <c r="AA219" s="271"/>
      <c r="AB219" s="271"/>
      <c r="AC219" s="271"/>
      <c r="AD219" s="272"/>
      <c r="AE219" s="271"/>
      <c r="AF219" s="271"/>
      <c r="AG219" s="271"/>
      <c r="AH219" s="271"/>
      <c r="AI219" s="279"/>
      <c r="AJ219" s="271"/>
      <c r="AK219" s="271"/>
      <c r="AL219" s="271"/>
      <c r="AM219" s="271"/>
      <c r="AN219" s="271"/>
      <c r="AO219" s="271"/>
      <c r="AP219" s="271"/>
      <c r="AQ219" s="271"/>
      <c r="AR219" s="271"/>
      <c r="AS219" s="271"/>
      <c r="AT219" s="271"/>
      <c r="AU219" s="271"/>
      <c r="AV219" s="271"/>
      <c r="AW219" s="273"/>
      <c r="AX219" s="271"/>
      <c r="AY219" s="271"/>
      <c r="AZ219" s="271"/>
      <c r="BA219" s="273"/>
      <c r="BB219" s="259"/>
      <c r="BC219" s="271"/>
      <c r="BD219" s="271"/>
      <c r="BE219" s="271"/>
      <c r="BF219" s="271"/>
      <c r="BG219" s="271"/>
      <c r="BH219" s="271"/>
      <c r="BI219" s="271"/>
      <c r="BJ219" s="271"/>
      <c r="BK219" s="271"/>
      <c r="BL219" s="271"/>
      <c r="BM219" s="271"/>
      <c r="BN219" s="271"/>
      <c r="BO219" s="272"/>
      <c r="BP219" s="272"/>
      <c r="BQ219" s="272"/>
      <c r="BR219" s="272"/>
      <c r="BS219" s="272"/>
      <c r="BT219" s="272"/>
      <c r="BU219" s="272"/>
      <c r="BV219" s="271"/>
      <c r="BW219" s="271"/>
      <c r="BX219" s="271"/>
      <c r="BY219" s="271"/>
      <c r="BZ219" s="271">
        <v>1</v>
      </c>
      <c r="CA219" s="271">
        <v>1</v>
      </c>
      <c r="CB219" s="271" t="s">
        <v>443</v>
      </c>
      <c r="CC219" s="271"/>
      <c r="CD219" s="271"/>
      <c r="CE219" s="271"/>
      <c r="CF219" s="271"/>
      <c r="CG219" s="271"/>
      <c r="CH219" s="271"/>
      <c r="CI219" s="271"/>
    </row>
    <row r="220" spans="1:87" ht="15" customHeight="1">
      <c r="A220" s="264"/>
      <c r="B220" s="141" t="s">
        <v>26</v>
      </c>
      <c r="C220" s="137" t="s">
        <v>310</v>
      </c>
      <c r="D220" s="133"/>
      <c r="E220" s="230" t="s">
        <v>311</v>
      </c>
      <c r="F220" s="230" t="s">
        <v>1910</v>
      </c>
      <c r="G220" s="318">
        <f>COUNTA(G221:G224)</f>
        <v>4</v>
      </c>
      <c r="H220" s="285" t="s">
        <v>1921</v>
      </c>
      <c r="I220" s="266" t="s">
        <v>38</v>
      </c>
      <c r="J220" s="267">
        <f>MIN(J221:J224)</f>
        <v>45631</v>
      </c>
      <c r="K220" s="267">
        <f>MIN(K221:K224)</f>
        <v>45631</v>
      </c>
      <c r="L220" s="267">
        <f>MIN(L221:L224)</f>
        <v>45663</v>
      </c>
      <c r="M220" s="268">
        <f>MAX(M221:M224)</f>
        <v>45664</v>
      </c>
      <c r="N220" s="312">
        <f t="array" ref="N220">MAX(IF(W220:CI220&gt;0,$W$16:$CI$16))</f>
        <v>45674</v>
      </c>
      <c r="O220" s="311">
        <f>SUMPRODUCT(O221:O224,U221:U224)/SUM(U221:U224)</f>
        <v>0.25</v>
      </c>
      <c r="P220" s="311">
        <f ca="1">SUMPRODUCT(P221:P224,U221:U224)/SUM(U221:U224)</f>
        <v>1</v>
      </c>
      <c r="Q220" s="238">
        <f t="shared" ref="Q220:Q225" ca="1" si="57">O220-P220</f>
        <v>-0.75</v>
      </c>
      <c r="R220" s="329" t="s">
        <v>1968</v>
      </c>
      <c r="S220" s="270"/>
      <c r="T220" s="260"/>
      <c r="U220" s="260"/>
      <c r="V220" s="260"/>
      <c r="W220" s="271"/>
      <c r="X220" s="271"/>
      <c r="Y220" s="271"/>
      <c r="Z220" s="271"/>
      <c r="AA220" s="271"/>
      <c r="AB220" s="271"/>
      <c r="AC220" s="271"/>
      <c r="AD220" s="272"/>
      <c r="AE220" s="271"/>
      <c r="AF220" s="271"/>
      <c r="AG220" s="271"/>
      <c r="AH220" s="271"/>
      <c r="AI220" s="271"/>
      <c r="AJ220" s="271"/>
      <c r="AK220" s="271"/>
      <c r="AL220" s="271"/>
      <c r="AM220" s="271"/>
      <c r="AN220" s="271"/>
      <c r="AO220" s="271"/>
      <c r="AP220" s="271"/>
      <c r="AQ220" s="271"/>
      <c r="AR220" s="271"/>
      <c r="AS220" s="271"/>
      <c r="AT220" s="273"/>
      <c r="AU220" s="271"/>
      <c r="AV220" s="271"/>
      <c r="AW220" s="271"/>
      <c r="AX220" s="271"/>
      <c r="AY220" s="271"/>
      <c r="AZ220" s="271"/>
      <c r="BA220" s="271"/>
      <c r="BB220" s="259"/>
      <c r="BC220" s="271"/>
      <c r="BD220" s="271"/>
      <c r="BE220" s="271"/>
      <c r="BF220" s="271"/>
      <c r="BG220" s="271"/>
      <c r="BH220" s="271"/>
      <c r="BI220" s="271"/>
      <c r="BJ220" s="271"/>
      <c r="BK220" s="271"/>
      <c r="BL220" s="271"/>
      <c r="BM220" s="271"/>
      <c r="BN220" s="271"/>
      <c r="BO220" s="272"/>
      <c r="BP220" s="272"/>
      <c r="BQ220" s="272"/>
      <c r="BR220" s="272"/>
      <c r="BS220" s="272"/>
      <c r="BT220" s="272"/>
      <c r="BU220" s="272"/>
      <c r="BV220" s="271"/>
      <c r="BW220" s="271"/>
      <c r="BX220" s="271"/>
      <c r="BY220" s="271"/>
      <c r="BZ220" s="271"/>
      <c r="CA220" s="271"/>
      <c r="CB220" s="271"/>
      <c r="CC220" s="271"/>
      <c r="CD220" s="271"/>
      <c r="CE220" s="271"/>
      <c r="CF220" s="271"/>
      <c r="CG220" s="271" t="s">
        <v>443</v>
      </c>
      <c r="CH220" s="271"/>
      <c r="CI220" s="271"/>
    </row>
    <row r="221" spans="1:87" ht="16.2" outlineLevel="1">
      <c r="A221" s="264" t="str">
        <f t="shared" ref="A221:A228" si="58">E221&amp;G221</f>
        <v>modesg_out_bens_imoveisflg_rsc_fsc_agd</v>
      </c>
      <c r="B221" s="141" t="s">
        <v>26</v>
      </c>
      <c r="C221" s="137" t="s">
        <v>310</v>
      </c>
      <c r="D221" s="226" t="s">
        <v>40</v>
      </c>
      <c r="E221" s="227" t="s">
        <v>311</v>
      </c>
      <c r="F221" s="227"/>
      <c r="G221" s="319" t="s">
        <v>282</v>
      </c>
      <c r="H221" s="226" t="str">
        <f>VLOOKUP(A221,'2. Status Detalhe Campos FY24'!$A$7:$G$732,7,0)</f>
        <v>2.1 Em Teste</v>
      </c>
      <c r="I221" s="266" t="s">
        <v>38</v>
      </c>
      <c r="J221" s="275">
        <v>45631</v>
      </c>
      <c r="K221" s="275">
        <v>45631</v>
      </c>
      <c r="L221" s="280">
        <f t="array" ref="L221">MIN(IF(W221:CI221&gt;0,$W$16:$CI$16))</f>
        <v>45663</v>
      </c>
      <c r="M221" s="281">
        <f t="array" ref="M221">MAX(IF(W221:CI221&gt;0,$W$16:$CI$16))</f>
        <v>45663</v>
      </c>
      <c r="N221" s="281"/>
      <c r="O221" s="239">
        <f>VLOOKUP(H221,Auxiliar!$B$16:$E$24,4,0)</f>
        <v>0.25</v>
      </c>
      <c r="P221" s="239">
        <f ca="1">IF(TODAY()&lt;=L221,0,MIN((TODAY()-L221)/(M221-L221+1),100%))</f>
        <v>1</v>
      </c>
      <c r="Q221" s="238">
        <f t="shared" ca="1" si="57"/>
        <v>-0.75</v>
      </c>
      <c r="R221" s="331" t="s">
        <v>38</v>
      </c>
      <c r="S221" s="270"/>
      <c r="T221" s="260">
        <v>16.100000000000001</v>
      </c>
      <c r="U221" s="260">
        <f>ROUND(T221/8,1)</f>
        <v>2</v>
      </c>
      <c r="V221" s="260">
        <f>SUM(W221:CI221)-U221</f>
        <v>0</v>
      </c>
      <c r="W221" s="271"/>
      <c r="X221" s="271"/>
      <c r="Y221" s="271"/>
      <c r="Z221" s="271"/>
      <c r="AA221" s="271"/>
      <c r="AB221" s="271"/>
      <c r="AC221" s="271"/>
      <c r="AD221" s="272"/>
      <c r="AE221" s="271"/>
      <c r="AF221" s="271"/>
      <c r="AG221" s="271"/>
      <c r="AH221" s="271"/>
      <c r="AI221" s="271"/>
      <c r="AJ221" s="271"/>
      <c r="AK221" s="271"/>
      <c r="AL221" s="271"/>
      <c r="AM221" s="271"/>
      <c r="AN221" s="271"/>
      <c r="AO221" s="271"/>
      <c r="AP221" s="271"/>
      <c r="AQ221" s="271"/>
      <c r="AR221" s="271"/>
      <c r="AS221" s="271"/>
      <c r="AT221" s="273"/>
      <c r="AU221" s="271"/>
      <c r="AV221" s="271"/>
      <c r="AW221" s="271"/>
      <c r="AX221" s="271"/>
      <c r="AY221" s="271"/>
      <c r="AZ221" s="271"/>
      <c r="BA221" s="271"/>
      <c r="BB221" s="259"/>
      <c r="BC221" s="271"/>
      <c r="BD221" s="271"/>
      <c r="BE221" s="271"/>
      <c r="BF221" s="271"/>
      <c r="BG221" s="271"/>
      <c r="BH221" s="271"/>
      <c r="BI221" s="271"/>
      <c r="BJ221" s="271"/>
      <c r="BK221" s="271"/>
      <c r="BL221" s="271"/>
      <c r="BM221" s="271"/>
      <c r="BN221" s="271"/>
      <c r="BO221" s="272"/>
      <c r="BP221" s="272"/>
      <c r="BQ221" s="272"/>
      <c r="BR221" s="272"/>
      <c r="BS221" s="272"/>
      <c r="BT221" s="272"/>
      <c r="BU221" s="272"/>
      <c r="BV221" s="271"/>
      <c r="BW221" s="271"/>
      <c r="BX221" s="271">
        <v>2</v>
      </c>
      <c r="BY221" s="271"/>
      <c r="BZ221" s="271"/>
      <c r="CA221" s="271"/>
      <c r="CB221" s="271"/>
      <c r="CC221" s="271"/>
      <c r="CD221" s="271"/>
      <c r="CE221" s="271"/>
      <c r="CF221" s="271"/>
      <c r="CG221" s="271"/>
      <c r="CH221" s="271"/>
      <c r="CI221" s="271"/>
    </row>
    <row r="222" spans="1:87" ht="16.2" outlineLevel="1">
      <c r="A222" s="264" t="str">
        <f t="shared" si="58"/>
        <v>modesg_out_bens_imoveisflg_rsc_fsc_crnc</v>
      </c>
      <c r="B222" s="141" t="s">
        <v>26</v>
      </c>
      <c r="C222" s="137" t="s">
        <v>310</v>
      </c>
      <c r="D222" s="226" t="s">
        <v>40</v>
      </c>
      <c r="E222" s="227" t="s">
        <v>311</v>
      </c>
      <c r="F222" s="227"/>
      <c r="G222" s="319" t="s">
        <v>283</v>
      </c>
      <c r="H222" s="226" t="str">
        <f>VLOOKUP(A222,'2. Status Detalhe Campos FY24'!$A$7:$G$732,7,0)</f>
        <v>2.1 Em Teste</v>
      </c>
      <c r="I222" s="266" t="s">
        <v>38</v>
      </c>
      <c r="J222" s="275">
        <v>45631</v>
      </c>
      <c r="K222" s="275">
        <v>45631</v>
      </c>
      <c r="L222" s="280">
        <f t="array" ref="L222">MIN(IF(W222:CI222&gt;0,$W$16:$CI$16))</f>
        <v>45663</v>
      </c>
      <c r="M222" s="281">
        <f t="array" ref="M222">MAX(IF(W222:CI222&gt;0,$W$16:$CI$16))</f>
        <v>45664</v>
      </c>
      <c r="N222" s="281"/>
      <c r="O222" s="239">
        <f>VLOOKUP(H222,Auxiliar!$B$16:$E$24,4,0)</f>
        <v>0.25</v>
      </c>
      <c r="P222" s="239">
        <f ca="1">IF(TODAY()&lt;=L222,0,MIN((TODAY()-L222)/(M222-L222+1),100%))</f>
        <v>1</v>
      </c>
      <c r="Q222" s="238">
        <f t="shared" ca="1" si="57"/>
        <v>-0.75</v>
      </c>
      <c r="R222" s="331" t="s">
        <v>38</v>
      </c>
      <c r="S222" s="270"/>
      <c r="T222" s="260">
        <v>16.100000000000001</v>
      </c>
      <c r="U222" s="260">
        <f>ROUND(T222/8,1)</f>
        <v>2</v>
      </c>
      <c r="V222" s="260">
        <f>SUM(W222:CI222)-U222</f>
        <v>0</v>
      </c>
      <c r="W222" s="271"/>
      <c r="X222" s="271"/>
      <c r="Y222" s="271"/>
      <c r="Z222" s="271"/>
      <c r="AA222" s="271"/>
      <c r="AB222" s="271"/>
      <c r="AC222" s="271"/>
      <c r="AD222" s="272"/>
      <c r="AE222" s="271"/>
      <c r="AF222" s="271"/>
      <c r="AG222" s="271"/>
      <c r="AH222" s="271"/>
      <c r="AI222" s="271"/>
      <c r="AJ222" s="271"/>
      <c r="AK222" s="271"/>
      <c r="AL222" s="271"/>
      <c r="AM222" s="271"/>
      <c r="AN222" s="271"/>
      <c r="AO222" s="271"/>
      <c r="AP222" s="271"/>
      <c r="AQ222" s="271"/>
      <c r="AR222" s="271"/>
      <c r="AS222" s="271"/>
      <c r="AT222" s="273"/>
      <c r="AU222" s="271"/>
      <c r="AV222" s="271"/>
      <c r="AW222" s="271"/>
      <c r="AX222" s="271"/>
      <c r="AY222" s="271"/>
      <c r="AZ222" s="271"/>
      <c r="BA222" s="271"/>
      <c r="BB222" s="259"/>
      <c r="BC222" s="271"/>
      <c r="BD222" s="271"/>
      <c r="BE222" s="271"/>
      <c r="BF222" s="271"/>
      <c r="BG222" s="271"/>
      <c r="BH222" s="271"/>
      <c r="BI222" s="271"/>
      <c r="BJ222" s="271"/>
      <c r="BK222" s="271"/>
      <c r="BL222" s="271"/>
      <c r="BM222" s="271"/>
      <c r="BN222" s="271"/>
      <c r="BO222" s="272"/>
      <c r="BP222" s="272"/>
      <c r="BQ222" s="272"/>
      <c r="BR222" s="272"/>
      <c r="BS222" s="272"/>
      <c r="BT222" s="272"/>
      <c r="BU222" s="272"/>
      <c r="BV222" s="271"/>
      <c r="BW222" s="271"/>
      <c r="BX222" s="271">
        <v>1</v>
      </c>
      <c r="BY222" s="271">
        <v>1</v>
      </c>
      <c r="BZ222" s="271"/>
      <c r="CA222" s="271"/>
      <c r="CB222" s="271"/>
      <c r="CC222" s="271"/>
      <c r="CD222" s="271"/>
      <c r="CE222" s="271"/>
      <c r="CF222" s="271"/>
      <c r="CG222" s="271"/>
      <c r="CH222" s="271"/>
      <c r="CI222" s="271"/>
    </row>
    <row r="223" spans="1:87" ht="16.2" outlineLevel="1">
      <c r="A223" s="264" t="str">
        <f t="shared" si="58"/>
        <v>modesg_out_bens_imoveisorigem_flg_rsc_fsc_agd</v>
      </c>
      <c r="B223" s="141" t="s">
        <v>26</v>
      </c>
      <c r="C223" s="137" t="s">
        <v>310</v>
      </c>
      <c r="D223" s="226" t="s">
        <v>40</v>
      </c>
      <c r="E223" s="227" t="s">
        <v>311</v>
      </c>
      <c r="F223" s="227"/>
      <c r="G223" s="319" t="s">
        <v>317</v>
      </c>
      <c r="H223" s="226" t="str">
        <f>VLOOKUP(A223,'2. Status Detalhe Campos FY24'!$A$7:$G$732,7,0)</f>
        <v>2.1 Em Teste</v>
      </c>
      <c r="I223" s="266" t="s">
        <v>38</v>
      </c>
      <c r="J223" s="275">
        <v>45631</v>
      </c>
      <c r="K223" s="275">
        <v>45631</v>
      </c>
      <c r="L223" s="280">
        <f t="array" ref="L223">MIN(IF(W223:CI223&gt;0,$W$16:$CI$16))</f>
        <v>45664</v>
      </c>
      <c r="M223" s="281">
        <f t="array" ref="M223">MAX(IF(W223:CI223&gt;0,$W$16:$CI$16))</f>
        <v>45664</v>
      </c>
      <c r="N223" s="281"/>
      <c r="O223" s="239">
        <f>VLOOKUP(H223,Auxiliar!$B$16:$E$24,4,0)</f>
        <v>0.25</v>
      </c>
      <c r="P223" s="239">
        <f ca="1">IF(TODAY()&lt;=L223,0,MIN((TODAY()-L223)/(M223-L223+1),100%))</f>
        <v>1</v>
      </c>
      <c r="Q223" s="238">
        <f t="shared" ca="1" si="57"/>
        <v>-0.75</v>
      </c>
      <c r="R223" s="331" t="s">
        <v>38</v>
      </c>
      <c r="S223" s="270"/>
      <c r="T223" s="260">
        <v>4.0999999999999996</v>
      </c>
      <c r="U223" s="260">
        <f>ROUND(T223/8,1)</f>
        <v>0.5</v>
      </c>
      <c r="V223" s="260">
        <f>SUM(W223:CI223)-U223</f>
        <v>0</v>
      </c>
      <c r="W223" s="271"/>
      <c r="X223" s="271"/>
      <c r="Y223" s="271"/>
      <c r="Z223" s="271"/>
      <c r="AA223" s="271"/>
      <c r="AB223" s="271"/>
      <c r="AC223" s="271"/>
      <c r="AD223" s="272"/>
      <c r="AE223" s="271"/>
      <c r="AF223" s="271"/>
      <c r="AG223" s="271"/>
      <c r="AH223" s="271"/>
      <c r="AI223" s="271"/>
      <c r="AJ223" s="271"/>
      <c r="AK223" s="271"/>
      <c r="AL223" s="271"/>
      <c r="AM223" s="271"/>
      <c r="AN223" s="271"/>
      <c r="AO223" s="271"/>
      <c r="AP223" s="271"/>
      <c r="AQ223" s="271"/>
      <c r="AR223" s="271"/>
      <c r="AS223" s="271"/>
      <c r="AT223" s="273"/>
      <c r="AU223" s="271"/>
      <c r="AV223" s="271"/>
      <c r="AW223" s="271"/>
      <c r="AX223" s="271"/>
      <c r="AY223" s="271"/>
      <c r="AZ223" s="271"/>
      <c r="BA223" s="271"/>
      <c r="BB223" s="259"/>
      <c r="BC223" s="271"/>
      <c r="BD223" s="271"/>
      <c r="BE223" s="271"/>
      <c r="BF223" s="271"/>
      <c r="BG223" s="271"/>
      <c r="BH223" s="271"/>
      <c r="BI223" s="271"/>
      <c r="BJ223" s="271"/>
      <c r="BK223" s="271"/>
      <c r="BL223" s="271"/>
      <c r="BM223" s="271"/>
      <c r="BN223" s="271"/>
      <c r="BO223" s="272"/>
      <c r="BP223" s="272"/>
      <c r="BQ223" s="272"/>
      <c r="BR223" s="272"/>
      <c r="BS223" s="272"/>
      <c r="BT223" s="272"/>
      <c r="BU223" s="272"/>
      <c r="BV223" s="271"/>
      <c r="BW223" s="271"/>
      <c r="BX223" s="271"/>
      <c r="BY223" s="271">
        <v>0.5</v>
      </c>
      <c r="BZ223" s="271"/>
      <c r="CA223" s="271"/>
      <c r="CB223" s="271"/>
      <c r="CC223" s="271"/>
      <c r="CD223" s="271"/>
      <c r="CE223" s="271"/>
      <c r="CF223" s="271"/>
      <c r="CG223" s="271"/>
      <c r="CH223" s="271"/>
      <c r="CI223" s="271"/>
    </row>
    <row r="224" spans="1:87" ht="16.2" outlineLevel="1">
      <c r="A224" s="264" t="str">
        <f t="shared" si="58"/>
        <v>modesg_out_bens_imoveisorigem_flg_rsc_fsc_crnc</v>
      </c>
      <c r="B224" s="141" t="s">
        <v>26</v>
      </c>
      <c r="C224" s="137" t="s">
        <v>310</v>
      </c>
      <c r="D224" s="226" t="s">
        <v>40</v>
      </c>
      <c r="E224" s="227" t="s">
        <v>311</v>
      </c>
      <c r="F224" s="227"/>
      <c r="G224" s="319" t="s">
        <v>318</v>
      </c>
      <c r="H224" s="226" t="str">
        <f>VLOOKUP(A224,'2. Status Detalhe Campos FY24'!$A$7:$G$732,7,0)</f>
        <v>2.1 Em Teste</v>
      </c>
      <c r="I224" s="266" t="s">
        <v>38</v>
      </c>
      <c r="J224" s="275">
        <v>45631</v>
      </c>
      <c r="K224" s="275">
        <v>45631</v>
      </c>
      <c r="L224" s="280">
        <f t="array" ref="L224">MIN(IF(W224:CI224&gt;0,$W$16:$CI$16))</f>
        <v>45664</v>
      </c>
      <c r="M224" s="281">
        <f t="array" ref="M224">MAX(IF(W224:CI224&gt;0,$W$16:$CI$16))</f>
        <v>45664</v>
      </c>
      <c r="N224" s="281"/>
      <c r="O224" s="239">
        <f>VLOOKUP(H224,Auxiliar!$B$16:$E$24,4,0)</f>
        <v>0.25</v>
      </c>
      <c r="P224" s="239">
        <f ca="1">IF(TODAY()&lt;=L224,0,MIN((TODAY()-L224)/(M224-L224+1),100%))</f>
        <v>1</v>
      </c>
      <c r="Q224" s="238">
        <f t="shared" ca="1" si="57"/>
        <v>-0.75</v>
      </c>
      <c r="R224" s="331" t="s">
        <v>38</v>
      </c>
      <c r="S224" s="270"/>
      <c r="T224" s="260">
        <v>4.0999999999999996</v>
      </c>
      <c r="U224" s="260">
        <f>ROUND(T224/8,1)</f>
        <v>0.5</v>
      </c>
      <c r="V224" s="260">
        <f>SUM(W224:CI224)-U224</f>
        <v>0</v>
      </c>
      <c r="W224" s="271"/>
      <c r="X224" s="271"/>
      <c r="Y224" s="271"/>
      <c r="Z224" s="271"/>
      <c r="AA224" s="271"/>
      <c r="AB224" s="271"/>
      <c r="AC224" s="271"/>
      <c r="AD224" s="272"/>
      <c r="AE224" s="271"/>
      <c r="AF224" s="271"/>
      <c r="AG224" s="271"/>
      <c r="AH224" s="271"/>
      <c r="AI224" s="271"/>
      <c r="AJ224" s="271"/>
      <c r="AK224" s="271"/>
      <c r="AL224" s="271"/>
      <c r="AM224" s="271"/>
      <c r="AN224" s="271"/>
      <c r="AO224" s="271"/>
      <c r="AP224" s="271"/>
      <c r="AQ224" s="271"/>
      <c r="AR224" s="271"/>
      <c r="AS224" s="271"/>
      <c r="AT224" s="273"/>
      <c r="AU224" s="271"/>
      <c r="AV224" s="271"/>
      <c r="AW224" s="271"/>
      <c r="AX224" s="271"/>
      <c r="AY224" s="271"/>
      <c r="AZ224" s="271"/>
      <c r="BA224" s="271"/>
      <c r="BB224" s="259"/>
      <c r="BC224" s="271"/>
      <c r="BD224" s="271"/>
      <c r="BE224" s="271"/>
      <c r="BF224" s="271"/>
      <c r="BG224" s="271"/>
      <c r="BH224" s="271"/>
      <c r="BI224" s="271"/>
      <c r="BJ224" s="271"/>
      <c r="BK224" s="271"/>
      <c r="BL224" s="271"/>
      <c r="BM224" s="271"/>
      <c r="BN224" s="271"/>
      <c r="BO224" s="272"/>
      <c r="BP224" s="272"/>
      <c r="BQ224" s="272"/>
      <c r="BR224" s="272"/>
      <c r="BS224" s="272"/>
      <c r="BT224" s="272"/>
      <c r="BU224" s="272"/>
      <c r="BV224" s="271"/>
      <c r="BW224" s="271"/>
      <c r="BX224" s="271"/>
      <c r="BY224" s="271">
        <v>0.5</v>
      </c>
      <c r="BZ224" s="271"/>
      <c r="CA224" s="271"/>
      <c r="CB224" s="271"/>
      <c r="CC224" s="271"/>
      <c r="CD224" s="271"/>
      <c r="CE224" s="271"/>
      <c r="CF224" s="271"/>
      <c r="CG224" s="271"/>
      <c r="CH224" s="271"/>
      <c r="CI224" s="271"/>
    </row>
    <row r="225" spans="1:87" ht="15" customHeight="1" collapsed="1">
      <c r="A225" s="264" t="str">
        <f t="shared" si="58"/>
        <v>lt002_instrument3</v>
      </c>
      <c r="B225" s="141" t="s">
        <v>26</v>
      </c>
      <c r="C225" s="137" t="s">
        <v>26</v>
      </c>
      <c r="D225" s="226"/>
      <c r="E225" s="232" t="s">
        <v>379</v>
      </c>
      <c r="F225" s="232" t="s">
        <v>1912</v>
      </c>
      <c r="G225" s="245">
        <v>3</v>
      </c>
      <c r="H225" s="288" t="s">
        <v>1925</v>
      </c>
      <c r="I225" s="266" t="s">
        <v>38</v>
      </c>
      <c r="J225" s="267">
        <f>MIN(J226:J228)</f>
        <v>45631</v>
      </c>
      <c r="K225" s="267">
        <f>MIN(K226:K228)</f>
        <v>45631</v>
      </c>
      <c r="L225" s="267">
        <f>MIN(L226)</f>
        <v>45664</v>
      </c>
      <c r="M225" s="268">
        <f>MAX(M226)</f>
        <v>45664</v>
      </c>
      <c r="N225" s="312">
        <f t="array" ref="N225">MAX(IF(W225:CI225&gt;0,$W$16:$CI$16))</f>
        <v>45678</v>
      </c>
      <c r="O225" s="241">
        <f>SUMPRODUCT(O226:O228,U226:U228)/SUM(U226:U228)</f>
        <v>0</v>
      </c>
      <c r="P225" s="241">
        <v>0.25</v>
      </c>
      <c r="Q225" s="238">
        <f t="shared" si="57"/>
        <v>-0.25</v>
      </c>
      <c r="R225" s="331"/>
      <c r="S225" s="270"/>
      <c r="T225" s="299"/>
      <c r="U225" s="260"/>
      <c r="V225" s="260"/>
      <c r="W225" s="271"/>
      <c r="X225" s="271"/>
      <c r="Y225" s="271"/>
      <c r="Z225" s="271"/>
      <c r="AA225" s="271"/>
      <c r="AB225" s="271"/>
      <c r="AC225" s="271"/>
      <c r="AD225" s="272"/>
      <c r="AE225" s="271"/>
      <c r="AF225" s="271"/>
      <c r="AG225" s="271"/>
      <c r="AH225" s="271"/>
      <c r="AI225" s="271"/>
      <c r="AJ225" s="271"/>
      <c r="AK225" s="271"/>
      <c r="AL225" s="271"/>
      <c r="AM225" s="271"/>
      <c r="AN225" s="271"/>
      <c r="AO225" s="271"/>
      <c r="AP225" s="271"/>
      <c r="AQ225" s="271"/>
      <c r="AR225" s="271"/>
      <c r="AS225" s="271"/>
      <c r="AT225" s="271"/>
      <c r="AU225" s="271"/>
      <c r="AV225" s="271"/>
      <c r="AW225" s="271"/>
      <c r="AX225" s="271"/>
      <c r="AY225" s="271"/>
      <c r="AZ225" s="271"/>
      <c r="BA225" s="271"/>
      <c r="BB225" s="259"/>
      <c r="BC225" s="271"/>
      <c r="BD225" s="271"/>
      <c r="BE225" s="271"/>
      <c r="BF225" s="271"/>
      <c r="BG225" s="271"/>
      <c r="BH225" s="271"/>
      <c r="BI225" s="271"/>
      <c r="BJ225" s="271"/>
      <c r="BK225" s="271"/>
      <c r="BL225" s="271"/>
      <c r="BM225" s="271"/>
      <c r="BN225" s="271"/>
      <c r="BO225" s="272"/>
      <c r="BP225" s="272"/>
      <c r="BQ225" s="272"/>
      <c r="BR225" s="272"/>
      <c r="BS225" s="272"/>
      <c r="BT225" s="272"/>
      <c r="BU225" s="272"/>
      <c r="BV225" s="271"/>
      <c r="BW225" s="271"/>
      <c r="BX225" s="271"/>
      <c r="BY225" s="271"/>
      <c r="BZ225" s="271"/>
      <c r="CA225" s="271"/>
      <c r="CB225" s="271"/>
      <c r="CC225" s="271"/>
      <c r="CD225" s="271"/>
      <c r="CE225" s="271"/>
      <c r="CF225" s="271"/>
      <c r="CH225" s="271"/>
      <c r="CI225" s="271" t="s">
        <v>443</v>
      </c>
    </row>
    <row r="226" spans="1:87" ht="16.2" outlineLevel="1">
      <c r="A226" s="264" t="str">
        <f t="shared" si="58"/>
        <v>lt002_instrumentgrss_intrst_incm</v>
      </c>
      <c r="B226" s="141" t="s">
        <v>26</v>
      </c>
      <c r="C226" s="137" t="s">
        <v>26</v>
      </c>
      <c r="D226" s="226"/>
      <c r="E226" s="229" t="s">
        <v>379</v>
      </c>
      <c r="F226" s="229"/>
      <c r="G226" s="320" t="s">
        <v>420</v>
      </c>
      <c r="H226" s="226" t="str">
        <f>VLOOKUP(A226,'2. Status Detalhe Campos FY24'!$A$7:$G$732,7,0)</f>
        <v>2.2 Em especificação</v>
      </c>
      <c r="I226" s="266"/>
      <c r="J226" s="275">
        <v>45631</v>
      </c>
      <c r="K226" s="275">
        <v>45631</v>
      </c>
      <c r="L226" s="280">
        <f t="array" ref="L226">MIN(IF(W226:CI226&gt;0,$W$16:$CI$16))</f>
        <v>45664</v>
      </c>
      <c r="M226" s="281">
        <f t="array" ref="M226">MAX(IF(W226:CI226&gt;0,$W$16:$CI$16))</f>
        <v>45664</v>
      </c>
      <c r="N226" s="281"/>
      <c r="O226" s="239">
        <f>VLOOKUP(H226,Auxiliar!$B$16:$E$24,4,0)</f>
        <v>0</v>
      </c>
      <c r="P226" s="239">
        <f ca="1">IF(TODAY()&lt;=L226,0,MIN((TODAY()-L226)/(M226-L226+1),100%))</f>
        <v>1</v>
      </c>
      <c r="Q226" s="239">
        <f ca="1">O226-P226</f>
        <v>-1</v>
      </c>
      <c r="R226" s="332"/>
      <c r="S226" s="270"/>
      <c r="T226" s="296">
        <v>8</v>
      </c>
      <c r="U226" s="260">
        <f>ROUND(T226/8,1)</f>
        <v>1</v>
      </c>
      <c r="V226" s="260">
        <f>SUM(W226:CI226)-U226</f>
        <v>0</v>
      </c>
      <c r="W226" s="271"/>
      <c r="X226" s="271"/>
      <c r="Y226" s="271"/>
      <c r="Z226" s="271"/>
      <c r="AA226" s="271"/>
      <c r="AB226" s="271"/>
      <c r="AC226" s="271"/>
      <c r="AD226" s="272"/>
      <c r="AE226" s="271"/>
      <c r="AF226" s="271"/>
      <c r="AG226" s="271"/>
      <c r="AH226" s="271"/>
      <c r="AI226" s="271"/>
      <c r="AJ226" s="271"/>
      <c r="AK226" s="271"/>
      <c r="AL226" s="271"/>
      <c r="AM226" s="271"/>
      <c r="AN226" s="271"/>
      <c r="AO226" s="271"/>
      <c r="AP226" s="271"/>
      <c r="AQ226" s="271"/>
      <c r="AR226" s="271"/>
      <c r="AS226" s="271"/>
      <c r="AT226" s="271"/>
      <c r="AU226" s="271"/>
      <c r="AV226" s="271"/>
      <c r="AW226" s="271"/>
      <c r="AX226" s="271"/>
      <c r="AY226" s="271"/>
      <c r="AZ226" s="271"/>
      <c r="BA226" s="271"/>
      <c r="BB226" s="259"/>
      <c r="BC226" s="271"/>
      <c r="BD226" s="271"/>
      <c r="BE226" s="271"/>
      <c r="BF226" s="271"/>
      <c r="BG226" s="271"/>
      <c r="BH226" s="271"/>
      <c r="BI226" s="271"/>
      <c r="BJ226" s="271"/>
      <c r="BK226" s="271"/>
      <c r="BL226" s="271"/>
      <c r="BM226" s="271"/>
      <c r="BN226" s="271"/>
      <c r="BO226" s="272"/>
      <c r="BP226" s="272"/>
      <c r="BQ226" s="272"/>
      <c r="BR226" s="272"/>
      <c r="BS226" s="272"/>
      <c r="BT226" s="272"/>
      <c r="BU226" s="272"/>
      <c r="BV226" s="271"/>
      <c r="BW226" s="271"/>
      <c r="BX226" s="271"/>
      <c r="BY226" s="271">
        <v>1</v>
      </c>
      <c r="BZ226" s="271"/>
      <c r="CA226" s="271"/>
      <c r="CB226" s="271"/>
      <c r="CC226" s="271"/>
      <c r="CD226" s="271"/>
      <c r="CE226" s="271"/>
      <c r="CF226" s="271"/>
      <c r="CG226" s="271"/>
      <c r="CH226" s="271"/>
      <c r="CI226" s="271"/>
    </row>
    <row r="227" spans="1:87" ht="16.2" outlineLevel="1">
      <c r="A227" s="264" t="str">
        <f t="shared" si="58"/>
        <v>lt002_instrumentgrss_cmmssn_incm</v>
      </c>
      <c r="B227" s="141" t="s">
        <v>26</v>
      </c>
      <c r="C227" s="137" t="s">
        <v>26</v>
      </c>
      <c r="D227" s="226"/>
      <c r="E227" s="229" t="s">
        <v>379</v>
      </c>
      <c r="F227" s="229"/>
      <c r="G227" s="320" t="s">
        <v>421</v>
      </c>
      <c r="H227" s="226" t="str">
        <f>VLOOKUP(A227,'2. Status Detalhe Campos FY24'!$A$7:$G$732,7,0)</f>
        <v>2.2 Em especificação</v>
      </c>
      <c r="I227" s="266"/>
      <c r="J227" s="275">
        <v>45631</v>
      </c>
      <c r="K227" s="275">
        <v>45631</v>
      </c>
      <c r="L227" s="280">
        <f t="array" ref="L227">MIN(IF(W227:CI227&gt;0,$W$16:$CI$16))</f>
        <v>45665</v>
      </c>
      <c r="M227" s="281">
        <f t="array" ref="M227">MAX(IF(W227:CI227&gt;0,$W$16:$CI$16))</f>
        <v>45665</v>
      </c>
      <c r="N227" s="281"/>
      <c r="O227" s="239">
        <f>VLOOKUP(H227,Auxiliar!$B$16:$E$24,4,0)</f>
        <v>0</v>
      </c>
      <c r="P227" s="239">
        <f ca="1">IF(TODAY()&lt;=L227,0,MIN((TODAY()-L227)/(M227-L227+1),100%))</f>
        <v>1</v>
      </c>
      <c r="Q227" s="239">
        <f ca="1">O227-P227</f>
        <v>-1</v>
      </c>
      <c r="R227" s="332"/>
      <c r="S227" s="270"/>
      <c r="T227" s="296">
        <v>4</v>
      </c>
      <c r="U227" s="260">
        <f>ROUND(T227/8,1)</f>
        <v>0.5</v>
      </c>
      <c r="V227" s="260">
        <f>SUM(W227:CI227)-U227</f>
        <v>0</v>
      </c>
      <c r="W227" s="271"/>
      <c r="X227" s="271"/>
      <c r="Y227" s="271"/>
      <c r="Z227" s="271"/>
      <c r="AA227" s="271"/>
      <c r="AB227" s="271"/>
      <c r="AC227" s="271"/>
      <c r="AD227" s="272"/>
      <c r="AE227" s="271"/>
      <c r="AF227" s="271"/>
      <c r="AG227" s="271"/>
      <c r="AH227" s="271"/>
      <c r="AI227" s="271"/>
      <c r="AJ227" s="271"/>
      <c r="AK227" s="271"/>
      <c r="AL227" s="271"/>
      <c r="AM227" s="271"/>
      <c r="AN227" s="271"/>
      <c r="AO227" s="271"/>
      <c r="AP227" s="271"/>
      <c r="AQ227" s="271"/>
      <c r="AR227" s="271"/>
      <c r="AS227" s="271"/>
      <c r="AT227" s="271"/>
      <c r="AU227" s="271"/>
      <c r="AV227" s="271"/>
      <c r="AW227" s="271"/>
      <c r="AX227" s="271"/>
      <c r="AY227" s="271"/>
      <c r="AZ227" s="271"/>
      <c r="BA227" s="271"/>
      <c r="BB227" s="259"/>
      <c r="BC227" s="271"/>
      <c r="BD227" s="271"/>
      <c r="BE227" s="271"/>
      <c r="BF227" s="271"/>
      <c r="BG227" s="271"/>
      <c r="BH227" s="271"/>
      <c r="BI227" s="271"/>
      <c r="BJ227" s="271"/>
      <c r="BK227" s="271"/>
      <c r="BL227" s="271"/>
      <c r="BM227" s="271"/>
      <c r="BN227" s="271"/>
      <c r="BO227" s="272"/>
      <c r="BP227" s="272"/>
      <c r="BQ227" s="272"/>
      <c r="BR227" s="272"/>
      <c r="BS227" s="272"/>
      <c r="BT227" s="272"/>
      <c r="BU227" s="272"/>
      <c r="BV227" s="271"/>
      <c r="BW227" s="271"/>
      <c r="BX227" s="271"/>
      <c r="BY227" s="271"/>
      <c r="BZ227" s="271">
        <v>0.5</v>
      </c>
      <c r="CA227" s="271"/>
      <c r="CB227" s="271"/>
      <c r="CC227" s="271"/>
      <c r="CD227" s="271"/>
      <c r="CE227" s="271"/>
      <c r="CF227" s="271"/>
      <c r="CG227" s="271"/>
      <c r="CH227" s="271"/>
      <c r="CI227" s="271"/>
    </row>
    <row r="228" spans="1:87" ht="16.2" outlineLevel="1">
      <c r="A228" s="264" t="str">
        <f t="shared" si="58"/>
        <v>lt002_instrumentgrss_cmmssn_incm_off_blnc</v>
      </c>
      <c r="B228" s="141" t="s">
        <v>26</v>
      </c>
      <c r="C228" s="137" t="s">
        <v>26</v>
      </c>
      <c r="D228" s="226"/>
      <c r="E228" s="229" t="s">
        <v>379</v>
      </c>
      <c r="F228" s="229"/>
      <c r="G228" s="320" t="s">
        <v>422</v>
      </c>
      <c r="H228" s="226" t="str">
        <f>VLOOKUP(A228,'2. Status Detalhe Campos FY24'!$A$7:$G$732,7,0)</f>
        <v>2.2 Em especificação</v>
      </c>
      <c r="I228" s="266"/>
      <c r="J228" s="275">
        <v>45631</v>
      </c>
      <c r="K228" s="275">
        <v>45631</v>
      </c>
      <c r="L228" s="280">
        <f t="array" ref="L228">MIN(IF(W228:CI228&gt;0,$W$16:$CI$16))</f>
        <v>45665</v>
      </c>
      <c r="M228" s="281">
        <f t="array" ref="M228">MAX(IF(W228:CI228&gt;0,$W$16:$CI$16))</f>
        <v>45665</v>
      </c>
      <c r="N228" s="281"/>
      <c r="O228" s="239">
        <f>VLOOKUP(H228,Auxiliar!$B$16:$E$24,4,0)</f>
        <v>0</v>
      </c>
      <c r="P228" s="239">
        <f ca="1">IF(TODAY()&lt;=L228,0,MIN((TODAY()-L228)/(M228-L228+1),100%))</f>
        <v>1</v>
      </c>
      <c r="Q228" s="239">
        <f ca="1">O228-P228</f>
        <v>-1</v>
      </c>
      <c r="R228" s="332"/>
      <c r="S228" s="270"/>
      <c r="T228" s="296">
        <v>4</v>
      </c>
      <c r="U228" s="260">
        <f>ROUND(T228/8,1)</f>
        <v>0.5</v>
      </c>
      <c r="V228" s="260">
        <f>SUM(W228:CI228)-U228</f>
        <v>0</v>
      </c>
      <c r="W228" s="271"/>
      <c r="X228" s="271"/>
      <c r="Y228" s="271"/>
      <c r="Z228" s="271"/>
      <c r="AA228" s="271"/>
      <c r="AB228" s="271"/>
      <c r="AC228" s="271"/>
      <c r="AD228" s="272"/>
      <c r="AE228" s="271"/>
      <c r="AF228" s="271"/>
      <c r="AG228" s="271"/>
      <c r="AH228" s="271"/>
      <c r="AI228" s="271"/>
      <c r="AJ228" s="271"/>
      <c r="AK228" s="271"/>
      <c r="AL228" s="271"/>
      <c r="AM228" s="271"/>
      <c r="AN228" s="271"/>
      <c r="AO228" s="271"/>
      <c r="AP228" s="271"/>
      <c r="AQ228" s="271"/>
      <c r="AR228" s="271"/>
      <c r="AS228" s="271"/>
      <c r="AT228" s="271"/>
      <c r="AU228" s="271"/>
      <c r="AV228" s="271"/>
      <c r="AW228" s="271"/>
      <c r="AX228" s="271"/>
      <c r="AY228" s="271"/>
      <c r="AZ228" s="271"/>
      <c r="BA228" s="271"/>
      <c r="BB228" s="259"/>
      <c r="BC228" s="271"/>
      <c r="BD228" s="271"/>
      <c r="BE228" s="271"/>
      <c r="BF228" s="271"/>
      <c r="BG228" s="271"/>
      <c r="BH228" s="271"/>
      <c r="BI228" s="271"/>
      <c r="BJ228" s="271"/>
      <c r="BK228" s="271"/>
      <c r="BL228" s="271"/>
      <c r="BM228" s="271"/>
      <c r="BN228" s="271"/>
      <c r="BO228" s="272"/>
      <c r="BP228" s="272"/>
      <c r="BQ228" s="272"/>
      <c r="BR228" s="272"/>
      <c r="BS228" s="272"/>
      <c r="BT228" s="272"/>
      <c r="BU228" s="272"/>
      <c r="BV228" s="271"/>
      <c r="BW228" s="271"/>
      <c r="BX228" s="271"/>
      <c r="BY228" s="271"/>
      <c r="BZ228" s="271">
        <v>0.5</v>
      </c>
      <c r="CA228" s="271"/>
      <c r="CB228" s="271"/>
      <c r="CC228" s="271"/>
      <c r="CD228" s="271"/>
      <c r="CE228" s="271"/>
      <c r="CF228" s="271"/>
      <c r="CG228" s="271"/>
      <c r="CH228" s="271"/>
      <c r="CI228" s="271"/>
    </row>
    <row r="229" spans="1:87" ht="15" customHeight="1" collapsed="1">
      <c r="A229" s="264"/>
      <c r="B229" s="141" t="s">
        <v>26</v>
      </c>
      <c r="C229" s="137" t="s">
        <v>54</v>
      </c>
      <c r="D229" s="133"/>
      <c r="E229" s="230" t="s">
        <v>123</v>
      </c>
      <c r="F229" s="230" t="s">
        <v>1913</v>
      </c>
      <c r="G229" s="318">
        <f>COUNTA(G230:G248)</f>
        <v>19</v>
      </c>
      <c r="H229" s="285" t="s">
        <v>1921</v>
      </c>
      <c r="I229" s="266" t="s">
        <v>38</v>
      </c>
      <c r="J229" s="267">
        <f>MIN(J230:J248)</f>
        <v>45638</v>
      </c>
      <c r="K229" s="267">
        <f>MIN(K230:K248)</f>
        <v>45639</v>
      </c>
      <c r="L229" s="269">
        <f>MIN(L230:L248)</f>
        <v>45639</v>
      </c>
      <c r="M229" s="269">
        <f>MAX(M230:M248)</f>
        <v>45639</v>
      </c>
      <c r="N229" s="312">
        <f t="array" ref="N229">MAX(IF(W229:CI229&gt;0,$W$16:$CI$16))</f>
        <v>45639</v>
      </c>
      <c r="O229" s="311" t="e">
        <f>SUMPRODUCT(O230:O248,U230:U248)/SUM(U230:U248)</f>
        <v>#N/A</v>
      </c>
      <c r="P229" s="311">
        <f ca="1">SUMPRODUCT(P230:P248,U230:U248)/SUM(U230:U248)</f>
        <v>1</v>
      </c>
      <c r="Q229" s="238" t="e">
        <f t="shared" ca="1" si="53"/>
        <v>#N/A</v>
      </c>
      <c r="R229" s="329" t="s">
        <v>1946</v>
      </c>
      <c r="S229" s="270"/>
      <c r="T229" s="260"/>
      <c r="U229" s="260"/>
      <c r="V229" s="260"/>
      <c r="W229" s="271"/>
      <c r="X229" s="271"/>
      <c r="Y229" s="271"/>
      <c r="Z229" s="278"/>
      <c r="AA229" s="271"/>
      <c r="AB229" s="271"/>
      <c r="AC229" s="271"/>
      <c r="AD229" s="272"/>
      <c r="AE229" s="278"/>
      <c r="AF229" s="271"/>
      <c r="AG229" s="271"/>
      <c r="AH229" s="271"/>
      <c r="AI229" s="279"/>
      <c r="AJ229" s="271"/>
      <c r="AK229" s="271"/>
      <c r="AL229" s="271"/>
      <c r="AM229" s="271"/>
      <c r="AN229" s="271"/>
      <c r="AO229" s="271"/>
      <c r="AP229" s="271"/>
      <c r="AQ229" s="279"/>
      <c r="AR229" s="271"/>
      <c r="AS229" s="271"/>
      <c r="AT229" s="271"/>
      <c r="AU229" s="271"/>
      <c r="AV229" s="271"/>
      <c r="AW229" s="271"/>
      <c r="AX229" s="271"/>
      <c r="AY229" s="271"/>
      <c r="AZ229" s="271"/>
      <c r="BA229" s="271"/>
      <c r="BB229" s="271"/>
      <c r="BC229" s="271"/>
      <c r="BD229" s="271"/>
      <c r="BE229" s="271"/>
      <c r="BF229" s="271"/>
      <c r="BG229" s="273"/>
      <c r="BH229" s="278" t="s">
        <v>443</v>
      </c>
      <c r="BI229" s="271"/>
      <c r="BJ229" s="271"/>
      <c r="BK229" s="271"/>
      <c r="BL229" s="271"/>
      <c r="BM229" s="271"/>
      <c r="BN229" s="271"/>
      <c r="BO229" s="272"/>
      <c r="BP229" s="272"/>
      <c r="BQ229" s="272"/>
      <c r="BR229" s="272"/>
      <c r="BS229" s="272"/>
      <c r="BT229" s="272"/>
      <c r="BU229" s="272"/>
      <c r="BV229" s="271"/>
      <c r="BW229" s="271"/>
      <c r="BX229" s="271"/>
      <c r="BY229" s="271"/>
      <c r="BZ229" s="271"/>
      <c r="CA229" s="271"/>
      <c r="CB229" s="271"/>
      <c r="CC229" s="271"/>
      <c r="CD229" s="271"/>
      <c r="CE229" s="271"/>
      <c r="CF229" s="271"/>
      <c r="CG229" s="271"/>
      <c r="CH229" s="271"/>
      <c r="CI229" s="271"/>
    </row>
    <row r="230" spans="1:87" ht="16.2" outlineLevel="1">
      <c r="A230" s="264" t="str">
        <f t="shared" si="52"/>
        <v>PROPERTY_ENERGY_CERTIFICATELAND_REGISTRY_OFFICE_CODE</v>
      </c>
      <c r="B230" s="141" t="s">
        <v>26</v>
      </c>
      <c r="C230" s="137" t="s">
        <v>54</v>
      </c>
      <c r="D230" s="226" t="s">
        <v>40</v>
      </c>
      <c r="E230" s="227" t="s">
        <v>123</v>
      </c>
      <c r="F230" s="227"/>
      <c r="G230" s="319" t="s">
        <v>125</v>
      </c>
      <c r="H230" s="226" t="str">
        <f>VLOOKUP(A230,'2. Status Detalhe Campos FY24'!$A$7:$G$732,7,0)</f>
        <v>1. Concluído</v>
      </c>
      <c r="I230" s="266" t="s">
        <v>38</v>
      </c>
      <c r="J230" s="275">
        <v>45638</v>
      </c>
      <c r="K230" s="275">
        <v>45639</v>
      </c>
      <c r="L230" s="280">
        <f t="array" ref="L230">MIN(IF(W230:CI230&gt;0,$W$16:$CI$16))</f>
        <v>45639</v>
      </c>
      <c r="M230" s="281">
        <f t="array" ref="M230">MAX(IF(W230:CI230&gt;0,$W$16:$CI$16))</f>
        <v>45639</v>
      </c>
      <c r="N230" s="281"/>
      <c r="O230" s="239">
        <f>VLOOKUP(H230,Auxiliar!$B$16:$E$24,4,0)</f>
        <v>1</v>
      </c>
      <c r="P230" s="305">
        <f t="shared" ca="1" si="56"/>
        <v>1</v>
      </c>
      <c r="Q230" s="238">
        <f t="shared" ca="1" si="53"/>
        <v>0</v>
      </c>
      <c r="R230" s="332"/>
      <c r="S230" s="282" t="s">
        <v>1861</v>
      </c>
      <c r="T230" s="260">
        <v>4.0999999999999996</v>
      </c>
      <c r="U230" s="260">
        <f t="shared" si="54"/>
        <v>0.5</v>
      </c>
      <c r="V230" s="260">
        <f t="shared" ref="V230:V247" si="59">SUM(W230:CI230)-U230</f>
        <v>-0.5</v>
      </c>
      <c r="W230" s="271"/>
      <c r="X230" s="271"/>
      <c r="Y230" s="271"/>
      <c r="Z230" s="278"/>
      <c r="AA230" s="271"/>
      <c r="AB230" s="271"/>
      <c r="AC230" s="271"/>
      <c r="AD230" s="272"/>
      <c r="AE230" s="278"/>
      <c r="AF230" s="271"/>
      <c r="AG230" s="271"/>
      <c r="AH230" s="271"/>
      <c r="AI230" s="279"/>
      <c r="AJ230" s="271"/>
      <c r="AK230" s="271"/>
      <c r="AL230" s="271"/>
      <c r="AM230" s="271"/>
      <c r="AN230" s="271"/>
      <c r="AO230" s="271"/>
      <c r="AP230" s="271"/>
      <c r="AQ230" s="279"/>
      <c r="AR230" s="271"/>
      <c r="AS230" s="271"/>
      <c r="AT230" s="271"/>
      <c r="AU230" s="271"/>
      <c r="AV230" s="271"/>
      <c r="AW230" s="271"/>
      <c r="AX230" s="271"/>
      <c r="AY230" s="271"/>
      <c r="AZ230" s="271"/>
      <c r="BA230" s="271"/>
      <c r="BB230" s="271"/>
      <c r="BC230" s="271"/>
      <c r="BD230" s="271"/>
      <c r="BE230" s="271"/>
      <c r="BF230" s="271"/>
      <c r="BG230" s="273"/>
      <c r="BH230" s="278" t="s">
        <v>443</v>
      </c>
      <c r="BI230" s="271"/>
      <c r="BJ230" s="271"/>
      <c r="BK230" s="271"/>
      <c r="BL230" s="271"/>
      <c r="BM230" s="271"/>
      <c r="BN230" s="271"/>
      <c r="BO230" s="272"/>
      <c r="BP230" s="272"/>
      <c r="BQ230" s="272"/>
      <c r="BR230" s="272"/>
      <c r="BS230" s="272"/>
      <c r="BT230" s="272"/>
      <c r="BU230" s="272"/>
      <c r="BV230" s="271"/>
      <c r="BW230" s="271"/>
      <c r="BX230" s="271"/>
      <c r="BY230" s="271"/>
      <c r="BZ230" s="271"/>
      <c r="CA230" s="271"/>
      <c r="CB230" s="271"/>
      <c r="CC230" s="271"/>
      <c r="CD230" s="271"/>
      <c r="CE230" s="271"/>
      <c r="CF230" s="271"/>
      <c r="CG230" s="271"/>
      <c r="CH230" s="271"/>
      <c r="CI230" s="271"/>
    </row>
    <row r="231" spans="1:87" ht="16.2" outlineLevel="1">
      <c r="A231" s="264" t="str">
        <f t="shared" si="52"/>
        <v>PROPERTY_ENERGY_CERTIFICATEPROPERTY_IDENTIFICATION_CODE</v>
      </c>
      <c r="B231" s="141" t="s">
        <v>26</v>
      </c>
      <c r="C231" s="137" t="s">
        <v>54</v>
      </c>
      <c r="D231" s="226" t="s">
        <v>40</v>
      </c>
      <c r="E231" s="227" t="s">
        <v>123</v>
      </c>
      <c r="F231" s="227"/>
      <c r="G231" s="319" t="s">
        <v>126</v>
      </c>
      <c r="H231" s="226" t="str">
        <f>VLOOKUP(A231,'2. Status Detalhe Campos FY24'!$A$7:$G$732,7,0)</f>
        <v>1. Concluído</v>
      </c>
      <c r="I231" s="266" t="s">
        <v>38</v>
      </c>
      <c r="J231" s="275">
        <v>45638</v>
      </c>
      <c r="K231" s="275">
        <v>45639</v>
      </c>
      <c r="L231" s="280">
        <f t="array" ref="L231">MIN(IF(W231:CI231&gt;0,$W$16:$CI$16))</f>
        <v>45639</v>
      </c>
      <c r="M231" s="281">
        <f t="array" ref="M231">MAX(IF(W231:CI231&gt;0,$W$16:$CI$16))</f>
        <v>45639</v>
      </c>
      <c r="N231" s="281"/>
      <c r="O231" s="239">
        <f>VLOOKUP(H231,Auxiliar!$B$16:$E$24,4,0)</f>
        <v>1</v>
      </c>
      <c r="P231" s="305">
        <f t="shared" ca="1" si="56"/>
        <v>1</v>
      </c>
      <c r="Q231" s="238">
        <f t="shared" ca="1" si="53"/>
        <v>0</v>
      </c>
      <c r="R231" s="332"/>
      <c r="S231" s="282" t="s">
        <v>1861</v>
      </c>
      <c r="T231" s="260">
        <v>4.0999999999999996</v>
      </c>
      <c r="U231" s="260">
        <f t="shared" si="54"/>
        <v>0.5</v>
      </c>
      <c r="V231" s="260">
        <f t="shared" si="59"/>
        <v>-0.5</v>
      </c>
      <c r="W231" s="271"/>
      <c r="X231" s="271"/>
      <c r="Y231" s="271"/>
      <c r="Z231" s="278"/>
      <c r="AA231" s="271"/>
      <c r="AB231" s="271"/>
      <c r="AC231" s="271"/>
      <c r="AD231" s="272"/>
      <c r="AE231" s="278"/>
      <c r="AF231" s="271"/>
      <c r="AG231" s="271"/>
      <c r="AH231" s="271"/>
      <c r="AI231" s="279"/>
      <c r="AJ231" s="271"/>
      <c r="AK231" s="271"/>
      <c r="AL231" s="271"/>
      <c r="AM231" s="271"/>
      <c r="AN231" s="271"/>
      <c r="AO231" s="271"/>
      <c r="AP231" s="271"/>
      <c r="AQ231" s="279"/>
      <c r="AR231" s="271"/>
      <c r="AS231" s="271"/>
      <c r="AT231" s="271"/>
      <c r="AU231" s="271"/>
      <c r="AV231" s="271"/>
      <c r="AW231" s="271"/>
      <c r="AX231" s="271"/>
      <c r="AY231" s="271"/>
      <c r="AZ231" s="271"/>
      <c r="BA231" s="271"/>
      <c r="BB231" s="271"/>
      <c r="BC231" s="271"/>
      <c r="BD231" s="271"/>
      <c r="BE231" s="271"/>
      <c r="BF231" s="271"/>
      <c r="BG231" s="273"/>
      <c r="BH231" s="278" t="s">
        <v>443</v>
      </c>
      <c r="BI231" s="271"/>
      <c r="BJ231" s="271"/>
      <c r="BK231" s="271"/>
      <c r="BL231" s="271"/>
      <c r="BM231" s="271"/>
      <c r="BN231" s="271"/>
      <c r="BO231" s="272"/>
      <c r="BP231" s="272"/>
      <c r="BQ231" s="272"/>
      <c r="BR231" s="272"/>
      <c r="BS231" s="272"/>
      <c r="BT231" s="272"/>
      <c r="BU231" s="272"/>
      <c r="BV231" s="271"/>
      <c r="BW231" s="271"/>
      <c r="BX231" s="271"/>
      <c r="BY231" s="271"/>
      <c r="BZ231" s="271"/>
      <c r="CA231" s="271"/>
      <c r="CB231" s="271"/>
      <c r="CC231" s="271"/>
      <c r="CD231" s="271"/>
      <c r="CE231" s="271"/>
      <c r="CF231" s="271"/>
      <c r="CG231" s="271"/>
      <c r="CH231" s="271"/>
      <c r="CI231" s="271"/>
    </row>
    <row r="232" spans="1:87" ht="16.2" outlineLevel="1">
      <c r="A232" s="264" t="str">
        <f t="shared" si="52"/>
        <v>PROPERTY_ENERGY_CERTIFICATEENERGY_CERTIFICATION_SYSTEM_CODE</v>
      </c>
      <c r="B232" s="141" t="s">
        <v>26</v>
      </c>
      <c r="C232" s="137" t="s">
        <v>54</v>
      </c>
      <c r="D232" s="226" t="s">
        <v>40</v>
      </c>
      <c r="E232" s="227" t="s">
        <v>123</v>
      </c>
      <c r="F232" s="227"/>
      <c r="G232" s="319" t="s">
        <v>127</v>
      </c>
      <c r="H232" s="226" t="str">
        <f>VLOOKUP(A232,'2. Status Detalhe Campos FY24'!$A$7:$G$732,7,0)</f>
        <v>1. Concluído</v>
      </c>
      <c r="I232" s="266" t="s">
        <v>38</v>
      </c>
      <c r="J232" s="275">
        <v>45638</v>
      </c>
      <c r="K232" s="275">
        <v>45639</v>
      </c>
      <c r="L232" s="280">
        <f t="array" ref="L232">MIN(IF(W232:CI232&gt;0,$W$16:$CI$16))</f>
        <v>45639</v>
      </c>
      <c r="M232" s="281">
        <f t="array" ref="M232">MAX(IF(W232:CI232&gt;0,$W$16:$CI$16))</f>
        <v>45639</v>
      </c>
      <c r="N232" s="281"/>
      <c r="O232" s="239">
        <f>VLOOKUP(H232,Auxiliar!$B$16:$E$24,4,0)</f>
        <v>1</v>
      </c>
      <c r="P232" s="305">
        <f t="shared" ca="1" si="56"/>
        <v>1</v>
      </c>
      <c r="Q232" s="238">
        <f t="shared" ca="1" si="53"/>
        <v>0</v>
      </c>
      <c r="R232" s="332"/>
      <c r="S232" s="282" t="s">
        <v>1861</v>
      </c>
      <c r="T232" s="260">
        <v>4.0999999999999996</v>
      </c>
      <c r="U232" s="260">
        <f t="shared" si="54"/>
        <v>0.5</v>
      </c>
      <c r="V232" s="260">
        <f t="shared" si="59"/>
        <v>-0.5</v>
      </c>
      <c r="W232" s="271"/>
      <c r="X232" s="271"/>
      <c r="Y232" s="271"/>
      <c r="Z232" s="278"/>
      <c r="AA232" s="271"/>
      <c r="AB232" s="271"/>
      <c r="AC232" s="271"/>
      <c r="AD232" s="272"/>
      <c r="AE232" s="278"/>
      <c r="AF232" s="271"/>
      <c r="AG232" s="271"/>
      <c r="AH232" s="271"/>
      <c r="AI232" s="279"/>
      <c r="AJ232" s="271"/>
      <c r="AK232" s="271"/>
      <c r="AL232" s="271"/>
      <c r="AM232" s="271"/>
      <c r="AN232" s="271"/>
      <c r="AO232" s="271"/>
      <c r="AP232" s="271"/>
      <c r="AQ232" s="279"/>
      <c r="AR232" s="271"/>
      <c r="AS232" s="271"/>
      <c r="AT232" s="271"/>
      <c r="AU232" s="271"/>
      <c r="AV232" s="271"/>
      <c r="AW232" s="271"/>
      <c r="AX232" s="271"/>
      <c r="AY232" s="271"/>
      <c r="AZ232" s="271"/>
      <c r="BA232" s="271"/>
      <c r="BB232" s="271"/>
      <c r="BC232" s="271"/>
      <c r="BD232" s="271"/>
      <c r="BE232" s="271"/>
      <c r="BF232" s="271"/>
      <c r="BG232" s="273"/>
      <c r="BH232" s="278" t="s">
        <v>443</v>
      </c>
      <c r="BI232" s="271"/>
      <c r="BJ232" s="271"/>
      <c r="BK232" s="271"/>
      <c r="BL232" s="271"/>
      <c r="BM232" s="271"/>
      <c r="BN232" s="271"/>
      <c r="BO232" s="272"/>
      <c r="BP232" s="272"/>
      <c r="BQ232" s="272"/>
      <c r="BR232" s="272"/>
      <c r="BS232" s="272"/>
      <c r="BT232" s="272"/>
      <c r="BU232" s="272"/>
      <c r="BV232" s="271"/>
      <c r="BW232" s="271"/>
      <c r="BX232" s="271"/>
      <c r="BY232" s="271"/>
      <c r="BZ232" s="271"/>
      <c r="CA232" s="271"/>
      <c r="CB232" s="271"/>
      <c r="CC232" s="271"/>
      <c r="CD232" s="271"/>
      <c r="CE232" s="271"/>
      <c r="CF232" s="271"/>
      <c r="CG232" s="271"/>
      <c r="CH232" s="271"/>
      <c r="CI232" s="271"/>
    </row>
    <row r="233" spans="1:87" ht="16.2" outlineLevel="1">
      <c r="A233" s="264" t="str">
        <f t="shared" si="52"/>
        <v>PROPERTY_ENERGY_CERTIFICATEEPC_ISSUING_DATE</v>
      </c>
      <c r="B233" s="141" t="s">
        <v>26</v>
      </c>
      <c r="C233" s="137" t="s">
        <v>54</v>
      </c>
      <c r="D233" s="226" t="s">
        <v>40</v>
      </c>
      <c r="E233" s="227" t="s">
        <v>123</v>
      </c>
      <c r="F233" s="227"/>
      <c r="G233" s="319" t="s">
        <v>128</v>
      </c>
      <c r="H233" s="226" t="str">
        <f>VLOOKUP(A233,'2. Status Detalhe Campos FY24'!$A$7:$G$732,7,0)</f>
        <v>1. Concluído</v>
      </c>
      <c r="I233" s="266" t="s">
        <v>38</v>
      </c>
      <c r="J233" s="275">
        <v>45638</v>
      </c>
      <c r="K233" s="275">
        <v>45639</v>
      </c>
      <c r="L233" s="280">
        <f t="array" ref="L233">MIN(IF(W233:CI233&gt;0,$W$16:$CI$16))</f>
        <v>45639</v>
      </c>
      <c r="M233" s="281">
        <f t="array" ref="M233">MAX(IF(W233:CI233&gt;0,$W$16:$CI$16))</f>
        <v>45639</v>
      </c>
      <c r="N233" s="281"/>
      <c r="O233" s="239">
        <f>VLOOKUP(H233,Auxiliar!$B$16:$E$24,4,0)</f>
        <v>1</v>
      </c>
      <c r="P233" s="305">
        <f t="shared" ca="1" si="56"/>
        <v>1</v>
      </c>
      <c r="Q233" s="238">
        <f t="shared" ca="1" si="53"/>
        <v>0</v>
      </c>
      <c r="R233" s="332"/>
      <c r="S233" s="282" t="s">
        <v>1861</v>
      </c>
      <c r="T233" s="260">
        <v>4.0999999999999996</v>
      </c>
      <c r="U233" s="260">
        <f t="shared" si="54"/>
        <v>0.5</v>
      </c>
      <c r="V233" s="260">
        <f t="shared" si="59"/>
        <v>-0.5</v>
      </c>
      <c r="W233" s="271"/>
      <c r="X233" s="271"/>
      <c r="Y233" s="271"/>
      <c r="Z233" s="278"/>
      <c r="AA233" s="271"/>
      <c r="AB233" s="271"/>
      <c r="AC233" s="271"/>
      <c r="AD233" s="272"/>
      <c r="AE233" s="278"/>
      <c r="AF233" s="271"/>
      <c r="AG233" s="271"/>
      <c r="AH233" s="271"/>
      <c r="AI233" s="279"/>
      <c r="AJ233" s="271"/>
      <c r="AK233" s="271"/>
      <c r="AL233" s="271"/>
      <c r="AM233" s="271"/>
      <c r="AN233" s="271"/>
      <c r="AO233" s="271"/>
      <c r="AP233" s="271"/>
      <c r="AQ233" s="279"/>
      <c r="AR233" s="271"/>
      <c r="AS233" s="271"/>
      <c r="AT233" s="271"/>
      <c r="AU233" s="271"/>
      <c r="AV233" s="271"/>
      <c r="AW233" s="271"/>
      <c r="AX233" s="271"/>
      <c r="AY233" s="271"/>
      <c r="AZ233" s="271"/>
      <c r="BA233" s="271"/>
      <c r="BB233" s="271"/>
      <c r="BC233" s="271"/>
      <c r="BD233" s="271"/>
      <c r="BE233" s="271"/>
      <c r="BF233" s="271"/>
      <c r="BG233" s="273"/>
      <c r="BH233" s="278" t="s">
        <v>443</v>
      </c>
      <c r="BI233" s="271"/>
      <c r="BJ233" s="271"/>
      <c r="BK233" s="271"/>
      <c r="BL233" s="271"/>
      <c r="BM233" s="271"/>
      <c r="BN233" s="271"/>
      <c r="BO233" s="272"/>
      <c r="BP233" s="272"/>
      <c r="BQ233" s="272"/>
      <c r="BR233" s="272"/>
      <c r="BS233" s="272"/>
      <c r="BT233" s="272"/>
      <c r="BU233" s="272"/>
      <c r="BV233" s="271"/>
      <c r="BW233" s="271"/>
      <c r="BX233" s="271"/>
      <c r="BY233" s="271"/>
      <c r="BZ233" s="271"/>
      <c r="CA233" s="271"/>
      <c r="CB233" s="271"/>
      <c r="CC233" s="271"/>
      <c r="CD233" s="271"/>
      <c r="CE233" s="271"/>
      <c r="CF233" s="271"/>
      <c r="CG233" s="271"/>
      <c r="CH233" s="271"/>
      <c r="CI233" s="271"/>
    </row>
    <row r="234" spans="1:87" ht="16.2" outlineLevel="1">
      <c r="A234" s="264" t="str">
        <f t="shared" si="52"/>
        <v>PROPERTY_ENERGY_CERTIFICATEEPC_EXPIRATION_DATE</v>
      </c>
      <c r="B234" s="141" t="s">
        <v>26</v>
      </c>
      <c r="C234" s="137" t="s">
        <v>54</v>
      </c>
      <c r="D234" s="226" t="s">
        <v>40</v>
      </c>
      <c r="E234" s="227" t="s">
        <v>123</v>
      </c>
      <c r="F234" s="227"/>
      <c r="G234" s="319" t="s">
        <v>129</v>
      </c>
      <c r="H234" s="226" t="str">
        <f>VLOOKUP(A234,'2. Status Detalhe Campos FY24'!$A$7:$G$732,7,0)</f>
        <v>1. Concluído</v>
      </c>
      <c r="I234" s="266" t="s">
        <v>38</v>
      </c>
      <c r="J234" s="275">
        <v>45638</v>
      </c>
      <c r="K234" s="275">
        <v>45639</v>
      </c>
      <c r="L234" s="280">
        <f t="array" ref="L234">MIN(IF(W234:CI234&gt;0,$W$16:$CI$16))</f>
        <v>45639</v>
      </c>
      <c r="M234" s="281">
        <f t="array" ref="M234">MAX(IF(W234:CI234&gt;0,$W$16:$CI$16))</f>
        <v>45639</v>
      </c>
      <c r="N234" s="281"/>
      <c r="O234" s="239">
        <f>VLOOKUP(H234,Auxiliar!$B$16:$E$24,4,0)</f>
        <v>1</v>
      </c>
      <c r="P234" s="305">
        <f t="shared" ca="1" si="56"/>
        <v>1</v>
      </c>
      <c r="Q234" s="238">
        <f t="shared" ca="1" si="53"/>
        <v>0</v>
      </c>
      <c r="R234" s="332"/>
      <c r="S234" s="282" t="s">
        <v>1861</v>
      </c>
      <c r="T234" s="260">
        <v>4.0999999999999996</v>
      </c>
      <c r="U234" s="260">
        <f t="shared" si="54"/>
        <v>0.5</v>
      </c>
      <c r="V234" s="260">
        <f t="shared" si="59"/>
        <v>-0.5</v>
      </c>
      <c r="W234" s="271"/>
      <c r="X234" s="271"/>
      <c r="Y234" s="271"/>
      <c r="Z234" s="278"/>
      <c r="AA234" s="271"/>
      <c r="AB234" s="271"/>
      <c r="AC234" s="271"/>
      <c r="AD234" s="272"/>
      <c r="AE234" s="278"/>
      <c r="AF234" s="271"/>
      <c r="AG234" s="271"/>
      <c r="AH234" s="271"/>
      <c r="AI234" s="279"/>
      <c r="AJ234" s="271"/>
      <c r="AK234" s="271"/>
      <c r="AL234" s="271"/>
      <c r="AM234" s="271"/>
      <c r="AN234" s="271"/>
      <c r="AO234" s="271"/>
      <c r="AP234" s="271"/>
      <c r="AQ234" s="279"/>
      <c r="AR234" s="271"/>
      <c r="AS234" s="271"/>
      <c r="AT234" s="271"/>
      <c r="AU234" s="271"/>
      <c r="AV234" s="271"/>
      <c r="AW234" s="271"/>
      <c r="AX234" s="271"/>
      <c r="AY234" s="271"/>
      <c r="AZ234" s="271"/>
      <c r="BA234" s="271"/>
      <c r="BB234" s="271"/>
      <c r="BC234" s="271"/>
      <c r="BD234" s="271"/>
      <c r="BE234" s="271"/>
      <c r="BF234" s="271"/>
      <c r="BG234" s="273"/>
      <c r="BH234" s="278" t="s">
        <v>443</v>
      </c>
      <c r="BI234" s="271"/>
      <c r="BJ234" s="271"/>
      <c r="BK234" s="271"/>
      <c r="BL234" s="271"/>
      <c r="BM234" s="271"/>
      <c r="BN234" s="271"/>
      <c r="BO234" s="272"/>
      <c r="BP234" s="272"/>
      <c r="BQ234" s="272"/>
      <c r="BR234" s="272"/>
      <c r="BS234" s="272"/>
      <c r="BT234" s="272"/>
      <c r="BU234" s="272"/>
      <c r="BV234" s="271"/>
      <c r="BW234" s="271"/>
      <c r="BX234" s="271"/>
      <c r="BY234" s="271"/>
      <c r="BZ234" s="271"/>
      <c r="CA234" s="271"/>
      <c r="CB234" s="271"/>
      <c r="CC234" s="271"/>
      <c r="CD234" s="271"/>
      <c r="CE234" s="271"/>
      <c r="CF234" s="271"/>
      <c r="CG234" s="271"/>
      <c r="CH234" s="271"/>
      <c r="CI234" s="271"/>
    </row>
    <row r="235" spans="1:87" ht="16.2" outlineLevel="1">
      <c r="A235" s="264" t="str">
        <f t="shared" si="52"/>
        <v>PROPERTY_ENERGY_CERTIFICATEENERGY_EFFICIENCY_IND</v>
      </c>
      <c r="B235" s="141" t="s">
        <v>26</v>
      </c>
      <c r="C235" s="137" t="s">
        <v>54</v>
      </c>
      <c r="D235" s="226" t="s">
        <v>40</v>
      </c>
      <c r="E235" s="227" t="s">
        <v>123</v>
      </c>
      <c r="F235" s="227"/>
      <c r="G235" s="319" t="s">
        <v>132</v>
      </c>
      <c r="H235" s="226" t="str">
        <f>VLOOKUP(A235,'2. Status Detalhe Campos FY24'!$A$7:$G$732,7,0)</f>
        <v>1. Concluído</v>
      </c>
      <c r="I235" s="266" t="s">
        <v>38</v>
      </c>
      <c r="J235" s="275">
        <v>45638</v>
      </c>
      <c r="K235" s="275">
        <v>45639</v>
      </c>
      <c r="L235" s="280">
        <f t="array" ref="L235">MIN(IF(W235:CI235&gt;0,$W$16:$CI$16))</f>
        <v>45639</v>
      </c>
      <c r="M235" s="281">
        <f t="array" ref="M235">MAX(IF(W235:CI235&gt;0,$W$16:$CI$16))</f>
        <v>45639</v>
      </c>
      <c r="N235" s="281"/>
      <c r="O235" s="239">
        <f>VLOOKUP(H235,Auxiliar!$B$16:$E$24,4,0)</f>
        <v>1</v>
      </c>
      <c r="P235" s="305">
        <f t="shared" ca="1" si="56"/>
        <v>1</v>
      </c>
      <c r="Q235" s="238">
        <f t="shared" ca="1" si="53"/>
        <v>0</v>
      </c>
      <c r="R235" s="332"/>
      <c r="S235" s="282" t="s">
        <v>1861</v>
      </c>
      <c r="T235" s="260">
        <v>4.0999999999999996</v>
      </c>
      <c r="U235" s="260">
        <f t="shared" si="54"/>
        <v>0.5</v>
      </c>
      <c r="V235" s="260">
        <f t="shared" si="59"/>
        <v>-0.5</v>
      </c>
      <c r="W235" s="271"/>
      <c r="X235" s="271"/>
      <c r="Y235" s="271"/>
      <c r="Z235" s="278"/>
      <c r="AA235" s="271"/>
      <c r="AB235" s="271"/>
      <c r="AC235" s="271"/>
      <c r="AD235" s="272"/>
      <c r="AE235" s="278"/>
      <c r="AF235" s="271"/>
      <c r="AG235" s="271"/>
      <c r="AH235" s="271"/>
      <c r="AI235" s="279"/>
      <c r="AJ235" s="271"/>
      <c r="AK235" s="271"/>
      <c r="AL235" s="271"/>
      <c r="AM235" s="271"/>
      <c r="AN235" s="271"/>
      <c r="AO235" s="271"/>
      <c r="AP235" s="271"/>
      <c r="AQ235" s="279"/>
      <c r="AR235" s="271"/>
      <c r="AS235" s="271"/>
      <c r="AT235" s="271"/>
      <c r="AU235" s="271"/>
      <c r="AV235" s="271"/>
      <c r="AW235" s="271"/>
      <c r="AX235" s="271"/>
      <c r="AY235" s="271"/>
      <c r="AZ235" s="271"/>
      <c r="BA235" s="271"/>
      <c r="BB235" s="271"/>
      <c r="BC235" s="271"/>
      <c r="BD235" s="271"/>
      <c r="BE235" s="271"/>
      <c r="BF235" s="271"/>
      <c r="BG235" s="273"/>
      <c r="BH235" s="278" t="s">
        <v>443</v>
      </c>
      <c r="BI235" s="271"/>
      <c r="BJ235" s="271"/>
      <c r="BK235" s="271"/>
      <c r="BL235" s="271"/>
      <c r="BM235" s="271"/>
      <c r="BN235" s="271"/>
      <c r="BO235" s="272"/>
      <c r="BP235" s="272"/>
      <c r="BQ235" s="272"/>
      <c r="BR235" s="272"/>
      <c r="BS235" s="272"/>
      <c r="BT235" s="272"/>
      <c r="BU235" s="272"/>
      <c r="BV235" s="271"/>
      <c r="BW235" s="271"/>
      <c r="BX235" s="271"/>
      <c r="BY235" s="271"/>
      <c r="BZ235" s="271"/>
      <c r="CA235" s="271"/>
      <c r="CB235" s="271"/>
      <c r="CC235" s="271"/>
      <c r="CD235" s="271"/>
      <c r="CE235" s="271"/>
      <c r="CF235" s="271"/>
      <c r="CG235" s="271"/>
      <c r="CH235" s="271"/>
      <c r="CI235" s="271"/>
    </row>
    <row r="236" spans="1:87" ht="16.2" outlineLevel="1">
      <c r="A236" s="264" t="str">
        <f t="shared" si="52"/>
        <v>PROPERTY_ENERGY_CERTIFICATENZEB_IND</v>
      </c>
      <c r="B236" s="141" t="s">
        <v>26</v>
      </c>
      <c r="C236" s="137" t="s">
        <v>54</v>
      </c>
      <c r="D236" s="226" t="s">
        <v>40</v>
      </c>
      <c r="E236" s="227" t="s">
        <v>123</v>
      </c>
      <c r="F236" s="227"/>
      <c r="G236" s="319" t="s">
        <v>134</v>
      </c>
      <c r="H236" s="226" t="str">
        <f>VLOOKUP(A236,'2. Status Detalhe Campos FY24'!$A$7:$G$732,7,0)</f>
        <v>1. Concluído</v>
      </c>
      <c r="I236" s="266" t="s">
        <v>38</v>
      </c>
      <c r="J236" s="275">
        <v>45638</v>
      </c>
      <c r="K236" s="275">
        <v>45639</v>
      </c>
      <c r="L236" s="280">
        <f t="array" ref="L236">MIN(IF(W236:CI236&gt;0,$W$16:$CI$16))</f>
        <v>45639</v>
      </c>
      <c r="M236" s="281">
        <f t="array" ref="M236">MAX(IF(W236:CI236&gt;0,$W$16:$CI$16))</f>
        <v>45639</v>
      </c>
      <c r="N236" s="281"/>
      <c r="O236" s="239">
        <f>VLOOKUP(H236,Auxiliar!$B$16:$E$24,4,0)</f>
        <v>1</v>
      </c>
      <c r="P236" s="305">
        <f t="shared" ca="1" si="56"/>
        <v>1</v>
      </c>
      <c r="Q236" s="238">
        <f t="shared" ca="1" si="53"/>
        <v>0</v>
      </c>
      <c r="R236" s="332"/>
      <c r="S236" s="282" t="s">
        <v>1861</v>
      </c>
      <c r="T236" s="260">
        <v>4.0999999999999996</v>
      </c>
      <c r="U236" s="260">
        <f t="shared" si="54"/>
        <v>0.5</v>
      </c>
      <c r="V236" s="260">
        <f t="shared" si="59"/>
        <v>-0.5</v>
      </c>
      <c r="W236" s="271"/>
      <c r="X236" s="271"/>
      <c r="Y236" s="271"/>
      <c r="Z236" s="278"/>
      <c r="AA236" s="271"/>
      <c r="AB236" s="271"/>
      <c r="AC236" s="271"/>
      <c r="AD236" s="272"/>
      <c r="AE236" s="278"/>
      <c r="AF236" s="271"/>
      <c r="AG236" s="271"/>
      <c r="AH236" s="271"/>
      <c r="AI236" s="279"/>
      <c r="AJ236" s="271"/>
      <c r="AK236" s="271"/>
      <c r="AL236" s="271"/>
      <c r="AM236" s="271"/>
      <c r="AN236" s="271"/>
      <c r="AO236" s="271"/>
      <c r="AP236" s="271"/>
      <c r="AQ236" s="279"/>
      <c r="AR236" s="271"/>
      <c r="AS236" s="271"/>
      <c r="AT236" s="271"/>
      <c r="AU236" s="271"/>
      <c r="AV236" s="271"/>
      <c r="AW236" s="271"/>
      <c r="AX236" s="271"/>
      <c r="AY236" s="271"/>
      <c r="AZ236" s="271"/>
      <c r="BA236" s="271"/>
      <c r="BB236" s="271"/>
      <c r="BC236" s="271"/>
      <c r="BD236" s="271"/>
      <c r="BE236" s="271"/>
      <c r="BF236" s="271"/>
      <c r="BG236" s="273"/>
      <c r="BH236" s="278" t="s">
        <v>443</v>
      </c>
      <c r="BI236" s="271"/>
      <c r="BJ236" s="271"/>
      <c r="BK236" s="271"/>
      <c r="BL236" s="271"/>
      <c r="BM236" s="271"/>
      <c r="BN236" s="271"/>
      <c r="BO236" s="272"/>
      <c r="BP236" s="272"/>
      <c r="BQ236" s="272"/>
      <c r="BR236" s="272"/>
      <c r="BS236" s="272"/>
      <c r="BT236" s="272"/>
      <c r="BU236" s="272"/>
      <c r="BV236" s="271"/>
      <c r="BW236" s="271"/>
      <c r="BX236" s="271"/>
      <c r="BY236" s="271"/>
      <c r="BZ236" s="271"/>
      <c r="CA236" s="271"/>
      <c r="CB236" s="271"/>
      <c r="CC236" s="271"/>
      <c r="CD236" s="271"/>
      <c r="CE236" s="271"/>
      <c r="CF236" s="271"/>
      <c r="CG236" s="271"/>
      <c r="CH236" s="271"/>
      <c r="CI236" s="271"/>
    </row>
    <row r="237" spans="1:87" ht="16.2" outlineLevel="1">
      <c r="A237" s="264" t="str">
        <f t="shared" si="52"/>
        <v>PROPERTY_ENERGY_CERTIFICATEACTUAL_VALUE_IND</v>
      </c>
      <c r="B237" s="141" t="s">
        <v>26</v>
      </c>
      <c r="C237" s="137" t="s">
        <v>54</v>
      </c>
      <c r="D237" s="226" t="s">
        <v>40</v>
      </c>
      <c r="E237" s="227" t="s">
        <v>123</v>
      </c>
      <c r="F237" s="227"/>
      <c r="G237" s="319" t="s">
        <v>49</v>
      </c>
      <c r="H237" s="226" t="e">
        <f>VLOOKUP(A237,'2. Status Detalhe Campos FY24'!$A$7:$G$732,7,0)</f>
        <v>#N/A</v>
      </c>
      <c r="I237" s="266" t="s">
        <v>38</v>
      </c>
      <c r="J237" s="275">
        <v>45638</v>
      </c>
      <c r="K237" s="275">
        <v>45639</v>
      </c>
      <c r="L237" s="280">
        <f t="array" ref="L237">MIN(IF(W237:CI237&gt;0,$W$16:$CI$16))</f>
        <v>45639</v>
      </c>
      <c r="M237" s="281">
        <f t="array" ref="M237">MAX(IF(W237:CI237&gt;0,$W$16:$CI$16))</f>
        <v>45639</v>
      </c>
      <c r="N237" s="281"/>
      <c r="O237" s="239" t="e">
        <f>VLOOKUP(H237,Auxiliar!$B$16:$E$24,4,0)</f>
        <v>#N/A</v>
      </c>
      <c r="P237" s="305">
        <f t="shared" ca="1" si="56"/>
        <v>1</v>
      </c>
      <c r="Q237" s="238" t="e">
        <f t="shared" ca="1" si="53"/>
        <v>#N/A</v>
      </c>
      <c r="R237" s="332"/>
      <c r="S237" s="282" t="s">
        <v>1861</v>
      </c>
      <c r="T237" s="260">
        <v>4.0999999999999996</v>
      </c>
      <c r="U237" s="260">
        <f t="shared" si="54"/>
        <v>0.5</v>
      </c>
      <c r="V237" s="260">
        <f t="shared" si="59"/>
        <v>-0.5</v>
      </c>
      <c r="W237" s="271"/>
      <c r="X237" s="271"/>
      <c r="Y237" s="271"/>
      <c r="Z237" s="278"/>
      <c r="AA237" s="271"/>
      <c r="AB237" s="271"/>
      <c r="AC237" s="271"/>
      <c r="AD237" s="272"/>
      <c r="AE237" s="278"/>
      <c r="AF237" s="271"/>
      <c r="AG237" s="271"/>
      <c r="AH237" s="271"/>
      <c r="AI237" s="279"/>
      <c r="AJ237" s="271"/>
      <c r="AK237" s="271"/>
      <c r="AL237" s="271"/>
      <c r="AM237" s="271"/>
      <c r="AN237" s="271"/>
      <c r="AO237" s="271"/>
      <c r="AP237" s="271"/>
      <c r="AQ237" s="279"/>
      <c r="AR237" s="271"/>
      <c r="AS237" s="271"/>
      <c r="AT237" s="271"/>
      <c r="AU237" s="271"/>
      <c r="AV237" s="271"/>
      <c r="AW237" s="271"/>
      <c r="AX237" s="271"/>
      <c r="AY237" s="271"/>
      <c r="AZ237" s="271"/>
      <c r="BA237" s="271"/>
      <c r="BB237" s="271"/>
      <c r="BC237" s="271"/>
      <c r="BD237" s="271"/>
      <c r="BE237" s="271"/>
      <c r="BF237" s="271"/>
      <c r="BG237" s="273"/>
      <c r="BH237" s="278" t="s">
        <v>443</v>
      </c>
      <c r="BI237" s="271"/>
      <c r="BJ237" s="271"/>
      <c r="BK237" s="271"/>
      <c r="BL237" s="271"/>
      <c r="BM237" s="271"/>
      <c r="BN237" s="271"/>
      <c r="BO237" s="272"/>
      <c r="BP237" s="272"/>
      <c r="BQ237" s="272"/>
      <c r="BR237" s="272"/>
      <c r="BS237" s="272"/>
      <c r="BT237" s="272"/>
      <c r="BU237" s="272"/>
      <c r="BV237" s="271"/>
      <c r="BW237" s="271"/>
      <c r="BX237" s="271"/>
      <c r="BY237" s="271"/>
      <c r="BZ237" s="271"/>
      <c r="CA237" s="271"/>
      <c r="CB237" s="271"/>
      <c r="CC237" s="271"/>
      <c r="CD237" s="271"/>
      <c r="CE237" s="271"/>
      <c r="CF237" s="271"/>
      <c r="CG237" s="271"/>
      <c r="CH237" s="271"/>
      <c r="CI237" s="271"/>
    </row>
    <row r="238" spans="1:87" ht="16.2" outlineLevel="1">
      <c r="A238" s="264" t="str">
        <f t="shared" si="52"/>
        <v>PROPERTY_ENERGY_CERTIFICATESOURCE_CODE</v>
      </c>
      <c r="B238" s="141" t="s">
        <v>26</v>
      </c>
      <c r="C238" s="137" t="s">
        <v>54</v>
      </c>
      <c r="D238" s="226" t="s">
        <v>40</v>
      </c>
      <c r="E238" s="227" t="s">
        <v>123</v>
      </c>
      <c r="F238" s="227"/>
      <c r="G238" s="319" t="s">
        <v>87</v>
      </c>
      <c r="H238" s="226" t="str">
        <f>VLOOKUP(A238,'2. Status Detalhe Campos FY24'!$A$7:$G$732,7,0)</f>
        <v>1. Concluído</v>
      </c>
      <c r="I238" s="266" t="s">
        <v>38</v>
      </c>
      <c r="J238" s="275">
        <v>45638</v>
      </c>
      <c r="K238" s="275">
        <v>45639</v>
      </c>
      <c r="L238" s="280">
        <f t="array" ref="L238">MIN(IF(W238:CI238&gt;0,$W$16:$CI$16))</f>
        <v>45639</v>
      </c>
      <c r="M238" s="281">
        <f t="array" ref="M238">MAX(IF(W238:CI238&gt;0,$W$16:$CI$16))</f>
        <v>45639</v>
      </c>
      <c r="N238" s="281"/>
      <c r="O238" s="239">
        <f>VLOOKUP(H238,Auxiliar!$B$16:$E$24,4,0)</f>
        <v>1</v>
      </c>
      <c r="P238" s="305">
        <f t="shared" ca="1" si="56"/>
        <v>1</v>
      </c>
      <c r="Q238" s="238">
        <f t="shared" ca="1" si="53"/>
        <v>0</v>
      </c>
      <c r="R238" s="332"/>
      <c r="S238" s="282" t="s">
        <v>1861</v>
      </c>
      <c r="T238" s="260">
        <v>4.0999999999999996</v>
      </c>
      <c r="U238" s="260">
        <f t="shared" si="54"/>
        <v>0.5</v>
      </c>
      <c r="V238" s="260">
        <f t="shared" si="59"/>
        <v>-0.5</v>
      </c>
      <c r="W238" s="271"/>
      <c r="X238" s="271"/>
      <c r="Y238" s="271"/>
      <c r="Z238" s="278"/>
      <c r="AA238" s="271"/>
      <c r="AB238" s="271"/>
      <c r="AC238" s="271"/>
      <c r="AD238" s="272"/>
      <c r="AE238" s="278"/>
      <c r="AF238" s="283"/>
      <c r="AG238" s="271"/>
      <c r="AH238" s="271"/>
      <c r="AI238" s="279"/>
      <c r="AJ238" s="271"/>
      <c r="AK238" s="271"/>
      <c r="AL238" s="271"/>
      <c r="AM238" s="271"/>
      <c r="AN238" s="271"/>
      <c r="AO238" s="271"/>
      <c r="AP238" s="271"/>
      <c r="AQ238" s="279"/>
      <c r="AR238" s="271"/>
      <c r="AS238" s="271"/>
      <c r="AT238" s="271"/>
      <c r="AU238" s="271"/>
      <c r="AV238" s="271"/>
      <c r="AW238" s="271"/>
      <c r="AX238" s="271"/>
      <c r="AY238" s="271"/>
      <c r="AZ238" s="271"/>
      <c r="BA238" s="271"/>
      <c r="BB238" s="271"/>
      <c r="BC238" s="271"/>
      <c r="BD238" s="271"/>
      <c r="BE238" s="271"/>
      <c r="BF238" s="271"/>
      <c r="BG238" s="273"/>
      <c r="BH238" s="278" t="s">
        <v>443</v>
      </c>
      <c r="BI238" s="271"/>
      <c r="BJ238" s="271"/>
      <c r="BK238" s="271"/>
      <c r="BL238" s="271"/>
      <c r="BM238" s="271"/>
      <c r="BN238" s="271"/>
      <c r="BO238" s="272"/>
      <c r="BP238" s="272"/>
      <c r="BQ238" s="272"/>
      <c r="BR238" s="272"/>
      <c r="BS238" s="272"/>
      <c r="BT238" s="272"/>
      <c r="BU238" s="272"/>
      <c r="BV238" s="271"/>
      <c r="BW238" s="271"/>
      <c r="BX238" s="271"/>
      <c r="BY238" s="271"/>
      <c r="BZ238" s="271"/>
      <c r="CA238" s="271"/>
      <c r="CB238" s="271"/>
      <c r="CC238" s="271"/>
      <c r="CD238" s="271"/>
      <c r="CE238" s="271"/>
      <c r="CF238" s="271"/>
      <c r="CG238" s="271"/>
      <c r="CH238" s="271"/>
      <c r="CI238" s="271"/>
    </row>
    <row r="239" spans="1:87" ht="16.2" outlineLevel="1">
      <c r="A239" s="264" t="str">
        <f t="shared" si="52"/>
        <v>PROPERTY_ENERGY_CERTIFICATECERTIFICATE_TYPE</v>
      </c>
      <c r="B239" s="141" t="s">
        <v>26</v>
      </c>
      <c r="C239" s="137" t="s">
        <v>54</v>
      </c>
      <c r="D239" s="226" t="s">
        <v>40</v>
      </c>
      <c r="E239" s="227" t="s">
        <v>123</v>
      </c>
      <c r="F239" s="227"/>
      <c r="G239" s="319" t="s">
        <v>136</v>
      </c>
      <c r="H239" s="226" t="str">
        <f>VLOOKUP(A239,'2. Status Detalhe Campos FY24'!$A$7:$G$732,7,0)</f>
        <v>1. Concluído</v>
      </c>
      <c r="I239" s="266" t="s">
        <v>38</v>
      </c>
      <c r="J239" s="275">
        <v>45638</v>
      </c>
      <c r="K239" s="275">
        <v>45639</v>
      </c>
      <c r="L239" s="280">
        <f t="array" ref="L239">MIN(IF(W239:CI239&gt;0,$W$16:$CI$16))</f>
        <v>45639</v>
      </c>
      <c r="M239" s="281">
        <f t="array" ref="M239">MAX(IF(W239:CI239&gt;0,$W$16:$CI$16))</f>
        <v>45639</v>
      </c>
      <c r="N239" s="281"/>
      <c r="O239" s="239">
        <f>VLOOKUP(H239,Auxiliar!$B$16:$E$24,4,0)</f>
        <v>1</v>
      </c>
      <c r="P239" s="305">
        <f t="shared" ca="1" si="56"/>
        <v>1</v>
      </c>
      <c r="Q239" s="238">
        <f t="shared" ca="1" si="53"/>
        <v>0</v>
      </c>
      <c r="R239" s="332"/>
      <c r="S239" s="282" t="s">
        <v>1861</v>
      </c>
      <c r="T239" s="260">
        <v>4.0999999999999996</v>
      </c>
      <c r="U239" s="260">
        <f t="shared" si="54"/>
        <v>0.5</v>
      </c>
      <c r="V239" s="260">
        <f t="shared" si="59"/>
        <v>-0.5</v>
      </c>
      <c r="W239" s="271"/>
      <c r="X239" s="271"/>
      <c r="Y239" s="271"/>
      <c r="Z239" s="278"/>
      <c r="AA239" s="271"/>
      <c r="AB239" s="271"/>
      <c r="AC239" s="271"/>
      <c r="AD239" s="272"/>
      <c r="AE239" s="278"/>
      <c r="AF239" s="271"/>
      <c r="AG239" s="271"/>
      <c r="AH239" s="271"/>
      <c r="AI239" s="279"/>
      <c r="AJ239" s="271"/>
      <c r="AK239" s="271"/>
      <c r="AL239" s="271"/>
      <c r="AM239" s="271"/>
      <c r="AN239" s="271"/>
      <c r="AO239" s="271"/>
      <c r="AP239" s="271"/>
      <c r="AQ239" s="279"/>
      <c r="AR239" s="271"/>
      <c r="AS239" s="271"/>
      <c r="AT239" s="271"/>
      <c r="AU239" s="271"/>
      <c r="AV239" s="271"/>
      <c r="AW239" s="271"/>
      <c r="AX239" s="271"/>
      <c r="AY239" s="271"/>
      <c r="AZ239" s="271"/>
      <c r="BA239" s="271"/>
      <c r="BB239" s="271"/>
      <c r="BC239" s="271"/>
      <c r="BD239" s="271"/>
      <c r="BE239" s="271"/>
      <c r="BF239" s="271"/>
      <c r="BG239" s="273"/>
      <c r="BH239" s="278" t="s">
        <v>443</v>
      </c>
      <c r="BI239" s="271"/>
      <c r="BJ239" s="271"/>
      <c r="BK239" s="271"/>
      <c r="BL239" s="271"/>
      <c r="BM239" s="271"/>
      <c r="BN239" s="271"/>
      <c r="BO239" s="272"/>
      <c r="BP239" s="272"/>
      <c r="BQ239" s="272"/>
      <c r="BR239" s="272"/>
      <c r="BS239" s="272"/>
      <c r="BT239" s="272"/>
      <c r="BU239" s="272"/>
      <c r="BV239" s="271"/>
      <c r="BW239" s="271"/>
      <c r="BX239" s="271"/>
      <c r="BY239" s="271"/>
      <c r="BZ239" s="271"/>
      <c r="CA239" s="271"/>
      <c r="CB239" s="271"/>
      <c r="CC239" s="271"/>
      <c r="CD239" s="271"/>
      <c r="CE239" s="271"/>
      <c r="CF239" s="271"/>
      <c r="CG239" s="271"/>
      <c r="CH239" s="271"/>
      <c r="CI239" s="271"/>
    </row>
    <row r="240" spans="1:87" ht="16.2" outlineLevel="1">
      <c r="A240" s="264" t="str">
        <f t="shared" si="52"/>
        <v>PROPERTY_ENERGY_CERTIFICATEREN_ENERGY_PRODUCED_VALUE</v>
      </c>
      <c r="B240" s="141" t="s">
        <v>26</v>
      </c>
      <c r="C240" s="137" t="s">
        <v>54</v>
      </c>
      <c r="D240" s="226" t="s">
        <v>40</v>
      </c>
      <c r="E240" s="227" t="s">
        <v>123</v>
      </c>
      <c r="F240" s="227"/>
      <c r="G240" s="319" t="s">
        <v>160</v>
      </c>
      <c r="H240" s="226" t="str">
        <f>VLOOKUP(A240,'2. Status Detalhe Campos FY24'!$A$7:$G$732,7,0)</f>
        <v>1. Concluído</v>
      </c>
      <c r="I240" s="266" t="s">
        <v>38</v>
      </c>
      <c r="J240" s="275">
        <v>45638</v>
      </c>
      <c r="K240" s="275">
        <v>45639</v>
      </c>
      <c r="L240" s="280">
        <f t="array" ref="L240">MIN(IF(W240:CI240&gt;0,$W$16:$CI$16))</f>
        <v>45639</v>
      </c>
      <c r="M240" s="281">
        <f t="array" ref="M240">MAX(IF(W240:CI240&gt;0,$W$16:$CI$16))</f>
        <v>45639</v>
      </c>
      <c r="N240" s="281"/>
      <c r="O240" s="239">
        <f>VLOOKUP(H240,Auxiliar!$B$16:$E$24,4,0)</f>
        <v>1</v>
      </c>
      <c r="P240" s="305">
        <f t="shared" ca="1" si="56"/>
        <v>1</v>
      </c>
      <c r="Q240" s="238">
        <f t="shared" ca="1" si="53"/>
        <v>0</v>
      </c>
      <c r="R240" s="332"/>
      <c r="S240" s="282" t="s">
        <v>1861</v>
      </c>
      <c r="T240" s="260">
        <v>4.0999999999999996</v>
      </c>
      <c r="U240" s="260">
        <f t="shared" si="54"/>
        <v>0.5</v>
      </c>
      <c r="V240" s="260">
        <f t="shared" si="59"/>
        <v>-0.5</v>
      </c>
      <c r="W240" s="271"/>
      <c r="X240" s="271"/>
      <c r="Y240" s="271"/>
      <c r="Z240" s="278"/>
      <c r="AA240" s="271"/>
      <c r="AB240" s="271"/>
      <c r="AC240" s="271"/>
      <c r="AD240" s="272"/>
      <c r="AE240" s="278"/>
      <c r="AF240" s="271"/>
      <c r="AG240" s="271"/>
      <c r="AH240" s="271"/>
      <c r="AI240" s="279"/>
      <c r="AJ240" s="271"/>
      <c r="AK240" s="271"/>
      <c r="AL240" s="271"/>
      <c r="AM240" s="271"/>
      <c r="AN240" s="271"/>
      <c r="AO240" s="271"/>
      <c r="AP240" s="271"/>
      <c r="AQ240" s="279"/>
      <c r="AR240" s="271"/>
      <c r="AS240" s="271"/>
      <c r="AT240" s="271"/>
      <c r="AU240" s="271"/>
      <c r="AV240" s="271"/>
      <c r="AW240" s="271"/>
      <c r="AX240" s="271"/>
      <c r="AY240" s="271"/>
      <c r="AZ240" s="271"/>
      <c r="BA240" s="271"/>
      <c r="BB240" s="271"/>
      <c r="BC240" s="271"/>
      <c r="BD240" s="271"/>
      <c r="BE240" s="271"/>
      <c r="BF240" s="271"/>
      <c r="BG240" s="273"/>
      <c r="BH240" s="278" t="s">
        <v>443</v>
      </c>
      <c r="BI240" s="271"/>
      <c r="BJ240" s="271"/>
      <c r="BK240" s="271"/>
      <c r="BL240" s="271"/>
      <c r="BM240" s="271"/>
      <c r="BN240" s="271"/>
      <c r="BO240" s="272"/>
      <c r="BP240" s="272"/>
      <c r="BQ240" s="272"/>
      <c r="BR240" s="272"/>
      <c r="BS240" s="272"/>
      <c r="BT240" s="272"/>
      <c r="BU240" s="272"/>
      <c r="BV240" s="271"/>
      <c r="BW240" s="271"/>
      <c r="BX240" s="271"/>
      <c r="BY240" s="271"/>
      <c r="BZ240" s="271"/>
      <c r="CA240" s="271"/>
      <c r="CB240" s="271"/>
      <c r="CC240" s="271"/>
      <c r="CD240" s="271"/>
      <c r="CE240" s="271"/>
      <c r="CF240" s="271"/>
      <c r="CG240" s="271"/>
      <c r="CH240" s="271"/>
      <c r="CI240" s="271"/>
    </row>
    <row r="241" spans="1:87" ht="16.2" outlineLevel="1">
      <c r="A241" s="264" t="str">
        <f t="shared" si="52"/>
        <v>PROPERTY_ENERGY_CERTIFICATEPRIMARY_ENERGY_REQ_VALUE</v>
      </c>
      <c r="B241" s="141" t="s">
        <v>26</v>
      </c>
      <c r="C241" s="137" t="s">
        <v>54</v>
      </c>
      <c r="D241" s="226" t="s">
        <v>40</v>
      </c>
      <c r="E241" s="227" t="s">
        <v>123</v>
      </c>
      <c r="F241" s="227"/>
      <c r="G241" s="319" t="s">
        <v>164</v>
      </c>
      <c r="H241" s="226" t="str">
        <f>VLOOKUP(A241,'2. Status Detalhe Campos FY24'!$A$7:$G$732,7,0)</f>
        <v>1. Concluído</v>
      </c>
      <c r="I241" s="266" t="s">
        <v>38</v>
      </c>
      <c r="J241" s="275">
        <v>45638</v>
      </c>
      <c r="K241" s="275">
        <v>45639</v>
      </c>
      <c r="L241" s="280">
        <f t="array" ref="L241">MIN(IF(W241:CI241&gt;0,$W$16:$CI$16))</f>
        <v>45639</v>
      </c>
      <c r="M241" s="281">
        <f t="array" ref="M241">MAX(IF(W241:CI241&gt;0,$W$16:$CI$16))</f>
        <v>45639</v>
      </c>
      <c r="N241" s="281"/>
      <c r="O241" s="239">
        <f>VLOOKUP(H241,Auxiliar!$B$16:$E$24,4,0)</f>
        <v>1</v>
      </c>
      <c r="P241" s="305">
        <f t="shared" ca="1" si="56"/>
        <v>1</v>
      </c>
      <c r="Q241" s="238">
        <f t="shared" ca="1" si="53"/>
        <v>0</v>
      </c>
      <c r="R241" s="332"/>
      <c r="S241" s="282" t="s">
        <v>1861</v>
      </c>
      <c r="T241" s="260">
        <v>4.0999999999999996</v>
      </c>
      <c r="U241" s="260">
        <f t="shared" si="54"/>
        <v>0.5</v>
      </c>
      <c r="V241" s="260">
        <f t="shared" si="59"/>
        <v>-0.5</v>
      </c>
      <c r="W241" s="271"/>
      <c r="X241" s="271"/>
      <c r="Y241" s="271"/>
      <c r="Z241" s="278"/>
      <c r="AA241" s="271"/>
      <c r="AB241" s="271"/>
      <c r="AC241" s="271"/>
      <c r="AD241" s="272"/>
      <c r="AE241" s="278"/>
      <c r="AF241" s="271"/>
      <c r="AG241" s="271"/>
      <c r="AH241" s="271"/>
      <c r="AI241" s="279"/>
      <c r="AJ241" s="271"/>
      <c r="AK241" s="271"/>
      <c r="AL241" s="271"/>
      <c r="AM241" s="271"/>
      <c r="AN241" s="271"/>
      <c r="AO241" s="271"/>
      <c r="AP241" s="271"/>
      <c r="AQ241" s="279"/>
      <c r="AR241" s="271"/>
      <c r="AS241" s="271"/>
      <c r="AT241" s="271"/>
      <c r="AU241" s="271"/>
      <c r="AV241" s="271"/>
      <c r="AW241" s="271"/>
      <c r="AX241" s="271"/>
      <c r="AY241" s="271"/>
      <c r="AZ241" s="271"/>
      <c r="BA241" s="271"/>
      <c r="BB241" s="271"/>
      <c r="BC241" s="271"/>
      <c r="BD241" s="271"/>
      <c r="BE241" s="271"/>
      <c r="BF241" s="271"/>
      <c r="BG241" s="273"/>
      <c r="BH241" s="278" t="s">
        <v>443</v>
      </c>
      <c r="BI241" s="271"/>
      <c r="BJ241" s="271"/>
      <c r="BK241" s="271"/>
      <c r="BL241" s="271"/>
      <c r="BM241" s="271"/>
      <c r="BN241" s="271"/>
      <c r="BO241" s="272"/>
      <c r="BP241" s="272"/>
      <c r="BQ241" s="272"/>
      <c r="BR241" s="272"/>
      <c r="BS241" s="272"/>
      <c r="BT241" s="272"/>
      <c r="BU241" s="272"/>
      <c r="BV241" s="271"/>
      <c r="BW241" s="271"/>
      <c r="BX241" s="271"/>
      <c r="BY241" s="271"/>
      <c r="BZ241" s="271"/>
      <c r="CA241" s="271"/>
      <c r="CB241" s="271"/>
      <c r="CC241" s="271"/>
      <c r="CD241" s="271"/>
      <c r="CE241" s="271"/>
      <c r="CF241" s="271"/>
      <c r="CG241" s="271"/>
      <c r="CH241" s="271"/>
      <c r="CI241" s="271"/>
    </row>
    <row r="242" spans="1:87" ht="16.2" outlineLevel="1">
      <c r="A242" s="264" t="str">
        <f t="shared" si="52"/>
        <v>PROPERTY_ENERGY_CERTIFICATENET_FLOOR_AREA</v>
      </c>
      <c r="B242" s="141" t="s">
        <v>26</v>
      </c>
      <c r="C242" s="137" t="s">
        <v>54</v>
      </c>
      <c r="D242" s="226" t="s">
        <v>40</v>
      </c>
      <c r="E242" s="227" t="s">
        <v>123</v>
      </c>
      <c r="F242" s="227"/>
      <c r="G242" s="319" t="s">
        <v>97</v>
      </c>
      <c r="H242" s="226" t="str">
        <f>VLOOKUP(A242,'2. Status Detalhe Campos FY24'!$A$7:$G$732,7,0)</f>
        <v>1. Concluído</v>
      </c>
      <c r="I242" s="266" t="s">
        <v>38</v>
      </c>
      <c r="J242" s="275">
        <v>45638</v>
      </c>
      <c r="K242" s="275">
        <v>45639</v>
      </c>
      <c r="L242" s="280">
        <f t="array" ref="L242">MIN(IF(W242:CI242&gt;0,$W$16:$CI$16))</f>
        <v>45639</v>
      </c>
      <c r="M242" s="281">
        <f t="array" ref="M242">MAX(IF(W242:CI242&gt;0,$W$16:$CI$16))</f>
        <v>45639</v>
      </c>
      <c r="N242" s="281"/>
      <c r="O242" s="239">
        <f>VLOOKUP(H242,Auxiliar!$B$16:$E$24,4,0)</f>
        <v>1</v>
      </c>
      <c r="P242" s="305">
        <f t="shared" ca="1" si="56"/>
        <v>1</v>
      </c>
      <c r="Q242" s="238">
        <f t="shared" ca="1" si="53"/>
        <v>0</v>
      </c>
      <c r="R242" s="332"/>
      <c r="S242" s="282" t="s">
        <v>1861</v>
      </c>
      <c r="T242" s="260">
        <v>4.0999999999999996</v>
      </c>
      <c r="U242" s="260">
        <f t="shared" si="54"/>
        <v>0.5</v>
      </c>
      <c r="V242" s="260">
        <f t="shared" si="59"/>
        <v>-0.5</v>
      </c>
      <c r="W242" s="271"/>
      <c r="X242" s="271"/>
      <c r="Y242" s="271"/>
      <c r="Z242" s="278"/>
      <c r="AA242" s="271"/>
      <c r="AB242" s="271"/>
      <c r="AC242" s="271"/>
      <c r="AD242" s="272"/>
      <c r="AE242" s="278"/>
      <c r="AF242" s="271"/>
      <c r="AG242" s="271"/>
      <c r="AH242" s="271"/>
      <c r="AI242" s="279"/>
      <c r="AJ242" s="271"/>
      <c r="AK242" s="271"/>
      <c r="AL242" s="271"/>
      <c r="AM242" s="271"/>
      <c r="AN242" s="271"/>
      <c r="AO242" s="271"/>
      <c r="AP242" s="271"/>
      <c r="AQ242" s="279"/>
      <c r="AR242" s="271"/>
      <c r="AS242" s="271"/>
      <c r="AT242" s="271"/>
      <c r="AU242" s="271"/>
      <c r="AV242" s="271"/>
      <c r="AW242" s="271"/>
      <c r="AX242" s="271"/>
      <c r="AY242" s="271"/>
      <c r="AZ242" s="271"/>
      <c r="BA242" s="271"/>
      <c r="BB242" s="271"/>
      <c r="BC242" s="271"/>
      <c r="BD242" s="271"/>
      <c r="BE242" s="271"/>
      <c r="BF242" s="271"/>
      <c r="BG242" s="273"/>
      <c r="BH242" s="278" t="s">
        <v>443</v>
      </c>
      <c r="BI242" s="271"/>
      <c r="BJ242" s="271"/>
      <c r="BK242" s="271"/>
      <c r="BL242" s="271"/>
      <c r="BM242" s="271"/>
      <c r="BN242" s="271"/>
      <c r="BO242" s="272"/>
      <c r="BP242" s="272"/>
      <c r="BQ242" s="272"/>
      <c r="BR242" s="272"/>
      <c r="BS242" s="272"/>
      <c r="BT242" s="272"/>
      <c r="BU242" s="272"/>
      <c r="BV242" s="271"/>
      <c r="BW242" s="271"/>
      <c r="BX242" s="271"/>
      <c r="BY242" s="271"/>
      <c r="BZ242" s="271"/>
      <c r="CA242" s="271"/>
      <c r="CB242" s="271"/>
      <c r="CC242" s="271"/>
      <c r="CD242" s="271"/>
      <c r="CE242" s="271"/>
      <c r="CF242" s="271"/>
      <c r="CG242" s="271"/>
      <c r="CH242" s="271"/>
      <c r="CI242" s="271"/>
    </row>
    <row r="243" spans="1:87" ht="16.2" outlineLevel="1">
      <c r="A243" s="264" t="str">
        <f t="shared" si="52"/>
        <v>PROPERTY_ENERGY_CERTIFICATECADASTRAL_REGISTER_CODE</v>
      </c>
      <c r="B243" s="141" t="s">
        <v>26</v>
      </c>
      <c r="C243" s="137" t="s">
        <v>54</v>
      </c>
      <c r="D243" s="226" t="s">
        <v>40</v>
      </c>
      <c r="E243" s="227" t="s">
        <v>123</v>
      </c>
      <c r="F243" s="227"/>
      <c r="G243" s="319" t="s">
        <v>98</v>
      </c>
      <c r="H243" s="226" t="str">
        <f>VLOOKUP(A243,'2. Status Detalhe Campos FY24'!$A$7:$G$732,7,0)</f>
        <v>1. Concluído</v>
      </c>
      <c r="I243" s="266" t="s">
        <v>38</v>
      </c>
      <c r="J243" s="275">
        <v>45638</v>
      </c>
      <c r="K243" s="275">
        <v>45639</v>
      </c>
      <c r="L243" s="280">
        <f t="array" ref="L243">MIN(IF(W243:CI243&gt;0,$W$16:$CI$16))</f>
        <v>45639</v>
      </c>
      <c r="M243" s="281">
        <f t="array" ref="M243">MAX(IF(W243:CI243&gt;0,$W$16:$CI$16))</f>
        <v>45639</v>
      </c>
      <c r="N243" s="281"/>
      <c r="O243" s="239">
        <f>VLOOKUP(H243,Auxiliar!$B$16:$E$24,4,0)</f>
        <v>1</v>
      </c>
      <c r="P243" s="305">
        <f t="shared" ca="1" si="56"/>
        <v>1</v>
      </c>
      <c r="Q243" s="238">
        <f t="shared" ca="1" si="53"/>
        <v>0</v>
      </c>
      <c r="R243" s="332"/>
      <c r="S243" s="282" t="s">
        <v>1861</v>
      </c>
      <c r="T243" s="260">
        <v>4.0999999999999996</v>
      </c>
      <c r="U243" s="260">
        <f t="shared" si="54"/>
        <v>0.5</v>
      </c>
      <c r="V243" s="260">
        <f t="shared" si="59"/>
        <v>-0.5</v>
      </c>
      <c r="W243" s="271"/>
      <c r="X243" s="271"/>
      <c r="Y243" s="271"/>
      <c r="Z243" s="278"/>
      <c r="AA243" s="271"/>
      <c r="AB243" s="271"/>
      <c r="AC243" s="271"/>
      <c r="AD243" s="272"/>
      <c r="AE243" s="278"/>
      <c r="AF243" s="271"/>
      <c r="AG243" s="271"/>
      <c r="AH243" s="271"/>
      <c r="AI243" s="279"/>
      <c r="AJ243" s="271"/>
      <c r="AK243" s="271"/>
      <c r="AL243" s="271"/>
      <c r="AM243" s="271"/>
      <c r="AN243" s="271"/>
      <c r="AO243" s="271"/>
      <c r="AP243" s="271"/>
      <c r="AQ243" s="279"/>
      <c r="AR243" s="271"/>
      <c r="AS243" s="271"/>
      <c r="AT243" s="271"/>
      <c r="AU243" s="271"/>
      <c r="AV243" s="271"/>
      <c r="AW243" s="271"/>
      <c r="AX243" s="271"/>
      <c r="AY243" s="271"/>
      <c r="AZ243" s="271"/>
      <c r="BA243" s="271"/>
      <c r="BB243" s="271"/>
      <c r="BC243" s="271"/>
      <c r="BD243" s="271"/>
      <c r="BE243" s="271"/>
      <c r="BF243" s="271"/>
      <c r="BG243" s="273"/>
      <c r="BH243" s="278" t="s">
        <v>443</v>
      </c>
      <c r="BI243" s="271"/>
      <c r="BJ243" s="271"/>
      <c r="BK243" s="271"/>
      <c r="BL243" s="271"/>
      <c r="BM243" s="271"/>
      <c r="BN243" s="271"/>
      <c r="BO243" s="272"/>
      <c r="BP243" s="272"/>
      <c r="BQ243" s="272"/>
      <c r="BR243" s="272"/>
      <c r="BS243" s="272"/>
      <c r="BT243" s="272"/>
      <c r="BU243" s="272"/>
      <c r="BV243" s="271"/>
      <c r="BW243" s="271"/>
      <c r="BX243" s="271"/>
      <c r="BY243" s="271"/>
      <c r="BZ243" s="271"/>
      <c r="CA243" s="271"/>
      <c r="CB243" s="271"/>
      <c r="CC243" s="271"/>
      <c r="CD243" s="271"/>
      <c r="CE243" s="271"/>
      <c r="CF243" s="271"/>
      <c r="CG243" s="271"/>
      <c r="CH243" s="271"/>
      <c r="CI243" s="271"/>
    </row>
    <row r="244" spans="1:87" ht="16.2" outlineLevel="1">
      <c r="A244" s="264" t="str">
        <f t="shared" si="52"/>
        <v>PROPERTY_ENERGY_CERTIFICATEDISTRICT_MUNICIP_PARISH_CODE</v>
      </c>
      <c r="B244" s="141" t="s">
        <v>26</v>
      </c>
      <c r="C244" s="137" t="s">
        <v>54</v>
      </c>
      <c r="D244" s="226" t="s">
        <v>40</v>
      </c>
      <c r="E244" s="227" t="s">
        <v>123</v>
      </c>
      <c r="F244" s="227"/>
      <c r="G244" s="319" t="s">
        <v>101</v>
      </c>
      <c r="H244" s="226" t="str">
        <f>VLOOKUP(A244,'2. Status Detalhe Campos FY24'!$A$7:$G$732,7,0)</f>
        <v>1. Concluído</v>
      </c>
      <c r="I244" s="266" t="s">
        <v>38</v>
      </c>
      <c r="J244" s="275">
        <v>45638</v>
      </c>
      <c r="K244" s="275">
        <v>45639</v>
      </c>
      <c r="L244" s="280">
        <f t="array" ref="L244">MIN(IF(W244:CI244&gt;0,$W$16:$CI$16))</f>
        <v>45639</v>
      </c>
      <c r="M244" s="281">
        <f t="array" ref="M244">MAX(IF(W244:CI244&gt;0,$W$16:$CI$16))</f>
        <v>45639</v>
      </c>
      <c r="N244" s="281"/>
      <c r="O244" s="239">
        <f>VLOOKUP(H244,Auxiliar!$B$16:$E$24,4,0)</f>
        <v>1</v>
      </c>
      <c r="P244" s="305">
        <f t="shared" ca="1" si="56"/>
        <v>1</v>
      </c>
      <c r="Q244" s="238">
        <f t="shared" ca="1" si="53"/>
        <v>0</v>
      </c>
      <c r="R244" s="332"/>
      <c r="S244" s="282" t="s">
        <v>1861</v>
      </c>
      <c r="T244" s="260">
        <v>4.0999999999999996</v>
      </c>
      <c r="U244" s="260">
        <f t="shared" si="54"/>
        <v>0.5</v>
      </c>
      <c r="V244" s="260">
        <f t="shared" si="59"/>
        <v>-0.5</v>
      </c>
      <c r="W244" s="271"/>
      <c r="X244" s="271"/>
      <c r="Y244" s="271"/>
      <c r="Z244" s="278"/>
      <c r="AA244" s="271"/>
      <c r="AB244" s="271"/>
      <c r="AC244" s="271"/>
      <c r="AD244" s="272"/>
      <c r="AE244" s="278"/>
      <c r="AF244" s="271"/>
      <c r="AG244" s="271"/>
      <c r="AH244" s="271"/>
      <c r="AI244" s="279"/>
      <c r="AJ244" s="271"/>
      <c r="AK244" s="271"/>
      <c r="AL244" s="271"/>
      <c r="AM244" s="271"/>
      <c r="AN244" s="271"/>
      <c r="AO244" s="271"/>
      <c r="AP244" s="271"/>
      <c r="AQ244" s="279"/>
      <c r="AR244" s="271"/>
      <c r="AS244" s="271"/>
      <c r="AT244" s="271"/>
      <c r="AU244" s="271"/>
      <c r="AV244" s="271"/>
      <c r="AW244" s="271"/>
      <c r="AX244" s="271"/>
      <c r="AY244" s="271"/>
      <c r="AZ244" s="271"/>
      <c r="BA244" s="271"/>
      <c r="BB244" s="271"/>
      <c r="BC244" s="271"/>
      <c r="BD244" s="271"/>
      <c r="BE244" s="271"/>
      <c r="BF244" s="271"/>
      <c r="BG244" s="273"/>
      <c r="BH244" s="278" t="s">
        <v>443</v>
      </c>
      <c r="BI244" s="271"/>
      <c r="BJ244" s="271"/>
      <c r="BK244" s="271"/>
      <c r="BL244" s="271"/>
      <c r="BM244" s="271"/>
      <c r="BN244" s="271"/>
      <c r="BO244" s="272"/>
      <c r="BP244" s="272"/>
      <c r="BQ244" s="272"/>
      <c r="BR244" s="272"/>
      <c r="BS244" s="272"/>
      <c r="BT244" s="272"/>
      <c r="BU244" s="272"/>
      <c r="BV244" s="271"/>
      <c r="BW244" s="271"/>
      <c r="BX244" s="271"/>
      <c r="BY244" s="271"/>
      <c r="BZ244" s="271"/>
      <c r="CA244" s="271"/>
      <c r="CB244" s="271"/>
      <c r="CC244" s="271"/>
      <c r="CD244" s="271"/>
      <c r="CE244" s="271"/>
      <c r="CF244" s="271"/>
      <c r="CG244" s="271"/>
      <c r="CH244" s="271"/>
      <c r="CI244" s="271"/>
    </row>
    <row r="245" spans="1:87" ht="16.2" outlineLevel="1">
      <c r="A245" s="264" t="str">
        <f t="shared" si="52"/>
        <v>PROPERTY_ENERGY_CERTIFICATEPROPERTY_PURPOSE_CODE</v>
      </c>
      <c r="B245" s="141" t="s">
        <v>26</v>
      </c>
      <c r="C245" s="137" t="s">
        <v>54</v>
      </c>
      <c r="D245" s="226" t="s">
        <v>40</v>
      </c>
      <c r="E245" s="227" t="s">
        <v>123</v>
      </c>
      <c r="F245" s="227"/>
      <c r="G245" s="319" t="s">
        <v>102</v>
      </c>
      <c r="H245" s="226" t="str">
        <f>VLOOKUP(A245,'2. Status Detalhe Campos FY24'!$A$7:$G$732,7,0)</f>
        <v>1. Concluído</v>
      </c>
      <c r="I245" s="266" t="s">
        <v>38</v>
      </c>
      <c r="J245" s="275">
        <v>45638</v>
      </c>
      <c r="K245" s="275">
        <v>45639</v>
      </c>
      <c r="L245" s="280">
        <f t="array" ref="L245">MIN(IF(W245:CI245&gt;0,$W$16:$CI$16))</f>
        <v>45639</v>
      </c>
      <c r="M245" s="281">
        <f t="array" ref="M245">MAX(IF(W245:CI245&gt;0,$W$16:$CI$16))</f>
        <v>45639</v>
      </c>
      <c r="N245" s="281"/>
      <c r="O245" s="239">
        <f>VLOOKUP(H245,Auxiliar!$B$16:$E$24,4,0)</f>
        <v>1</v>
      </c>
      <c r="P245" s="305">
        <f t="shared" ca="1" si="56"/>
        <v>1</v>
      </c>
      <c r="Q245" s="238">
        <f t="shared" ca="1" si="53"/>
        <v>0</v>
      </c>
      <c r="R245" s="332"/>
      <c r="S245" s="282" t="s">
        <v>1861</v>
      </c>
      <c r="T245" s="260">
        <v>4.0999999999999996</v>
      </c>
      <c r="U245" s="260">
        <f t="shared" si="54"/>
        <v>0.5</v>
      </c>
      <c r="V245" s="260">
        <f t="shared" si="59"/>
        <v>-0.5</v>
      </c>
      <c r="W245" s="271"/>
      <c r="X245" s="271"/>
      <c r="Y245" s="271"/>
      <c r="Z245" s="278"/>
      <c r="AA245" s="271"/>
      <c r="AB245" s="271"/>
      <c r="AC245" s="271"/>
      <c r="AD245" s="272"/>
      <c r="AE245" s="278"/>
      <c r="AF245" s="271"/>
      <c r="AG245" s="271"/>
      <c r="AH245" s="271"/>
      <c r="AI245" s="279"/>
      <c r="AJ245" s="271"/>
      <c r="AK245" s="271"/>
      <c r="AL245" s="271"/>
      <c r="AM245" s="271"/>
      <c r="AN245" s="271"/>
      <c r="AO245" s="271"/>
      <c r="AP245" s="271"/>
      <c r="AQ245" s="279"/>
      <c r="AR245" s="271"/>
      <c r="AS245" s="271"/>
      <c r="AT245" s="271"/>
      <c r="AU245" s="271"/>
      <c r="AV245" s="271"/>
      <c r="AW245" s="271"/>
      <c r="AX245" s="271"/>
      <c r="AY245" s="271"/>
      <c r="AZ245" s="271"/>
      <c r="BA245" s="271"/>
      <c r="BB245" s="271"/>
      <c r="BC245" s="271"/>
      <c r="BD245" s="271"/>
      <c r="BE245" s="271"/>
      <c r="BF245" s="271"/>
      <c r="BG245" s="273"/>
      <c r="BH245" s="278" t="s">
        <v>443</v>
      </c>
      <c r="BI245" s="271"/>
      <c r="BJ245" s="271"/>
      <c r="BK245" s="271"/>
      <c r="BL245" s="271"/>
      <c r="BM245" s="271"/>
      <c r="BN245" s="271"/>
      <c r="BO245" s="272"/>
      <c r="BP245" s="272"/>
      <c r="BQ245" s="272"/>
      <c r="BR245" s="272"/>
      <c r="BS245" s="272"/>
      <c r="BT245" s="272"/>
      <c r="BU245" s="272"/>
      <c r="BV245" s="271"/>
      <c r="BW245" s="271"/>
      <c r="BX245" s="271"/>
      <c r="BY245" s="271"/>
      <c r="BZ245" s="271"/>
      <c r="CA245" s="271"/>
      <c r="CB245" s="271"/>
      <c r="CC245" s="271"/>
      <c r="CD245" s="271"/>
      <c r="CE245" s="271"/>
      <c r="CF245" s="271"/>
      <c r="CG245" s="271"/>
      <c r="CH245" s="271"/>
      <c r="CI245" s="271"/>
    </row>
    <row r="246" spans="1:87" ht="16.2" outlineLevel="1">
      <c r="A246" s="264" t="str">
        <f t="shared" si="52"/>
        <v>PROPERTY_ENERGY_CERTIFICATEADDRESS_CODE</v>
      </c>
      <c r="B246" s="141" t="s">
        <v>26</v>
      </c>
      <c r="C246" s="137" t="s">
        <v>54</v>
      </c>
      <c r="D246" s="226" t="s">
        <v>40</v>
      </c>
      <c r="E246" s="227" t="s">
        <v>123</v>
      </c>
      <c r="F246" s="227"/>
      <c r="G246" s="319" t="s">
        <v>104</v>
      </c>
      <c r="H246" s="226" t="str">
        <f>VLOOKUP(A246,'2. Status Detalhe Campos FY24'!$A$7:$G$732,7,0)</f>
        <v>1. Concluído</v>
      </c>
      <c r="I246" s="266" t="s">
        <v>38</v>
      </c>
      <c r="J246" s="275">
        <v>45638</v>
      </c>
      <c r="K246" s="275">
        <v>45639</v>
      </c>
      <c r="L246" s="280">
        <f t="array" ref="L246">MIN(IF(W246:CI246&gt;0,$W$16:$CI$16))</f>
        <v>45639</v>
      </c>
      <c r="M246" s="281">
        <f t="array" ref="M246">MAX(IF(W246:CI246&gt;0,$W$16:$CI$16))</f>
        <v>45639</v>
      </c>
      <c r="N246" s="281"/>
      <c r="O246" s="239">
        <f>VLOOKUP(H246,Auxiliar!$B$16:$E$24,4,0)</f>
        <v>1</v>
      </c>
      <c r="P246" s="305">
        <f t="shared" ca="1" si="56"/>
        <v>1</v>
      </c>
      <c r="Q246" s="238">
        <f t="shared" ca="1" si="53"/>
        <v>0</v>
      </c>
      <c r="R246" s="332"/>
      <c r="S246" s="282" t="s">
        <v>1861</v>
      </c>
      <c r="T246" s="260">
        <v>4.0999999999999996</v>
      </c>
      <c r="U246" s="260">
        <f t="shared" si="54"/>
        <v>0.5</v>
      </c>
      <c r="V246" s="260">
        <f t="shared" si="59"/>
        <v>-0.5</v>
      </c>
      <c r="W246" s="271"/>
      <c r="X246" s="271"/>
      <c r="Y246" s="271"/>
      <c r="Z246" s="278"/>
      <c r="AA246" s="271"/>
      <c r="AB246" s="271"/>
      <c r="AC246" s="271"/>
      <c r="AD246" s="272"/>
      <c r="AE246" s="278"/>
      <c r="AF246" s="271"/>
      <c r="AG246" s="271"/>
      <c r="AH246" s="271"/>
      <c r="AI246" s="279"/>
      <c r="AJ246" s="271"/>
      <c r="AK246" s="271"/>
      <c r="AL246" s="271"/>
      <c r="AM246" s="271"/>
      <c r="AN246" s="271"/>
      <c r="AO246" s="271"/>
      <c r="AP246" s="271"/>
      <c r="AQ246" s="279"/>
      <c r="AR246" s="271"/>
      <c r="AS246" s="271"/>
      <c r="AT246" s="271"/>
      <c r="AU246" s="271"/>
      <c r="AV246" s="271"/>
      <c r="AW246" s="271"/>
      <c r="AX246" s="271"/>
      <c r="AY246" s="271"/>
      <c r="AZ246" s="271"/>
      <c r="BA246" s="271"/>
      <c r="BB246" s="271"/>
      <c r="BC246" s="271"/>
      <c r="BD246" s="271"/>
      <c r="BE246" s="271"/>
      <c r="BF246" s="271"/>
      <c r="BG246" s="273"/>
      <c r="BH246" s="278" t="s">
        <v>443</v>
      </c>
      <c r="BI246" s="271"/>
      <c r="BJ246" s="271"/>
      <c r="BK246" s="271"/>
      <c r="BL246" s="271"/>
      <c r="BM246" s="271"/>
      <c r="BN246" s="271"/>
      <c r="BO246" s="272"/>
      <c r="BP246" s="272"/>
      <c r="BQ246" s="272"/>
      <c r="BR246" s="272"/>
      <c r="BS246" s="272"/>
      <c r="BT246" s="272"/>
      <c r="BU246" s="272"/>
      <c r="BV246" s="271"/>
      <c r="BW246" s="271"/>
      <c r="BX246" s="271"/>
      <c r="BY246" s="271"/>
      <c r="BZ246" s="271"/>
      <c r="CA246" s="271"/>
      <c r="CB246" s="271"/>
      <c r="CC246" s="271"/>
      <c r="CD246" s="271"/>
      <c r="CE246" s="271"/>
      <c r="CF246" s="271"/>
      <c r="CG246" s="271"/>
      <c r="CH246" s="271"/>
      <c r="CI246" s="271"/>
    </row>
    <row r="247" spans="1:87" ht="16.2" outlineLevel="1">
      <c r="A247" s="264" t="str">
        <f t="shared" si="52"/>
        <v>PROPERTY_ENERGY_CERTIFICATEFLOOR_NUMBER</v>
      </c>
      <c r="B247" s="141" t="s">
        <v>26</v>
      </c>
      <c r="C247" s="137" t="s">
        <v>54</v>
      </c>
      <c r="D247" s="226" t="s">
        <v>40</v>
      </c>
      <c r="E247" s="227" t="s">
        <v>123</v>
      </c>
      <c r="F247" s="227"/>
      <c r="G247" s="319" t="s">
        <v>111</v>
      </c>
      <c r="H247" s="226" t="str">
        <f>VLOOKUP(A247,'2. Status Detalhe Campos FY24'!$A$7:$G$732,7,0)</f>
        <v>1. Concluído</v>
      </c>
      <c r="I247" s="266" t="s">
        <v>38</v>
      </c>
      <c r="J247" s="275">
        <v>45638</v>
      </c>
      <c r="K247" s="275">
        <v>45639</v>
      </c>
      <c r="L247" s="280">
        <f t="array" ref="L247">MIN(IF(W247:CI247&gt;0,$W$16:$CI$16))</f>
        <v>45639</v>
      </c>
      <c r="M247" s="281">
        <f t="array" ref="M247">MAX(IF(W247:CI247&gt;0,$W$16:$CI$16))</f>
        <v>45639</v>
      </c>
      <c r="N247" s="281"/>
      <c r="O247" s="239">
        <f>VLOOKUP(H247,Auxiliar!$B$16:$E$24,4,0)</f>
        <v>1</v>
      </c>
      <c r="P247" s="305">
        <f t="shared" ca="1" si="56"/>
        <v>1</v>
      </c>
      <c r="Q247" s="238">
        <f t="shared" ca="1" si="53"/>
        <v>0</v>
      </c>
      <c r="R247" s="332"/>
      <c r="S247" s="282" t="s">
        <v>1861</v>
      </c>
      <c r="T247" s="260">
        <v>4.0999999999999996</v>
      </c>
      <c r="U247" s="260">
        <f t="shared" si="54"/>
        <v>0.5</v>
      </c>
      <c r="V247" s="260">
        <f t="shared" si="59"/>
        <v>-0.5</v>
      </c>
      <c r="W247" s="271"/>
      <c r="X247" s="271"/>
      <c r="Y247" s="271"/>
      <c r="Z247" s="278"/>
      <c r="AA247" s="271"/>
      <c r="AB247" s="271"/>
      <c r="AC247" s="271"/>
      <c r="AD247" s="272"/>
      <c r="AE247" s="278"/>
      <c r="AF247" s="271"/>
      <c r="AG247" s="271"/>
      <c r="AH247" s="271"/>
      <c r="AI247" s="279"/>
      <c r="AJ247" s="271"/>
      <c r="AK247" s="271"/>
      <c r="AL247" s="271"/>
      <c r="AM247" s="271"/>
      <c r="AN247" s="271"/>
      <c r="AO247" s="271"/>
      <c r="AP247" s="271"/>
      <c r="AQ247" s="279"/>
      <c r="AR247" s="271"/>
      <c r="AS247" s="271"/>
      <c r="AT247" s="271"/>
      <c r="AU247" s="271"/>
      <c r="AV247" s="271"/>
      <c r="AW247" s="271"/>
      <c r="AX247" s="271"/>
      <c r="AY247" s="271"/>
      <c r="AZ247" s="271"/>
      <c r="BA247" s="271"/>
      <c r="BB247" s="271"/>
      <c r="BC247" s="271"/>
      <c r="BD247" s="271"/>
      <c r="BE247" s="271"/>
      <c r="BF247" s="271"/>
      <c r="BG247" s="273"/>
      <c r="BH247" s="278" t="s">
        <v>443</v>
      </c>
      <c r="BI247" s="271"/>
      <c r="BJ247" s="271"/>
      <c r="BK247" s="271"/>
      <c r="BL247" s="271"/>
      <c r="BM247" s="271"/>
      <c r="BN247" s="271"/>
      <c r="BO247" s="272"/>
      <c r="BP247" s="272"/>
      <c r="BQ247" s="272"/>
      <c r="BR247" s="272"/>
      <c r="BS247" s="272"/>
      <c r="BT247" s="272"/>
      <c r="BU247" s="272"/>
      <c r="BV247" s="271"/>
      <c r="BW247" s="271"/>
      <c r="BX247" s="271"/>
      <c r="BY247" s="271"/>
      <c r="BZ247" s="271"/>
      <c r="CA247" s="271"/>
      <c r="CB247" s="271"/>
      <c r="CC247" s="271"/>
      <c r="CD247" s="271"/>
      <c r="CE247" s="271"/>
      <c r="CF247" s="271"/>
      <c r="CG247" s="271"/>
      <c r="CH247" s="271"/>
      <c r="CI247" s="271"/>
    </row>
    <row r="248" spans="1:87" ht="16.2" outlineLevel="1">
      <c r="A248" s="264" t="str">
        <f>E248&amp;G248</f>
        <v>PROPERTY_ENERGY_CERTIFICATELOCALITY</v>
      </c>
      <c r="B248" s="141" t="s">
        <v>26</v>
      </c>
      <c r="C248" s="137" t="s">
        <v>54</v>
      </c>
      <c r="D248" s="226" t="s">
        <v>40</v>
      </c>
      <c r="E248" s="227" t="s">
        <v>123</v>
      </c>
      <c r="F248" s="227"/>
      <c r="G248" s="319" t="s">
        <v>112</v>
      </c>
      <c r="H248" s="226" t="str">
        <f>VLOOKUP(A248,'2. Status Detalhe Campos FY24'!$A$7:$G$732,7,0)</f>
        <v>1. Concluído</v>
      </c>
      <c r="I248" s="266" t="s">
        <v>38</v>
      </c>
      <c r="J248" s="275">
        <v>45638</v>
      </c>
      <c r="K248" s="275">
        <v>45639</v>
      </c>
      <c r="L248" s="280">
        <f t="array" ref="L248">MIN(IF(W248:CI248&gt;0,$W$16:$CI$16))</f>
        <v>45639</v>
      </c>
      <c r="M248" s="281">
        <f t="array" ref="M248">MAX(IF(W248:CI248&gt;0,$W$16:$CI$16))</f>
        <v>45639</v>
      </c>
      <c r="N248" s="281"/>
      <c r="O248" s="239">
        <f>VLOOKUP(H248,Auxiliar!$B$16:$E$24,4,0)</f>
        <v>1</v>
      </c>
      <c r="P248" s="305">
        <f ca="1">IF(TODAY()&lt;=L248,0,MIN((TODAY()-L248)/(M248-L248+1),100%))</f>
        <v>1</v>
      </c>
      <c r="Q248" s="238">
        <f t="shared" ref="Q248:Q256" ca="1" si="60">O248-P248</f>
        <v>0</v>
      </c>
      <c r="R248" s="332"/>
      <c r="S248" s="282" t="s">
        <v>1861</v>
      </c>
      <c r="T248" s="260">
        <v>4.0999999999999996</v>
      </c>
      <c r="U248" s="260">
        <f>ROUND(T248/8,1)</f>
        <v>0.5</v>
      </c>
      <c r="V248" s="260">
        <f>SUM(W248:CI248)-U248</f>
        <v>-0.5</v>
      </c>
      <c r="W248" s="271"/>
      <c r="X248" s="271"/>
      <c r="Y248" s="271"/>
      <c r="Z248" s="278"/>
      <c r="AA248" s="271"/>
      <c r="AB248" s="271"/>
      <c r="AC248" s="271"/>
      <c r="AD248" s="272"/>
      <c r="AE248" s="278"/>
      <c r="AF248" s="271"/>
      <c r="AG248" s="271"/>
      <c r="AH248" s="271"/>
      <c r="AI248" s="279"/>
      <c r="AJ248" s="271"/>
      <c r="AK248" s="271"/>
      <c r="AL248" s="271"/>
      <c r="AM248" s="271"/>
      <c r="AN248" s="271"/>
      <c r="AO248" s="271"/>
      <c r="AP248" s="271"/>
      <c r="AQ248" s="279"/>
      <c r="AR248" s="271"/>
      <c r="AS248" s="271"/>
      <c r="AT248" s="271"/>
      <c r="AU248" s="271"/>
      <c r="AV248" s="271"/>
      <c r="AW248" s="271"/>
      <c r="AX248" s="271"/>
      <c r="AY248" s="271"/>
      <c r="AZ248" s="271"/>
      <c r="BA248" s="271"/>
      <c r="BB248" s="271"/>
      <c r="BC248" s="271"/>
      <c r="BD248" s="271"/>
      <c r="BE248" s="271"/>
      <c r="BF248" s="271"/>
      <c r="BG248" s="273"/>
      <c r="BH248" s="278" t="s">
        <v>443</v>
      </c>
      <c r="BI248" s="271"/>
      <c r="BJ248" s="271"/>
      <c r="BK248" s="271"/>
      <c r="BL248" s="271"/>
      <c r="BM248" s="271"/>
      <c r="BN248" s="271"/>
      <c r="BO248" s="272"/>
      <c r="BP248" s="272"/>
      <c r="BQ248" s="272"/>
      <c r="BR248" s="272"/>
      <c r="BS248" s="272"/>
      <c r="BT248" s="272"/>
      <c r="BU248" s="272"/>
      <c r="BV248" s="271"/>
      <c r="BW248" s="271"/>
      <c r="BX248" s="271"/>
      <c r="BY248" s="271"/>
      <c r="BZ248" s="271"/>
      <c r="CA248" s="271"/>
      <c r="CB248" s="271"/>
      <c r="CC248" s="271"/>
      <c r="CD248" s="271"/>
      <c r="CE248" s="271"/>
      <c r="CF248" s="271"/>
      <c r="CG248" s="271"/>
      <c r="CH248" s="271"/>
      <c r="CI248" s="271"/>
    </row>
    <row r="249" spans="1:87" ht="15" customHeight="1" collapsed="1">
      <c r="A249" s="264"/>
      <c r="B249" s="141" t="s">
        <v>26</v>
      </c>
      <c r="C249" s="137" t="s">
        <v>54</v>
      </c>
      <c r="D249" s="133"/>
      <c r="E249" s="230" t="s">
        <v>123</v>
      </c>
      <c r="F249" s="230" t="s">
        <v>1913</v>
      </c>
      <c r="G249" s="318">
        <f>COUNTA(G250:G254)</f>
        <v>5</v>
      </c>
      <c r="H249" s="344" t="s">
        <v>572</v>
      </c>
      <c r="I249" s="266" t="s">
        <v>38</v>
      </c>
      <c r="J249" s="267">
        <f>MIN(J250:J268)</f>
        <v>45631</v>
      </c>
      <c r="K249" s="267">
        <f>MIN(K250:K268)</f>
        <v>45639</v>
      </c>
      <c r="L249" s="269" t="e">
        <f>MIN(L250:L268)</f>
        <v>#N/A</v>
      </c>
      <c r="M249" s="269" t="e">
        <f>MAX(M250:M268)</f>
        <v>#N/A</v>
      </c>
      <c r="N249" s="312" t="s">
        <v>1868</v>
      </c>
      <c r="O249" s="304">
        <f>SUMPRODUCT(O250:O268,U250:U268)/SUM(U250:U268)</f>
        <v>0.11075949367088607</v>
      </c>
      <c r="P249" s="304">
        <f ca="1">SUMPRODUCT(P250:P268,U250:U268)/SUM(U250:U268)</f>
        <v>0.25316455696202528</v>
      </c>
      <c r="Q249" s="238">
        <f t="shared" ca="1" si="60"/>
        <v>-0.14240506329113922</v>
      </c>
      <c r="R249" s="329" t="s">
        <v>1972</v>
      </c>
      <c r="S249" s="270"/>
      <c r="T249" s="260"/>
      <c r="U249" s="260"/>
      <c r="V249" s="260"/>
      <c r="W249" s="271"/>
      <c r="X249" s="271"/>
      <c r="Y249" s="271"/>
      <c r="Z249" s="278"/>
      <c r="AA249" s="271"/>
      <c r="AB249" s="271"/>
      <c r="AC249" s="271"/>
      <c r="AD249" s="272"/>
      <c r="AE249" s="278"/>
      <c r="AF249" s="271"/>
      <c r="AG249" s="271"/>
      <c r="AH249" s="271"/>
      <c r="AI249" s="279"/>
      <c r="AJ249" s="271"/>
      <c r="AK249" s="271"/>
      <c r="AL249" s="271"/>
      <c r="AM249" s="271"/>
      <c r="AN249" s="271"/>
      <c r="AO249" s="271"/>
      <c r="AP249" s="271"/>
      <c r="AQ249" s="279"/>
      <c r="AR249" s="271"/>
      <c r="AS249" s="271"/>
      <c r="AT249" s="271"/>
      <c r="AU249" s="271"/>
      <c r="AV249" s="271"/>
      <c r="AW249" s="271"/>
      <c r="AX249" s="271"/>
      <c r="AY249" s="271"/>
      <c r="AZ249" s="271"/>
      <c r="BA249" s="271"/>
      <c r="BB249" s="271"/>
      <c r="BC249" s="271"/>
      <c r="BD249" s="271"/>
      <c r="BE249" s="271"/>
      <c r="BF249" s="271"/>
      <c r="BG249" s="273"/>
      <c r="BH249" s="278" t="s">
        <v>443</v>
      </c>
      <c r="BI249" s="271"/>
      <c r="BJ249" s="271"/>
      <c r="BK249" s="271"/>
      <c r="BL249" s="271"/>
      <c r="BM249" s="271"/>
      <c r="BN249" s="271"/>
      <c r="BO249" s="272"/>
      <c r="BP249" s="272"/>
      <c r="BQ249" s="272"/>
      <c r="BR249" s="272"/>
      <c r="BS249" s="272"/>
      <c r="BT249" s="272"/>
      <c r="BU249" s="272"/>
      <c r="BV249" s="271"/>
      <c r="BW249" s="271"/>
      <c r="BX249" s="271"/>
      <c r="BY249" s="271"/>
      <c r="BZ249" s="271"/>
      <c r="CA249" s="271"/>
      <c r="CB249" s="271"/>
      <c r="CC249" s="271"/>
      <c r="CD249" s="271"/>
      <c r="CE249" s="271"/>
      <c r="CF249" s="271"/>
      <c r="CG249" s="271"/>
      <c r="CH249" s="271"/>
      <c r="CI249" s="271"/>
    </row>
    <row r="250" spans="1:87" ht="16.2" outlineLevel="1">
      <c r="A250" s="264" t="str">
        <f>E250&amp;G250</f>
        <v>PROPERTY_ENERGY_CERTIFICATEEPC</v>
      </c>
      <c r="B250" s="141" t="s">
        <v>26</v>
      </c>
      <c r="C250" s="137" t="s">
        <v>54</v>
      </c>
      <c r="D250" s="226" t="s">
        <v>40</v>
      </c>
      <c r="E250" s="227" t="s">
        <v>123</v>
      </c>
      <c r="F250" s="227"/>
      <c r="G250" s="319" t="s">
        <v>47</v>
      </c>
      <c r="H250" s="226" t="str">
        <f>VLOOKUP(A250,'2. Status Detalhe Campos FY24'!$A$7:$G$732,7,0)</f>
        <v>2.1 Em Teste</v>
      </c>
      <c r="I250" s="266" t="s">
        <v>38</v>
      </c>
      <c r="J250" s="275">
        <v>45638</v>
      </c>
      <c r="K250" s="275">
        <v>45639</v>
      </c>
      <c r="L250" s="280">
        <f t="array" ref="L250">MIN(IF(W250:CI250&gt;0,$W$16:$CI$16))</f>
        <v>45639</v>
      </c>
      <c r="M250" s="281">
        <f t="array" ref="M250">MAX(IF(W250:CI250&gt;0,$W$16:$CI$16))</f>
        <v>45639</v>
      </c>
      <c r="N250" s="281"/>
      <c r="O250" s="239">
        <f>VLOOKUP(H250,Auxiliar!$B$16:$E$24,4,0)</f>
        <v>0.25</v>
      </c>
      <c r="P250" s="305">
        <f ca="1">IF(TODAY()&lt;=L250,0,MIN((TODAY()-L250)/(M250-L250+1),100%))</f>
        <v>1</v>
      </c>
      <c r="Q250" s="238">
        <f t="shared" ca="1" si="60"/>
        <v>-0.75</v>
      </c>
      <c r="R250" s="332"/>
      <c r="S250" s="282" t="s">
        <v>1861</v>
      </c>
      <c r="T250" s="260">
        <v>4.0999999999999996</v>
      </c>
      <c r="U250" s="260">
        <f>ROUND(T250/8,1)</f>
        <v>0.5</v>
      </c>
      <c r="V250" s="260">
        <f>SUM(W250:CI250)-U250</f>
        <v>-0.5</v>
      </c>
      <c r="W250" s="271"/>
      <c r="X250" s="271"/>
      <c r="Y250" s="271"/>
      <c r="Z250" s="278"/>
      <c r="AA250" s="271"/>
      <c r="AB250" s="271"/>
      <c r="AC250" s="271"/>
      <c r="AD250" s="272"/>
      <c r="AE250" s="278"/>
      <c r="AF250" s="271"/>
      <c r="AG250" s="271"/>
      <c r="AH250" s="271"/>
      <c r="AI250" s="279"/>
      <c r="AJ250" s="271"/>
      <c r="AK250" s="271"/>
      <c r="AL250" s="271"/>
      <c r="AM250" s="271"/>
      <c r="AN250" s="271"/>
      <c r="AO250" s="271"/>
      <c r="AP250" s="271"/>
      <c r="AQ250" s="279"/>
      <c r="AR250" s="271"/>
      <c r="AS250" s="271"/>
      <c r="AT250" s="271"/>
      <c r="AU250" s="271"/>
      <c r="AV250" s="271"/>
      <c r="AW250" s="271"/>
      <c r="AX250" s="271"/>
      <c r="AY250" s="271"/>
      <c r="AZ250" s="271"/>
      <c r="BA250" s="271"/>
      <c r="BB250" s="271"/>
      <c r="BC250" s="271"/>
      <c r="BD250" s="271"/>
      <c r="BE250" s="271"/>
      <c r="BF250" s="271"/>
      <c r="BG250" s="273"/>
      <c r="BH250" s="278" t="s">
        <v>443</v>
      </c>
      <c r="BI250" s="271"/>
      <c r="BJ250" s="271"/>
      <c r="BK250" s="271"/>
      <c r="BL250" s="271"/>
      <c r="BM250" s="271"/>
      <c r="BN250" s="271"/>
      <c r="BO250" s="272"/>
      <c r="BP250" s="272"/>
      <c r="BQ250" s="272"/>
      <c r="BR250" s="272"/>
      <c r="BS250" s="272"/>
      <c r="BT250" s="272"/>
      <c r="BU250" s="272"/>
      <c r="BV250" s="271"/>
      <c r="BW250" s="271"/>
      <c r="BX250" s="271"/>
      <c r="BY250" s="271"/>
      <c r="BZ250" s="271"/>
      <c r="CA250" s="271"/>
      <c r="CB250" s="271"/>
      <c r="CC250" s="271"/>
      <c r="CD250" s="271"/>
      <c r="CE250" s="271"/>
      <c r="CF250" s="271"/>
      <c r="CG250" s="271"/>
      <c r="CH250" s="271"/>
      <c r="CI250" s="271"/>
    </row>
    <row r="251" spans="1:87" ht="16.2" outlineLevel="1">
      <c r="A251" s="264" t="str">
        <f>E251&amp;G251</f>
        <v>PROPERTY_ENERGY_CERTIFICATEEP_SCORE</v>
      </c>
      <c r="B251" s="141" t="s">
        <v>26</v>
      </c>
      <c r="C251" s="137" t="s">
        <v>54</v>
      </c>
      <c r="D251" s="226" t="s">
        <v>40</v>
      </c>
      <c r="E251" s="227" t="s">
        <v>123</v>
      </c>
      <c r="F251" s="227"/>
      <c r="G251" s="319" t="s">
        <v>135</v>
      </c>
      <c r="H251" s="226" t="str">
        <f>VLOOKUP(A251,'2. Status Detalhe Campos FY24'!$A$7:$G$732,7,0)</f>
        <v>4. Validação EF</v>
      </c>
      <c r="I251" s="266"/>
      <c r="J251" s="275"/>
      <c r="K251" s="275"/>
      <c r="L251" s="280"/>
      <c r="M251" s="281"/>
      <c r="N251" s="281"/>
      <c r="O251" s="239">
        <f>VLOOKUP(H251,Auxiliar!$B$16:$E$24,4,0)</f>
        <v>0.25</v>
      </c>
      <c r="P251" s="305">
        <f ca="1">IF(TODAY()&lt;=L251,0,MIN((TODAY()-L251)/(M251-L251+1),100%))</f>
        <v>1</v>
      </c>
      <c r="Q251" s="238">
        <f t="shared" ca="1" si="60"/>
        <v>-0.75</v>
      </c>
      <c r="R251" s="332"/>
      <c r="S251" s="282"/>
      <c r="T251" s="260"/>
      <c r="U251" s="260"/>
      <c r="V251" s="260"/>
      <c r="W251" s="271"/>
      <c r="X251" s="271"/>
      <c r="Y251" s="271"/>
      <c r="Z251" s="278"/>
      <c r="AA251" s="271"/>
      <c r="AB251" s="271"/>
      <c r="AC251" s="271"/>
      <c r="AD251" s="272"/>
      <c r="AE251" s="278"/>
      <c r="AF251" s="271"/>
      <c r="AG251" s="271"/>
      <c r="AH251" s="271"/>
      <c r="AI251" s="279"/>
      <c r="AJ251" s="271"/>
      <c r="AK251" s="271"/>
      <c r="AL251" s="271"/>
      <c r="AM251" s="271"/>
      <c r="AN251" s="271"/>
      <c r="AO251" s="271"/>
      <c r="AP251" s="271"/>
      <c r="AQ251" s="279"/>
      <c r="AR251" s="271"/>
      <c r="AS251" s="271"/>
      <c r="AT251" s="271"/>
      <c r="AU251" s="271"/>
      <c r="AV251" s="271"/>
      <c r="AW251" s="271"/>
      <c r="AX251" s="271"/>
      <c r="AY251" s="271"/>
      <c r="AZ251" s="271"/>
      <c r="BA251" s="271"/>
      <c r="BB251" s="271"/>
      <c r="BC251" s="271"/>
      <c r="BD251" s="271"/>
      <c r="BE251" s="271"/>
      <c r="BF251" s="271"/>
      <c r="BG251" s="273"/>
      <c r="BH251" s="278"/>
      <c r="BI251" s="271"/>
      <c r="BJ251" s="271"/>
      <c r="BK251" s="271"/>
      <c r="BL251" s="271"/>
      <c r="BM251" s="271"/>
      <c r="BN251" s="271"/>
      <c r="BO251" s="272"/>
      <c r="BP251" s="272"/>
      <c r="BQ251" s="272"/>
      <c r="BR251" s="272"/>
      <c r="BS251" s="272"/>
      <c r="BT251" s="272"/>
      <c r="BU251" s="272"/>
      <c r="BV251" s="271"/>
      <c r="BW251" s="271"/>
      <c r="BX251" s="271"/>
      <c r="BY251" s="271"/>
      <c r="BZ251" s="271"/>
      <c r="CA251" s="271"/>
      <c r="CB251" s="271"/>
      <c r="CC251" s="271"/>
      <c r="CD251" s="271"/>
      <c r="CE251" s="271"/>
      <c r="CF251" s="271"/>
      <c r="CG251" s="271"/>
      <c r="CH251" s="271"/>
      <c r="CI251" s="271"/>
    </row>
    <row r="252" spans="1:87" ht="16.2" outlineLevel="1">
      <c r="A252" s="264" t="str">
        <f>E252&amp;G252</f>
        <v>PROPERTY_ENERGY_CERTIFICATEENERGY_CONSUMPTION_VALUE_YEAR</v>
      </c>
      <c r="B252" s="141" t="s">
        <v>26</v>
      </c>
      <c r="C252" s="137" t="s">
        <v>54</v>
      </c>
      <c r="D252" s="226" t="s">
        <v>40</v>
      </c>
      <c r="E252" s="227" t="s">
        <v>123</v>
      </c>
      <c r="F252" s="227"/>
      <c r="G252" s="319" t="s">
        <v>51</v>
      </c>
      <c r="H252" s="226" t="str">
        <f>VLOOKUP(A252,'2. Status Detalhe Campos FY24'!$A$7:$G$732,7,0)</f>
        <v>4. Validação EF</v>
      </c>
      <c r="I252" s="266" t="s">
        <v>38</v>
      </c>
      <c r="J252" s="275">
        <v>45638</v>
      </c>
      <c r="K252" s="275">
        <v>45639</v>
      </c>
      <c r="L252" s="280">
        <f t="array" ref="L252">MIN(IF(W252:CI252&gt;0,$W$16:$CI$16))</f>
        <v>45639</v>
      </c>
      <c r="M252" s="281">
        <f t="array" ref="M252">MAX(IF(W252:CI252&gt;0,$W$16:$CI$16))</f>
        <v>45639</v>
      </c>
      <c r="N252" s="281"/>
      <c r="O252" s="239">
        <f>VLOOKUP(H252,Auxiliar!$B$16:$E$24,4,0)</f>
        <v>0.25</v>
      </c>
      <c r="P252" s="305">
        <f ca="1">IF(TODAY()&lt;=L252,0,MIN((TODAY()-L252)/(M252-L252+1),100%))</f>
        <v>1</v>
      </c>
      <c r="Q252" s="238">
        <f t="shared" ca="1" si="60"/>
        <v>-0.75</v>
      </c>
      <c r="R252" s="332"/>
      <c r="S252" s="282" t="s">
        <v>1861</v>
      </c>
      <c r="T252" s="260">
        <v>4.0999999999999996</v>
      </c>
      <c r="U252" s="260">
        <f>ROUND(T252/8,1)</f>
        <v>0.5</v>
      </c>
      <c r="V252" s="260">
        <f>SUM(W252:CI252)-U252</f>
        <v>-0.5</v>
      </c>
      <c r="W252" s="271"/>
      <c r="X252" s="271"/>
      <c r="Y252" s="271"/>
      <c r="Z252" s="278"/>
      <c r="AA252" s="271"/>
      <c r="AB252" s="271"/>
      <c r="AC252" s="271"/>
      <c r="AD252" s="272"/>
      <c r="AE252" s="278"/>
      <c r="AF252" s="271"/>
      <c r="AG252" s="271"/>
      <c r="AH252" s="271"/>
      <c r="AI252" s="279"/>
      <c r="AJ252" s="271"/>
      <c r="AK252" s="271"/>
      <c r="AL252" s="271"/>
      <c r="AM252" s="271"/>
      <c r="AN252" s="271"/>
      <c r="AO252" s="271"/>
      <c r="AP252" s="271"/>
      <c r="AQ252" s="279"/>
      <c r="AR252" s="271"/>
      <c r="AS252" s="271"/>
      <c r="AT252" s="271"/>
      <c r="AU252" s="271"/>
      <c r="AV252" s="271"/>
      <c r="AW252" s="271"/>
      <c r="AX252" s="271"/>
      <c r="AY252" s="271"/>
      <c r="AZ252" s="271"/>
      <c r="BA252" s="271"/>
      <c r="BB252" s="271"/>
      <c r="BC252" s="271"/>
      <c r="BD252" s="271"/>
      <c r="BE252" s="271"/>
      <c r="BF252" s="271"/>
      <c r="BG252" s="273"/>
      <c r="BH252" s="278" t="s">
        <v>443</v>
      </c>
      <c r="BI252" s="271"/>
      <c r="BJ252" s="271"/>
      <c r="BK252" s="271"/>
      <c r="BL252" s="271"/>
      <c r="BM252" s="271"/>
      <c r="BN252" s="271"/>
      <c r="BO252" s="272"/>
      <c r="BP252" s="272"/>
      <c r="BQ252" s="272"/>
      <c r="BR252" s="272"/>
      <c r="BS252" s="272"/>
      <c r="BT252" s="272"/>
      <c r="BU252" s="272"/>
      <c r="BV252" s="271"/>
      <c r="BW252" s="271"/>
      <c r="BX252" s="271"/>
      <c r="BY252" s="271"/>
      <c r="BZ252" s="271"/>
      <c r="CA252" s="271"/>
      <c r="CB252" s="271"/>
      <c r="CC252" s="271"/>
      <c r="CD252" s="271"/>
      <c r="CE252" s="271"/>
      <c r="CF252" s="271"/>
      <c r="CG252" s="271"/>
      <c r="CH252" s="271"/>
      <c r="CI252" s="271"/>
    </row>
    <row r="253" spans="1:87" ht="16.2" outlineLevel="1">
      <c r="A253" s="264" t="str">
        <f>E253&amp;G253</f>
        <v>PROPERTY_ENERGY_CERTIFICATECARBON_EMISSION_VALUE_YEAR</v>
      </c>
      <c r="B253" s="141" t="s">
        <v>26</v>
      </c>
      <c r="C253" s="137" t="s">
        <v>54</v>
      </c>
      <c r="D253" s="226" t="s">
        <v>40</v>
      </c>
      <c r="E253" s="227" t="s">
        <v>123</v>
      </c>
      <c r="F253" s="227"/>
      <c r="G253" s="319" t="s">
        <v>52</v>
      </c>
      <c r="H253" s="226" t="str">
        <f>VLOOKUP(A253,'2. Status Detalhe Campos FY24'!$A$7:$G$732,7,0)</f>
        <v>2.1 Em Teste</v>
      </c>
      <c r="I253" s="266" t="s">
        <v>38</v>
      </c>
      <c r="J253" s="275">
        <v>45638</v>
      </c>
      <c r="K253" s="275">
        <v>45639</v>
      </c>
      <c r="L253" s="280">
        <f t="array" ref="L253">MIN(IF(W253:CI253&gt;0,$W$16:$CI$16))</f>
        <v>45639</v>
      </c>
      <c r="M253" s="281">
        <f t="array" ref="M253">MAX(IF(W253:CI253&gt;0,$W$16:$CI$16))</f>
        <v>45639</v>
      </c>
      <c r="N253" s="281"/>
      <c r="O253" s="239">
        <f>VLOOKUP(H253,Auxiliar!$B$16:$E$24,4,0)</f>
        <v>0.25</v>
      </c>
      <c r="P253" s="305">
        <f ca="1">IF(TODAY()&lt;=L253,0,MIN((TODAY()-L253)/(M253-L253+1),100%))</f>
        <v>1</v>
      </c>
      <c r="Q253" s="238">
        <f t="shared" ca="1" si="60"/>
        <v>-0.75</v>
      </c>
      <c r="R253" s="332"/>
      <c r="S253" s="282" t="s">
        <v>1861</v>
      </c>
      <c r="T253" s="260">
        <v>4.0999999999999996</v>
      </c>
      <c r="U253" s="260">
        <f>ROUND(T253/8,1)</f>
        <v>0.5</v>
      </c>
      <c r="V253" s="260">
        <f>SUM(W253:CI253)-U253</f>
        <v>-0.5</v>
      </c>
      <c r="W253" s="271"/>
      <c r="X253" s="271"/>
      <c r="Y253" s="271"/>
      <c r="Z253" s="278"/>
      <c r="AA253" s="271"/>
      <c r="AB253" s="271"/>
      <c r="AC253" s="271"/>
      <c r="AD253" s="272"/>
      <c r="AE253" s="278"/>
      <c r="AF253" s="271"/>
      <c r="AG253" s="271"/>
      <c r="AH253" s="271"/>
      <c r="AI253" s="279"/>
      <c r="AJ253" s="271"/>
      <c r="AK253" s="271"/>
      <c r="AL253" s="271"/>
      <c r="AM253" s="271"/>
      <c r="AN253" s="271"/>
      <c r="AO253" s="271"/>
      <c r="AP253" s="271"/>
      <c r="AQ253" s="279"/>
      <c r="AR253" s="271"/>
      <c r="AS253" s="271"/>
      <c r="AT253" s="271"/>
      <c r="AU253" s="271"/>
      <c r="AV253" s="271"/>
      <c r="AW253" s="271"/>
      <c r="AX253" s="271"/>
      <c r="AY253" s="271"/>
      <c r="AZ253" s="271"/>
      <c r="BA253" s="271"/>
      <c r="BB253" s="271"/>
      <c r="BC253" s="271"/>
      <c r="BD253" s="271"/>
      <c r="BE253" s="271"/>
      <c r="BF253" s="271"/>
      <c r="BG253" s="273"/>
      <c r="BH253" s="278" t="s">
        <v>443</v>
      </c>
      <c r="BI253" s="271"/>
      <c r="BJ253" s="271"/>
      <c r="BK253" s="271"/>
      <c r="BL253" s="271"/>
      <c r="BM253" s="271"/>
      <c r="BN253" s="271"/>
      <c r="BO253" s="272"/>
      <c r="BP253" s="272"/>
      <c r="BQ253" s="272"/>
      <c r="BR253" s="272"/>
      <c r="BS253" s="272"/>
      <c r="BT253" s="272"/>
      <c r="BU253" s="272"/>
      <c r="BV253" s="271"/>
      <c r="BW253" s="271"/>
      <c r="BX253" s="271"/>
      <c r="BY253" s="271"/>
      <c r="BZ253" s="271"/>
      <c r="CA253" s="271"/>
      <c r="CB253" s="271"/>
      <c r="CC253" s="271"/>
      <c r="CD253" s="271"/>
      <c r="CE253" s="271"/>
      <c r="CF253" s="271"/>
      <c r="CG253" s="271"/>
      <c r="CH253" s="271"/>
      <c r="CI253" s="271"/>
    </row>
    <row r="254" spans="1:87" ht="16.2" outlineLevel="1">
      <c r="A254" s="264" t="str">
        <f>E254&amp;G254</f>
        <v>PROPERTY_ENERGY_CERTIFICATECURRENT_ENERGY_RATING_PERCENTAGE</v>
      </c>
      <c r="B254" s="141" t="s">
        <v>26</v>
      </c>
      <c r="C254" s="137" t="s">
        <v>54</v>
      </c>
      <c r="D254" s="226" t="s">
        <v>40</v>
      </c>
      <c r="E254" s="227" t="s">
        <v>123</v>
      </c>
      <c r="F254" s="227"/>
      <c r="G254" s="319" t="s">
        <v>1963</v>
      </c>
      <c r="H254" s="226" t="str">
        <f>VLOOKUP(A254,'2. Status Detalhe Campos FY24'!$A$7:$G$732,7,0)</f>
        <v>1. Concluído</v>
      </c>
      <c r="I254" s="266" t="s">
        <v>38</v>
      </c>
      <c r="J254" s="275">
        <v>45638</v>
      </c>
      <c r="K254" s="275">
        <v>45639</v>
      </c>
      <c r="L254" s="280">
        <f t="array" ref="L254">MIN(IF(W254:CI254&gt;0,$W$16:$CI$16))</f>
        <v>45674</v>
      </c>
      <c r="M254" s="281">
        <f t="array" ref="M254">MAX(IF(W254:CI254&gt;0,$W$16:$CI$16))</f>
        <v>45674</v>
      </c>
      <c r="N254" s="281"/>
      <c r="O254" s="239">
        <f>VLOOKUP(H254,Auxiliar!$B$16:$E$24,4,0)</f>
        <v>1</v>
      </c>
      <c r="P254" s="305">
        <f ca="1">IF(TODAY()&lt;=L254,0,MIN((TODAY()-L254)/(M254-L254+1),100%))</f>
        <v>1</v>
      </c>
      <c r="Q254" s="238">
        <f t="shared" ca="1" si="60"/>
        <v>0</v>
      </c>
      <c r="R254" s="332"/>
      <c r="S254" s="282" t="s">
        <v>1861</v>
      </c>
      <c r="T254" s="260">
        <v>4.0999999999999996</v>
      </c>
      <c r="U254" s="260">
        <f>ROUND(T254/8,1)</f>
        <v>0.5</v>
      </c>
      <c r="V254" s="260">
        <f>SUM(W254:CI254)-U254</f>
        <v>-0.5</v>
      </c>
      <c r="W254" s="271"/>
      <c r="X254" s="271"/>
      <c r="Y254" s="271"/>
      <c r="Z254" s="271"/>
      <c r="AA254" s="271"/>
      <c r="AB254" s="271"/>
      <c r="AC254" s="271"/>
      <c r="AD254" s="271"/>
      <c r="AE254" s="271"/>
      <c r="AF254" s="271"/>
      <c r="AG254" s="271"/>
      <c r="AH254" s="271"/>
      <c r="AI254" s="271"/>
      <c r="AJ254" s="271"/>
      <c r="AK254" s="271"/>
      <c r="AL254" s="271"/>
      <c r="AM254" s="271"/>
      <c r="AN254" s="271"/>
      <c r="AO254" s="271"/>
      <c r="AP254" s="271"/>
      <c r="AQ254" s="271"/>
      <c r="AR254" s="271"/>
      <c r="AS254" s="271"/>
      <c r="AT254" s="271"/>
      <c r="AU254" s="271"/>
      <c r="AV254" s="271"/>
      <c r="AW254" s="271"/>
      <c r="AX254" s="271"/>
      <c r="AY254" s="271"/>
      <c r="AZ254" s="271"/>
      <c r="BA254" s="271"/>
      <c r="BB254" s="271"/>
      <c r="BC254" s="271"/>
      <c r="BD254" s="271"/>
      <c r="BE254" s="271"/>
      <c r="BF254" s="271"/>
      <c r="BG254" s="271"/>
      <c r="BH254" s="271"/>
      <c r="BI254" s="271"/>
      <c r="BJ254" s="271"/>
      <c r="BK254" s="271"/>
      <c r="BL254" s="271"/>
      <c r="BM254" s="271"/>
      <c r="BN254" s="271"/>
      <c r="BO254" s="272"/>
      <c r="BP254" s="272"/>
      <c r="BQ254" s="272"/>
      <c r="BR254" s="272"/>
      <c r="BS254" s="272"/>
      <c r="BT254" s="272"/>
      <c r="BU254" s="272"/>
      <c r="BV254" s="271"/>
      <c r="BW254" s="271"/>
      <c r="BX254" s="271"/>
      <c r="BY254" s="271"/>
      <c r="BZ254" s="271"/>
      <c r="CA254" s="271"/>
      <c r="CB254" s="271"/>
      <c r="CC254" s="271"/>
      <c r="CD254" s="271"/>
      <c r="CE254" s="271"/>
      <c r="CF254" s="271"/>
      <c r="CG254" s="271" t="s">
        <v>443</v>
      </c>
      <c r="CH254" s="271"/>
      <c r="CI254" s="271"/>
    </row>
    <row r="255" spans="1:87" ht="15" customHeight="1" collapsed="1">
      <c r="A255" s="264"/>
      <c r="B255" s="141" t="s">
        <v>26</v>
      </c>
      <c r="C255" s="137" t="s">
        <v>34</v>
      </c>
      <c r="D255" s="133"/>
      <c r="E255" s="232" t="s">
        <v>1923</v>
      </c>
      <c r="F255" s="230" t="s">
        <v>1889</v>
      </c>
      <c r="G255" s="245" t="s">
        <v>1868</v>
      </c>
      <c r="H255" s="284" t="s">
        <v>1957</v>
      </c>
      <c r="I255" s="268" t="s">
        <v>38</v>
      </c>
      <c r="J255" s="268">
        <v>45645</v>
      </c>
      <c r="K255" s="266"/>
      <c r="L255" s="269">
        <f t="array" ref="L255">MIN(IF(W255:CI255&gt;0,$W$16:$CI$16))</f>
        <v>45671</v>
      </c>
      <c r="M255" s="300">
        <f t="array" ref="M255">MAX(IF(W255:CI255&gt;0,$W$16:$CI$16))</f>
        <v>45674</v>
      </c>
      <c r="N255" s="312" t="s">
        <v>1868</v>
      </c>
      <c r="O255" s="306">
        <v>0</v>
      </c>
      <c r="P255" s="306">
        <v>0</v>
      </c>
      <c r="Q255" s="238">
        <f t="shared" si="60"/>
        <v>0</v>
      </c>
      <c r="R255" s="331" t="s">
        <v>1962</v>
      </c>
      <c r="S255" s="270"/>
      <c r="T255" s="260"/>
      <c r="U255" s="260"/>
      <c r="V255" s="260"/>
      <c r="W255" s="271"/>
      <c r="X255" s="271"/>
      <c r="Y255" s="271"/>
      <c r="Z255" s="271"/>
      <c r="AA255" s="271"/>
      <c r="AB255" s="271"/>
      <c r="AC255" s="271"/>
      <c r="AD255" s="272"/>
      <c r="AE255" s="271"/>
      <c r="AF255" s="271"/>
      <c r="AG255" s="271"/>
      <c r="AH255" s="271"/>
      <c r="AI255" s="279"/>
      <c r="AJ255" s="271"/>
      <c r="AK255" s="271"/>
      <c r="AL255" s="271"/>
      <c r="AM255" s="271"/>
      <c r="AN255" s="271"/>
      <c r="AO255" s="271"/>
      <c r="AP255" s="271"/>
      <c r="AQ255" s="271"/>
      <c r="AR255" s="271"/>
      <c r="AS255" s="271"/>
      <c r="AT255" s="271"/>
      <c r="AU255" s="271"/>
      <c r="AV255" s="271"/>
      <c r="AW255" s="273"/>
      <c r="AX255" s="271"/>
      <c r="AY255" s="271"/>
      <c r="AZ255" s="271"/>
      <c r="BA255" s="273"/>
      <c r="BB255" s="271"/>
      <c r="BC255" s="271"/>
      <c r="BD255" s="271"/>
      <c r="BE255" s="271"/>
      <c r="BF255" s="271"/>
      <c r="BG255" s="271"/>
      <c r="BH255" s="271"/>
      <c r="BI255" s="271"/>
      <c r="BJ255" s="271"/>
      <c r="BK255" s="271"/>
      <c r="BL255" s="273"/>
      <c r="BM255" s="271"/>
      <c r="BN255" s="271"/>
      <c r="BO255" s="272"/>
      <c r="BP255" s="272"/>
      <c r="BQ255" s="272"/>
      <c r="BR255" s="272"/>
      <c r="BS255" s="272"/>
      <c r="BT255" s="272"/>
      <c r="BU255" s="272"/>
      <c r="BV255" s="271"/>
      <c r="BW255" s="271"/>
      <c r="BX255" s="271"/>
      <c r="BY255" s="271"/>
      <c r="BZ255" s="271"/>
      <c r="CA255" s="271"/>
      <c r="CB255" s="271"/>
      <c r="CC255" s="271"/>
      <c r="CD255" s="271">
        <v>1</v>
      </c>
      <c r="CE255" s="271">
        <v>1</v>
      </c>
      <c r="CF255" s="271"/>
      <c r="CG255" s="271" t="s">
        <v>443</v>
      </c>
      <c r="CH255" s="271"/>
      <c r="CI255" s="271"/>
    </row>
    <row r="256" spans="1:87" ht="15" customHeight="1">
      <c r="A256" s="264" t="str">
        <f>E256&amp;G256</f>
        <v>munichRetbd</v>
      </c>
      <c r="B256" s="141" t="s">
        <v>26</v>
      </c>
      <c r="C256" s="137" t="s">
        <v>181</v>
      </c>
      <c r="D256" s="133" t="s">
        <v>40</v>
      </c>
      <c r="E256" s="232" t="s">
        <v>1867</v>
      </c>
      <c r="F256" s="230" t="s">
        <v>1889</v>
      </c>
      <c r="G256" s="245" t="s">
        <v>1868</v>
      </c>
      <c r="H256" s="285" t="s">
        <v>1921</v>
      </c>
      <c r="I256" s="268">
        <v>45574</v>
      </c>
      <c r="J256" s="330">
        <v>45631</v>
      </c>
      <c r="K256" s="266"/>
      <c r="L256" s="269" t="e">
        <f t="array" ref="L256">MIN(IF(W256:CH256&gt;0,$W$16:$CI$16))</f>
        <v>#N/A</v>
      </c>
      <c r="M256" s="300" t="e">
        <f t="array" ref="M256">MAX(IF(W256:CH256&gt;0,$W$16:$CI$16))</f>
        <v>#N/A</v>
      </c>
      <c r="N256" s="312">
        <v>45674</v>
      </c>
      <c r="O256" s="311">
        <v>1</v>
      </c>
      <c r="P256" s="311">
        <v>1</v>
      </c>
      <c r="Q256" s="238">
        <f t="shared" si="60"/>
        <v>0</v>
      </c>
      <c r="R256" s="252"/>
      <c r="S256" s="270"/>
      <c r="T256" s="260"/>
      <c r="U256" s="260"/>
      <c r="V256" s="260"/>
      <c r="W256" s="271"/>
      <c r="X256" s="271"/>
      <c r="Y256" s="271"/>
      <c r="Z256" s="271"/>
      <c r="AA256" s="271"/>
      <c r="AB256" s="271"/>
      <c r="AC256" s="271"/>
      <c r="AD256" s="272"/>
      <c r="AE256" s="271"/>
      <c r="AF256" s="271"/>
      <c r="AG256" s="271"/>
      <c r="AH256" s="271"/>
      <c r="AI256" s="271"/>
      <c r="AJ256" s="271"/>
      <c r="AK256" s="271"/>
      <c r="AL256" s="271"/>
      <c r="AM256" s="271"/>
      <c r="AN256" s="271"/>
      <c r="AO256" s="271"/>
      <c r="AP256" s="271"/>
      <c r="AQ256" s="271"/>
      <c r="AR256" s="271"/>
      <c r="AS256" s="271"/>
      <c r="AT256" s="271"/>
      <c r="AU256" s="271"/>
      <c r="AV256" s="271"/>
      <c r="AW256" s="271"/>
      <c r="AX256" s="271"/>
      <c r="AY256" s="271"/>
      <c r="AZ256" s="271"/>
      <c r="BA256" s="287"/>
      <c r="BB256" s="273"/>
      <c r="BC256" s="271"/>
      <c r="BD256" s="271"/>
      <c r="BE256" s="271"/>
      <c r="BF256" s="271"/>
      <c r="BG256" s="271"/>
      <c r="BH256" s="271"/>
      <c r="BI256" s="271"/>
      <c r="BJ256" s="271"/>
      <c r="BK256" s="271"/>
      <c r="BL256" s="271"/>
      <c r="BM256" s="271"/>
      <c r="BN256" s="271"/>
      <c r="BO256" s="272"/>
      <c r="BP256" s="272"/>
      <c r="BQ256" s="272"/>
      <c r="BR256" s="272"/>
      <c r="BS256" s="272"/>
      <c r="BT256" s="272"/>
      <c r="BU256" s="272"/>
      <c r="BV256" s="271"/>
      <c r="BW256" s="271"/>
      <c r="BX256" s="271"/>
      <c r="BY256" s="271"/>
      <c r="BZ256" s="271"/>
      <c r="CA256" s="271"/>
      <c r="CB256" s="271"/>
      <c r="CC256" s="271"/>
      <c r="CD256" s="271"/>
      <c r="CE256" s="271"/>
      <c r="CF256" s="271"/>
      <c r="CG256" s="271">
        <v>1</v>
      </c>
      <c r="CH256" s="271">
        <v>1</v>
      </c>
    </row>
    <row r="257" spans="1:87" ht="15" customHeight="1">
      <c r="A257" s="264"/>
      <c r="B257" s="141" t="s">
        <v>26</v>
      </c>
      <c r="C257" s="137" t="s">
        <v>1887</v>
      </c>
      <c r="D257" s="133"/>
      <c r="E257" s="232" t="s">
        <v>1869</v>
      </c>
      <c r="F257" s="136"/>
      <c r="G257" s="321"/>
      <c r="H257" s="133"/>
      <c r="I257" s="266"/>
      <c r="J257" s="275"/>
      <c r="K257" s="266"/>
      <c r="L257" s="301"/>
      <c r="M257" s="301"/>
      <c r="N257" s="301"/>
      <c r="O257" s="238"/>
      <c r="P257" s="238"/>
      <c r="Q257" s="238"/>
      <c r="R257" s="251"/>
      <c r="S257" s="270"/>
      <c r="T257" s="260">
        <f>SUM(T206:T256)*0.3</f>
        <v>47.369999999999969</v>
      </c>
      <c r="U257" s="260">
        <f>ROUND(T257/8,1)</f>
        <v>5.9</v>
      </c>
      <c r="V257" s="260"/>
      <c r="W257" s="271"/>
      <c r="X257" s="271"/>
      <c r="Y257" s="271"/>
      <c r="Z257" s="271"/>
      <c r="AA257" s="271"/>
      <c r="AB257" s="271"/>
      <c r="AC257" s="271"/>
      <c r="AD257" s="272"/>
      <c r="AE257" s="271"/>
      <c r="AF257" s="271"/>
      <c r="AG257" s="271"/>
      <c r="AH257" s="271"/>
      <c r="AI257" s="271"/>
      <c r="AJ257" s="271"/>
      <c r="AK257" s="271"/>
      <c r="AL257" s="271"/>
      <c r="AM257" s="271"/>
      <c r="AN257" s="271"/>
      <c r="AO257" s="271"/>
      <c r="AP257" s="271"/>
      <c r="AQ257" s="271"/>
      <c r="AR257" s="271"/>
      <c r="AS257" s="271"/>
      <c r="AT257" s="271"/>
      <c r="AU257" s="271"/>
      <c r="AV257" s="271"/>
      <c r="AW257" s="271"/>
      <c r="AX257" s="271"/>
      <c r="AY257" s="271"/>
      <c r="AZ257" s="271"/>
      <c r="BA257" s="271"/>
      <c r="BB257" s="271"/>
      <c r="BC257" s="271"/>
      <c r="BD257" s="271"/>
      <c r="BE257" s="271"/>
      <c r="BF257" s="271"/>
      <c r="BG257" s="271"/>
      <c r="BH257" s="271"/>
      <c r="BI257" s="271"/>
      <c r="BJ257" s="271"/>
      <c r="BK257" s="271"/>
      <c r="BL257" s="271"/>
      <c r="BM257" s="271"/>
      <c r="BN257" s="271"/>
      <c r="BO257" s="272"/>
      <c r="BP257" s="272"/>
      <c r="BQ257" s="272"/>
      <c r="BR257" s="272"/>
      <c r="BS257" s="272"/>
      <c r="BT257" s="272"/>
      <c r="BU257" s="272"/>
      <c r="BV257" s="271"/>
      <c r="BW257" s="271"/>
      <c r="BX257" s="271"/>
      <c r="BY257" s="271"/>
      <c r="BZ257" s="271"/>
      <c r="CA257" s="271"/>
      <c r="CB257" s="271"/>
      <c r="CC257" s="271"/>
      <c r="CD257" s="271"/>
      <c r="CE257" s="271"/>
      <c r="CF257" s="271"/>
      <c r="CG257" s="271"/>
      <c r="CH257" s="271"/>
      <c r="CI257" s="271"/>
    </row>
  </sheetData>
  <autoFilter ref="A16:CO257"/>
  <conditionalFormatting sqref="V17:V257">
    <cfRule type="cellIs" dxfId="44" priority="2" operator="notEqual">
      <formula>0</formula>
    </cfRule>
  </conditionalFormatting>
  <conditionalFormatting sqref="W144:CA145 W146:CF146">
    <cfRule type="cellIs" dxfId="43" priority="24" operator="greaterThan">
      <formula>0</formula>
    </cfRule>
  </conditionalFormatting>
  <conditionalFormatting sqref="W148:CF151 W152:BG152 BJ152:BM152 BO152:CF152 BE153:CF153 W153:BC154 BE154:BK154 BL154:CF155 W155:BD155 BF155:BK155 W156:CF158 W159:BL159 BN159:CF159 W167:BL167 BN167:CI167 W188:BK188 BM188:CI188 W189:CI193 W194:BG197 BI194:CI197 W198:BM198 BO198:CI198 W199:CI224 W225:CF225 CH225:CI225 W256:CH256 W257:CI257">
    <cfRule type="cellIs" dxfId="42" priority="119" operator="greaterThan">
      <formula>0</formula>
    </cfRule>
  </conditionalFormatting>
  <conditionalFormatting sqref="W17:CI143">
    <cfRule type="cellIs" dxfId="41" priority="16" operator="greaterThan">
      <formula>0</formula>
    </cfRule>
  </conditionalFormatting>
  <conditionalFormatting sqref="W147:CI147">
    <cfRule type="cellIs" dxfId="40" priority="21" operator="greaterThan">
      <formula>0</formula>
    </cfRule>
  </conditionalFormatting>
  <conditionalFormatting sqref="W160:CI166">
    <cfRule type="cellIs" dxfId="39" priority="38" operator="greaterThan">
      <formula>0</formula>
    </cfRule>
  </conditionalFormatting>
  <conditionalFormatting sqref="W168:CI187">
    <cfRule type="cellIs" dxfId="38" priority="10" operator="greaterThan">
      <formula>0</formula>
    </cfRule>
  </conditionalFormatting>
  <conditionalFormatting sqref="W226:CI255">
    <cfRule type="cellIs" dxfId="37" priority="1" operator="greaterThan">
      <formula>0</formula>
    </cfRule>
  </conditionalFormatting>
  <conditionalFormatting sqref="Y6:CI6 Y9:CI10">
    <cfRule type="cellIs" dxfId="36" priority="131" operator="notEqual">
      <formula>0</formula>
    </cfRule>
  </conditionalFormatting>
  <conditionalFormatting sqref="AO50:BT50">
    <cfRule type="cellIs" dxfId="35" priority="121" operator="greaterThan">
      <formula>0</formula>
    </cfRule>
  </conditionalFormatting>
  <conditionalFormatting sqref="AO70:BT73 BU70:CI75 AP74:AT74">
    <cfRule type="cellIs" dxfId="34" priority="76" operator="greaterThan">
      <formula>0</formula>
    </cfRule>
  </conditionalFormatting>
  <conditionalFormatting sqref="AO88:CI88">
    <cfRule type="cellIs" dxfId="33" priority="118" operator="greaterThan">
      <formula>0</formula>
    </cfRule>
  </conditionalFormatting>
  <conditionalFormatting sqref="BB218">
    <cfRule type="cellIs" dxfId="32" priority="84" operator="greaterThan">
      <formula>0</formula>
    </cfRule>
  </conditionalFormatting>
  <conditionalFormatting sqref="BU89:CI90">
    <cfRule type="cellIs" dxfId="31" priority="130" operator="greaterThan">
      <formula>0</formula>
    </cfRule>
  </conditionalFormatting>
  <conditionalFormatting sqref="CB145:CF145">
    <cfRule type="cellIs" dxfId="30" priority="20" operator="greaterThan">
      <formula>0</formula>
    </cfRule>
  </conditionalFormatting>
  <conditionalFormatting sqref="CC144:CI144">
    <cfRule type="cellIs" dxfId="29" priority="29" operator="greaterThan">
      <formula>0</formula>
    </cfRule>
  </conditionalFormatting>
  <conditionalFormatting sqref="CG145:CI146">
    <cfRule type="cellIs" dxfId="28" priority="23" operator="greaterThan">
      <formula>0</formula>
    </cfRule>
  </conditionalFormatting>
  <conditionalFormatting sqref="CG148:CI159">
    <cfRule type="cellIs" dxfId="27" priority="34"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XFD779"/>
  <sheetViews>
    <sheetView showGridLines="0" zoomScale="60" zoomScaleNormal="60" workbookViewId="0">
      <pane xSplit="17" ySplit="13" topLeftCell="R14" activePane="bottomRight" state="frozen"/>
      <selection pane="topRight" activeCell="D136" sqref="D136"/>
      <selection pane="bottomLeft" activeCell="D136" sqref="D136"/>
      <selection pane="bottomRight" activeCell="G762" sqref="G762"/>
    </sheetView>
  </sheetViews>
  <sheetFormatPr defaultColWidth="0" defaultRowHeight="17.399999999999999" zeroHeight="1" outlineLevelRow="1"/>
  <cols>
    <col min="1" max="1" width="3.59765625" customWidth="1"/>
    <col min="2" max="2" width="8.59765625" bestFit="1" customWidth="1"/>
    <col min="3" max="3" width="19.59765625" bestFit="1" customWidth="1"/>
    <col min="4" max="4" width="14.59765625" customWidth="1"/>
    <col min="5" max="5" width="35.59765625" customWidth="1"/>
    <col min="6" max="6" width="33.59765625" customWidth="1"/>
    <col min="7" max="7" width="34" bestFit="1" customWidth="1"/>
    <col min="8" max="8" width="14.59765625" customWidth="1"/>
    <col min="9" max="9" width="16.59765625" style="25" customWidth="1"/>
    <col min="10" max="10" width="11" style="25" customWidth="1"/>
    <col min="11" max="11" width="15.59765625" style="25" customWidth="1"/>
    <col min="12" max="12" width="14.09765625" style="25" customWidth="1"/>
    <col min="13" max="13" width="17.09765625" style="117" bestFit="1" customWidth="1"/>
    <col min="14" max="14" width="13.09765625" style="117" bestFit="1" customWidth="1"/>
    <col min="15" max="15" width="13.09765625" style="117" customWidth="1"/>
    <col min="16" max="16" width="53.59765625" customWidth="1"/>
    <col min="17" max="17" width="10.09765625" hidden="1" customWidth="1"/>
    <col min="18" max="18" width="4.5" customWidth="1"/>
    <col min="19" max="149" width="5.59765625" customWidth="1"/>
    <col min="150" max="150" width="8.59765625" customWidth="1"/>
    <col min="151" max="175" width="0" hidden="1" customWidth="1"/>
    <col min="176" max="16384" width="8.59765625" hidden="1"/>
  </cols>
  <sheetData>
    <row r="1" spans="1:150" s="25" customFormat="1">
      <c r="AK1" s="117"/>
    </row>
    <row r="2" spans="1:150" s="25" customFormat="1"/>
    <row r="3" spans="1:150" s="25" customFormat="1"/>
    <row r="4" spans="1:150" s="25" customFormat="1"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c r="M5" s="25"/>
      <c r="N5" s="25"/>
      <c r="O5" s="25"/>
      <c r="R5" s="90"/>
    </row>
    <row r="6" spans="1:150" hidden="1">
      <c r="B6" s="108" t="s">
        <v>0</v>
      </c>
      <c r="C6" s="108"/>
      <c r="D6" s="109">
        <v>0.2</v>
      </c>
      <c r="M6" s="25"/>
      <c r="N6" s="25"/>
      <c r="O6" s="25"/>
      <c r="R6" s="90" t="e">
        <f>R7-R10</f>
        <v>#REF!</v>
      </c>
      <c r="S6" s="90" t="e">
        <f t="shared" ref="S6:CD6" si="0">S7-S10</f>
        <v>#REF!</v>
      </c>
      <c r="T6" s="90" t="e">
        <f t="shared" si="0"/>
        <v>#REF!</v>
      </c>
      <c r="U6" s="90" t="e">
        <f t="shared" si="0"/>
        <v>#REF!</v>
      </c>
      <c r="V6" s="90" t="e">
        <f t="shared" si="0"/>
        <v>#REF!</v>
      </c>
      <c r="W6" s="90" t="e">
        <f t="shared" si="0"/>
        <v>#REF!</v>
      </c>
      <c r="X6" s="90" t="e">
        <f t="shared" si="0"/>
        <v>#REF!</v>
      </c>
      <c r="Y6" s="90" t="e">
        <f t="shared" si="0"/>
        <v>#REF!</v>
      </c>
      <c r="Z6" s="90" t="e">
        <f t="shared" si="0"/>
        <v>#REF!</v>
      </c>
      <c r="AA6" s="90" t="e">
        <f t="shared" si="0"/>
        <v>#REF!</v>
      </c>
      <c r="AB6" s="90" t="e">
        <f t="shared" si="0"/>
        <v>#REF!</v>
      </c>
      <c r="AC6" s="90" t="e">
        <f t="shared" si="0"/>
        <v>#REF!</v>
      </c>
      <c r="AD6" s="90" t="e">
        <f t="shared" si="0"/>
        <v>#REF!</v>
      </c>
      <c r="AE6" s="90" t="e">
        <f t="shared" si="0"/>
        <v>#REF!</v>
      </c>
      <c r="AF6" s="90" t="e">
        <f t="shared" si="0"/>
        <v>#REF!</v>
      </c>
      <c r="AG6" s="90" t="e">
        <f t="shared" si="0"/>
        <v>#REF!</v>
      </c>
      <c r="AH6" s="90" t="e">
        <f t="shared" si="0"/>
        <v>#REF!</v>
      </c>
      <c r="AI6" s="90" t="e">
        <f t="shared" si="0"/>
        <v>#REF!</v>
      </c>
      <c r="AJ6" s="90" t="e">
        <f t="shared" si="0"/>
        <v>#REF!</v>
      </c>
      <c r="AK6" s="90" t="e">
        <f t="shared" si="0"/>
        <v>#REF!</v>
      </c>
      <c r="AL6" s="90" t="e">
        <f t="shared" si="0"/>
        <v>#REF!</v>
      </c>
      <c r="AM6" s="90" t="e">
        <f t="shared" si="0"/>
        <v>#REF!</v>
      </c>
      <c r="AN6" s="90" t="e">
        <f t="shared" si="0"/>
        <v>#REF!</v>
      </c>
      <c r="AO6" s="90" t="e">
        <f t="shared" si="0"/>
        <v>#REF!</v>
      </c>
      <c r="AP6" s="90" t="e">
        <f t="shared" si="0"/>
        <v>#REF!</v>
      </c>
      <c r="AQ6" s="90" t="e">
        <f t="shared" si="0"/>
        <v>#REF!</v>
      </c>
      <c r="AR6" s="90" t="e">
        <f t="shared" si="0"/>
        <v>#REF!</v>
      </c>
      <c r="AS6" s="90" t="e">
        <f t="shared" si="0"/>
        <v>#REF!</v>
      </c>
      <c r="AT6" s="90" t="e">
        <f t="shared" si="0"/>
        <v>#REF!</v>
      </c>
      <c r="AU6" s="90" t="e">
        <f t="shared" si="0"/>
        <v>#REF!</v>
      </c>
      <c r="AV6" s="90" t="e">
        <f t="shared" si="0"/>
        <v>#REF!</v>
      </c>
      <c r="AW6" s="90" t="e">
        <f t="shared" si="0"/>
        <v>#REF!</v>
      </c>
      <c r="AX6" s="90" t="e">
        <f t="shared" si="0"/>
        <v>#REF!</v>
      </c>
      <c r="AY6" s="90" t="e">
        <f t="shared" si="0"/>
        <v>#REF!</v>
      </c>
      <c r="AZ6" s="90" t="e">
        <f t="shared" si="0"/>
        <v>#REF!</v>
      </c>
      <c r="BA6" s="90" t="e">
        <f t="shared" si="0"/>
        <v>#REF!</v>
      </c>
      <c r="BB6" s="90" t="e">
        <f t="shared" si="0"/>
        <v>#REF!</v>
      </c>
      <c r="BC6" s="90" t="e">
        <f t="shared" si="0"/>
        <v>#REF!</v>
      </c>
      <c r="BD6" s="90" t="e">
        <f t="shared" si="0"/>
        <v>#REF!</v>
      </c>
      <c r="BE6" s="90" t="e">
        <f t="shared" si="0"/>
        <v>#REF!</v>
      </c>
      <c r="BF6" s="90" t="e">
        <f t="shared" si="0"/>
        <v>#REF!</v>
      </c>
      <c r="BG6" s="90" t="e">
        <f t="shared" si="0"/>
        <v>#REF!</v>
      </c>
      <c r="BH6" s="90" t="e">
        <f t="shared" si="0"/>
        <v>#REF!</v>
      </c>
      <c r="BI6" s="90" t="e">
        <f t="shared" si="0"/>
        <v>#REF!</v>
      </c>
      <c r="BJ6" s="90" t="e">
        <f t="shared" si="0"/>
        <v>#REF!</v>
      </c>
      <c r="BK6" s="90" t="e">
        <f t="shared" si="0"/>
        <v>#REF!</v>
      </c>
      <c r="BL6" s="90" t="e">
        <f t="shared" si="0"/>
        <v>#REF!</v>
      </c>
      <c r="BM6" s="90" t="e">
        <f t="shared" si="0"/>
        <v>#REF!</v>
      </c>
      <c r="BN6" s="90" t="e">
        <f t="shared" si="0"/>
        <v>#REF!</v>
      </c>
      <c r="BO6" s="90" t="e">
        <f t="shared" si="0"/>
        <v>#REF!</v>
      </c>
      <c r="BP6" s="90" t="e">
        <f t="shared" si="0"/>
        <v>#REF!</v>
      </c>
      <c r="BQ6" s="90" t="e">
        <f t="shared" si="0"/>
        <v>#REF!</v>
      </c>
      <c r="BR6" s="90" t="e">
        <f t="shared" si="0"/>
        <v>#REF!</v>
      </c>
      <c r="BS6" s="90" t="e">
        <f t="shared" si="0"/>
        <v>#REF!</v>
      </c>
      <c r="BT6" s="90" t="e">
        <f t="shared" si="0"/>
        <v>#REF!</v>
      </c>
      <c r="BU6" s="90" t="e">
        <f t="shared" si="0"/>
        <v>#REF!</v>
      </c>
      <c r="BV6" s="90" t="e">
        <f t="shared" si="0"/>
        <v>#REF!</v>
      </c>
      <c r="BW6" s="90" t="e">
        <f t="shared" si="0"/>
        <v>#REF!</v>
      </c>
      <c r="BX6" s="90" t="e">
        <f t="shared" si="0"/>
        <v>#REF!</v>
      </c>
      <c r="BY6" s="90" t="e">
        <f t="shared" si="0"/>
        <v>#REF!</v>
      </c>
      <c r="BZ6" s="90" t="e">
        <f t="shared" si="0"/>
        <v>#REF!</v>
      </c>
      <c r="CA6" s="90" t="e">
        <f t="shared" si="0"/>
        <v>#REF!</v>
      </c>
      <c r="CB6" s="90" t="e">
        <f t="shared" si="0"/>
        <v>#REF!</v>
      </c>
      <c r="CC6" s="90" t="e">
        <f t="shared" si="0"/>
        <v>#REF!</v>
      </c>
      <c r="CD6" s="90" t="e">
        <f t="shared" si="0"/>
        <v>#REF!</v>
      </c>
      <c r="CE6" s="90" t="e">
        <f t="shared" ref="CE6:EP6" si="1">CE7-CE10</f>
        <v>#REF!</v>
      </c>
      <c r="CF6" s="90" t="e">
        <f t="shared" si="1"/>
        <v>#REF!</v>
      </c>
      <c r="CG6" s="90" t="e">
        <f t="shared" si="1"/>
        <v>#REF!</v>
      </c>
      <c r="CH6" s="90" t="e">
        <f t="shared" si="1"/>
        <v>#REF!</v>
      </c>
      <c r="CI6" s="90" t="e">
        <f t="shared" si="1"/>
        <v>#REF!</v>
      </c>
      <c r="CJ6" s="90" t="e">
        <f t="shared" si="1"/>
        <v>#REF!</v>
      </c>
      <c r="CK6" s="90" t="e">
        <f t="shared" si="1"/>
        <v>#REF!</v>
      </c>
      <c r="CL6" s="90" t="e">
        <f t="shared" si="1"/>
        <v>#REF!</v>
      </c>
      <c r="CM6" s="90" t="e">
        <f t="shared" si="1"/>
        <v>#REF!</v>
      </c>
      <c r="CN6" s="90" t="e">
        <f t="shared" si="1"/>
        <v>#REF!</v>
      </c>
      <c r="CO6" s="90" t="e">
        <f t="shared" si="1"/>
        <v>#REF!</v>
      </c>
      <c r="CP6" s="90" t="e">
        <f t="shared" si="1"/>
        <v>#REF!</v>
      </c>
      <c r="CQ6" s="90" t="e">
        <f t="shared" si="1"/>
        <v>#REF!</v>
      </c>
      <c r="CR6" s="90" t="e">
        <f t="shared" si="1"/>
        <v>#REF!</v>
      </c>
      <c r="CS6" s="90" t="e">
        <f t="shared" si="1"/>
        <v>#REF!</v>
      </c>
      <c r="CT6" s="90" t="e">
        <f t="shared" si="1"/>
        <v>#REF!</v>
      </c>
      <c r="CU6" s="90" t="e">
        <f t="shared" si="1"/>
        <v>#REF!</v>
      </c>
      <c r="CV6" s="90" t="e">
        <f t="shared" si="1"/>
        <v>#REF!</v>
      </c>
      <c r="CW6" s="90" t="e">
        <f t="shared" si="1"/>
        <v>#REF!</v>
      </c>
      <c r="CX6" s="90" t="e">
        <f t="shared" si="1"/>
        <v>#REF!</v>
      </c>
      <c r="CY6" s="90" t="e">
        <f t="shared" si="1"/>
        <v>#REF!</v>
      </c>
      <c r="CZ6" s="90" t="e">
        <f t="shared" si="1"/>
        <v>#REF!</v>
      </c>
      <c r="DA6" s="90" t="e">
        <f t="shared" si="1"/>
        <v>#REF!</v>
      </c>
      <c r="DB6" s="90" t="e">
        <f t="shared" si="1"/>
        <v>#REF!</v>
      </c>
      <c r="DC6" s="90" t="e">
        <f t="shared" si="1"/>
        <v>#REF!</v>
      </c>
      <c r="DD6" s="90" t="e">
        <f t="shared" si="1"/>
        <v>#REF!</v>
      </c>
      <c r="DE6" s="90" t="e">
        <f t="shared" si="1"/>
        <v>#REF!</v>
      </c>
      <c r="DF6" s="90" t="e">
        <f t="shared" si="1"/>
        <v>#REF!</v>
      </c>
      <c r="DG6" s="90" t="e">
        <f t="shared" si="1"/>
        <v>#REF!</v>
      </c>
      <c r="DH6" s="90" t="e">
        <f t="shared" si="1"/>
        <v>#REF!</v>
      </c>
      <c r="DI6" s="90" t="e">
        <f t="shared" si="1"/>
        <v>#REF!</v>
      </c>
      <c r="DJ6" s="90" t="e">
        <f t="shared" si="1"/>
        <v>#REF!</v>
      </c>
      <c r="DK6" s="90" t="e">
        <f t="shared" si="1"/>
        <v>#REF!</v>
      </c>
      <c r="DL6" s="90" t="e">
        <f t="shared" si="1"/>
        <v>#REF!</v>
      </c>
      <c r="DM6" s="90" t="e">
        <f t="shared" si="1"/>
        <v>#REF!</v>
      </c>
      <c r="DN6" s="90" t="e">
        <f t="shared" si="1"/>
        <v>#REF!</v>
      </c>
      <c r="DO6" s="90" t="e">
        <f t="shared" si="1"/>
        <v>#REF!</v>
      </c>
      <c r="DP6" s="90" t="e">
        <f t="shared" si="1"/>
        <v>#REF!</v>
      </c>
      <c r="DQ6" s="90" t="e">
        <f t="shared" si="1"/>
        <v>#REF!</v>
      </c>
      <c r="DR6" s="90" t="e">
        <f t="shared" si="1"/>
        <v>#REF!</v>
      </c>
      <c r="DS6" s="90" t="e">
        <f t="shared" si="1"/>
        <v>#REF!</v>
      </c>
      <c r="DT6" s="90" t="e">
        <f t="shared" si="1"/>
        <v>#REF!</v>
      </c>
      <c r="DU6" s="90" t="e">
        <f t="shared" si="1"/>
        <v>#REF!</v>
      </c>
      <c r="DV6" s="90" t="e">
        <f t="shared" si="1"/>
        <v>#REF!</v>
      </c>
      <c r="DW6" s="90" t="e">
        <f t="shared" si="1"/>
        <v>#REF!</v>
      </c>
      <c r="DX6" s="90" t="e">
        <f t="shared" si="1"/>
        <v>#REF!</v>
      </c>
      <c r="DY6" s="90" t="e">
        <f t="shared" si="1"/>
        <v>#REF!</v>
      </c>
      <c r="DZ6" s="90" t="e">
        <f t="shared" si="1"/>
        <v>#REF!</v>
      </c>
      <c r="EA6" s="90" t="e">
        <f t="shared" si="1"/>
        <v>#REF!</v>
      </c>
      <c r="EB6" s="90" t="e">
        <f t="shared" si="1"/>
        <v>#REF!</v>
      </c>
      <c r="EC6" s="90" t="e">
        <f t="shared" si="1"/>
        <v>#REF!</v>
      </c>
      <c r="ED6" s="90" t="e">
        <f t="shared" si="1"/>
        <v>#REF!</v>
      </c>
      <c r="EE6" s="90" t="e">
        <f t="shared" si="1"/>
        <v>#REF!</v>
      </c>
      <c r="EF6" s="90" t="e">
        <f t="shared" si="1"/>
        <v>#REF!</v>
      </c>
      <c r="EG6" s="90" t="e">
        <f t="shared" si="1"/>
        <v>#REF!</v>
      </c>
      <c r="EH6" s="90" t="e">
        <f t="shared" si="1"/>
        <v>#REF!</v>
      </c>
      <c r="EI6" s="90" t="e">
        <f t="shared" si="1"/>
        <v>#REF!</v>
      </c>
      <c r="EJ6" s="90" t="e">
        <f t="shared" si="1"/>
        <v>#REF!</v>
      </c>
      <c r="EK6" s="90" t="e">
        <f t="shared" si="1"/>
        <v>#REF!</v>
      </c>
      <c r="EL6" s="90" t="e">
        <f t="shared" si="1"/>
        <v>#REF!</v>
      </c>
      <c r="EM6" s="90" t="e">
        <f t="shared" si="1"/>
        <v>#REF!</v>
      </c>
      <c r="EN6" s="90" t="e">
        <f t="shared" si="1"/>
        <v>#REF!</v>
      </c>
      <c r="EO6" s="90" t="e">
        <f t="shared" si="1"/>
        <v>#REF!</v>
      </c>
      <c r="EP6" s="90" t="e">
        <f t="shared" si="1"/>
        <v>#REF!</v>
      </c>
      <c r="EQ6" s="90" t="e">
        <f>EQ7-EQ10</f>
        <v>#REF!</v>
      </c>
      <c r="ER6" s="90" t="e">
        <f>ER7-ER10</f>
        <v>#REF!</v>
      </c>
      <c r="ES6" s="90" t="e">
        <f>ES7-ES10</f>
        <v>#REF!</v>
      </c>
    </row>
    <row r="7" spans="1:150" hidden="1">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c r="M8" s="25"/>
      <c r="N8" s="25"/>
      <c r="O8" s="25"/>
    </row>
    <row r="9" spans="1:150" hidden="1">
      <c r="M9" s="25"/>
      <c r="N9" s="25"/>
      <c r="O9" s="25"/>
      <c r="Q9" s="172">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5"/>
      <c r="N10" s="25"/>
      <c r="O10" s="25"/>
      <c r="R10" s="90" t="e">
        <f t="shared" ref="R10:AW10" si="4">SUBTOTAL(9,R14:R769)</f>
        <v>#REF!</v>
      </c>
      <c r="S10" s="90" t="e">
        <f t="shared" si="4"/>
        <v>#REF!</v>
      </c>
      <c r="T10" s="90" t="e">
        <f t="shared" si="4"/>
        <v>#REF!</v>
      </c>
      <c r="U10" s="90" t="e">
        <f t="shared" si="4"/>
        <v>#REF!</v>
      </c>
      <c r="V10" s="90" t="e">
        <f t="shared" si="4"/>
        <v>#REF!</v>
      </c>
      <c r="W10" s="90" t="e">
        <f t="shared" si="4"/>
        <v>#REF!</v>
      </c>
      <c r="X10" s="90" t="e">
        <f t="shared" si="4"/>
        <v>#REF!</v>
      </c>
      <c r="Y10" s="90" t="e">
        <f t="shared" si="4"/>
        <v>#REF!</v>
      </c>
      <c r="Z10" s="90" t="e">
        <f t="shared" si="4"/>
        <v>#REF!</v>
      </c>
      <c r="AA10" s="90" t="e">
        <f t="shared" si="4"/>
        <v>#REF!</v>
      </c>
      <c r="AB10" s="90" t="e">
        <f t="shared" si="4"/>
        <v>#REF!</v>
      </c>
      <c r="AC10" s="90" t="e">
        <f t="shared" si="4"/>
        <v>#REF!</v>
      </c>
      <c r="AD10" s="90" t="e">
        <f t="shared" si="4"/>
        <v>#REF!</v>
      </c>
      <c r="AE10" s="90" t="e">
        <f t="shared" si="4"/>
        <v>#REF!</v>
      </c>
      <c r="AF10" s="90" t="e">
        <f t="shared" si="4"/>
        <v>#REF!</v>
      </c>
      <c r="AG10" s="90" t="e">
        <f t="shared" si="4"/>
        <v>#REF!</v>
      </c>
      <c r="AH10" s="90" t="e">
        <f t="shared" si="4"/>
        <v>#REF!</v>
      </c>
      <c r="AI10" s="90" t="e">
        <f t="shared" si="4"/>
        <v>#REF!</v>
      </c>
      <c r="AJ10" s="90" t="e">
        <f t="shared" si="4"/>
        <v>#REF!</v>
      </c>
      <c r="AK10" s="90" t="e">
        <f t="shared" si="4"/>
        <v>#REF!</v>
      </c>
      <c r="AL10" s="90" t="e">
        <f t="shared" si="4"/>
        <v>#REF!</v>
      </c>
      <c r="AM10" s="90" t="e">
        <f t="shared" si="4"/>
        <v>#REF!</v>
      </c>
      <c r="AN10" s="90" t="e">
        <f t="shared" si="4"/>
        <v>#REF!</v>
      </c>
      <c r="AO10" s="90" t="e">
        <f t="shared" si="4"/>
        <v>#REF!</v>
      </c>
      <c r="AP10" s="90" t="e">
        <f t="shared" si="4"/>
        <v>#REF!</v>
      </c>
      <c r="AQ10" s="90" t="e">
        <f t="shared" si="4"/>
        <v>#REF!</v>
      </c>
      <c r="AR10" s="90" t="e">
        <f t="shared" si="4"/>
        <v>#REF!</v>
      </c>
      <c r="AS10" s="90" t="e">
        <f t="shared" si="4"/>
        <v>#REF!</v>
      </c>
      <c r="AT10" s="90" t="e">
        <f t="shared" si="4"/>
        <v>#REF!</v>
      </c>
      <c r="AU10" s="90" t="e">
        <f t="shared" si="4"/>
        <v>#REF!</v>
      </c>
      <c r="AV10" s="90" t="e">
        <f t="shared" si="4"/>
        <v>#REF!</v>
      </c>
      <c r="AW10" s="90" t="e">
        <f t="shared" si="4"/>
        <v>#REF!</v>
      </c>
      <c r="AX10" s="90" t="e">
        <f t="shared" ref="AX10:CC10" si="5">SUBTOTAL(9,AX14:AX769)</f>
        <v>#REF!</v>
      </c>
      <c r="AY10" s="90" t="e">
        <f t="shared" si="5"/>
        <v>#REF!</v>
      </c>
      <c r="AZ10" s="90" t="e">
        <f t="shared" si="5"/>
        <v>#REF!</v>
      </c>
      <c r="BA10" s="90" t="e">
        <f t="shared" si="5"/>
        <v>#REF!</v>
      </c>
      <c r="BB10" s="90" t="e">
        <f t="shared" si="5"/>
        <v>#REF!</v>
      </c>
      <c r="BC10" s="90" t="e">
        <f t="shared" si="5"/>
        <v>#REF!</v>
      </c>
      <c r="BD10" s="90" t="e">
        <f t="shared" si="5"/>
        <v>#REF!</v>
      </c>
      <c r="BE10" s="90" t="e">
        <f t="shared" si="5"/>
        <v>#REF!</v>
      </c>
      <c r="BF10" s="90" t="e">
        <f t="shared" si="5"/>
        <v>#REF!</v>
      </c>
      <c r="BG10" s="90" t="e">
        <f t="shared" si="5"/>
        <v>#REF!</v>
      </c>
      <c r="BH10" s="90" t="e">
        <f t="shared" si="5"/>
        <v>#REF!</v>
      </c>
      <c r="BI10" s="90" t="e">
        <f t="shared" si="5"/>
        <v>#REF!</v>
      </c>
      <c r="BJ10" s="90" t="e">
        <f t="shared" si="5"/>
        <v>#REF!</v>
      </c>
      <c r="BK10" s="90" t="e">
        <f t="shared" si="5"/>
        <v>#REF!</v>
      </c>
      <c r="BL10" s="90" t="e">
        <f t="shared" si="5"/>
        <v>#REF!</v>
      </c>
      <c r="BM10" s="90" t="e">
        <f t="shared" si="5"/>
        <v>#REF!</v>
      </c>
      <c r="BN10" s="90" t="e">
        <f t="shared" si="5"/>
        <v>#REF!</v>
      </c>
      <c r="BO10" s="90" t="e">
        <f t="shared" si="5"/>
        <v>#REF!</v>
      </c>
      <c r="BP10" s="90" t="e">
        <f t="shared" si="5"/>
        <v>#REF!</v>
      </c>
      <c r="BQ10" s="90" t="e">
        <f t="shared" si="5"/>
        <v>#REF!</v>
      </c>
      <c r="BR10" s="90" t="e">
        <f t="shared" si="5"/>
        <v>#REF!</v>
      </c>
      <c r="BS10" s="90" t="e">
        <f t="shared" si="5"/>
        <v>#REF!</v>
      </c>
      <c r="BT10" s="90" t="e">
        <f t="shared" si="5"/>
        <v>#REF!</v>
      </c>
      <c r="BU10" s="90" t="e">
        <f t="shared" si="5"/>
        <v>#REF!</v>
      </c>
      <c r="BV10" s="90" t="e">
        <f t="shared" si="5"/>
        <v>#REF!</v>
      </c>
      <c r="BW10" s="90" t="e">
        <f t="shared" si="5"/>
        <v>#REF!</v>
      </c>
      <c r="BX10" s="90" t="e">
        <f t="shared" si="5"/>
        <v>#REF!</v>
      </c>
      <c r="BY10" s="90" t="e">
        <f t="shared" si="5"/>
        <v>#REF!</v>
      </c>
      <c r="BZ10" s="90" t="e">
        <f t="shared" si="5"/>
        <v>#REF!</v>
      </c>
      <c r="CA10" s="90" t="e">
        <f t="shared" si="5"/>
        <v>#REF!</v>
      </c>
      <c r="CB10" s="90" t="e">
        <f t="shared" si="5"/>
        <v>#REF!</v>
      </c>
      <c r="CC10" s="90" t="e">
        <f t="shared" si="5"/>
        <v>#REF!</v>
      </c>
      <c r="CD10" s="90" t="e">
        <f t="shared" ref="CD10:DI10" si="6">SUBTOTAL(9,CD14:CD769)</f>
        <v>#REF!</v>
      </c>
      <c r="CE10" s="90" t="e">
        <f t="shared" si="6"/>
        <v>#REF!</v>
      </c>
      <c r="CF10" s="90" t="e">
        <f t="shared" si="6"/>
        <v>#REF!</v>
      </c>
      <c r="CG10" s="90" t="e">
        <f t="shared" si="6"/>
        <v>#REF!</v>
      </c>
      <c r="CH10" s="90" t="e">
        <f t="shared" si="6"/>
        <v>#REF!</v>
      </c>
      <c r="CI10" s="90" t="e">
        <f t="shared" si="6"/>
        <v>#REF!</v>
      </c>
      <c r="CJ10" s="90" t="e">
        <f t="shared" si="6"/>
        <v>#REF!</v>
      </c>
      <c r="CK10" s="90" t="e">
        <f t="shared" si="6"/>
        <v>#REF!</v>
      </c>
      <c r="CL10" s="90" t="e">
        <f t="shared" si="6"/>
        <v>#REF!</v>
      </c>
      <c r="CM10" s="90" t="e">
        <f t="shared" si="6"/>
        <v>#REF!</v>
      </c>
      <c r="CN10" s="90" t="e">
        <f t="shared" si="6"/>
        <v>#REF!</v>
      </c>
      <c r="CO10" s="90" t="e">
        <f t="shared" si="6"/>
        <v>#REF!</v>
      </c>
      <c r="CP10" s="90" t="e">
        <f t="shared" si="6"/>
        <v>#REF!</v>
      </c>
      <c r="CQ10" s="90" t="e">
        <f t="shared" si="6"/>
        <v>#REF!</v>
      </c>
      <c r="CR10" s="90" t="e">
        <f t="shared" si="6"/>
        <v>#REF!</v>
      </c>
      <c r="CS10" s="90" t="e">
        <f t="shared" si="6"/>
        <v>#REF!</v>
      </c>
      <c r="CT10" s="90" t="e">
        <f t="shared" si="6"/>
        <v>#REF!</v>
      </c>
      <c r="CU10" s="90" t="e">
        <f t="shared" si="6"/>
        <v>#REF!</v>
      </c>
      <c r="CV10" s="90" t="e">
        <f t="shared" si="6"/>
        <v>#REF!</v>
      </c>
      <c r="CW10" s="90" t="e">
        <f t="shared" si="6"/>
        <v>#REF!</v>
      </c>
      <c r="CX10" s="90" t="e">
        <f t="shared" si="6"/>
        <v>#REF!</v>
      </c>
      <c r="CY10" s="90" t="e">
        <f t="shared" si="6"/>
        <v>#REF!</v>
      </c>
      <c r="CZ10" s="90" t="e">
        <f t="shared" si="6"/>
        <v>#REF!</v>
      </c>
      <c r="DA10" s="90" t="e">
        <f t="shared" si="6"/>
        <v>#REF!</v>
      </c>
      <c r="DB10" s="90" t="e">
        <f t="shared" si="6"/>
        <v>#REF!</v>
      </c>
      <c r="DC10" s="90" t="e">
        <f t="shared" si="6"/>
        <v>#REF!</v>
      </c>
      <c r="DD10" s="90" t="e">
        <f t="shared" si="6"/>
        <v>#REF!</v>
      </c>
      <c r="DE10" s="90" t="e">
        <f t="shared" si="6"/>
        <v>#REF!</v>
      </c>
      <c r="DF10" s="90" t="e">
        <f t="shared" si="6"/>
        <v>#REF!</v>
      </c>
      <c r="DG10" s="90" t="e">
        <f t="shared" si="6"/>
        <v>#REF!</v>
      </c>
      <c r="DH10" s="90" t="e">
        <f t="shared" si="6"/>
        <v>#REF!</v>
      </c>
      <c r="DI10" s="90" t="e">
        <f t="shared" si="6"/>
        <v>#REF!</v>
      </c>
      <c r="DJ10" s="90" t="e">
        <f t="shared" ref="DJ10:ES10" si="7">SUBTOTAL(9,DJ14:DJ769)</f>
        <v>#REF!</v>
      </c>
      <c r="DK10" s="90" t="e">
        <f t="shared" si="7"/>
        <v>#REF!</v>
      </c>
      <c r="DL10" s="90" t="e">
        <f t="shared" si="7"/>
        <v>#REF!</v>
      </c>
      <c r="DM10" s="90" t="e">
        <f t="shared" si="7"/>
        <v>#REF!</v>
      </c>
      <c r="DN10" s="90" t="e">
        <f t="shared" si="7"/>
        <v>#REF!</v>
      </c>
      <c r="DO10" s="90" t="e">
        <f t="shared" si="7"/>
        <v>#REF!</v>
      </c>
      <c r="DP10" s="90" t="e">
        <f t="shared" si="7"/>
        <v>#REF!</v>
      </c>
      <c r="DQ10" s="90" t="e">
        <f t="shared" si="7"/>
        <v>#REF!</v>
      </c>
      <c r="DR10" s="90" t="e">
        <f t="shared" si="7"/>
        <v>#REF!</v>
      </c>
      <c r="DS10" s="90" t="e">
        <f t="shared" si="7"/>
        <v>#REF!</v>
      </c>
      <c r="DT10" s="90" t="e">
        <f t="shared" si="7"/>
        <v>#REF!</v>
      </c>
      <c r="DU10" s="90" t="e">
        <f t="shared" si="7"/>
        <v>#REF!</v>
      </c>
      <c r="DV10" s="90" t="e">
        <f t="shared" si="7"/>
        <v>#REF!</v>
      </c>
      <c r="DW10" s="90" t="e">
        <f t="shared" si="7"/>
        <v>#REF!</v>
      </c>
      <c r="DX10" s="90" t="e">
        <f t="shared" si="7"/>
        <v>#REF!</v>
      </c>
      <c r="DY10" s="90" t="e">
        <f t="shared" si="7"/>
        <v>#REF!</v>
      </c>
      <c r="DZ10" s="90" t="e">
        <f t="shared" si="7"/>
        <v>#REF!</v>
      </c>
      <c r="EA10" s="90" t="e">
        <f t="shared" si="7"/>
        <v>#REF!</v>
      </c>
      <c r="EB10" s="90" t="e">
        <f t="shared" si="7"/>
        <v>#REF!</v>
      </c>
      <c r="EC10" s="90" t="e">
        <f t="shared" si="7"/>
        <v>#REF!</v>
      </c>
      <c r="ED10" s="90" t="e">
        <f t="shared" si="7"/>
        <v>#REF!</v>
      </c>
      <c r="EE10" s="90" t="e">
        <f t="shared" si="7"/>
        <v>#REF!</v>
      </c>
      <c r="EF10" s="90" t="e">
        <f t="shared" si="7"/>
        <v>#REF!</v>
      </c>
      <c r="EG10" s="90" t="e">
        <f t="shared" si="7"/>
        <v>#REF!</v>
      </c>
      <c r="EH10" s="90" t="e">
        <f t="shared" si="7"/>
        <v>#REF!</v>
      </c>
      <c r="EI10" s="90" t="e">
        <f t="shared" si="7"/>
        <v>#REF!</v>
      </c>
      <c r="EJ10" s="90" t="e">
        <f t="shared" si="7"/>
        <v>#REF!</v>
      </c>
      <c r="EK10" s="90" t="e">
        <f t="shared" si="7"/>
        <v>#REF!</v>
      </c>
      <c r="EL10" s="90" t="e">
        <f t="shared" si="7"/>
        <v>#REF!</v>
      </c>
      <c r="EM10" s="90" t="e">
        <f t="shared" si="7"/>
        <v>#REF!</v>
      </c>
      <c r="EN10" s="90" t="e">
        <f t="shared" si="7"/>
        <v>#REF!</v>
      </c>
      <c r="EO10" s="90" t="e">
        <f t="shared" si="7"/>
        <v>#REF!</v>
      </c>
      <c r="EP10" s="90" t="e">
        <f t="shared" si="7"/>
        <v>#REF!</v>
      </c>
      <c r="EQ10" s="90" t="e">
        <f t="shared" si="7"/>
        <v>#REF!</v>
      </c>
      <c r="ER10" s="90" t="e">
        <f t="shared" si="7"/>
        <v>#REF!</v>
      </c>
      <c r="ES10" s="90" t="e">
        <f t="shared" si="7"/>
        <v>#REF!</v>
      </c>
    </row>
    <row r="11" spans="1:150">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c r="M12" s="25"/>
      <c r="N12" s="25"/>
      <c r="O12" s="25"/>
      <c r="R12" s="76">
        <f t="shared" ref="R12:CC12" si="8">R13</f>
        <v>45474</v>
      </c>
      <c r="S12" s="76">
        <f t="shared" si="8"/>
        <v>45475</v>
      </c>
      <c r="T12" s="76">
        <f t="shared" si="8"/>
        <v>45476</v>
      </c>
      <c r="U12" s="76">
        <f t="shared" si="8"/>
        <v>45477</v>
      </c>
      <c r="V12" s="76">
        <f t="shared" si="8"/>
        <v>45478</v>
      </c>
      <c r="W12" s="76">
        <f t="shared" si="8"/>
        <v>45481</v>
      </c>
      <c r="X12" s="76">
        <f t="shared" si="8"/>
        <v>45482</v>
      </c>
      <c r="Y12" s="76">
        <f t="shared" si="8"/>
        <v>45483</v>
      </c>
      <c r="Z12" s="76">
        <f t="shared" si="8"/>
        <v>45484</v>
      </c>
      <c r="AA12" s="76">
        <f t="shared" si="8"/>
        <v>45485</v>
      </c>
      <c r="AB12" s="76">
        <f t="shared" si="8"/>
        <v>45488</v>
      </c>
      <c r="AC12" s="76">
        <f t="shared" si="8"/>
        <v>45489</v>
      </c>
      <c r="AD12" s="76">
        <f t="shared" si="8"/>
        <v>45490</v>
      </c>
      <c r="AE12" s="76">
        <f t="shared" si="8"/>
        <v>45491</v>
      </c>
      <c r="AF12" s="76">
        <f t="shared" si="8"/>
        <v>45492</v>
      </c>
      <c r="AG12" s="76">
        <f t="shared" si="8"/>
        <v>45495</v>
      </c>
      <c r="AH12" s="76">
        <f t="shared" si="8"/>
        <v>45496</v>
      </c>
      <c r="AI12" s="76">
        <f t="shared" si="8"/>
        <v>45497</v>
      </c>
      <c r="AJ12" s="76">
        <f t="shared" si="8"/>
        <v>45498</v>
      </c>
      <c r="AK12" s="76">
        <f t="shared" si="8"/>
        <v>45499</v>
      </c>
      <c r="AL12" s="76">
        <f t="shared" si="8"/>
        <v>45502</v>
      </c>
      <c r="AM12" s="76">
        <f t="shared" si="8"/>
        <v>45503</v>
      </c>
      <c r="AN12" s="76">
        <f t="shared" si="8"/>
        <v>45504</v>
      </c>
      <c r="AO12" s="76">
        <f t="shared" si="8"/>
        <v>45505</v>
      </c>
      <c r="AP12" s="76">
        <f t="shared" si="8"/>
        <v>45506</v>
      </c>
      <c r="AQ12" s="76">
        <f t="shared" si="8"/>
        <v>45509</v>
      </c>
      <c r="AR12" s="76">
        <f t="shared" si="8"/>
        <v>45510</v>
      </c>
      <c r="AS12" s="76">
        <f t="shared" si="8"/>
        <v>45511</v>
      </c>
      <c r="AT12" s="76">
        <f t="shared" si="8"/>
        <v>45512</v>
      </c>
      <c r="AU12" s="76">
        <f t="shared" si="8"/>
        <v>45513</v>
      </c>
      <c r="AV12" s="76">
        <f t="shared" si="8"/>
        <v>45516</v>
      </c>
      <c r="AW12" s="76">
        <f t="shared" si="8"/>
        <v>45517</v>
      </c>
      <c r="AX12" s="76">
        <f t="shared" si="8"/>
        <v>45518</v>
      </c>
      <c r="AY12" s="76">
        <f t="shared" si="8"/>
        <v>45519</v>
      </c>
      <c r="AZ12" s="76">
        <f t="shared" si="8"/>
        <v>45520</v>
      </c>
      <c r="BA12" s="76">
        <f t="shared" si="8"/>
        <v>45523</v>
      </c>
      <c r="BB12" s="76">
        <f t="shared" si="8"/>
        <v>45524</v>
      </c>
      <c r="BC12" s="76">
        <f t="shared" si="8"/>
        <v>45525</v>
      </c>
      <c r="BD12" s="76">
        <f t="shared" si="8"/>
        <v>45526</v>
      </c>
      <c r="BE12" s="76">
        <f t="shared" si="8"/>
        <v>45527</v>
      </c>
      <c r="BF12" s="76">
        <f t="shared" si="8"/>
        <v>45530</v>
      </c>
      <c r="BG12" s="76">
        <f t="shared" si="8"/>
        <v>45531</v>
      </c>
      <c r="BH12" s="76">
        <f t="shared" si="8"/>
        <v>45532</v>
      </c>
      <c r="BI12" s="76">
        <f t="shared" si="8"/>
        <v>45533</v>
      </c>
      <c r="BJ12" s="76">
        <f t="shared" si="8"/>
        <v>45534</v>
      </c>
      <c r="BK12" s="76">
        <f t="shared" si="8"/>
        <v>45537</v>
      </c>
      <c r="BL12" s="76">
        <f t="shared" si="8"/>
        <v>45538</v>
      </c>
      <c r="BM12" s="76">
        <f t="shared" si="8"/>
        <v>45539</v>
      </c>
      <c r="BN12" s="76">
        <f t="shared" si="8"/>
        <v>45540</v>
      </c>
      <c r="BO12" s="76">
        <f t="shared" si="8"/>
        <v>45541</v>
      </c>
      <c r="BP12" s="76">
        <f t="shared" si="8"/>
        <v>45544</v>
      </c>
      <c r="BQ12" s="76">
        <f t="shared" si="8"/>
        <v>45545</v>
      </c>
      <c r="BR12" s="76">
        <f t="shared" si="8"/>
        <v>45546</v>
      </c>
      <c r="BS12" s="76">
        <f t="shared" si="8"/>
        <v>45547</v>
      </c>
      <c r="BT12" s="76">
        <f t="shared" si="8"/>
        <v>45548</v>
      </c>
      <c r="BU12" s="76">
        <f t="shared" si="8"/>
        <v>45551</v>
      </c>
      <c r="BV12" s="76">
        <f t="shared" si="8"/>
        <v>45552</v>
      </c>
      <c r="BW12" s="76">
        <f t="shared" si="8"/>
        <v>45553</v>
      </c>
      <c r="BX12" s="76">
        <f t="shared" si="8"/>
        <v>45554</v>
      </c>
      <c r="BY12" s="76">
        <f t="shared" si="8"/>
        <v>45555</v>
      </c>
      <c r="BZ12" s="76">
        <f t="shared" si="8"/>
        <v>45558</v>
      </c>
      <c r="CA12" s="76">
        <f t="shared" si="8"/>
        <v>45559</v>
      </c>
      <c r="CB12" s="76">
        <f t="shared" si="8"/>
        <v>45560</v>
      </c>
      <c r="CC12" s="76">
        <f t="shared" si="8"/>
        <v>45561</v>
      </c>
      <c r="CD12" s="76">
        <f t="shared" ref="CD12:EO12" si="9">CD13</f>
        <v>45562</v>
      </c>
      <c r="CE12" s="76">
        <f t="shared" si="9"/>
        <v>45565</v>
      </c>
      <c r="CF12" s="76">
        <f t="shared" si="9"/>
        <v>45566</v>
      </c>
      <c r="CG12" s="76">
        <f t="shared" si="9"/>
        <v>45567</v>
      </c>
      <c r="CH12" s="76">
        <f t="shared" si="9"/>
        <v>45568</v>
      </c>
      <c r="CI12" s="76">
        <f t="shared" si="9"/>
        <v>45569</v>
      </c>
      <c r="CJ12" s="76">
        <f t="shared" si="9"/>
        <v>45572</v>
      </c>
      <c r="CK12" s="76">
        <f t="shared" si="9"/>
        <v>45573</v>
      </c>
      <c r="CL12" s="76">
        <f t="shared" si="9"/>
        <v>45574</v>
      </c>
      <c r="CM12" s="76">
        <f t="shared" si="9"/>
        <v>45575</v>
      </c>
      <c r="CN12" s="76">
        <f t="shared" si="9"/>
        <v>45576</v>
      </c>
      <c r="CO12" s="76">
        <f t="shared" si="9"/>
        <v>45579</v>
      </c>
      <c r="CP12" s="76">
        <f t="shared" si="9"/>
        <v>45580</v>
      </c>
      <c r="CQ12" s="76">
        <f t="shared" si="9"/>
        <v>45581</v>
      </c>
      <c r="CR12" s="76">
        <f t="shared" si="9"/>
        <v>45582</v>
      </c>
      <c r="CS12" s="76">
        <f t="shared" si="9"/>
        <v>45583</v>
      </c>
      <c r="CT12" s="76">
        <f t="shared" si="9"/>
        <v>45586</v>
      </c>
      <c r="CU12" s="76">
        <f t="shared" si="9"/>
        <v>45587</v>
      </c>
      <c r="CV12" s="76">
        <f t="shared" si="9"/>
        <v>45588</v>
      </c>
      <c r="CW12" s="76">
        <f t="shared" si="9"/>
        <v>45589</v>
      </c>
      <c r="CX12" s="76">
        <f t="shared" si="9"/>
        <v>45590</v>
      </c>
      <c r="CY12" s="76">
        <f t="shared" si="9"/>
        <v>45593</v>
      </c>
      <c r="CZ12" s="76">
        <f t="shared" si="9"/>
        <v>45594</v>
      </c>
      <c r="DA12" s="76">
        <f t="shared" si="9"/>
        <v>45595</v>
      </c>
      <c r="DB12" s="76">
        <f t="shared" si="9"/>
        <v>45596</v>
      </c>
      <c r="DC12" s="76">
        <f t="shared" si="9"/>
        <v>45597</v>
      </c>
      <c r="DD12" s="76">
        <f t="shared" si="9"/>
        <v>45600</v>
      </c>
      <c r="DE12" s="76">
        <f t="shared" si="9"/>
        <v>45601</v>
      </c>
      <c r="DF12" s="76">
        <f t="shared" si="9"/>
        <v>45602</v>
      </c>
      <c r="DG12" s="76">
        <f t="shared" si="9"/>
        <v>45603</v>
      </c>
      <c r="DH12" s="76">
        <f t="shared" si="9"/>
        <v>45604</v>
      </c>
      <c r="DI12" s="76">
        <f t="shared" si="9"/>
        <v>45607</v>
      </c>
      <c r="DJ12" s="76">
        <f t="shared" si="9"/>
        <v>45608</v>
      </c>
      <c r="DK12" s="76">
        <f t="shared" si="9"/>
        <v>45609</v>
      </c>
      <c r="DL12" s="76">
        <f t="shared" si="9"/>
        <v>45610</v>
      </c>
      <c r="DM12" s="76">
        <f t="shared" si="9"/>
        <v>45611</v>
      </c>
      <c r="DN12" s="76">
        <f t="shared" si="9"/>
        <v>45614</v>
      </c>
      <c r="DO12" s="76">
        <f t="shared" si="9"/>
        <v>45615</v>
      </c>
      <c r="DP12" s="76">
        <f t="shared" si="9"/>
        <v>45616</v>
      </c>
      <c r="DQ12" s="76">
        <f t="shared" si="9"/>
        <v>45617</v>
      </c>
      <c r="DR12" s="76">
        <f t="shared" si="9"/>
        <v>45618</v>
      </c>
      <c r="DS12" s="76">
        <f t="shared" si="9"/>
        <v>45621</v>
      </c>
      <c r="DT12" s="76">
        <f t="shared" si="9"/>
        <v>45622</v>
      </c>
      <c r="DU12" s="76">
        <f t="shared" si="9"/>
        <v>45623</v>
      </c>
      <c r="DV12" s="76">
        <f t="shared" si="9"/>
        <v>45624</v>
      </c>
      <c r="DW12" s="76">
        <f t="shared" si="9"/>
        <v>45625</v>
      </c>
      <c r="DX12" s="76">
        <f t="shared" si="9"/>
        <v>45628</v>
      </c>
      <c r="DY12" s="76">
        <f t="shared" si="9"/>
        <v>45629</v>
      </c>
      <c r="DZ12" s="76">
        <f t="shared" si="9"/>
        <v>45630</v>
      </c>
      <c r="EA12" s="76">
        <f t="shared" si="9"/>
        <v>45631</v>
      </c>
      <c r="EB12" s="76">
        <f t="shared" si="9"/>
        <v>45632</v>
      </c>
      <c r="EC12" s="76">
        <f t="shared" si="9"/>
        <v>45635</v>
      </c>
      <c r="ED12" s="76">
        <f t="shared" si="9"/>
        <v>45636</v>
      </c>
      <c r="EE12" s="76">
        <f t="shared" si="9"/>
        <v>45637</v>
      </c>
      <c r="EF12" s="76">
        <f t="shared" si="9"/>
        <v>45638</v>
      </c>
      <c r="EG12" s="76">
        <f t="shared" si="9"/>
        <v>45639</v>
      </c>
      <c r="EH12" s="76">
        <f t="shared" si="9"/>
        <v>45642</v>
      </c>
      <c r="EI12" s="76">
        <f t="shared" si="9"/>
        <v>45643</v>
      </c>
      <c r="EJ12" s="76">
        <f t="shared" si="9"/>
        <v>45644</v>
      </c>
      <c r="EK12" s="76">
        <f t="shared" si="9"/>
        <v>45645</v>
      </c>
      <c r="EL12" s="76">
        <f t="shared" si="9"/>
        <v>45646</v>
      </c>
      <c r="EM12" s="76">
        <f t="shared" si="9"/>
        <v>45649</v>
      </c>
      <c r="EN12" s="76">
        <f t="shared" si="9"/>
        <v>45650</v>
      </c>
      <c r="EO12" s="76">
        <f t="shared" si="9"/>
        <v>45651</v>
      </c>
      <c r="EP12" s="76">
        <f>EP13</f>
        <v>45652</v>
      </c>
      <c r="EQ12" s="76">
        <f>EQ13</f>
        <v>45653</v>
      </c>
      <c r="ER12" s="76">
        <f>ER13</f>
        <v>45656</v>
      </c>
      <c r="ES12" s="76">
        <f>ES13</f>
        <v>45657</v>
      </c>
    </row>
    <row r="13" spans="1:150">
      <c r="B13" s="190" t="s">
        <v>8</v>
      </c>
      <c r="C13" s="178" t="s">
        <v>9</v>
      </c>
      <c r="D13" s="178" t="s">
        <v>10</v>
      </c>
      <c r="E13" s="178" t="s">
        <v>11</v>
      </c>
      <c r="F13" s="178" t="s">
        <v>12</v>
      </c>
      <c r="G13" s="178" t="s">
        <v>13</v>
      </c>
      <c r="H13" s="178" t="s">
        <v>14</v>
      </c>
      <c r="I13" s="178" t="s">
        <v>15</v>
      </c>
      <c r="J13" s="178" t="s">
        <v>16</v>
      </c>
      <c r="K13" s="178" t="s">
        <v>17</v>
      </c>
      <c r="L13" s="178" t="s">
        <v>18</v>
      </c>
      <c r="M13" s="178" t="s">
        <v>19</v>
      </c>
      <c r="N13" s="178" t="s">
        <v>20</v>
      </c>
      <c r="O13" s="178" t="s">
        <v>21</v>
      </c>
      <c r="P13" s="191" t="s">
        <v>22</v>
      </c>
      <c r="Q13" s="74" t="s">
        <v>23</v>
      </c>
      <c r="R13" s="77">
        <v>45474</v>
      </c>
      <c r="S13" s="77">
        <f t="shared" ref="S13:CD13" si="10">WORKDAY(R13,1)</f>
        <v>45475</v>
      </c>
      <c r="T13" s="77">
        <f t="shared" si="10"/>
        <v>45476</v>
      </c>
      <c r="U13" s="77">
        <f t="shared" si="10"/>
        <v>45477</v>
      </c>
      <c r="V13" s="77">
        <f t="shared" si="10"/>
        <v>45478</v>
      </c>
      <c r="W13" s="77">
        <f t="shared" si="10"/>
        <v>45481</v>
      </c>
      <c r="X13" s="77">
        <f t="shared" si="10"/>
        <v>45482</v>
      </c>
      <c r="Y13" s="77">
        <f t="shared" si="10"/>
        <v>45483</v>
      </c>
      <c r="Z13" s="77">
        <f t="shared" si="10"/>
        <v>45484</v>
      </c>
      <c r="AA13" s="77">
        <f t="shared" si="10"/>
        <v>45485</v>
      </c>
      <c r="AB13" s="77">
        <f t="shared" si="10"/>
        <v>45488</v>
      </c>
      <c r="AC13" s="77">
        <f t="shared" si="10"/>
        <v>45489</v>
      </c>
      <c r="AD13" s="77">
        <f t="shared" si="10"/>
        <v>45490</v>
      </c>
      <c r="AE13" s="77">
        <f t="shared" si="10"/>
        <v>45491</v>
      </c>
      <c r="AF13" s="77">
        <f t="shared" si="10"/>
        <v>45492</v>
      </c>
      <c r="AG13" s="77">
        <f t="shared" si="10"/>
        <v>45495</v>
      </c>
      <c r="AH13" s="77">
        <f t="shared" si="10"/>
        <v>45496</v>
      </c>
      <c r="AI13" s="77">
        <f t="shared" si="10"/>
        <v>45497</v>
      </c>
      <c r="AJ13" s="77">
        <f t="shared" si="10"/>
        <v>45498</v>
      </c>
      <c r="AK13" s="77">
        <f t="shared" si="10"/>
        <v>45499</v>
      </c>
      <c r="AL13" s="77">
        <f t="shared" si="10"/>
        <v>45502</v>
      </c>
      <c r="AM13" s="77">
        <f t="shared" si="10"/>
        <v>45503</v>
      </c>
      <c r="AN13" s="77">
        <f t="shared" si="10"/>
        <v>45504</v>
      </c>
      <c r="AO13" s="77">
        <f t="shared" si="10"/>
        <v>45505</v>
      </c>
      <c r="AP13" s="77">
        <f t="shared" si="10"/>
        <v>45506</v>
      </c>
      <c r="AQ13" s="77">
        <f t="shared" si="10"/>
        <v>45509</v>
      </c>
      <c r="AR13" s="77">
        <f t="shared" si="10"/>
        <v>45510</v>
      </c>
      <c r="AS13" s="77">
        <f t="shared" si="10"/>
        <v>45511</v>
      </c>
      <c r="AT13" s="77">
        <f t="shared" si="10"/>
        <v>45512</v>
      </c>
      <c r="AU13" s="77">
        <f t="shared" si="10"/>
        <v>45513</v>
      </c>
      <c r="AV13" s="77">
        <f t="shared" si="10"/>
        <v>45516</v>
      </c>
      <c r="AW13" s="77">
        <f t="shared" si="10"/>
        <v>45517</v>
      </c>
      <c r="AX13" s="77">
        <f t="shared" si="10"/>
        <v>45518</v>
      </c>
      <c r="AY13" s="77">
        <f t="shared" si="10"/>
        <v>45519</v>
      </c>
      <c r="AZ13" s="77">
        <f t="shared" si="10"/>
        <v>45520</v>
      </c>
      <c r="BA13" s="77">
        <f t="shared" si="10"/>
        <v>45523</v>
      </c>
      <c r="BB13" s="77">
        <f t="shared" si="10"/>
        <v>45524</v>
      </c>
      <c r="BC13" s="77">
        <f t="shared" si="10"/>
        <v>45525</v>
      </c>
      <c r="BD13" s="77">
        <f t="shared" si="10"/>
        <v>45526</v>
      </c>
      <c r="BE13" s="77">
        <f t="shared" si="10"/>
        <v>45527</v>
      </c>
      <c r="BF13" s="77">
        <f t="shared" si="10"/>
        <v>45530</v>
      </c>
      <c r="BG13" s="77">
        <f t="shared" si="10"/>
        <v>45531</v>
      </c>
      <c r="BH13" s="77">
        <f t="shared" si="10"/>
        <v>45532</v>
      </c>
      <c r="BI13" s="77">
        <f t="shared" si="10"/>
        <v>45533</v>
      </c>
      <c r="BJ13" s="77">
        <f t="shared" si="10"/>
        <v>45534</v>
      </c>
      <c r="BK13" s="77">
        <f t="shared" si="10"/>
        <v>45537</v>
      </c>
      <c r="BL13" s="77">
        <f t="shared" si="10"/>
        <v>45538</v>
      </c>
      <c r="BM13" s="77">
        <f t="shared" si="10"/>
        <v>45539</v>
      </c>
      <c r="BN13" s="77">
        <f t="shared" si="10"/>
        <v>45540</v>
      </c>
      <c r="BO13" s="77">
        <f t="shared" si="10"/>
        <v>45541</v>
      </c>
      <c r="BP13" s="77">
        <f t="shared" si="10"/>
        <v>45544</v>
      </c>
      <c r="BQ13" s="77">
        <f t="shared" si="10"/>
        <v>45545</v>
      </c>
      <c r="BR13" s="77">
        <f t="shared" si="10"/>
        <v>45546</v>
      </c>
      <c r="BS13" s="77">
        <f t="shared" si="10"/>
        <v>45547</v>
      </c>
      <c r="BT13" s="77">
        <f t="shared" si="10"/>
        <v>45548</v>
      </c>
      <c r="BU13" s="77">
        <f t="shared" si="10"/>
        <v>45551</v>
      </c>
      <c r="BV13" s="77">
        <f t="shared" si="10"/>
        <v>45552</v>
      </c>
      <c r="BW13" s="77">
        <f t="shared" si="10"/>
        <v>45553</v>
      </c>
      <c r="BX13" s="77">
        <f t="shared" si="10"/>
        <v>45554</v>
      </c>
      <c r="BY13" s="77">
        <f t="shared" si="10"/>
        <v>45555</v>
      </c>
      <c r="BZ13" s="77">
        <f t="shared" si="10"/>
        <v>45558</v>
      </c>
      <c r="CA13" s="77">
        <f t="shared" si="10"/>
        <v>45559</v>
      </c>
      <c r="CB13" s="77">
        <f t="shared" si="10"/>
        <v>45560</v>
      </c>
      <c r="CC13" s="77">
        <f t="shared" si="10"/>
        <v>45561</v>
      </c>
      <c r="CD13" s="77">
        <f t="shared" si="10"/>
        <v>45562</v>
      </c>
      <c r="CE13" s="77">
        <f t="shared" ref="CE13:EP13" si="11">WORKDAY(CD13,1)</f>
        <v>45565</v>
      </c>
      <c r="CF13" s="77">
        <f t="shared" si="11"/>
        <v>45566</v>
      </c>
      <c r="CG13" s="77">
        <f t="shared" si="11"/>
        <v>45567</v>
      </c>
      <c r="CH13" s="77">
        <f t="shared" si="11"/>
        <v>45568</v>
      </c>
      <c r="CI13" s="77">
        <f t="shared" si="11"/>
        <v>45569</v>
      </c>
      <c r="CJ13" s="77">
        <f t="shared" si="11"/>
        <v>45572</v>
      </c>
      <c r="CK13" s="77">
        <f t="shared" si="11"/>
        <v>45573</v>
      </c>
      <c r="CL13" s="77">
        <f t="shared" si="11"/>
        <v>45574</v>
      </c>
      <c r="CM13" s="77">
        <f t="shared" si="11"/>
        <v>45575</v>
      </c>
      <c r="CN13" s="77">
        <f t="shared" si="11"/>
        <v>45576</v>
      </c>
      <c r="CO13" s="77">
        <f t="shared" si="11"/>
        <v>45579</v>
      </c>
      <c r="CP13" s="77">
        <f t="shared" si="11"/>
        <v>45580</v>
      </c>
      <c r="CQ13" s="77">
        <f t="shared" si="11"/>
        <v>45581</v>
      </c>
      <c r="CR13" s="77">
        <f t="shared" si="11"/>
        <v>45582</v>
      </c>
      <c r="CS13" s="77">
        <f t="shared" si="11"/>
        <v>45583</v>
      </c>
      <c r="CT13" s="77">
        <f t="shared" si="11"/>
        <v>45586</v>
      </c>
      <c r="CU13" s="77">
        <f t="shared" si="11"/>
        <v>45587</v>
      </c>
      <c r="CV13" s="77">
        <f t="shared" si="11"/>
        <v>45588</v>
      </c>
      <c r="CW13" s="77">
        <f t="shared" si="11"/>
        <v>45589</v>
      </c>
      <c r="CX13" s="77">
        <f t="shared" si="11"/>
        <v>45590</v>
      </c>
      <c r="CY13" s="77">
        <f t="shared" si="11"/>
        <v>45593</v>
      </c>
      <c r="CZ13" s="77">
        <f t="shared" si="11"/>
        <v>45594</v>
      </c>
      <c r="DA13" s="77">
        <f t="shared" si="11"/>
        <v>45595</v>
      </c>
      <c r="DB13" s="77">
        <f t="shared" si="11"/>
        <v>45596</v>
      </c>
      <c r="DC13" s="77">
        <f t="shared" si="11"/>
        <v>45597</v>
      </c>
      <c r="DD13" s="77">
        <f t="shared" si="11"/>
        <v>45600</v>
      </c>
      <c r="DE13" s="77">
        <f t="shared" si="11"/>
        <v>45601</v>
      </c>
      <c r="DF13" s="77">
        <f t="shared" si="11"/>
        <v>45602</v>
      </c>
      <c r="DG13" s="77">
        <f t="shared" si="11"/>
        <v>45603</v>
      </c>
      <c r="DH13" s="77">
        <f t="shared" si="11"/>
        <v>45604</v>
      </c>
      <c r="DI13" s="77">
        <f t="shared" si="11"/>
        <v>45607</v>
      </c>
      <c r="DJ13" s="77">
        <f t="shared" si="11"/>
        <v>45608</v>
      </c>
      <c r="DK13" s="77">
        <f t="shared" si="11"/>
        <v>45609</v>
      </c>
      <c r="DL13" s="77">
        <f t="shared" si="11"/>
        <v>45610</v>
      </c>
      <c r="DM13" s="77">
        <f t="shared" si="11"/>
        <v>45611</v>
      </c>
      <c r="DN13" s="77">
        <f t="shared" si="11"/>
        <v>45614</v>
      </c>
      <c r="DO13" s="77">
        <f t="shared" si="11"/>
        <v>45615</v>
      </c>
      <c r="DP13" s="77">
        <f t="shared" si="11"/>
        <v>45616</v>
      </c>
      <c r="DQ13" s="77">
        <f t="shared" si="11"/>
        <v>45617</v>
      </c>
      <c r="DR13" s="77">
        <f t="shared" si="11"/>
        <v>45618</v>
      </c>
      <c r="DS13" s="77">
        <f t="shared" si="11"/>
        <v>45621</v>
      </c>
      <c r="DT13" s="77">
        <f t="shared" si="11"/>
        <v>45622</v>
      </c>
      <c r="DU13" s="77">
        <f t="shared" si="11"/>
        <v>45623</v>
      </c>
      <c r="DV13" s="77">
        <f t="shared" si="11"/>
        <v>45624</v>
      </c>
      <c r="DW13" s="77">
        <f t="shared" si="11"/>
        <v>45625</v>
      </c>
      <c r="DX13" s="77">
        <f t="shared" si="11"/>
        <v>45628</v>
      </c>
      <c r="DY13" s="77">
        <f t="shared" si="11"/>
        <v>45629</v>
      </c>
      <c r="DZ13" s="77">
        <f t="shared" si="11"/>
        <v>45630</v>
      </c>
      <c r="EA13" s="77">
        <f t="shared" si="11"/>
        <v>45631</v>
      </c>
      <c r="EB13" s="77">
        <f t="shared" si="11"/>
        <v>45632</v>
      </c>
      <c r="EC13" s="77">
        <f t="shared" si="11"/>
        <v>45635</v>
      </c>
      <c r="ED13" s="77">
        <f t="shared" si="11"/>
        <v>45636</v>
      </c>
      <c r="EE13" s="77">
        <f t="shared" si="11"/>
        <v>45637</v>
      </c>
      <c r="EF13" s="77">
        <f t="shared" si="11"/>
        <v>45638</v>
      </c>
      <c r="EG13" s="77">
        <f t="shared" si="11"/>
        <v>45639</v>
      </c>
      <c r="EH13" s="77">
        <f t="shared" si="11"/>
        <v>45642</v>
      </c>
      <c r="EI13" s="77">
        <f t="shared" si="11"/>
        <v>45643</v>
      </c>
      <c r="EJ13" s="77">
        <f t="shared" si="11"/>
        <v>45644</v>
      </c>
      <c r="EK13" s="77">
        <f t="shared" si="11"/>
        <v>45645</v>
      </c>
      <c r="EL13" s="77">
        <f t="shared" si="11"/>
        <v>45646</v>
      </c>
      <c r="EM13" s="77">
        <f t="shared" si="11"/>
        <v>45649</v>
      </c>
      <c r="EN13" s="77">
        <f t="shared" si="11"/>
        <v>45650</v>
      </c>
      <c r="EO13" s="77">
        <f t="shared" si="11"/>
        <v>45651</v>
      </c>
      <c r="EP13" s="77">
        <f t="shared" si="11"/>
        <v>45652</v>
      </c>
      <c r="EQ13" s="77">
        <f>WORKDAY(EP13,1)</f>
        <v>45653</v>
      </c>
      <c r="ER13" s="77">
        <f>WORKDAY(EQ13,1)</f>
        <v>45656</v>
      </c>
      <c r="ES13" s="77">
        <f>WORKDAY(ER13,1)</f>
        <v>45657</v>
      </c>
    </row>
    <row r="14" spans="1:150" ht="17.850000000000001" customHeight="1">
      <c r="B14" s="82" t="s">
        <v>24</v>
      </c>
      <c r="C14" s="83"/>
      <c r="D14" s="83"/>
      <c r="E14" s="83"/>
      <c r="F14" s="83"/>
      <c r="G14" s="83"/>
      <c r="H14" s="83"/>
      <c r="I14" s="173">
        <f>SUM(I15:I17)</f>
        <v>160</v>
      </c>
      <c r="J14" s="173">
        <f>SUM(J15:J17)</f>
        <v>20</v>
      </c>
      <c r="K14" s="173">
        <f>I14</f>
        <v>160</v>
      </c>
      <c r="L14" s="173">
        <f>J14</f>
        <v>20</v>
      </c>
      <c r="M14" s="174">
        <f>SUMPRODUCT(M15:M17,I15:I17)/I14</f>
        <v>1</v>
      </c>
      <c r="N14" s="174">
        <f>SUMPRODUCT(N15:N17,J15:J17)/J14</f>
        <v>1</v>
      </c>
      <c r="O14" s="174">
        <f>N14-M14</f>
        <v>0</v>
      </c>
      <c r="P14" s="176"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c r="B15" s="63" t="s">
        <v>26</v>
      </c>
      <c r="C15" s="96" t="s">
        <v>27</v>
      </c>
      <c r="D15" s="96"/>
      <c r="E15" s="96"/>
      <c r="F15" s="96"/>
      <c r="G15" s="96" t="s">
        <v>28</v>
      </c>
      <c r="H15" s="96"/>
      <c r="I15" s="180">
        <f>J15*8</f>
        <v>40</v>
      </c>
      <c r="J15" s="180">
        <v>5</v>
      </c>
      <c r="K15" s="180"/>
      <c r="L15" s="180"/>
      <c r="M15" s="185">
        <f>100%</f>
        <v>1</v>
      </c>
      <c r="N15" s="185">
        <f>100%</f>
        <v>1</v>
      </c>
      <c r="O15" s="185">
        <f>N15-M15</f>
        <v>0</v>
      </c>
      <c r="P15" s="186"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c r="B16" s="63" t="s">
        <v>26</v>
      </c>
      <c r="C16" s="96" t="s">
        <v>29</v>
      </c>
      <c r="D16" s="96"/>
      <c r="E16" s="103"/>
      <c r="F16" s="96"/>
      <c r="G16" s="96" t="s">
        <v>28</v>
      </c>
      <c r="H16" s="96"/>
      <c r="I16" s="180">
        <f>J16*8</f>
        <v>80</v>
      </c>
      <c r="J16" s="180">
        <v>10</v>
      </c>
      <c r="K16" s="180"/>
      <c r="L16" s="180"/>
      <c r="M16" s="185">
        <f>100%</f>
        <v>1</v>
      </c>
      <c r="N16" s="185">
        <f>100%</f>
        <v>1</v>
      </c>
      <c r="O16" s="185">
        <f>N16-M16</f>
        <v>0</v>
      </c>
      <c r="P16" s="186"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c r="B17" s="63" t="s">
        <v>26</v>
      </c>
      <c r="C17" s="102" t="s">
        <v>30</v>
      </c>
      <c r="D17" s="96"/>
      <c r="E17" s="96"/>
      <c r="F17" s="96"/>
      <c r="G17" s="96" t="s">
        <v>28</v>
      </c>
      <c r="H17" s="96"/>
      <c r="I17" s="180">
        <f>J17*8</f>
        <v>40</v>
      </c>
      <c r="J17" s="180">
        <v>5</v>
      </c>
      <c r="K17" s="180"/>
      <c r="L17" s="180"/>
      <c r="M17" s="185">
        <f>100%</f>
        <v>1</v>
      </c>
      <c r="N17" s="185">
        <f>100%</f>
        <v>1</v>
      </c>
      <c r="O17" s="185">
        <f>N17-M17</f>
        <v>0</v>
      </c>
      <c r="P17" s="186"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35" customHeight="1">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c r="B19" s="82" t="s">
        <v>32</v>
      </c>
      <c r="C19" s="83"/>
      <c r="D19" s="83"/>
      <c r="E19" s="83"/>
      <c r="F19" s="83"/>
      <c r="G19" s="83"/>
      <c r="H19" s="83"/>
      <c r="I19" s="173">
        <f>SUM(I20:I22)</f>
        <v>120</v>
      </c>
      <c r="J19" s="173">
        <f>SUM(J20:J22)</f>
        <v>15</v>
      </c>
      <c r="K19" s="179">
        <f>N19*I19</f>
        <v>118.8</v>
      </c>
      <c r="L19" s="179">
        <f>N19*J19</f>
        <v>14.85</v>
      </c>
      <c r="M19" s="174">
        <f>SUMPRODUCT(M20:M23,I20:I23)/I19</f>
        <v>0.93333333333333335</v>
      </c>
      <c r="N19" s="174">
        <f>SUMPRODUCT(N20:N22,J20:J22)/J19</f>
        <v>0.99</v>
      </c>
      <c r="O19" s="174">
        <f>N19-M19</f>
        <v>5.6666666666666643E-2</v>
      </c>
      <c r="P19" s="176"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c r="B20" s="63" t="s">
        <v>26</v>
      </c>
      <c r="C20" s="96" t="s">
        <v>27</v>
      </c>
      <c r="D20" s="96"/>
      <c r="E20" s="96"/>
      <c r="F20" s="96"/>
      <c r="G20" s="96" t="s">
        <v>28</v>
      </c>
      <c r="H20" s="96"/>
      <c r="I20" s="180">
        <f>J20*8</f>
        <v>40</v>
      </c>
      <c r="J20" s="180">
        <v>5</v>
      </c>
      <c r="K20" s="180"/>
      <c r="L20" s="180"/>
      <c r="M20" s="185">
        <f>SUMIFS(R20:ES20,$R$9:$ES$9,"S")/J20</f>
        <v>1</v>
      </c>
      <c r="N20" s="185">
        <f>100%</f>
        <v>1</v>
      </c>
      <c r="O20" s="185">
        <f>N20-M20</f>
        <v>0</v>
      </c>
      <c r="P20" s="186"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c r="B21" s="63" t="s">
        <v>26</v>
      </c>
      <c r="C21" s="96" t="s">
        <v>29</v>
      </c>
      <c r="D21" s="96"/>
      <c r="E21" s="96"/>
      <c r="F21" s="96"/>
      <c r="G21" s="96" t="s">
        <v>28</v>
      </c>
      <c r="H21" s="96"/>
      <c r="I21" s="180">
        <f>J21*8</f>
        <v>40</v>
      </c>
      <c r="J21" s="180">
        <v>5</v>
      </c>
      <c r="K21" s="180"/>
      <c r="L21" s="180"/>
      <c r="M21" s="185">
        <f>SUMIFS(R21:ES21,$R$9:$ES$9,"S")/J21</f>
        <v>1</v>
      </c>
      <c r="N21" s="185">
        <v>1</v>
      </c>
      <c r="O21" s="185">
        <f>N21-M21</f>
        <v>0</v>
      </c>
      <c r="P21" s="186"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2.4">
      <c r="B22" s="63" t="s">
        <v>26</v>
      </c>
      <c r="C22" s="102" t="s">
        <v>30</v>
      </c>
      <c r="D22" s="96"/>
      <c r="E22" s="96"/>
      <c r="F22" s="96"/>
      <c r="G22" s="96" t="s">
        <v>28</v>
      </c>
      <c r="H22" s="96"/>
      <c r="I22" s="180">
        <f>J22*8</f>
        <v>40</v>
      </c>
      <c r="J22" s="180">
        <v>5</v>
      </c>
      <c r="K22" s="180"/>
      <c r="L22" s="180"/>
      <c r="M22" s="185">
        <f>SUMIFS(R22:ES22,$R$9:$ES$9,"S")/J22</f>
        <v>0.8</v>
      </c>
      <c r="N22" s="185">
        <v>0.97</v>
      </c>
      <c r="O22" s="185">
        <f>N22-M22</f>
        <v>0.16999999999999993</v>
      </c>
      <c r="P22" s="187" t="s">
        <v>1854</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35" customHeight="1">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c r="B24" s="82" t="s">
        <v>33</v>
      </c>
      <c r="C24" s="83"/>
      <c r="D24" s="83"/>
      <c r="E24" s="83"/>
      <c r="F24" s="83"/>
      <c r="G24" s="83"/>
      <c r="H24" s="83"/>
      <c r="I24" s="179" t="e">
        <f>I25+I74+I243+I452+I562</f>
        <v>#N/A</v>
      </c>
      <c r="J24" s="179" t="e">
        <f>J25+J74+J243+J452+J562</f>
        <v>#N/A</v>
      </c>
      <c r="K24" s="179" t="e">
        <f>K25+K74+K243+K452+K562</f>
        <v>#N/A</v>
      </c>
      <c r="L24" s="179" t="e">
        <f>L25+L74+L243+L452+L562</f>
        <v>#N/A</v>
      </c>
      <c r="M24" s="174" t="e">
        <f>((M25*J25)+(M74*J74)+(M243*J243)+(M452*J452)+(M562*J562))/J24</f>
        <v>#N/A</v>
      </c>
      <c r="N24" s="174" t="e">
        <f>((N25*L25)+(N74*L74)+(N243*L243)+(N452*L452)+(N562*L562))/L24</f>
        <v>#N/A</v>
      </c>
      <c r="O24" s="174" t="e">
        <f t="shared" ref="O24:O122" si="12">N24-M24</f>
        <v>#N/A</v>
      </c>
      <c r="P24" s="176"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c r="B25" s="63" t="s">
        <v>26</v>
      </c>
      <c r="C25" s="96" t="s">
        <v>34</v>
      </c>
      <c r="D25" s="64"/>
      <c r="E25" s="64"/>
      <c r="F25" s="64"/>
      <c r="G25" s="64"/>
      <c r="H25" s="64"/>
      <c r="I25" s="182" t="e">
        <f>SUM(I26:I73)</f>
        <v>#N/A</v>
      </c>
      <c r="J25" s="182" t="e">
        <f>ROUNDUP(I25/8,0)</f>
        <v>#N/A</v>
      </c>
      <c r="K25" s="182" t="e">
        <f>SUM(K26:K73)</f>
        <v>#N/A</v>
      </c>
      <c r="L25" s="182" t="e">
        <f>ROUNDUP(K25/8,0)</f>
        <v>#N/A</v>
      </c>
      <c r="M25" s="181" t="e">
        <f>SUMIFS(R25:ES25,$R$9:$ES$9,"S")/J25</f>
        <v>#N/A</v>
      </c>
      <c r="N25" s="181">
        <f>IFERROR(L25/J25,0)</f>
        <v>0</v>
      </c>
      <c r="O25" s="181" t="e">
        <f t="shared" si="12"/>
        <v>#N/A</v>
      </c>
      <c r="P25" s="189" t="s">
        <v>35</v>
      </c>
      <c r="Q25" s="90" t="e">
        <f t="shared" ref="Q25:Q123" si="13">J25-SUM(R25:ES25)</f>
        <v>#N/A</v>
      </c>
      <c r="R25" s="78"/>
      <c r="S25" s="78"/>
      <c r="T25" s="78"/>
      <c r="U25" s="78"/>
      <c r="V25" s="78"/>
      <c r="W25" s="78"/>
      <c r="X25" s="78"/>
      <c r="Y25" s="78"/>
      <c r="Z25" s="78"/>
      <c r="AA25" s="78"/>
      <c r="AB25" s="78"/>
      <c r="AC25" s="78">
        <v>0.5</v>
      </c>
      <c r="AD25" s="78">
        <v>0.5</v>
      </c>
      <c r="AE25" s="192"/>
      <c r="AF25" s="192"/>
      <c r="AG25" s="192"/>
      <c r="AH25" s="192">
        <v>0.5</v>
      </c>
      <c r="AI25" s="192"/>
      <c r="AJ25" s="192"/>
      <c r="AK25" s="192"/>
      <c r="AL25" s="192"/>
      <c r="AM25" s="192"/>
      <c r="AN25" s="192"/>
      <c r="AO25" s="192">
        <v>0.5</v>
      </c>
      <c r="AP25" s="192">
        <v>0.5</v>
      </c>
      <c r="AQ25" s="192">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outlineLevel="1">
      <c r="A26" s="29" t="str">
        <f>E26&amp;F26</f>
        <v>ENERGY_CERTIFICATE_EST_INPUTn.a.</v>
      </c>
      <c r="B26" s="67" t="s">
        <v>26</v>
      </c>
      <c r="C26" s="68" t="s">
        <v>34</v>
      </c>
      <c r="D26" s="64" t="s">
        <v>36</v>
      </c>
      <c r="E26" s="66" t="s">
        <v>37</v>
      </c>
      <c r="F26" s="64" t="s">
        <v>38</v>
      </c>
      <c r="G26" s="64" t="str">
        <f>INDEX(Auxiliar!$B$16:$B$24,MATCH(Plano_V3!H26,Auxiliar!$C$16:$C$24,0),1)</f>
        <v>2.1 Em Teste</v>
      </c>
      <c r="H26" s="64">
        <f>VLOOKUP(A26,'Aux - pivots1'!$A:$B,2,0)</f>
        <v>2</v>
      </c>
      <c r="I26" s="183">
        <f>SUMIFS(Table1[Estimação (horas)],Table1[Tabela],Plano_V3!E26,Table1[Campo],Plano_V3!F26)</f>
        <v>8</v>
      </c>
      <c r="J26" s="183">
        <f>I26/8</f>
        <v>1</v>
      </c>
      <c r="K26" s="183">
        <f>SUMIFS(Table1[Horas efetivas],Table1[Tabela],Plano_V3!E26,Table1[Campo],Plano_V3!F26)</f>
        <v>4</v>
      </c>
      <c r="L26" s="183">
        <f>K26/8</f>
        <v>0.5</v>
      </c>
      <c r="M26" s="177"/>
      <c r="N26" s="177">
        <f>L26/J26</f>
        <v>0.5</v>
      </c>
      <c r="O26" s="177">
        <f t="shared" si="12"/>
        <v>0.5</v>
      </c>
      <c r="P26" s="89" t="s">
        <v>39</v>
      </c>
      <c r="Q26" s="90">
        <f t="shared" si="13"/>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outlineLevel="1">
      <c r="A27" s="29" t="str">
        <f t="shared" ref="A27:A73" si="14">E27&amp;F27</f>
        <v>ENERGY_CERTIFICATE_EST_INPUTDATA_PROVIDER</v>
      </c>
      <c r="B27" s="67"/>
      <c r="C27" s="68"/>
      <c r="D27" s="64" t="s">
        <v>40</v>
      </c>
      <c r="E27" s="66" t="s">
        <v>37</v>
      </c>
      <c r="F27" s="66" t="s">
        <v>48</v>
      </c>
      <c r="G27" s="64" t="str">
        <f>INDEX(Auxiliar!$B$16:$B$24,MATCH(Plano_V3!H27,Auxiliar!$C$16:$C$24,0),1)</f>
        <v>0. Cancelado</v>
      </c>
      <c r="H27" s="64">
        <f>VLOOKUP(A27,'Aux - pivots1'!$A:$B,2,0)</f>
        <v>0</v>
      </c>
      <c r="I27" s="183" t="e">
        <f>SUMIFS(Table1[Estimação (horas)],Table1[Tabela],Plano_V3!E27,Table1[Campo],Plano_V3!F27)</f>
        <v>#N/A</v>
      </c>
      <c r="J27" s="183" t="e">
        <f t="shared" ref="J27:J54" si="15">I27/8</f>
        <v>#N/A</v>
      </c>
      <c r="K27" s="183" t="e">
        <f>SUMIFS(Table1[Horas efetivas],Table1[Tabela],Plano_V3!E27,Table1[Campo],Plano_V3!F27)</f>
        <v>#N/A</v>
      </c>
      <c r="L27" s="183" t="e">
        <f t="shared" ref="L27:L54" si="16">K27/8</f>
        <v>#N/A</v>
      </c>
      <c r="M27" s="177"/>
      <c r="N27" s="177"/>
      <c r="O27" s="177"/>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outlineLevel="1">
      <c r="A28" s="29" t="str">
        <f>E28&amp;F28</f>
        <v>ENERGY_CERTIFICATE_EST_INPUTACTUAL_VALUE_IND</v>
      </c>
      <c r="B28" s="67"/>
      <c r="C28" s="68"/>
      <c r="D28" s="64" t="s">
        <v>40</v>
      </c>
      <c r="E28" s="66" t="s">
        <v>37</v>
      </c>
      <c r="F28" s="66" t="s">
        <v>49</v>
      </c>
      <c r="G28" s="64" t="str">
        <f>INDEX(Auxiliar!$B$16:$B$24,MATCH(Plano_V3!H28,Auxiliar!$C$16:$C$24,0),1)</f>
        <v>0. Cancelado</v>
      </c>
      <c r="H28" s="64">
        <f>VLOOKUP(A28,'Aux - pivots1'!$A:$B,2,0)</f>
        <v>0</v>
      </c>
      <c r="I28" s="183"/>
      <c r="J28" s="183"/>
      <c r="K28" s="183"/>
      <c r="L28" s="183"/>
      <c r="M28" s="177"/>
      <c r="N28" s="177"/>
      <c r="O28" s="177"/>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outlineLevel="1">
      <c r="A29" s="29" t="str">
        <f>E29&amp;F29</f>
        <v>ENERGY_CERTIFICATE_EST_INPUTCHAVE_GLOVAL</v>
      </c>
      <c r="B29" s="67"/>
      <c r="C29" s="68"/>
      <c r="D29" s="64" t="s">
        <v>40</v>
      </c>
      <c r="E29" s="66" t="s">
        <v>37</v>
      </c>
      <c r="F29" s="66" t="s">
        <v>1973</v>
      </c>
      <c r="G29" s="64" t="str">
        <f>INDEX(Auxiliar!$B$16:$B$24,MATCH(Plano_V3!H29,Auxiliar!$C$16:$C$24,0),1)</f>
        <v>2.1 Em Teste</v>
      </c>
      <c r="H29" s="64">
        <f>VLOOKUP(A29,'Aux - pivots1'!$A:$B,2,0)</f>
        <v>2</v>
      </c>
      <c r="I29" s="183"/>
      <c r="J29" s="183"/>
      <c r="K29" s="183"/>
      <c r="L29" s="183"/>
      <c r="M29" s="177"/>
      <c r="N29" s="177"/>
      <c r="O29" s="177"/>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outlineLevel="1">
      <c r="A30" s="29" t="str">
        <f t="shared" si="14"/>
        <v>ENERGY_CERTIFICATE_EST_INPUTPROPERTY_BANK_ID</v>
      </c>
      <c r="B30" s="67"/>
      <c r="C30" s="68"/>
      <c r="D30" s="64" t="s">
        <v>40</v>
      </c>
      <c r="E30" s="66" t="s">
        <v>37</v>
      </c>
      <c r="F30" s="66" t="s">
        <v>41</v>
      </c>
      <c r="G30" s="64" t="str">
        <f>INDEX(Auxiliar!$B$16:$B$24,MATCH(Plano_V3!H30,Auxiliar!$C$16:$C$24,0),1)</f>
        <v>2.1 Em Teste</v>
      </c>
      <c r="H30" s="64">
        <f>VLOOKUP(A30,'Aux - pivots1'!$A:$B,2,0)</f>
        <v>2</v>
      </c>
      <c r="I30" s="183" t="e">
        <f>SUMIFS(Table1[Estimação (horas)],Table1[Tabela],Plano_V3!E30,Table1[Campo],Plano_V3!F30)</f>
        <v>#N/A</v>
      </c>
      <c r="J30" s="183" t="e">
        <f t="shared" si="15"/>
        <v>#N/A</v>
      </c>
      <c r="K30" s="183" t="e">
        <f>SUMIFS(Table1[Horas efetivas],Table1[Tabela],Plano_V3!E30,Table1[Campo],Plano_V3!F30)</f>
        <v>#N/A</v>
      </c>
      <c r="L30" s="183" t="e">
        <f t="shared" si="16"/>
        <v>#N/A</v>
      </c>
      <c r="M30" s="177"/>
      <c r="N30" s="177"/>
      <c r="O30" s="177"/>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outlineLevel="1">
      <c r="A31" s="29" t="str">
        <f t="shared" si="14"/>
        <v>ENERGY_CERTIFICATE_EST_INPUTPROPERTY_BRANCH_CODE</v>
      </c>
      <c r="B31" s="67"/>
      <c r="C31" s="68"/>
      <c r="D31" s="64" t="s">
        <v>40</v>
      </c>
      <c r="E31" s="66" t="s">
        <v>37</v>
      </c>
      <c r="F31" s="66" t="s">
        <v>43</v>
      </c>
      <c r="G31" s="64" t="str">
        <f>INDEX(Auxiliar!$B$16:$B$24,MATCH(Plano_V3!H31,Auxiliar!$C$16:$C$24,0),1)</f>
        <v>2.1 Em Teste</v>
      </c>
      <c r="H31" s="64">
        <f>VLOOKUP(A31,'Aux - pivots1'!$A:$B,2,0)</f>
        <v>2</v>
      </c>
      <c r="I31" s="183" t="e">
        <f>SUMIFS(Table1[Estimação (horas)],Table1[Tabela],Plano_V3!E31,Table1[Campo],Plano_V3!F31)</f>
        <v>#N/A</v>
      </c>
      <c r="J31" s="183" t="e">
        <f t="shared" si="15"/>
        <v>#N/A</v>
      </c>
      <c r="K31" s="183" t="e">
        <f>SUMIFS(Table1[Horas efetivas],Table1[Tabela],Plano_V3!E31,Table1[Campo],Plano_V3!F31)</f>
        <v>#N/A</v>
      </c>
      <c r="L31" s="183" t="e">
        <f t="shared" si="16"/>
        <v>#N/A</v>
      </c>
      <c r="M31" s="177"/>
      <c r="N31" s="177"/>
      <c r="O31" s="177"/>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outlineLevel="1">
      <c r="A32" s="29" t="str">
        <f t="shared" si="14"/>
        <v>ENERGY_CERTIFICATE_EST_INPUTPROPERTY_CONTRACT_ID</v>
      </c>
      <c r="B32" s="67"/>
      <c r="C32" s="68"/>
      <c r="D32" s="64" t="s">
        <v>40</v>
      </c>
      <c r="E32" s="66" t="s">
        <v>37</v>
      </c>
      <c r="F32" s="66" t="s">
        <v>44</v>
      </c>
      <c r="G32" s="64" t="str">
        <f>INDEX(Auxiliar!$B$16:$B$24,MATCH(Plano_V3!H32,Auxiliar!$C$16:$C$24,0),1)</f>
        <v>2.1 Em Teste</v>
      </c>
      <c r="H32" s="64">
        <f>VLOOKUP(A32,'Aux - pivots1'!$A:$B,2,0)</f>
        <v>2</v>
      </c>
      <c r="I32" s="183" t="e">
        <f>SUMIFS(Table1[Estimação (horas)],Table1[Tabela],Plano_V3!E32,Table1[Campo],Plano_V3!F32)</f>
        <v>#N/A</v>
      </c>
      <c r="J32" s="183" t="e">
        <f t="shared" si="15"/>
        <v>#N/A</v>
      </c>
      <c r="K32" s="183" t="e">
        <f>SUMIFS(Table1[Horas efetivas],Table1[Tabela],Plano_V3!E32,Table1[Campo],Plano_V3!F32)</f>
        <v>#N/A</v>
      </c>
      <c r="L32" s="183" t="e">
        <f t="shared" si="16"/>
        <v>#N/A</v>
      </c>
      <c r="M32" s="177"/>
      <c r="N32" s="177"/>
      <c r="O32" s="177"/>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outlineLevel="1">
      <c r="A33" s="29" t="str">
        <f t="shared" si="14"/>
        <v>ENERGY_CERTIFICATE_EST_INPUTPROPERTY_REFERENCE_CODE</v>
      </c>
      <c r="B33" s="67"/>
      <c r="C33" s="68"/>
      <c r="D33" s="64" t="s">
        <v>40</v>
      </c>
      <c r="E33" s="66" t="s">
        <v>37</v>
      </c>
      <c r="F33" s="66" t="s">
        <v>45</v>
      </c>
      <c r="G33" s="64" t="str">
        <f>INDEX(Auxiliar!$B$16:$B$24,MATCH(Plano_V3!H33,Auxiliar!$C$16:$C$24,0),1)</f>
        <v>2.1 Em Teste</v>
      </c>
      <c r="H33" s="64">
        <f>VLOOKUP(A33,'Aux - pivots1'!$A:$B,2,0)</f>
        <v>2</v>
      </c>
      <c r="I33" s="183" t="e">
        <f>SUMIFS(Table1[Estimação (horas)],Table1[Tabela],Plano_V3!E33,Table1[Campo],Plano_V3!F33)</f>
        <v>#N/A</v>
      </c>
      <c r="J33" s="183" t="e">
        <f t="shared" si="15"/>
        <v>#N/A</v>
      </c>
      <c r="K33" s="183" t="e">
        <f>SUMIFS(Table1[Horas efetivas],Table1[Tabela],Plano_V3!E33,Table1[Campo],Plano_V3!F33)</f>
        <v>#N/A</v>
      </c>
      <c r="L33" s="183" t="e">
        <f t="shared" si="16"/>
        <v>#N/A</v>
      </c>
      <c r="M33" s="177"/>
      <c r="N33" s="177"/>
      <c r="O33" s="177"/>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outlineLevel="1">
      <c r="A34" s="29" t="str">
        <f t="shared" si="14"/>
        <v>ENERGY_CERTIFICATE_EST_INPUTCÓDIGO_DISTRITO</v>
      </c>
      <c r="B34" s="67"/>
      <c r="C34" s="68"/>
      <c r="D34" s="64" t="s">
        <v>40</v>
      </c>
      <c r="E34" s="66" t="s">
        <v>37</v>
      </c>
      <c r="F34" s="66" t="s">
        <v>1974</v>
      </c>
      <c r="G34" s="64" t="str">
        <f>INDEX(Auxiliar!$B$16:$B$24,MATCH(Plano_V3!H34,Auxiliar!$C$16:$C$24,0),1)</f>
        <v>2.1 Em Teste</v>
      </c>
      <c r="H34" s="64">
        <f>VLOOKUP(A34,'Aux - pivots1'!$A:$B,2,0)</f>
        <v>2</v>
      </c>
      <c r="I34" s="183" t="e">
        <f>SUMIFS(Table1[Estimação (horas)],Table1[Tabela],Plano_V3!E34,Table1[Campo],Plano_V3!F34)</f>
        <v>#N/A</v>
      </c>
      <c r="J34" s="183" t="e">
        <f t="shared" si="15"/>
        <v>#N/A</v>
      </c>
      <c r="K34" s="183" t="e">
        <f>SUMIFS(Table1[Horas efetivas],Table1[Tabela],Plano_V3!E34,Table1[Campo],Plano_V3!F34)</f>
        <v>#N/A</v>
      </c>
      <c r="L34" s="183" t="e">
        <f t="shared" si="16"/>
        <v>#N/A</v>
      </c>
      <c r="M34" s="177"/>
      <c r="N34" s="177"/>
      <c r="O34" s="177"/>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outlineLevel="1">
      <c r="A35" s="29" t="str">
        <f t="shared" si="14"/>
        <v>ENERGY_CERTIFICATE_EST_INPUTNOMBRE_DISTRITO</v>
      </c>
      <c r="B35" s="67"/>
      <c r="C35" s="68"/>
      <c r="D35" s="64" t="s">
        <v>40</v>
      </c>
      <c r="E35" s="66" t="s">
        <v>37</v>
      </c>
      <c r="F35" s="66" t="s">
        <v>1975</v>
      </c>
      <c r="G35" s="64" t="str">
        <f>INDEX(Auxiliar!$B$16:$B$24,MATCH(Plano_V3!H35,Auxiliar!$C$16:$C$24,0),1)</f>
        <v>2.1 Em Teste</v>
      </c>
      <c r="H35" s="64">
        <f>VLOOKUP(A35,'Aux - pivots1'!$A:$B,2,0)</f>
        <v>2</v>
      </c>
      <c r="I35" s="183" t="e">
        <f>SUMIFS(Table1[Estimação (horas)],Table1[Tabela],Plano_V3!E35,Table1[Campo],Plano_V3!F35)</f>
        <v>#N/A</v>
      </c>
      <c r="J35" s="183" t="e">
        <f t="shared" si="15"/>
        <v>#N/A</v>
      </c>
      <c r="K35" s="183" t="e">
        <f>SUMIFS(Table1[Horas efetivas],Table1[Tabela],Plano_V3!E35,Table1[Campo],Plano_V3!F35)</f>
        <v>#N/A</v>
      </c>
      <c r="L35" s="183" t="e">
        <f t="shared" si="16"/>
        <v>#N/A</v>
      </c>
      <c r="M35" s="177"/>
      <c r="N35" s="177"/>
      <c r="O35" s="177"/>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outlineLevel="1">
      <c r="A36" s="29" t="str">
        <f t="shared" si="14"/>
        <v>ENERGY_CERTIFICATE_EST_INPUTCÓDIGO_CONCEJO</v>
      </c>
      <c r="B36" s="67"/>
      <c r="C36" s="68"/>
      <c r="D36" s="64" t="s">
        <v>40</v>
      </c>
      <c r="E36" s="66" t="s">
        <v>37</v>
      </c>
      <c r="F36" s="66" t="s">
        <v>1976</v>
      </c>
      <c r="G36" s="64" t="str">
        <f>INDEX(Auxiliar!$B$16:$B$24,MATCH(Plano_V3!H36,Auxiliar!$C$16:$C$24,0),1)</f>
        <v>2.1 Em Teste</v>
      </c>
      <c r="H36" s="64">
        <f>VLOOKUP(A36,'Aux - pivots1'!$A:$B,2,0)</f>
        <v>2</v>
      </c>
      <c r="I36" s="183" t="e">
        <f>SUMIFS(Table1[Estimação (horas)],Table1[Tabela],Plano_V3!E36,Table1[Campo],Plano_V3!F36)</f>
        <v>#N/A</v>
      </c>
      <c r="J36" s="183" t="e">
        <f t="shared" si="15"/>
        <v>#N/A</v>
      </c>
      <c r="K36" s="183" t="e">
        <f>SUMIFS(Table1[Horas efetivas],Table1[Tabela],Plano_V3!E36,Table1[Campo],Plano_V3!F36)</f>
        <v>#N/A</v>
      </c>
      <c r="L36" s="183" t="e">
        <f t="shared" si="16"/>
        <v>#N/A</v>
      </c>
      <c r="M36" s="177"/>
      <c r="N36" s="177"/>
      <c r="O36" s="177"/>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outlineLevel="1">
      <c r="A37" s="29" t="str">
        <f t="shared" si="14"/>
        <v>ENERGY_CERTIFICATE_EST_INPUTNOMBRE_CONCEJO</v>
      </c>
      <c r="B37" s="67"/>
      <c r="C37" s="68"/>
      <c r="D37" s="64" t="s">
        <v>40</v>
      </c>
      <c r="E37" s="66" t="s">
        <v>37</v>
      </c>
      <c r="F37" s="66" t="s">
        <v>1977</v>
      </c>
      <c r="G37" s="64" t="str">
        <f>INDEX(Auxiliar!$B$16:$B$24,MATCH(Plano_V3!H37,Auxiliar!$C$16:$C$24,0),1)</f>
        <v>2.1 Em Teste</v>
      </c>
      <c r="H37" s="64">
        <f>VLOOKUP(A37,'Aux - pivots1'!$A:$B,2,0)</f>
        <v>2</v>
      </c>
      <c r="I37" s="183" t="e">
        <f>SUMIFS(Table1[Estimação (horas)],Table1[Tabela],Plano_V3!E37,Table1[Campo],Plano_V3!F37)</f>
        <v>#N/A</v>
      </c>
      <c r="J37" s="183" t="e">
        <f t="shared" si="15"/>
        <v>#N/A</v>
      </c>
      <c r="K37" s="183" t="e">
        <f>SUMIFS(Table1[Horas efetivas],Table1[Tabela],Plano_V3!E37,Table1[Campo],Plano_V3!F37)</f>
        <v>#N/A</v>
      </c>
      <c r="L37" s="183" t="e">
        <f t="shared" si="16"/>
        <v>#N/A</v>
      </c>
      <c r="M37" s="177"/>
      <c r="N37" s="177"/>
      <c r="O37" s="177"/>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outlineLevel="1">
      <c r="A38" s="29" t="str">
        <f t="shared" si="14"/>
        <v>ENERGY_CERTIFICATE_EST_INPUTCÓDIGO_FREGUESIA</v>
      </c>
      <c r="B38" s="67"/>
      <c r="C38" s="68"/>
      <c r="D38" s="64" t="s">
        <v>40</v>
      </c>
      <c r="E38" s="66" t="s">
        <v>37</v>
      </c>
      <c r="F38" s="66" t="s">
        <v>1978</v>
      </c>
      <c r="G38" s="64" t="str">
        <f>INDEX(Auxiliar!$B$16:$B$24,MATCH(Plano_V3!H38,Auxiliar!$C$16:$C$24,0),1)</f>
        <v>2.1 Em Teste</v>
      </c>
      <c r="H38" s="64">
        <f>VLOOKUP(A38,'Aux - pivots1'!$A:$B,2,0)</f>
        <v>2</v>
      </c>
      <c r="I38" s="183" t="e">
        <f>SUMIFS(Table1[Estimação (horas)],Table1[Tabela],Plano_V3!E38,Table1[Campo],Plano_V3!F38)</f>
        <v>#N/A</v>
      </c>
      <c r="J38" s="183" t="e">
        <f t="shared" si="15"/>
        <v>#N/A</v>
      </c>
      <c r="K38" s="183" t="e">
        <f>SUMIFS(Table1[Horas efetivas],Table1[Tabela],Plano_V3!E38,Table1[Campo],Plano_V3!F38)</f>
        <v>#N/A</v>
      </c>
      <c r="L38" s="183" t="e">
        <f t="shared" si="16"/>
        <v>#N/A</v>
      </c>
      <c r="M38" s="177"/>
      <c r="N38" s="177"/>
      <c r="O38" s="177"/>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outlineLevel="1">
      <c r="A39" s="29" t="str">
        <f t="shared" si="14"/>
        <v>ENERGY_CERTIFICATE_EST_INPUTNOMBRE_FREGUESIA</v>
      </c>
      <c r="B39" s="67"/>
      <c r="C39" s="68"/>
      <c r="D39" s="64" t="s">
        <v>40</v>
      </c>
      <c r="E39" s="66" t="s">
        <v>37</v>
      </c>
      <c r="F39" s="66" t="s">
        <v>1979</v>
      </c>
      <c r="G39" s="64" t="str">
        <f>INDEX(Auxiliar!$B$16:$B$24,MATCH(Plano_V3!H39,Auxiliar!$C$16:$C$24,0),1)</f>
        <v>2.1 Em Teste</v>
      </c>
      <c r="H39" s="64">
        <f>VLOOKUP(A39,'Aux - pivots1'!$A:$B,2,0)</f>
        <v>2</v>
      </c>
      <c r="I39" s="183" t="e">
        <f>SUMIFS(Table1[Estimação (horas)],Table1[Tabela],Plano_V3!E39,Table1[Campo],Plano_V3!F39)</f>
        <v>#N/A</v>
      </c>
      <c r="J39" s="183" t="e">
        <f t="shared" si="15"/>
        <v>#N/A</v>
      </c>
      <c r="K39" s="183" t="e">
        <f>SUMIFS(Table1[Horas efetivas],Table1[Tabela],Plano_V3!E39,Table1[Campo],Plano_V3!F39)</f>
        <v>#N/A</v>
      </c>
      <c r="L39" s="183" t="e">
        <f t="shared" si="16"/>
        <v>#N/A</v>
      </c>
      <c r="M39" s="177"/>
      <c r="N39" s="177"/>
      <c r="O39" s="177"/>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outlineLevel="1">
      <c r="A40" s="29" t="str">
        <f t="shared" si="14"/>
        <v>ENERGY_CERTIFICATE_EST_INPUTLOCALIDADE</v>
      </c>
      <c r="B40" s="67"/>
      <c r="C40" s="68"/>
      <c r="D40" s="64" t="s">
        <v>40</v>
      </c>
      <c r="E40" s="66" t="s">
        <v>37</v>
      </c>
      <c r="F40" s="66" t="s">
        <v>1980</v>
      </c>
      <c r="G40" s="64" t="str">
        <f>INDEX(Auxiliar!$B$16:$B$24,MATCH(Plano_V3!H40,Auxiliar!$C$16:$C$24,0),1)</f>
        <v>2.1 Em Teste</v>
      </c>
      <c r="H40" s="64">
        <f>VLOOKUP(A40,'Aux - pivots1'!$A:$B,2,0)</f>
        <v>2</v>
      </c>
      <c r="I40" s="183" t="e">
        <f>SUMIFS(Table1[Estimação (horas)],Table1[Tabela],Plano_V3!E40,Table1[Campo],Plano_V3!F40)</f>
        <v>#N/A</v>
      </c>
      <c r="J40" s="183" t="e">
        <f t="shared" si="15"/>
        <v>#N/A</v>
      </c>
      <c r="K40" s="183" t="e">
        <f>SUMIFS(Table1[Horas efetivas],Table1[Tabela],Plano_V3!E40,Table1[Campo],Plano_V3!F40)</f>
        <v>#N/A</v>
      </c>
      <c r="L40" s="183" t="e">
        <f t="shared" si="16"/>
        <v>#N/A</v>
      </c>
      <c r="M40" s="177"/>
      <c r="N40" s="177"/>
      <c r="O40" s="177"/>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outlineLevel="1">
      <c r="A41" s="29" t="str">
        <f t="shared" si="14"/>
        <v>ENERGY_CERTIFICATE_EST_INPUTTIPO_VIA</v>
      </c>
      <c r="B41" s="67"/>
      <c r="C41" s="68"/>
      <c r="D41" s="64" t="s">
        <v>40</v>
      </c>
      <c r="E41" s="66" t="s">
        <v>37</v>
      </c>
      <c r="F41" s="66" t="s">
        <v>1981</v>
      </c>
      <c r="G41" s="64" t="str">
        <f>INDEX(Auxiliar!$B$16:$B$24,MATCH(Plano_V3!H41,Auxiliar!$C$16:$C$24,0),1)</f>
        <v>2.1 Em Teste</v>
      </c>
      <c r="H41" s="64">
        <f>VLOOKUP(A41,'Aux - pivots1'!$A:$B,2,0)</f>
        <v>2</v>
      </c>
      <c r="I41" s="183" t="e">
        <f>SUMIFS(Table1[Estimação (horas)],Table1[Tabela],Plano_V3!E41,Table1[Campo],Plano_V3!F41)</f>
        <v>#N/A</v>
      </c>
      <c r="J41" s="183" t="e">
        <f t="shared" si="15"/>
        <v>#N/A</v>
      </c>
      <c r="K41" s="183" t="e">
        <f>SUMIFS(Table1[Horas efetivas],Table1[Tabela],Plano_V3!E41,Table1[Campo],Plano_V3!F41)</f>
        <v>#N/A</v>
      </c>
      <c r="L41" s="183" t="e">
        <f t="shared" si="16"/>
        <v>#N/A</v>
      </c>
      <c r="M41" s="177"/>
      <c r="N41" s="177"/>
      <c r="O41" s="177"/>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outlineLevel="1">
      <c r="A42" s="29" t="str">
        <f t="shared" si="14"/>
        <v>ENERGY_CERTIFICATE_EST_INPUTNOMBRE_TIPO_VIA</v>
      </c>
      <c r="B42" s="67"/>
      <c r="C42" s="68"/>
      <c r="D42" s="64" t="s">
        <v>40</v>
      </c>
      <c r="E42" s="66" t="s">
        <v>37</v>
      </c>
      <c r="F42" s="66" t="s">
        <v>1982</v>
      </c>
      <c r="G42" s="64" t="str">
        <f>INDEX(Auxiliar!$B$16:$B$24,MATCH(Plano_V3!H42,Auxiliar!$C$16:$C$24,0),1)</f>
        <v>2.1 Em Teste</v>
      </c>
      <c r="H42" s="64">
        <f>VLOOKUP(A42,'Aux - pivots1'!$A:$B,2,0)</f>
        <v>2</v>
      </c>
      <c r="I42" s="183" t="e">
        <f>SUMIFS(Table1[Estimação (horas)],Table1[Tabela],Plano_V3!E42,Table1[Campo],Plano_V3!F42)</f>
        <v>#N/A</v>
      </c>
      <c r="J42" s="183" t="e">
        <f t="shared" si="15"/>
        <v>#N/A</v>
      </c>
      <c r="K42" s="183" t="e">
        <f>SUMIFS(Table1[Horas efetivas],Table1[Tabela],Plano_V3!E42,Table1[Campo],Plano_V3!F42)</f>
        <v>#N/A</v>
      </c>
      <c r="L42" s="183" t="e">
        <f t="shared" si="16"/>
        <v>#N/A</v>
      </c>
      <c r="M42" s="177"/>
      <c r="N42" s="177"/>
      <c r="O42" s="177"/>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outlineLevel="1">
      <c r="A43" s="29" t="str">
        <f t="shared" si="14"/>
        <v>ENERGY_CERTIFICATE_EST_INPUTNOMBRE_VIA</v>
      </c>
      <c r="B43" s="67"/>
      <c r="C43" s="68"/>
      <c r="D43" s="64" t="s">
        <v>40</v>
      </c>
      <c r="E43" s="66" t="s">
        <v>37</v>
      </c>
      <c r="F43" s="66" t="s">
        <v>1983</v>
      </c>
      <c r="G43" s="64" t="str">
        <f>INDEX(Auxiliar!$B$16:$B$24,MATCH(Plano_V3!H43,Auxiliar!$C$16:$C$24,0),1)</f>
        <v>2.1 Em Teste</v>
      </c>
      <c r="H43" s="64">
        <f>VLOOKUP(A43,'Aux - pivots1'!$A:$B,2,0)</f>
        <v>2</v>
      </c>
      <c r="I43" s="183" t="e">
        <f>SUMIFS(Table1[Estimação (horas)],Table1[Tabela],Plano_V3!E43,Table1[Campo],Plano_V3!F43)</f>
        <v>#N/A</v>
      </c>
      <c r="J43" s="183" t="e">
        <f t="shared" si="15"/>
        <v>#N/A</v>
      </c>
      <c r="K43" s="183" t="e">
        <f>SUMIFS(Table1[Horas efetivas],Table1[Tabela],Plano_V3!E43,Table1[Campo],Plano_V3!F43)</f>
        <v>#N/A</v>
      </c>
      <c r="L43" s="183" t="e">
        <f t="shared" si="16"/>
        <v>#N/A</v>
      </c>
      <c r="M43" s="177"/>
      <c r="N43" s="177"/>
      <c r="O43" s="177"/>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outlineLevel="1">
      <c r="A44" s="29" t="str">
        <f t="shared" si="14"/>
        <v>ENERGY_CERTIFICATE_EST_INPUTNUMERO_VIA</v>
      </c>
      <c r="B44" s="67"/>
      <c r="C44" s="68"/>
      <c r="D44" s="64" t="s">
        <v>40</v>
      </c>
      <c r="E44" s="66" t="s">
        <v>37</v>
      </c>
      <c r="F44" s="66" t="s">
        <v>1984</v>
      </c>
      <c r="G44" s="64" t="str">
        <f>INDEX(Auxiliar!$B$16:$B$24,MATCH(Plano_V3!H44,Auxiliar!$C$16:$C$24,0),1)</f>
        <v>2.1 Em Teste</v>
      </c>
      <c r="H44" s="64">
        <f>VLOOKUP(A44,'Aux - pivots1'!$A:$B,2,0)</f>
        <v>2</v>
      </c>
      <c r="I44" s="183" t="e">
        <f>SUMIFS(Table1[Estimação (horas)],Table1[Tabela],Plano_V3!E44,Table1[Campo],Plano_V3!F44)</f>
        <v>#N/A</v>
      </c>
      <c r="J44" s="183" t="e">
        <f t="shared" si="15"/>
        <v>#N/A</v>
      </c>
      <c r="K44" s="183" t="e">
        <f>SUMIFS(Table1[Horas efetivas],Table1[Tabela],Plano_V3!E44,Table1[Campo],Plano_V3!F44)</f>
        <v>#N/A</v>
      </c>
      <c r="L44" s="183" t="e">
        <f t="shared" si="16"/>
        <v>#N/A</v>
      </c>
      <c r="M44" s="177"/>
      <c r="N44" s="177"/>
      <c r="O44" s="177"/>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outlineLevel="1">
      <c r="A45" s="29" t="str">
        <f t="shared" si="14"/>
        <v>ENERGY_CERTIFICATE_EST_INPUTLOTE</v>
      </c>
      <c r="B45" s="67"/>
      <c r="C45" s="68"/>
      <c r="D45" s="64" t="s">
        <v>40</v>
      </c>
      <c r="E45" s="66" t="s">
        <v>37</v>
      </c>
      <c r="F45" s="66" t="s">
        <v>1985</v>
      </c>
      <c r="G45" s="64" t="str">
        <f>INDEX(Auxiliar!$B$16:$B$24,MATCH(Plano_V3!H45,Auxiliar!$C$16:$C$24,0),1)</f>
        <v>2.1 Em Teste</v>
      </c>
      <c r="H45" s="64">
        <f>VLOOKUP(A45,'Aux - pivots1'!$A:$B,2,0)</f>
        <v>2</v>
      </c>
      <c r="I45" s="183" t="e">
        <f>SUMIFS(Table1[Estimação (horas)],Table1[Tabela],Plano_V3!E45,Table1[Campo],Plano_V3!F45)</f>
        <v>#N/A</v>
      </c>
      <c r="J45" s="183" t="e">
        <f t="shared" si="15"/>
        <v>#N/A</v>
      </c>
      <c r="K45" s="183" t="e">
        <f>SUMIFS(Table1[Horas efetivas],Table1[Tabela],Plano_V3!E45,Table1[Campo],Plano_V3!F45)</f>
        <v>#N/A</v>
      </c>
      <c r="L45" s="183" t="e">
        <f t="shared" si="16"/>
        <v>#N/A</v>
      </c>
      <c r="M45" s="177"/>
      <c r="N45" s="177"/>
      <c r="O45" s="177"/>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outlineLevel="1">
      <c r="A46" s="29" t="str">
        <f t="shared" si="14"/>
        <v>ENERGY_CERTIFICATE_EST_INPUTURBANIZACION</v>
      </c>
      <c r="B46" s="67"/>
      <c r="C46" s="68"/>
      <c r="D46" s="64" t="s">
        <v>40</v>
      </c>
      <c r="E46" s="66" t="s">
        <v>37</v>
      </c>
      <c r="F46" s="66" t="s">
        <v>1986</v>
      </c>
      <c r="G46" s="64" t="str">
        <f>INDEX(Auxiliar!$B$16:$B$24,MATCH(Plano_V3!H46,Auxiliar!$C$16:$C$24,0),1)</f>
        <v>2.1 Em Teste</v>
      </c>
      <c r="H46" s="64">
        <f>VLOOKUP(A46,'Aux - pivots1'!$A:$B,2,0)</f>
        <v>2</v>
      </c>
      <c r="I46" s="183" t="e">
        <f>SUMIFS(Table1[Estimação (horas)],Table1[Tabela],Plano_V3!E46,Table1[Campo],Plano_V3!F46)</f>
        <v>#N/A</v>
      </c>
      <c r="J46" s="183" t="e">
        <f t="shared" si="15"/>
        <v>#N/A</v>
      </c>
      <c r="K46" s="183" t="e">
        <f>SUMIFS(Table1[Horas efetivas],Table1[Tabela],Plano_V3!E46,Table1[Campo],Plano_V3!F46)</f>
        <v>#N/A</v>
      </c>
      <c r="L46" s="183" t="e">
        <f t="shared" si="16"/>
        <v>#N/A</v>
      </c>
      <c r="M46" s="177"/>
      <c r="N46" s="177"/>
      <c r="O46" s="177"/>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outlineLevel="1">
      <c r="A47" s="29" t="str">
        <f t="shared" si="14"/>
        <v>ENERGY_CERTIFICATE_EST_INPUTCAGLURB</v>
      </c>
      <c r="B47" s="67"/>
      <c r="C47" s="68"/>
      <c r="D47" s="64" t="s">
        <v>40</v>
      </c>
      <c r="E47" s="66" t="s">
        <v>37</v>
      </c>
      <c r="F47" s="66" t="s">
        <v>1987</v>
      </c>
      <c r="G47" s="64" t="str">
        <f>INDEX(Auxiliar!$B$16:$B$24,MATCH(Plano_V3!H47,Auxiliar!$C$16:$C$24,0),1)</f>
        <v>2.1 Em Teste</v>
      </c>
      <c r="H47" s="64">
        <f>VLOOKUP(A47,'Aux - pivots1'!$A:$B,2,0)</f>
        <v>2</v>
      </c>
      <c r="I47" s="183" t="e">
        <f>SUMIFS(Table1[Estimação (horas)],Table1[Tabela],Plano_V3!E47,Table1[Campo],Plano_V3!F47)</f>
        <v>#N/A</v>
      </c>
      <c r="J47" s="183" t="e">
        <f t="shared" si="15"/>
        <v>#N/A</v>
      </c>
      <c r="K47" s="183" t="e">
        <f>SUMIFS(Table1[Horas efetivas],Table1[Tabela],Plano_V3!E47,Table1[Campo],Plano_V3!F47)</f>
        <v>#N/A</v>
      </c>
      <c r="L47" s="183" t="e">
        <f t="shared" si="16"/>
        <v>#N/A</v>
      </c>
      <c r="M47" s="177"/>
      <c r="N47" s="177"/>
      <c r="O47" s="177"/>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outlineLevel="1">
      <c r="A48" s="29" t="str">
        <f t="shared" si="14"/>
        <v>ENERGY_CERTIFICATE_EST_INPUTRESTO_DIRECCION</v>
      </c>
      <c r="B48" s="67"/>
      <c r="C48" s="68"/>
      <c r="D48" s="64" t="s">
        <v>40</v>
      </c>
      <c r="E48" s="66" t="s">
        <v>37</v>
      </c>
      <c r="F48" s="66" t="s">
        <v>1988</v>
      </c>
      <c r="G48" s="64" t="str">
        <f>INDEX(Auxiliar!$B$16:$B$24,MATCH(Plano_V3!H48,Auxiliar!$C$16:$C$24,0),1)</f>
        <v>2.1 Em Teste</v>
      </c>
      <c r="H48" s="64">
        <f>VLOOKUP(A48,'Aux - pivots1'!$A:$B,2,0)</f>
        <v>2</v>
      </c>
      <c r="I48" s="183" t="e">
        <f>SUMIFS(Table1[Estimação (horas)],Table1[Tabela],Plano_V3!E48,Table1[Campo],Plano_V3!F48)</f>
        <v>#N/A</v>
      </c>
      <c r="J48" s="183" t="e">
        <f t="shared" si="15"/>
        <v>#N/A</v>
      </c>
      <c r="K48" s="183" t="e">
        <f>SUMIFS(Table1[Horas efetivas],Table1[Tabela],Plano_V3!E48,Table1[Campo],Plano_V3!F48)</f>
        <v>#N/A</v>
      </c>
      <c r="L48" s="183" t="e">
        <f t="shared" si="16"/>
        <v>#N/A</v>
      </c>
      <c r="M48" s="177"/>
      <c r="N48" s="177"/>
      <c r="O48" s="177"/>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outlineLevel="1">
      <c r="A49" s="29" t="str">
        <f t="shared" si="14"/>
        <v>ENERGY_CERTIFICATE_EST_INPUTLATITUDE</v>
      </c>
      <c r="B49" s="67"/>
      <c r="C49" s="68"/>
      <c r="D49" s="64" t="s">
        <v>40</v>
      </c>
      <c r="E49" s="66" t="s">
        <v>37</v>
      </c>
      <c r="F49" s="66" t="s">
        <v>1989</v>
      </c>
      <c r="G49" s="64" t="str">
        <f>INDEX(Auxiliar!$B$16:$B$24,MATCH(Plano_V3!H49,Auxiliar!$C$16:$C$24,0),1)</f>
        <v>2.1 Em Teste</v>
      </c>
      <c r="H49" s="64">
        <f>VLOOKUP(A49,'Aux - pivots1'!$A:$B,2,0)</f>
        <v>2</v>
      </c>
      <c r="I49" s="183" t="e">
        <f>SUMIFS(Table1[Estimação (horas)],Table1[Tabela],Plano_V3!E49,Table1[Campo],Plano_V3!F49)</f>
        <v>#N/A</v>
      </c>
      <c r="J49" s="183" t="e">
        <f t="shared" si="15"/>
        <v>#N/A</v>
      </c>
      <c r="K49" s="183" t="e">
        <f>SUMIFS(Table1[Horas efetivas],Table1[Tabela],Plano_V3!E49,Table1[Campo],Plano_V3!F49)</f>
        <v>#N/A</v>
      </c>
      <c r="L49" s="183" t="e">
        <f t="shared" si="16"/>
        <v>#N/A</v>
      </c>
      <c r="M49" s="177"/>
      <c r="N49" s="177"/>
      <c r="O49" s="177"/>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outlineLevel="1">
      <c r="A50" s="29" t="str">
        <f t="shared" si="14"/>
        <v>ENERGY_CERTIFICATE_EST_INPUTLONGITUDE</v>
      </c>
      <c r="B50" s="67"/>
      <c r="C50" s="68"/>
      <c r="D50" s="64" t="s">
        <v>40</v>
      </c>
      <c r="E50" s="66" t="s">
        <v>37</v>
      </c>
      <c r="F50" s="66" t="s">
        <v>1990</v>
      </c>
      <c r="G50" s="64" t="str">
        <f>INDEX(Auxiliar!$B$16:$B$24,MATCH(Plano_V3!H50,Auxiliar!$C$16:$C$24,0),1)</f>
        <v>2.1 Em Teste</v>
      </c>
      <c r="H50" s="64">
        <f>VLOOKUP(A50,'Aux - pivots1'!$A:$B,2,0)</f>
        <v>2</v>
      </c>
      <c r="I50" s="183" t="e">
        <f>SUMIFS(Table1[Estimação (horas)],Table1[Tabela],Plano_V3!E50,Table1[Campo],Plano_V3!F50)</f>
        <v>#N/A</v>
      </c>
      <c r="J50" s="183" t="e">
        <f t="shared" si="15"/>
        <v>#N/A</v>
      </c>
      <c r="K50" s="183" t="e">
        <f>SUMIFS(Table1[Horas efetivas],Table1[Tabela],Plano_V3!E50,Table1[Campo],Plano_V3!F50)</f>
        <v>#N/A</v>
      </c>
      <c r="L50" s="183" t="e">
        <f t="shared" si="16"/>
        <v>#N/A</v>
      </c>
      <c r="M50" s="177"/>
      <c r="N50" s="177"/>
      <c r="O50" s="177"/>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outlineLevel="1">
      <c r="A51" s="29" t="str">
        <f t="shared" si="14"/>
        <v>ENERGY_CERTIFICATE_EST_INPUTCODIGO_POSTAL</v>
      </c>
      <c r="B51" s="67"/>
      <c r="C51" s="68"/>
      <c r="D51" s="64" t="s">
        <v>40</v>
      </c>
      <c r="E51" s="66" t="s">
        <v>37</v>
      </c>
      <c r="F51" s="66" t="s">
        <v>1991</v>
      </c>
      <c r="G51" s="64" t="str">
        <f>INDEX(Auxiliar!$B$16:$B$24,MATCH(Plano_V3!H51,Auxiliar!$C$16:$C$24,0),1)</f>
        <v>2.1 Em Teste</v>
      </c>
      <c r="H51" s="64">
        <f>VLOOKUP(A51,'Aux - pivots1'!$A:$B,2,0)</f>
        <v>2</v>
      </c>
      <c r="I51" s="183" t="e">
        <f>SUMIFS(Table1[Estimação (horas)],Table1[Tabela],Plano_V3!E51,Table1[Campo],Plano_V3!F51)</f>
        <v>#N/A</v>
      </c>
      <c r="J51" s="183" t="e">
        <f t="shared" si="15"/>
        <v>#N/A</v>
      </c>
      <c r="K51" s="183" t="e">
        <f>SUMIFS(Table1[Horas efetivas],Table1[Tabela],Plano_V3!E51,Table1[Campo],Plano_V3!F51)</f>
        <v>#N/A</v>
      </c>
      <c r="L51" s="183" t="e">
        <f t="shared" si="16"/>
        <v>#N/A</v>
      </c>
      <c r="M51" s="177"/>
      <c r="N51" s="177"/>
      <c r="O51" s="177"/>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outlineLevel="1">
      <c r="A52" s="29" t="str">
        <f t="shared" si="14"/>
        <v>ENERGY_CERTIFICATE_EST_INPUTSUBCODIGO_POSTAL</v>
      </c>
      <c r="B52" s="67"/>
      <c r="C52" s="68"/>
      <c r="D52" s="64" t="s">
        <v>40</v>
      </c>
      <c r="E52" s="66" t="s">
        <v>37</v>
      </c>
      <c r="F52" s="66" t="s">
        <v>1992</v>
      </c>
      <c r="G52" s="64" t="str">
        <f>INDEX(Auxiliar!$B$16:$B$24,MATCH(Plano_V3!H52,Auxiliar!$C$16:$C$24,0),1)</f>
        <v>2.1 Em Teste</v>
      </c>
      <c r="H52" s="64">
        <f>VLOOKUP(A52,'Aux - pivots1'!$A:$B,2,0)</f>
        <v>2</v>
      </c>
      <c r="I52" s="183" t="e">
        <f>SUMIFS(Table1[Estimação (horas)],Table1[Tabela],Plano_V3!E52,Table1[Campo],Plano_V3!F52)</f>
        <v>#N/A</v>
      </c>
      <c r="J52" s="183" t="e">
        <f t="shared" si="15"/>
        <v>#N/A</v>
      </c>
      <c r="K52" s="183" t="e">
        <f>SUMIFS(Table1[Horas efetivas],Table1[Tabela],Plano_V3!E52,Table1[Campo],Plano_V3!F52)</f>
        <v>#N/A</v>
      </c>
      <c r="L52" s="183" t="e">
        <f t="shared" si="16"/>
        <v>#N/A</v>
      </c>
      <c r="M52" s="177"/>
      <c r="N52" s="177"/>
      <c r="O52" s="177"/>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outlineLevel="1">
      <c r="A53" s="29" t="str">
        <f t="shared" si="14"/>
        <v>ENERGY_CERTIFICATE_EST_INPUTASSUPERFICIE_UTIL</v>
      </c>
      <c r="B53" s="67"/>
      <c r="C53" s="68"/>
      <c r="D53" s="64" t="s">
        <v>40</v>
      </c>
      <c r="E53" s="66" t="s">
        <v>37</v>
      </c>
      <c r="F53" s="66" t="s">
        <v>1993</v>
      </c>
      <c r="G53" s="64" t="str">
        <f>INDEX(Auxiliar!$B$16:$B$24,MATCH(Plano_V3!H53,Auxiliar!$C$16:$C$24,0),1)</f>
        <v>2.1 Em Teste</v>
      </c>
      <c r="H53" s="64">
        <f>VLOOKUP(A53,'Aux - pivots1'!$A:$B,2,0)</f>
        <v>2</v>
      </c>
      <c r="I53" s="183" t="e">
        <f>SUMIFS(Table1[Estimação (horas)],Table1[Tabela],Plano_V3!E53,Table1[Campo],Plano_V3!F53)</f>
        <v>#N/A</v>
      </c>
      <c r="J53" s="183" t="e">
        <f t="shared" si="15"/>
        <v>#N/A</v>
      </c>
      <c r="K53" s="183" t="e">
        <f>SUMIFS(Table1[Horas efetivas],Table1[Tabela],Plano_V3!E53,Table1[Campo],Plano_V3!F53)</f>
        <v>#N/A</v>
      </c>
      <c r="L53" s="183" t="e">
        <f t="shared" si="16"/>
        <v>#N/A</v>
      </c>
      <c r="M53" s="177"/>
      <c r="N53" s="177"/>
      <c r="O53" s="177"/>
      <c r="P53" s="89"/>
      <c r="Q53" s="90"/>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outlineLevel="1">
      <c r="A54" s="29" t="str">
        <f t="shared" si="14"/>
        <v>ENERGY_CERTIFICATE_EST_INPUTANIO_CONSTRUCCION</v>
      </c>
      <c r="B54" s="67"/>
      <c r="C54" s="68"/>
      <c r="D54" s="64" t="s">
        <v>40</v>
      </c>
      <c r="E54" s="66" t="s">
        <v>37</v>
      </c>
      <c r="F54" s="66" t="s">
        <v>1994</v>
      </c>
      <c r="G54" s="64" t="str">
        <f>INDEX(Auxiliar!$B$16:$B$24,MATCH(Plano_V3!H54,Auxiliar!$C$16:$C$24,0),1)</f>
        <v>2.1 Em Teste</v>
      </c>
      <c r="H54" s="64">
        <f>VLOOKUP(A54,'Aux - pivots1'!$A:$B,2,0)</f>
        <v>2</v>
      </c>
      <c r="I54" s="183" t="e">
        <f>SUMIFS(Table1[Estimação (horas)],Table1[Tabela],Plano_V3!E54,Table1[Campo],Plano_V3!F54)</f>
        <v>#N/A</v>
      </c>
      <c r="J54" s="183" t="e">
        <f t="shared" si="15"/>
        <v>#N/A</v>
      </c>
      <c r="K54" s="183" t="e">
        <f>SUMIFS(Table1[Horas efetivas],Table1[Tabela],Plano_V3!E54,Table1[Campo],Plano_V3!F54)</f>
        <v>#N/A</v>
      </c>
      <c r="L54" s="183" t="e">
        <f t="shared" si="16"/>
        <v>#N/A</v>
      </c>
      <c r="M54" s="177"/>
      <c r="N54" s="177"/>
      <c r="O54" s="177"/>
      <c r="P54" s="89"/>
      <c r="Q54" s="90"/>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outlineLevel="1">
      <c r="A55" s="29" t="str">
        <f t="shared" si="14"/>
        <v>ENERGY_CERTIFICATE_EST_INPUTTIPO_INMUEBLE_HABITACAO</v>
      </c>
      <c r="B55" s="67" t="s">
        <v>26</v>
      </c>
      <c r="C55" s="68" t="s">
        <v>34</v>
      </c>
      <c r="D55" s="64" t="s">
        <v>40</v>
      </c>
      <c r="E55" s="66" t="s">
        <v>37</v>
      </c>
      <c r="F55" s="66" t="s">
        <v>1995</v>
      </c>
      <c r="G55" s="64" t="str">
        <f>INDEX(Auxiliar!$B$16:$B$24,MATCH(Plano_V3!H55,Auxiliar!$C$16:$C$24,0),1)</f>
        <v>2.1 Em Teste</v>
      </c>
      <c r="H55" s="64">
        <f>VLOOKUP(A55,'Aux - pivots1'!$A:$B,2,0)</f>
        <v>2</v>
      </c>
      <c r="I55" s="183" t="e">
        <f>SUMIFS(Table1[Estimação (horas)],Table1[Tabela],Plano_V3!E55,Table1[Campo],Plano_V3!F55)</f>
        <v>#N/A</v>
      </c>
      <c r="J55" s="183" t="e">
        <f t="shared" ref="J55:J73" si="17">I55/8</f>
        <v>#N/A</v>
      </c>
      <c r="K55" s="183" t="e">
        <f>SUMIFS(Table1[Horas efetivas],Table1[Tabela],Plano_V3!E55,Table1[Campo],Plano_V3!F55)</f>
        <v>#N/A</v>
      </c>
      <c r="L55" s="183" t="e">
        <f t="shared" ref="L55:L73" si="18">K55/8</f>
        <v>#N/A</v>
      </c>
      <c r="M55" s="177"/>
      <c r="N55" s="177" t="e">
        <f t="shared" ref="N55:N73" si="19">L55/J55</f>
        <v>#N/A</v>
      </c>
      <c r="O55" s="177" t="e">
        <f t="shared" si="12"/>
        <v>#N/A</v>
      </c>
      <c r="P55" s="89" t="s">
        <v>39</v>
      </c>
      <c r="Q55" s="90" t="e">
        <f t="shared" si="13"/>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outlineLevel="1">
      <c r="A56" s="29" t="str">
        <f t="shared" si="14"/>
        <v>ENERGY_CERTIFICATE_EST_INPUTPISO_APARTAMENTO</v>
      </c>
      <c r="B56" s="67" t="s">
        <v>26</v>
      </c>
      <c r="C56" s="68" t="s">
        <v>34</v>
      </c>
      <c r="D56" s="64" t="s">
        <v>40</v>
      </c>
      <c r="E56" s="66" t="s">
        <v>37</v>
      </c>
      <c r="F56" s="66" t="s">
        <v>1996</v>
      </c>
      <c r="G56" s="64" t="str">
        <f>INDEX(Auxiliar!$B$16:$B$24,MATCH(Plano_V3!H56,Auxiliar!$C$16:$C$24,0),1)</f>
        <v>2.1 Em Teste</v>
      </c>
      <c r="H56" s="64">
        <f>VLOOKUP(A56,'Aux - pivots1'!$A:$B,2,0)</f>
        <v>2</v>
      </c>
      <c r="I56" s="183" t="e">
        <f>SUMIFS(Table1[Estimação (horas)],Table1[Tabela],Plano_V3!E56,Table1[Campo],Plano_V3!F56)</f>
        <v>#N/A</v>
      </c>
      <c r="J56" s="183" t="e">
        <f t="shared" si="17"/>
        <v>#N/A</v>
      </c>
      <c r="K56" s="183" t="e">
        <f>SUMIFS(Table1[Horas efetivas],Table1[Tabela],Plano_V3!E56,Table1[Campo],Plano_V3!F56)</f>
        <v>#N/A</v>
      </c>
      <c r="L56" s="183" t="e">
        <f t="shared" si="18"/>
        <v>#N/A</v>
      </c>
      <c r="M56" s="177"/>
      <c r="N56" s="177" t="e">
        <f t="shared" si="19"/>
        <v>#N/A</v>
      </c>
      <c r="O56" s="177" t="e">
        <f t="shared" si="12"/>
        <v>#N/A</v>
      </c>
      <c r="P56" s="89" t="s">
        <v>39</v>
      </c>
      <c r="Q56" s="90" t="e">
        <f t="shared" si="13"/>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outlineLevel="1">
      <c r="A57" s="29" t="str">
        <f t="shared" si="14"/>
        <v>ENERGY_CERTIFICATE_EST_INPUTCASA_UNIFAMILIAR</v>
      </c>
      <c r="B57" s="67" t="s">
        <v>26</v>
      </c>
      <c r="C57" s="68" t="s">
        <v>34</v>
      </c>
      <c r="D57" s="64" t="s">
        <v>40</v>
      </c>
      <c r="E57" s="66" t="s">
        <v>37</v>
      </c>
      <c r="F57" s="66" t="s">
        <v>1997</v>
      </c>
      <c r="G57" s="64" t="str">
        <f>INDEX(Auxiliar!$B$16:$B$24,MATCH(Plano_V3!H57,Auxiliar!$C$16:$C$24,0),1)</f>
        <v>2.1 Em Teste</v>
      </c>
      <c r="H57" s="64">
        <f>VLOOKUP(A57,'Aux - pivots1'!$A:$B,2,0)</f>
        <v>2</v>
      </c>
      <c r="I57" s="183" t="e">
        <f>SUMIFS(Table1[Estimação (horas)],Table1[Tabela],Plano_V3!E57,Table1[Campo],Plano_V3!F57)</f>
        <v>#N/A</v>
      </c>
      <c r="J57" s="183" t="e">
        <f t="shared" si="17"/>
        <v>#N/A</v>
      </c>
      <c r="K57" s="183" t="e">
        <f>SUMIFS(Table1[Horas efetivas],Table1[Tabela],Plano_V3!E57,Table1[Campo],Plano_V3!F57)</f>
        <v>#N/A</v>
      </c>
      <c r="L57" s="183" t="e">
        <f t="shared" si="18"/>
        <v>#N/A</v>
      </c>
      <c r="M57" s="177"/>
      <c r="N57" s="177" t="e">
        <f t="shared" si="19"/>
        <v>#N/A</v>
      </c>
      <c r="O57" s="177" t="e">
        <f t="shared" si="12"/>
        <v>#N/A</v>
      </c>
      <c r="P57" s="89" t="s">
        <v>39</v>
      </c>
      <c r="Q57" s="90" t="e">
        <f t="shared" si="13"/>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outlineLevel="1">
      <c r="A58" s="29" t="str">
        <f t="shared" si="14"/>
        <v>ENERGY_CERTIFICATE_EST_INPUTTIPO_INMUEBLE_COMERCIO_SERVICOS</v>
      </c>
      <c r="B58" s="67" t="s">
        <v>26</v>
      </c>
      <c r="C58" s="68" t="s">
        <v>34</v>
      </c>
      <c r="D58" s="64" t="s">
        <v>40</v>
      </c>
      <c r="E58" s="66" t="s">
        <v>37</v>
      </c>
      <c r="F58" s="66" t="s">
        <v>1998</v>
      </c>
      <c r="G58" s="64" t="str">
        <f>INDEX(Auxiliar!$B$16:$B$24,MATCH(Plano_V3!H58,Auxiliar!$C$16:$C$24,0),1)</f>
        <v>2.1 Em Teste</v>
      </c>
      <c r="H58" s="64">
        <f>VLOOKUP(A58,'Aux - pivots1'!$A:$B,2,0)</f>
        <v>2</v>
      </c>
      <c r="I58" s="183" t="e">
        <f>SUMIFS(Table1[Estimação (horas)],Table1[Tabela],Plano_V3!E58,Table1[Campo],Plano_V3!F58)</f>
        <v>#N/A</v>
      </c>
      <c r="J58" s="183" t="e">
        <f t="shared" si="17"/>
        <v>#N/A</v>
      </c>
      <c r="K58" s="183" t="e">
        <f>SUMIFS(Table1[Horas efetivas],Table1[Tabela],Plano_V3!E58,Table1[Campo],Plano_V3!F58)</f>
        <v>#N/A</v>
      </c>
      <c r="L58" s="183" t="e">
        <f t="shared" si="18"/>
        <v>#N/A</v>
      </c>
      <c r="M58" s="177"/>
      <c r="N58" s="177" t="e">
        <f t="shared" si="19"/>
        <v>#N/A</v>
      </c>
      <c r="O58" s="177" t="e">
        <f t="shared" si="12"/>
        <v>#N/A</v>
      </c>
      <c r="P58" s="89" t="s">
        <v>39</v>
      </c>
      <c r="Q58" s="90" t="e">
        <f t="shared" si="13"/>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outlineLevel="1">
      <c r="A59" s="29" t="str">
        <f t="shared" si="14"/>
        <v>ENERGY_CERTIFICATE_EST_INPUTNOME_CONSERVATORIA</v>
      </c>
      <c r="B59" s="67" t="s">
        <v>26</v>
      </c>
      <c r="C59" s="68" t="s">
        <v>34</v>
      </c>
      <c r="D59" s="64" t="s">
        <v>40</v>
      </c>
      <c r="E59" s="66" t="s">
        <v>37</v>
      </c>
      <c r="F59" s="66" t="s">
        <v>1999</v>
      </c>
      <c r="G59" s="64" t="str">
        <f>INDEX(Auxiliar!$B$16:$B$24,MATCH(Plano_V3!H59,Auxiliar!$C$16:$C$24,0),1)</f>
        <v>2.1 Em Teste</v>
      </c>
      <c r="H59" s="64">
        <f>VLOOKUP(A59,'Aux - pivots1'!$A:$B,2,0)</f>
        <v>2</v>
      </c>
      <c r="I59" s="183" t="e">
        <f>SUMIFS(Table1[Estimação (horas)],Table1[Tabela],Plano_V3!E59,Table1[Campo],Plano_V3!F59)</f>
        <v>#N/A</v>
      </c>
      <c r="J59" s="183" t="e">
        <f t="shared" si="17"/>
        <v>#N/A</v>
      </c>
      <c r="K59" s="183" t="e">
        <f>SUMIFS(Table1[Horas efetivas],Table1[Tabela],Plano_V3!E59,Table1[Campo],Plano_V3!F59)</f>
        <v>#N/A</v>
      </c>
      <c r="L59" s="183" t="e">
        <f t="shared" si="18"/>
        <v>#N/A</v>
      </c>
      <c r="M59" s="177"/>
      <c r="N59" s="177" t="e">
        <f t="shared" si="19"/>
        <v>#N/A</v>
      </c>
      <c r="O59" s="177" t="e">
        <f t="shared" si="12"/>
        <v>#N/A</v>
      </c>
      <c r="P59" s="89" t="s">
        <v>39</v>
      </c>
      <c r="Q59" s="90" t="e">
        <f t="shared" si="13"/>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outlineLevel="1">
      <c r="A60" s="29" t="str">
        <f t="shared" si="14"/>
        <v>ENERGY_CERTIFICATE_EST_INPUTCOD_CONSERVATORIA</v>
      </c>
      <c r="B60" s="67" t="s">
        <v>26</v>
      </c>
      <c r="C60" s="68" t="s">
        <v>34</v>
      </c>
      <c r="D60" s="64" t="s">
        <v>40</v>
      </c>
      <c r="E60" s="66" t="s">
        <v>37</v>
      </c>
      <c r="F60" s="66" t="s">
        <v>2000</v>
      </c>
      <c r="G60" s="64" t="str">
        <f>INDEX(Auxiliar!$B$16:$B$24,MATCH(Plano_V3!H60,Auxiliar!$C$16:$C$24,0),1)</f>
        <v>2.1 Em Teste</v>
      </c>
      <c r="H60" s="64">
        <f>VLOOKUP(A60,'Aux - pivots1'!$A:$B,2,0)</f>
        <v>2</v>
      </c>
      <c r="I60" s="183" t="e">
        <f>SUMIFS(Table1[Estimação (horas)],Table1[Tabela],Plano_V3!E60,Table1[Campo],Plano_V3!F60)</f>
        <v>#N/A</v>
      </c>
      <c r="J60" s="183" t="e">
        <f t="shared" si="17"/>
        <v>#N/A</v>
      </c>
      <c r="K60" s="183" t="e">
        <f>SUMIFS(Table1[Horas efetivas],Table1[Tabela],Plano_V3!E60,Table1[Campo],Plano_V3!F60)</f>
        <v>#N/A</v>
      </c>
      <c r="L60" s="183" t="e">
        <f t="shared" si="18"/>
        <v>#N/A</v>
      </c>
      <c r="M60" s="177"/>
      <c r="N60" s="177" t="e">
        <f t="shared" si="19"/>
        <v>#N/A</v>
      </c>
      <c r="O60" s="177" t="e">
        <f t="shared" si="12"/>
        <v>#N/A</v>
      </c>
      <c r="P60" s="89" t="s">
        <v>39</v>
      </c>
      <c r="Q60" s="90" t="e">
        <f t="shared" si="13"/>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outlineLevel="1">
      <c r="A61" s="29" t="str">
        <f t="shared" si="14"/>
        <v>ENERGY_CERTIFICATE_EST_INPUTREGISTRO_CONSERVATORIA</v>
      </c>
      <c r="B61" s="67" t="s">
        <v>26</v>
      </c>
      <c r="C61" s="68" t="s">
        <v>34</v>
      </c>
      <c r="D61" s="64" t="s">
        <v>40</v>
      </c>
      <c r="E61" s="66" t="s">
        <v>37</v>
      </c>
      <c r="F61" s="66" t="s">
        <v>2001</v>
      </c>
      <c r="G61" s="64" t="str">
        <f>INDEX(Auxiliar!$B$16:$B$24,MATCH(Plano_V3!H61,Auxiliar!$C$16:$C$24,0),1)</f>
        <v>2.1 Em Teste</v>
      </c>
      <c r="H61" s="64">
        <f>VLOOKUP(A61,'Aux - pivots1'!$A:$B,2,0)</f>
        <v>2</v>
      </c>
      <c r="I61" s="183" t="e">
        <f>SUMIFS(Table1[Estimação (horas)],Table1[Tabela],Plano_V3!E61,Table1[Campo],Plano_V3!F61)</f>
        <v>#N/A</v>
      </c>
      <c r="J61" s="183" t="e">
        <f t="shared" si="17"/>
        <v>#N/A</v>
      </c>
      <c r="K61" s="183" t="e">
        <f>SUMIFS(Table1[Horas efetivas],Table1[Tabela],Plano_V3!E61,Table1[Campo],Plano_V3!F61)</f>
        <v>#N/A</v>
      </c>
      <c r="L61" s="183" t="e">
        <f t="shared" si="18"/>
        <v>#N/A</v>
      </c>
      <c r="M61" s="177"/>
      <c r="N61" s="177" t="e">
        <f t="shared" si="19"/>
        <v>#N/A</v>
      </c>
      <c r="O61" s="177" t="e">
        <f t="shared" si="12"/>
        <v>#N/A</v>
      </c>
      <c r="P61" s="89" t="s">
        <v>39</v>
      </c>
      <c r="Q61" s="90" t="e">
        <f t="shared" si="13"/>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outlineLevel="1">
      <c r="A62" s="29" t="str">
        <f t="shared" si="14"/>
        <v>ENERGY_CERTIFICATE_EST_INPUTART_MATRICIAIS</v>
      </c>
      <c r="B62" s="67" t="s">
        <v>26</v>
      </c>
      <c r="C62" s="68" t="s">
        <v>34</v>
      </c>
      <c r="D62" s="64" t="s">
        <v>40</v>
      </c>
      <c r="E62" s="66" t="s">
        <v>37</v>
      </c>
      <c r="F62" s="66" t="s">
        <v>2002</v>
      </c>
      <c r="G62" s="64" t="str">
        <f>INDEX(Auxiliar!$B$16:$B$24,MATCH(Plano_V3!H62,Auxiliar!$C$16:$C$24,0),1)</f>
        <v>2.1 Em Teste</v>
      </c>
      <c r="H62" s="64">
        <f>VLOOKUP(A62,'Aux - pivots1'!$A:$B,2,0)</f>
        <v>2</v>
      </c>
      <c r="I62" s="183" t="e">
        <f>SUMIFS(Table1[Estimação (horas)],Table1[Tabela],Plano_V3!E62,Table1[Campo],Plano_V3!F62)</f>
        <v>#N/A</v>
      </c>
      <c r="J62" s="183" t="e">
        <f t="shared" si="17"/>
        <v>#N/A</v>
      </c>
      <c r="K62" s="183" t="e">
        <f>SUMIFS(Table1[Horas efetivas],Table1[Tabela],Plano_V3!E62,Table1[Campo],Plano_V3!F62)</f>
        <v>#N/A</v>
      </c>
      <c r="L62" s="183" t="e">
        <f t="shared" si="18"/>
        <v>#N/A</v>
      </c>
      <c r="M62" s="177"/>
      <c r="N62" s="177" t="e">
        <f t="shared" si="19"/>
        <v>#N/A</v>
      </c>
      <c r="O62" s="177" t="e">
        <f t="shared" si="12"/>
        <v>#N/A</v>
      </c>
      <c r="P62" s="89" t="s">
        <v>39</v>
      </c>
      <c r="Q62" s="90" t="e">
        <f t="shared" si="13"/>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outlineLevel="1">
      <c r="A63" s="29" t="str">
        <f t="shared" si="14"/>
        <v>ENERGY_CERTIFICATE_EST_INPUTFRACCAO_AUTONOMA</v>
      </c>
      <c r="B63" s="67" t="s">
        <v>26</v>
      </c>
      <c r="C63" s="68" t="s">
        <v>34</v>
      </c>
      <c r="D63" s="64" t="s">
        <v>40</v>
      </c>
      <c r="E63" s="66" t="s">
        <v>37</v>
      </c>
      <c r="F63" s="66" t="s">
        <v>2003</v>
      </c>
      <c r="G63" s="64" t="str">
        <f>INDEX(Auxiliar!$B$16:$B$24,MATCH(Plano_V3!H63,Auxiliar!$C$16:$C$24,0),1)</f>
        <v>2.1 Em Teste</v>
      </c>
      <c r="H63" s="64">
        <f>VLOOKUP(A63,'Aux - pivots1'!$A:$B,2,0)</f>
        <v>2</v>
      </c>
      <c r="I63" s="183" t="e">
        <f>SUMIFS(Table1[Estimação (horas)],Table1[Tabela],Plano_V3!E63,Table1[Campo],Plano_V3!F63)</f>
        <v>#N/A</v>
      </c>
      <c r="J63" s="183" t="e">
        <f t="shared" si="17"/>
        <v>#N/A</v>
      </c>
      <c r="K63" s="183" t="e">
        <f>SUMIFS(Table1[Horas efetivas],Table1[Tabela],Plano_V3!E63,Table1[Campo],Plano_V3!F63)</f>
        <v>#N/A</v>
      </c>
      <c r="L63" s="183" t="e">
        <f t="shared" si="18"/>
        <v>#N/A</v>
      </c>
      <c r="M63" s="177"/>
      <c r="N63" s="177" t="e">
        <f t="shared" si="19"/>
        <v>#N/A</v>
      </c>
      <c r="O63" s="177" t="e">
        <f t="shared" si="12"/>
        <v>#N/A</v>
      </c>
      <c r="P63" s="89" t="s">
        <v>39</v>
      </c>
      <c r="Q63" s="90" t="e">
        <f t="shared" si="13"/>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outlineLevel="1">
      <c r="A64" s="29" t="str">
        <f t="shared" si="14"/>
        <v>ENERGY_CERTIFICATE_EST_INPUTFINALIDADE_BEM</v>
      </c>
      <c r="B64" s="67" t="s">
        <v>26</v>
      </c>
      <c r="C64" s="68" t="s">
        <v>34</v>
      </c>
      <c r="D64" s="64" t="s">
        <v>40</v>
      </c>
      <c r="E64" s="66" t="s">
        <v>37</v>
      </c>
      <c r="F64" s="66" t="s">
        <v>2004</v>
      </c>
      <c r="G64" s="64" t="str">
        <f>INDEX(Auxiliar!$B$16:$B$24,MATCH(Plano_V3!H64,Auxiliar!$C$16:$C$24,0),1)</f>
        <v>2.1 Em Teste</v>
      </c>
      <c r="H64" s="64">
        <f>VLOOKUP(A64,'Aux - pivots1'!$A:$B,2,0)</f>
        <v>2</v>
      </c>
      <c r="I64" s="183" t="e">
        <f>SUMIFS(Table1[Estimação (horas)],Table1[Tabela],Plano_V3!E64,Table1[Campo],Plano_V3!F64)</f>
        <v>#N/A</v>
      </c>
      <c r="J64" s="183" t="e">
        <f t="shared" si="17"/>
        <v>#N/A</v>
      </c>
      <c r="K64" s="183" t="e">
        <f>SUMIFS(Table1[Horas efetivas],Table1[Tabela],Plano_V3!E64,Table1[Campo],Plano_V3!F64)</f>
        <v>#N/A</v>
      </c>
      <c r="L64" s="183" t="e">
        <f t="shared" si="18"/>
        <v>#N/A</v>
      </c>
      <c r="M64" s="177"/>
      <c r="N64" s="177" t="e">
        <f t="shared" si="19"/>
        <v>#N/A</v>
      </c>
      <c r="O64" s="177" t="e">
        <f t="shared" si="12"/>
        <v>#N/A</v>
      </c>
      <c r="P64" s="89" t="s">
        <v>39</v>
      </c>
      <c r="Q64" s="90" t="e">
        <f t="shared" si="13"/>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outlineLevel="1">
      <c r="A65" s="29" t="str">
        <f t="shared" si="14"/>
        <v>ENERGY_CERTIFICATE_EST_INPUTCLASS_GPT31</v>
      </c>
      <c r="B65" s="67" t="s">
        <v>26</v>
      </c>
      <c r="C65" s="68" t="s">
        <v>34</v>
      </c>
      <c r="D65" s="64" t="s">
        <v>40</v>
      </c>
      <c r="E65" s="66" t="s">
        <v>37</v>
      </c>
      <c r="F65" s="66" t="s">
        <v>2005</v>
      </c>
      <c r="G65" s="64" t="str">
        <f>INDEX(Auxiliar!$B$16:$B$24,MATCH(Plano_V3!H65,Auxiliar!$C$16:$C$24,0),1)</f>
        <v>2.1 Em Teste</v>
      </c>
      <c r="H65" s="64">
        <f>VLOOKUP(A65,'Aux - pivots1'!$A:$B,2,0)</f>
        <v>2</v>
      </c>
      <c r="I65" s="183" t="e">
        <f>SUMIFS(Table1[Estimação (horas)],Table1[Tabela],Plano_V3!E65,Table1[Campo],Plano_V3!F65)</f>
        <v>#N/A</v>
      </c>
      <c r="J65" s="183" t="e">
        <f t="shared" si="17"/>
        <v>#N/A</v>
      </c>
      <c r="K65" s="183" t="e">
        <f>SUMIFS(Table1[Horas efetivas],Table1[Tabela],Plano_V3!E65,Table1[Campo],Plano_V3!F65)</f>
        <v>#N/A</v>
      </c>
      <c r="L65" s="183" t="e">
        <f t="shared" si="18"/>
        <v>#N/A</v>
      </c>
      <c r="M65" s="177"/>
      <c r="N65" s="177" t="e">
        <f t="shared" si="19"/>
        <v>#N/A</v>
      </c>
      <c r="O65" s="177" t="e">
        <f t="shared" si="12"/>
        <v>#N/A</v>
      </c>
      <c r="P65" s="89" t="s">
        <v>39</v>
      </c>
      <c r="Q65" s="90" t="e">
        <f t="shared" si="13"/>
        <v>#N/A</v>
      </c>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outlineLevel="1">
      <c r="A66" s="29" t="str">
        <f t="shared" si="14"/>
        <v>ENERGY_CERTIFICATE_EST_INPUTCLASS_STCLIM</v>
      </c>
      <c r="B66" s="67" t="s">
        <v>26</v>
      </c>
      <c r="C66" s="68" t="s">
        <v>34</v>
      </c>
      <c r="D66" s="64" t="s">
        <v>40</v>
      </c>
      <c r="E66" s="66" t="s">
        <v>37</v>
      </c>
      <c r="F66" s="66" t="s">
        <v>2006</v>
      </c>
      <c r="G66" s="64" t="str">
        <f>INDEX(Auxiliar!$B$16:$B$24,MATCH(Plano_V3!H66,Auxiliar!$C$16:$C$24,0),1)</f>
        <v>2.1 Em Teste</v>
      </c>
      <c r="H66" s="64">
        <f>VLOOKUP(A66,'Aux - pivots1'!$A:$B,2,0)</f>
        <v>2</v>
      </c>
      <c r="I66" s="183" t="e">
        <f>SUMIFS(Table1[Estimação (horas)],Table1[Tabela],Plano_V3!E66,Table1[Campo],Plano_V3!F66)</f>
        <v>#N/A</v>
      </c>
      <c r="J66" s="183" t="e">
        <f t="shared" si="17"/>
        <v>#N/A</v>
      </c>
      <c r="K66" s="183" t="e">
        <f>SUMIFS(Table1[Horas efetivas],Table1[Tabela],Plano_V3!E66,Table1[Campo],Plano_V3!F66)</f>
        <v>#N/A</v>
      </c>
      <c r="L66" s="183" t="e">
        <f t="shared" si="18"/>
        <v>#N/A</v>
      </c>
      <c r="M66" s="177"/>
      <c r="N66" s="177" t="e">
        <f t="shared" si="19"/>
        <v>#N/A</v>
      </c>
      <c r="O66" s="177" t="e">
        <f t="shared" si="12"/>
        <v>#N/A</v>
      </c>
      <c r="P66" s="89" t="s">
        <v>39</v>
      </c>
      <c r="Q66" s="90" t="e">
        <f t="shared" si="13"/>
        <v>#N/A</v>
      </c>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outlineLevel="1">
      <c r="A67" s="29" t="str">
        <f t="shared" si="14"/>
        <v>ENERGY_CERTIFICATE_EST_INPUTCONF_STCLIM</v>
      </c>
      <c r="B67" s="67"/>
      <c r="C67" s="68"/>
      <c r="D67" s="64" t="s">
        <v>40</v>
      </c>
      <c r="E67" s="66" t="s">
        <v>37</v>
      </c>
      <c r="F67" s="66" t="s">
        <v>2007</v>
      </c>
      <c r="G67" s="64" t="str">
        <f>INDEX(Auxiliar!$B$16:$B$24,MATCH(Plano_V3!H67,Auxiliar!$C$16:$C$24,0),1)</f>
        <v>2.1 Em Teste</v>
      </c>
      <c r="H67" s="64">
        <f>VLOOKUP(A67,'Aux - pivots1'!$A:$B,2,0)</f>
        <v>2</v>
      </c>
      <c r="I67" s="183" t="e">
        <f>SUMIFS(Table1[Estimação (horas)],Table1[Tabela],Plano_V3!E67,Table1[Campo],Plano_V3!F67)</f>
        <v>#N/A</v>
      </c>
      <c r="J67" s="183" t="e">
        <f t="shared" si="17"/>
        <v>#N/A</v>
      </c>
      <c r="K67" s="183" t="e">
        <f>SUMIFS(Table1[Horas efetivas],Table1[Tabela],Plano_V3!E67,Table1[Campo],Plano_V3!F67)</f>
        <v>#N/A</v>
      </c>
      <c r="L67" s="183" t="e">
        <f t="shared" si="18"/>
        <v>#N/A</v>
      </c>
      <c r="M67" s="177"/>
      <c r="N67" s="177"/>
      <c r="O67" s="177"/>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outlineLevel="1">
      <c r="A68" s="29" t="str">
        <f t="shared" si="14"/>
        <v>ENERGY_CERTIFICATE_EST_INPUTCLASSE_ENERGETICA</v>
      </c>
      <c r="B68" s="67"/>
      <c r="C68" s="68"/>
      <c r="D68" s="64" t="s">
        <v>40</v>
      </c>
      <c r="E68" s="66" t="s">
        <v>37</v>
      </c>
      <c r="F68" s="66" t="s">
        <v>2008</v>
      </c>
      <c r="G68" s="64" t="str">
        <f>INDEX(Auxiliar!$B$16:$B$24,MATCH(Plano_V3!H68,Auxiliar!$C$16:$C$24,0),1)</f>
        <v>2.1 Em Teste</v>
      </c>
      <c r="H68" s="64">
        <f>VLOOKUP(A68,'Aux - pivots1'!$A:$B,2,0)</f>
        <v>2</v>
      </c>
      <c r="I68" s="183" t="e">
        <f>SUMIFS(Table1[Estimação (horas)],Table1[Tabela],Plano_V3!E68,Table1[Campo],Plano_V3!F68)</f>
        <v>#N/A</v>
      </c>
      <c r="J68" s="183" t="e">
        <f t="shared" si="17"/>
        <v>#N/A</v>
      </c>
      <c r="K68" s="183" t="e">
        <f>SUMIFS(Table1[Horas efetivas],Table1[Tabela],Plano_V3!E68,Table1[Campo],Plano_V3!F68)</f>
        <v>#N/A</v>
      </c>
      <c r="L68" s="183" t="e">
        <f t="shared" si="18"/>
        <v>#N/A</v>
      </c>
      <c r="M68" s="177"/>
      <c r="N68" s="177"/>
      <c r="O68" s="177"/>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outlineLevel="1">
      <c r="A69" s="29" t="str">
        <f t="shared" si="14"/>
        <v>ENERGY_CERTIFICATE_EST_INPUTFIABILIDAD</v>
      </c>
      <c r="B69" s="67"/>
      <c r="C69" s="68"/>
      <c r="D69" s="64" t="s">
        <v>40</v>
      </c>
      <c r="E69" s="66" t="s">
        <v>37</v>
      </c>
      <c r="F69" s="66" t="s">
        <v>2009</v>
      </c>
      <c r="G69" s="64" t="str">
        <f>INDEX(Auxiliar!$B$16:$B$24,MATCH(Plano_V3!H69,Auxiliar!$C$16:$C$24,0),1)</f>
        <v>2.1 Em Teste</v>
      </c>
      <c r="H69" s="64">
        <f>VLOOKUP(A69,'Aux - pivots1'!$A:$B,2,0)</f>
        <v>2</v>
      </c>
      <c r="I69" s="183" t="e">
        <f>SUMIFS(Table1[Estimação (horas)],Table1[Tabela],Plano_V3!E69,Table1[Campo],Plano_V3!F69)</f>
        <v>#N/A</v>
      </c>
      <c r="J69" s="183" t="e">
        <f t="shared" si="17"/>
        <v>#N/A</v>
      </c>
      <c r="K69" s="183" t="e">
        <f>SUMIFS(Table1[Horas efetivas],Table1[Tabela],Plano_V3!E69,Table1[Campo],Plano_V3!F69)</f>
        <v>#N/A</v>
      </c>
      <c r="L69" s="183" t="e">
        <f t="shared" si="18"/>
        <v>#N/A</v>
      </c>
      <c r="M69" s="177"/>
      <c r="N69" s="177"/>
      <c r="O69" s="177"/>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outlineLevel="1">
      <c r="A70" s="29" t="str">
        <f t="shared" si="14"/>
        <v>ENERGY_CERTIFICATE_EST_INPUTEMISSIONES</v>
      </c>
      <c r="B70" s="67"/>
      <c r="C70" s="68"/>
      <c r="D70" s="64" t="s">
        <v>40</v>
      </c>
      <c r="E70" s="66" t="s">
        <v>37</v>
      </c>
      <c r="F70" s="66" t="s">
        <v>2010</v>
      </c>
      <c r="G70" s="64" t="str">
        <f>INDEX(Auxiliar!$B$16:$B$24,MATCH(Plano_V3!H70,Auxiliar!$C$16:$C$24,0),1)</f>
        <v>2.1 Em Teste</v>
      </c>
      <c r="H70" s="64">
        <f>VLOOKUP(A70,'Aux - pivots1'!$A:$B,2,0)</f>
        <v>2</v>
      </c>
      <c r="I70" s="183" t="e">
        <f>SUMIFS(Table1[Estimação (horas)],Table1[Tabela],Plano_V3!E70,Table1[Campo],Plano_V3!F70)</f>
        <v>#N/A</v>
      </c>
      <c r="J70" s="183" t="e">
        <f t="shared" si="17"/>
        <v>#N/A</v>
      </c>
      <c r="K70" s="183" t="e">
        <f>SUMIFS(Table1[Horas efetivas],Table1[Tabela],Plano_V3!E70,Table1[Campo],Plano_V3!F70)</f>
        <v>#N/A</v>
      </c>
      <c r="L70" s="183" t="e">
        <f t="shared" si="18"/>
        <v>#N/A</v>
      </c>
      <c r="M70" s="177"/>
      <c r="N70" s="177"/>
      <c r="O70" s="177"/>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outlineLevel="1">
      <c r="A71" s="29" t="str">
        <f t="shared" si="14"/>
        <v>ENERGY_CERTIFICATE_EST_INPUTCONSUMOS</v>
      </c>
      <c r="B71" s="67"/>
      <c r="C71" s="68"/>
      <c r="D71" s="64" t="s">
        <v>40</v>
      </c>
      <c r="E71" s="66" t="s">
        <v>37</v>
      </c>
      <c r="F71" s="66" t="s">
        <v>2011</v>
      </c>
      <c r="G71" s="64" t="str">
        <f>INDEX(Auxiliar!$B$16:$B$24,MATCH(Plano_V3!H71,Auxiliar!$C$16:$C$24,0),1)</f>
        <v>2.1 Em Teste</v>
      </c>
      <c r="H71" s="64">
        <f>VLOOKUP(A71,'Aux - pivots1'!$A:$B,2,0)</f>
        <v>2</v>
      </c>
      <c r="I71" s="183" t="e">
        <f>SUMIFS(Table1[Estimação (horas)],Table1[Tabela],Plano_V3!E71,Table1[Campo],Plano_V3!F71)</f>
        <v>#N/A</v>
      </c>
      <c r="J71" s="183" t="e">
        <f t="shared" si="17"/>
        <v>#N/A</v>
      </c>
      <c r="K71" s="183" t="e">
        <f>SUMIFS(Table1[Horas efetivas],Table1[Tabela],Plano_V3!E71,Table1[Campo],Plano_V3!F71)</f>
        <v>#N/A</v>
      </c>
      <c r="L71" s="183" t="e">
        <f t="shared" si="18"/>
        <v>#N/A</v>
      </c>
      <c r="M71" s="177"/>
      <c r="N71" s="177"/>
      <c r="O71" s="177"/>
      <c r="P71" s="89"/>
      <c r="Q71" s="90"/>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outlineLevel="1">
      <c r="A72" s="29" t="str">
        <f t="shared" si="14"/>
        <v>ENERGY_CERTIFICATE_EST_INPUTDATA_ENVIO</v>
      </c>
      <c r="B72" s="67"/>
      <c r="C72" s="68"/>
      <c r="D72" s="64" t="s">
        <v>40</v>
      </c>
      <c r="E72" s="66" t="s">
        <v>37</v>
      </c>
      <c r="F72" s="66" t="s">
        <v>2012</v>
      </c>
      <c r="G72" s="64" t="str">
        <f>INDEX(Auxiliar!$B$16:$B$24,MATCH(Plano_V3!H72,Auxiliar!$C$16:$C$24,0),1)</f>
        <v>2.1 Em Teste</v>
      </c>
      <c r="H72" s="64">
        <f>VLOOKUP(A72,'Aux - pivots1'!$A:$B,2,0)</f>
        <v>2</v>
      </c>
      <c r="I72" s="183" t="e">
        <f>SUMIFS(Table1[Estimação (horas)],Table1[Tabela],Plano_V3!E72,Table1[Campo],Plano_V3!F72)</f>
        <v>#N/A</v>
      </c>
      <c r="J72" s="183" t="e">
        <f t="shared" si="17"/>
        <v>#N/A</v>
      </c>
      <c r="K72" s="183" t="e">
        <f>SUMIFS(Table1[Horas efetivas],Table1[Tabela],Plano_V3!E72,Table1[Campo],Plano_V3!F72)</f>
        <v>#N/A</v>
      </c>
      <c r="L72" s="183" t="e">
        <f t="shared" si="18"/>
        <v>#N/A</v>
      </c>
      <c r="M72" s="177"/>
      <c r="N72" s="177"/>
      <c r="O72" s="177"/>
      <c r="P72" s="89"/>
      <c r="Q72" s="90"/>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91"/>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outlineLevel="1">
      <c r="A73" s="29" t="str">
        <f t="shared" si="14"/>
        <v>Re-testesn.a.</v>
      </c>
      <c r="B73" s="67" t="s">
        <v>26</v>
      </c>
      <c r="C73" s="68" t="s">
        <v>34</v>
      </c>
      <c r="D73" s="64" t="s">
        <v>40</v>
      </c>
      <c r="E73" s="66" t="s">
        <v>53</v>
      </c>
      <c r="F73" s="66" t="s">
        <v>38</v>
      </c>
      <c r="G73" s="64" t="str">
        <f>INDEX(Auxiliar!$B$16:$B$24,MATCH(Plano_V3!H73,Auxiliar!$C$16:$C$24,0),1)</f>
        <v>0. Cancelado</v>
      </c>
      <c r="H73" s="64"/>
      <c r="I73" s="183" t="e">
        <f>SUM(I26:I66)*$D$6</f>
        <v>#N/A</v>
      </c>
      <c r="J73" s="183" t="e">
        <f t="shared" si="17"/>
        <v>#N/A</v>
      </c>
      <c r="K73" s="183" t="e">
        <f>SUM(K26:K66)*$D$6</f>
        <v>#N/A</v>
      </c>
      <c r="L73" s="183" t="e">
        <f t="shared" si="18"/>
        <v>#N/A</v>
      </c>
      <c r="M73" s="177"/>
      <c r="N73" s="177" t="e">
        <f t="shared" si="19"/>
        <v>#N/A</v>
      </c>
      <c r="O73" s="177" t="e">
        <f t="shared" si="12"/>
        <v>#N/A</v>
      </c>
      <c r="P73" s="89" t="s">
        <v>39</v>
      </c>
      <c r="Q73" s="90" t="e">
        <f t="shared" si="13"/>
        <v>#N/A</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t="32.4">
      <c r="A74" s="29" t="str">
        <f t="shared" ref="A74:A138" si="20">E74&amp;F74</f>
        <v/>
      </c>
      <c r="B74" s="63" t="s">
        <v>26</v>
      </c>
      <c r="C74" s="96" t="s">
        <v>54</v>
      </c>
      <c r="D74" s="96"/>
      <c r="E74" s="103"/>
      <c r="F74" s="96"/>
      <c r="G74" s="96"/>
      <c r="H74" s="96"/>
      <c r="I74" s="182" t="e">
        <f>SUM(I75:I242)</f>
        <v>#N/A</v>
      </c>
      <c r="J74" s="182" t="e">
        <f>ROUNDUP(I74/8,0)</f>
        <v>#N/A</v>
      </c>
      <c r="K74" s="182" t="e">
        <f>SUM(K75:K242)</f>
        <v>#N/A</v>
      </c>
      <c r="L74" s="182" t="e">
        <f>ROUNDUP(K74/8,0)</f>
        <v>#N/A</v>
      </c>
      <c r="M74" s="181" t="e">
        <f>SUMIFS(R74:ES74,$R$9:$ES$9,"S")/J74</f>
        <v>#N/A</v>
      </c>
      <c r="N74" s="181">
        <f>IFERROR(L74/J74,0)</f>
        <v>0</v>
      </c>
      <c r="O74" s="181" t="e">
        <f t="shared" si="12"/>
        <v>#N/A</v>
      </c>
      <c r="P74" s="201" t="s">
        <v>1853</v>
      </c>
      <c r="Q74" s="90" t="e">
        <f t="shared" si="13"/>
        <v>#N/A</v>
      </c>
      <c r="R74" s="78"/>
      <c r="S74" s="78"/>
      <c r="T74" s="78"/>
      <c r="U74" s="78"/>
      <c r="V74" s="78"/>
      <c r="W74" s="78"/>
      <c r="X74" s="78"/>
      <c r="Y74" s="78"/>
      <c r="Z74" s="78"/>
      <c r="AA74" s="78"/>
      <c r="AB74" s="78"/>
      <c r="AC74" s="78"/>
      <c r="AD74" s="78"/>
      <c r="AE74" s="78"/>
      <c r="AF74" s="78"/>
      <c r="AG74" s="78"/>
      <c r="AH74" s="78"/>
      <c r="AI74" s="78"/>
      <c r="AJ74" s="78"/>
      <c r="AK74" s="78"/>
      <c r="AL74" s="78">
        <v>1</v>
      </c>
      <c r="AM74" s="78">
        <v>1</v>
      </c>
      <c r="AN74" s="78">
        <v>1</v>
      </c>
      <c r="AO74" s="78">
        <v>1</v>
      </c>
      <c r="AP74" s="192"/>
      <c r="AQ74" s="192"/>
      <c r="AR74" s="78">
        <v>1</v>
      </c>
      <c r="AS74" s="78">
        <v>1</v>
      </c>
      <c r="AT74" s="78">
        <v>1</v>
      </c>
      <c r="AU74" s="78">
        <v>1</v>
      </c>
      <c r="AV74" s="192"/>
      <c r="AW74" s="78">
        <v>1</v>
      </c>
      <c r="AX74" s="78">
        <v>2</v>
      </c>
      <c r="AY74" s="91"/>
      <c r="AZ74" s="78">
        <v>1</v>
      </c>
      <c r="BA74" s="192"/>
      <c r="BB74" s="192"/>
      <c r="BC74" s="78">
        <v>1</v>
      </c>
      <c r="BD74" s="78">
        <v>1</v>
      </c>
      <c r="BE74" s="78">
        <v>1</v>
      </c>
      <c r="BF74" s="78">
        <v>1</v>
      </c>
      <c r="BG74" s="78">
        <v>2</v>
      </c>
      <c r="BH74" s="78">
        <v>2</v>
      </c>
      <c r="BI74" s="78">
        <v>2</v>
      </c>
      <c r="BJ74" s="78">
        <v>2</v>
      </c>
      <c r="BK74" s="78">
        <v>0.5</v>
      </c>
      <c r="BL74" s="78">
        <v>2</v>
      </c>
      <c r="BM74" s="78">
        <v>2</v>
      </c>
      <c r="BN74" s="78">
        <v>2</v>
      </c>
      <c r="BO74" s="78">
        <v>2</v>
      </c>
      <c r="BP74" s="78">
        <v>0.5</v>
      </c>
      <c r="BQ74" s="78">
        <v>2</v>
      </c>
      <c r="BR74" s="78">
        <v>2</v>
      </c>
      <c r="BS74" s="78">
        <v>2</v>
      </c>
      <c r="BT74" s="78">
        <v>2</v>
      </c>
      <c r="BU74" s="78">
        <v>1.5</v>
      </c>
      <c r="BV74" s="78">
        <v>2</v>
      </c>
      <c r="BW74" s="78">
        <v>2</v>
      </c>
      <c r="BX74" s="78">
        <v>2</v>
      </c>
      <c r="BY74" s="78">
        <v>2</v>
      </c>
      <c r="BZ74" s="78">
        <v>2</v>
      </c>
      <c r="CA74" s="78">
        <v>2</v>
      </c>
      <c r="CB74" s="78">
        <v>2</v>
      </c>
      <c r="CC74" s="78">
        <v>2</v>
      </c>
      <c r="CD74" s="78">
        <v>2</v>
      </c>
      <c r="CE74" s="78">
        <v>2</v>
      </c>
      <c r="CF74" s="78">
        <v>2</v>
      </c>
      <c r="CG74" s="78">
        <v>2</v>
      </c>
      <c r="CH74" s="78">
        <v>2</v>
      </c>
      <c r="CI74" s="78">
        <v>2</v>
      </c>
      <c r="CJ74" s="78">
        <v>2</v>
      </c>
      <c r="CK74" s="78">
        <v>2</v>
      </c>
      <c r="CL74" s="78">
        <v>2</v>
      </c>
      <c r="CM74" s="78">
        <v>2</v>
      </c>
      <c r="CN74" s="78">
        <v>2</v>
      </c>
      <c r="CO74" s="78">
        <v>2</v>
      </c>
      <c r="CP74" s="78">
        <v>2</v>
      </c>
      <c r="CQ74" s="78">
        <v>2</v>
      </c>
      <c r="CR74" s="78">
        <v>2</v>
      </c>
      <c r="CS74" s="78">
        <v>2</v>
      </c>
      <c r="CT74" s="78">
        <v>2</v>
      </c>
      <c r="CU74" s="78">
        <v>2</v>
      </c>
      <c r="CV74" s="78">
        <v>2</v>
      </c>
      <c r="CW74" s="78">
        <v>2</v>
      </c>
      <c r="CX74" s="78">
        <v>1.5</v>
      </c>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outlineLevel="1">
      <c r="A75" s="29" t="str">
        <f t="shared" si="20"/>
        <v>PROCESSn.a.</v>
      </c>
      <c r="B75" s="67" t="s">
        <v>26</v>
      </c>
      <c r="C75" s="68" t="s">
        <v>54</v>
      </c>
      <c r="D75" s="64" t="s">
        <v>36</v>
      </c>
      <c r="E75" s="66" t="s">
        <v>55</v>
      </c>
      <c r="F75" s="64" t="s">
        <v>38</v>
      </c>
      <c r="G75" s="64" t="str">
        <f>INDEX(Auxiliar!$B$16:$B$24,MATCH(Plano_V3!H75,Auxiliar!$C$16:$C$24,0),1)</f>
        <v>1. Concluído</v>
      </c>
      <c r="H75" s="64">
        <f>VLOOKUP(A75,'Aux - pivots1'!$A:$B,2,0)</f>
        <v>1</v>
      </c>
      <c r="I75" s="183">
        <f>SUMIFS(Table1[Estimação (horas)],Table1[Tabela],Plano_V3!E75,Table1[Campo],Plano_V3!F75)</f>
        <v>8</v>
      </c>
      <c r="J75" s="183">
        <f t="shared" ref="J75:J139" si="21">I75/8</f>
        <v>1</v>
      </c>
      <c r="K75" s="183">
        <f>SUMIFS(Table1[Horas efetivas],Table1[Tabela],Plano_V3!E75,Table1[Campo],Plano_V3!F75)</f>
        <v>8</v>
      </c>
      <c r="L75" s="183">
        <f t="shared" ref="L75:L139" si="22">K75/8</f>
        <v>1</v>
      </c>
      <c r="M75" s="177"/>
      <c r="N75" s="177">
        <f t="shared" ref="N75:N139" si="23">L75/J75</f>
        <v>1</v>
      </c>
      <c r="O75" s="177">
        <f t="shared" si="12"/>
        <v>1</v>
      </c>
      <c r="P75" s="89" t="s">
        <v>56</v>
      </c>
      <c r="Q75" s="90">
        <f t="shared" si="13"/>
        <v>1</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outlineLevel="1">
      <c r="A76" s="29" t="str">
        <f t="shared" si="20"/>
        <v>PROCESSPROCESS_BANK_ID</v>
      </c>
      <c r="B76" s="67" t="s">
        <v>26</v>
      </c>
      <c r="C76" s="68" t="s">
        <v>54</v>
      </c>
      <c r="D76" s="64" t="s">
        <v>40</v>
      </c>
      <c r="E76" s="66" t="s">
        <v>55</v>
      </c>
      <c r="F76" s="66" t="s">
        <v>57</v>
      </c>
      <c r="G76" s="64" t="str">
        <f>INDEX(Auxiliar!$B$16:$B$24,MATCH(Plano_V3!H76,Auxiliar!$C$16:$C$24,0),1)</f>
        <v>1. Concluído</v>
      </c>
      <c r="H76" s="64">
        <f>VLOOKUP(A76,'Aux - pivots1'!$A:$B,2,0)</f>
        <v>1</v>
      </c>
      <c r="I76" s="183">
        <f>SUMIFS(Table1[Estimação (horas)],Table1[Tabela],Plano_V3!E76,Table1[Campo],Plano_V3!F76)</f>
        <v>4.0999999999999996</v>
      </c>
      <c r="J76" s="183">
        <f t="shared" si="21"/>
        <v>0.51249999999999996</v>
      </c>
      <c r="K76" s="183">
        <f>SUMIFS(Table1[Horas efetivas],Table1[Tabela],Plano_V3!E76,Table1[Campo],Plano_V3!F76)</f>
        <v>4.0999999999999996</v>
      </c>
      <c r="L76" s="183">
        <f t="shared" si="22"/>
        <v>0.51249999999999996</v>
      </c>
      <c r="M76" s="177"/>
      <c r="N76" s="177">
        <f t="shared" si="23"/>
        <v>1</v>
      </c>
      <c r="O76" s="177">
        <f t="shared" si="12"/>
        <v>1</v>
      </c>
      <c r="P76" s="89" t="s">
        <v>56</v>
      </c>
      <c r="Q76" s="90">
        <f t="shared" si="13"/>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outlineLevel="1">
      <c r="A77" s="29" t="str">
        <f t="shared" si="20"/>
        <v>PROCESSPROCESS_BRANCH_CODE</v>
      </c>
      <c r="B77" s="67" t="s">
        <v>26</v>
      </c>
      <c r="C77" s="68" t="s">
        <v>54</v>
      </c>
      <c r="D77" s="64" t="s">
        <v>40</v>
      </c>
      <c r="E77" s="66" t="s">
        <v>55</v>
      </c>
      <c r="F77" s="66" t="s">
        <v>58</v>
      </c>
      <c r="G77" s="64" t="str">
        <f>INDEX(Auxiliar!$B$16:$B$24,MATCH(Plano_V3!H77,Auxiliar!$C$16:$C$24,0),1)</f>
        <v>1. Concluído</v>
      </c>
      <c r="H77" s="64">
        <f>VLOOKUP(A77,'Aux - pivots1'!$A:$B,2,0)</f>
        <v>1</v>
      </c>
      <c r="I77" s="183">
        <f>SUMIFS(Table1[Estimação (horas)],Table1[Tabela],Plano_V3!E77,Table1[Campo],Plano_V3!F77)</f>
        <v>4.0999999999999996</v>
      </c>
      <c r="J77" s="183">
        <f t="shared" si="21"/>
        <v>0.51249999999999996</v>
      </c>
      <c r="K77" s="183">
        <f>SUMIFS(Table1[Horas efetivas],Table1[Tabela],Plano_V3!E77,Table1[Campo],Plano_V3!F77)</f>
        <v>4.0999999999999996</v>
      </c>
      <c r="L77" s="183">
        <f t="shared" si="22"/>
        <v>0.51249999999999996</v>
      </c>
      <c r="M77" s="177"/>
      <c r="N77" s="177">
        <f t="shared" si="23"/>
        <v>1</v>
      </c>
      <c r="O77" s="177">
        <f t="shared" si="12"/>
        <v>1</v>
      </c>
      <c r="P77" s="89" t="s">
        <v>56</v>
      </c>
      <c r="Q77" s="90">
        <f t="shared" si="13"/>
        <v>0.51249999999999996</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outlineLevel="1">
      <c r="A78" s="29" t="str">
        <f t="shared" si="20"/>
        <v>PROCESSPROCESS_ACCOUNT_ID</v>
      </c>
      <c r="B78" s="67" t="s">
        <v>26</v>
      </c>
      <c r="C78" s="68" t="s">
        <v>54</v>
      </c>
      <c r="D78" s="64" t="s">
        <v>40</v>
      </c>
      <c r="E78" s="66" t="s">
        <v>55</v>
      </c>
      <c r="F78" s="66" t="s">
        <v>59</v>
      </c>
      <c r="G78" s="64" t="str">
        <f>INDEX(Auxiliar!$B$16:$B$24,MATCH(Plano_V3!H78,Auxiliar!$C$16:$C$24,0),1)</f>
        <v>1. Concluído</v>
      </c>
      <c r="H78" s="64">
        <f>VLOOKUP(A78,'Aux - pivots1'!$A:$B,2,0)</f>
        <v>1</v>
      </c>
      <c r="I78" s="183">
        <f>SUMIFS(Table1[Estimação (horas)],Table1[Tabela],Plano_V3!E78,Table1[Campo],Plano_V3!F78)</f>
        <v>4.0999999999999996</v>
      </c>
      <c r="J78" s="183">
        <f t="shared" si="21"/>
        <v>0.51249999999999996</v>
      </c>
      <c r="K78" s="183">
        <f>SUMIFS(Table1[Horas efetivas],Table1[Tabela],Plano_V3!E78,Table1[Campo],Plano_V3!F78)</f>
        <v>4.0999999999999996</v>
      </c>
      <c r="L78" s="183">
        <f t="shared" si="22"/>
        <v>0.51249999999999996</v>
      </c>
      <c r="M78" s="177"/>
      <c r="N78" s="177">
        <f t="shared" si="23"/>
        <v>1</v>
      </c>
      <c r="O78" s="177">
        <f t="shared" si="12"/>
        <v>1</v>
      </c>
      <c r="P78" s="89" t="s">
        <v>56</v>
      </c>
      <c r="Q78" s="90">
        <f t="shared" si="13"/>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outlineLevel="1">
      <c r="A79" s="29" t="str">
        <f t="shared" si="20"/>
        <v>PROCESScod_estd_prcs</v>
      </c>
      <c r="B79" s="67" t="s">
        <v>26</v>
      </c>
      <c r="C79" s="68" t="s">
        <v>54</v>
      </c>
      <c r="D79" s="64" t="s">
        <v>40</v>
      </c>
      <c r="E79" s="66" t="s">
        <v>55</v>
      </c>
      <c r="F79" s="170" t="s">
        <v>60</v>
      </c>
      <c r="G79" s="64" t="str">
        <f>INDEX(Auxiliar!$B$16:$B$24,MATCH(Plano_V3!H79,Auxiliar!$C$16:$C$24,0),1)</f>
        <v>0. Cancelado</v>
      </c>
      <c r="H79" s="64">
        <f>VLOOKUP(A79,'Aux - pivots1'!$A:$B,2,0)</f>
        <v>0</v>
      </c>
      <c r="I79" s="184">
        <v>0</v>
      </c>
      <c r="J79" s="183">
        <f t="shared" si="21"/>
        <v>0</v>
      </c>
      <c r="K79" s="183">
        <f>SUMIFS(Table1[Horas efetivas],Table1[Tabela],Plano_V3!E79,Table1[Campo],Plano_V3!F79)</f>
        <v>0</v>
      </c>
      <c r="L79" s="183">
        <f t="shared" si="22"/>
        <v>0</v>
      </c>
      <c r="M79" s="177"/>
      <c r="N79" s="177" t="e">
        <f t="shared" si="23"/>
        <v>#DIV/0!</v>
      </c>
      <c r="O79" s="177" t="e">
        <f t="shared" si="12"/>
        <v>#DIV/0!</v>
      </c>
      <c r="P79" s="89" t="s">
        <v>56</v>
      </c>
      <c r="Q79" s="90">
        <f t="shared" si="13"/>
        <v>0</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outlineLevel="1">
      <c r="A80" s="29" t="str">
        <f t="shared" si="20"/>
        <v>PROCESSGUARANTEE_CODE</v>
      </c>
      <c r="B80" s="67" t="s">
        <v>26</v>
      </c>
      <c r="C80" s="68" t="s">
        <v>54</v>
      </c>
      <c r="D80" s="64" t="s">
        <v>40</v>
      </c>
      <c r="E80" s="66" t="s">
        <v>55</v>
      </c>
      <c r="F80" s="66" t="s">
        <v>61</v>
      </c>
      <c r="G80" s="64" t="str">
        <f>INDEX(Auxiliar!$B$16:$B$24,MATCH(Plano_V3!H80,Auxiliar!$C$16:$C$24,0),1)</f>
        <v>1. Concluído</v>
      </c>
      <c r="H80" s="64">
        <f>VLOOKUP(A80,'Aux - pivots1'!$A:$B,2,0)</f>
        <v>1</v>
      </c>
      <c r="I80" s="183">
        <f>SUMIFS(Table1[Estimação (horas)],Table1[Tabela],Plano_V3!E80,Table1[Campo],Plano_V3!F80)</f>
        <v>4.0999999999999996</v>
      </c>
      <c r="J80" s="183">
        <f t="shared" si="21"/>
        <v>0.51249999999999996</v>
      </c>
      <c r="K80" s="183">
        <f>SUMIFS(Table1[Horas efetivas],Table1[Tabela],Plano_V3!E80,Table1[Campo],Plano_V3!F80)</f>
        <v>4.0999999999999996</v>
      </c>
      <c r="L80" s="183">
        <f t="shared" si="22"/>
        <v>0.51249999999999996</v>
      </c>
      <c r="M80" s="177"/>
      <c r="N80" s="177">
        <f t="shared" si="23"/>
        <v>1</v>
      </c>
      <c r="O80" s="177">
        <f t="shared" si="12"/>
        <v>1</v>
      </c>
      <c r="P80" s="89" t="s">
        <v>56</v>
      </c>
      <c r="Q80" s="90">
        <f t="shared" si="13"/>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outlineLevel="1">
      <c r="A81" s="29" t="str">
        <f t="shared" si="20"/>
        <v>PROCESSCURRENCY_CODE</v>
      </c>
      <c r="B81" s="67" t="s">
        <v>26</v>
      </c>
      <c r="C81" s="68" t="s">
        <v>54</v>
      </c>
      <c r="D81" s="64" t="s">
        <v>40</v>
      </c>
      <c r="E81" s="66" t="s">
        <v>55</v>
      </c>
      <c r="F81" s="66" t="s">
        <v>62</v>
      </c>
      <c r="G81" s="64" t="str">
        <f>INDEX(Auxiliar!$B$16:$B$24,MATCH(Plano_V3!H81,Auxiliar!$C$16:$C$24,0),1)</f>
        <v>1. Concluído</v>
      </c>
      <c r="H81" s="64">
        <f>VLOOKUP(A81,'Aux - pivots1'!$A:$B,2,0)</f>
        <v>1</v>
      </c>
      <c r="I81" s="183">
        <f>SUMIFS(Table1[Estimação (horas)],Table1[Tabela],Plano_V3!E81,Table1[Campo],Plano_V3!F81)</f>
        <v>4.0999999999999996</v>
      </c>
      <c r="J81" s="183">
        <f t="shared" si="21"/>
        <v>0.51249999999999996</v>
      </c>
      <c r="K81" s="183">
        <f>SUMIFS(Table1[Horas efetivas],Table1[Tabela],Plano_V3!E81,Table1[Campo],Plano_V3!F81)</f>
        <v>4.0999999999999996</v>
      </c>
      <c r="L81" s="183">
        <f t="shared" si="22"/>
        <v>0.51249999999999996</v>
      </c>
      <c r="M81" s="177"/>
      <c r="N81" s="177">
        <f t="shared" si="23"/>
        <v>1</v>
      </c>
      <c r="O81" s="177">
        <f t="shared" si="12"/>
        <v>1</v>
      </c>
      <c r="P81" s="89" t="s">
        <v>56</v>
      </c>
      <c r="Q81" s="90">
        <f t="shared" si="13"/>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outlineLevel="1">
      <c r="A82" s="29" t="str">
        <f t="shared" si="20"/>
        <v>PROCESSPROCESS_CAMPAIGN_CODE</v>
      </c>
      <c r="B82" s="67" t="s">
        <v>26</v>
      </c>
      <c r="C82" s="68" t="s">
        <v>54</v>
      </c>
      <c r="D82" s="64" t="s">
        <v>40</v>
      </c>
      <c r="E82" s="66" t="s">
        <v>55</v>
      </c>
      <c r="F82" s="66" t="s">
        <v>63</v>
      </c>
      <c r="G82" s="64" t="str">
        <f>INDEX(Auxiliar!$B$16:$B$24,MATCH(Plano_V3!H82,Auxiliar!$C$16:$C$24,0),1)</f>
        <v>1. Concluído</v>
      </c>
      <c r="H82" s="64">
        <f>VLOOKUP(A82,'Aux - pivots1'!$A:$B,2,0)</f>
        <v>1</v>
      </c>
      <c r="I82" s="183">
        <f>SUMIFS(Table1[Estimação (horas)],Table1[Tabela],Plano_V3!E82,Table1[Campo],Plano_V3!F82)</f>
        <v>4.0999999999999996</v>
      </c>
      <c r="J82" s="183">
        <f t="shared" si="21"/>
        <v>0.51249999999999996</v>
      </c>
      <c r="K82" s="183">
        <f>SUMIFS(Table1[Horas efetivas],Table1[Tabela],Plano_V3!E82,Table1[Campo],Plano_V3!F82)</f>
        <v>4.0999999999999996</v>
      </c>
      <c r="L82" s="183">
        <f t="shared" si="22"/>
        <v>0.51249999999999996</v>
      </c>
      <c r="M82" s="177"/>
      <c r="N82" s="177">
        <f t="shared" si="23"/>
        <v>1</v>
      </c>
      <c r="O82" s="177">
        <f t="shared" si="12"/>
        <v>1</v>
      </c>
      <c r="P82" s="89" t="s">
        <v>56</v>
      </c>
      <c r="Q82" s="90">
        <f t="shared" si="13"/>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outlineLevel="1">
      <c r="A83" s="29" t="str">
        <f t="shared" si="20"/>
        <v>PROCESSPROCESS_PRODUCT_ID</v>
      </c>
      <c r="B83" s="67" t="s">
        <v>26</v>
      </c>
      <c r="C83" s="68" t="s">
        <v>54</v>
      </c>
      <c r="D83" s="64" t="s">
        <v>40</v>
      </c>
      <c r="E83" s="66" t="s">
        <v>55</v>
      </c>
      <c r="F83" s="66" t="s">
        <v>64</v>
      </c>
      <c r="G83" s="64" t="str">
        <f>INDEX(Auxiliar!$B$16:$B$24,MATCH(Plano_V3!H83,Auxiliar!$C$16:$C$24,0),1)</f>
        <v>1. Concluído</v>
      </c>
      <c r="H83" s="64">
        <f>VLOOKUP(A83,'Aux - pivots1'!$A:$B,2,0)</f>
        <v>1</v>
      </c>
      <c r="I83" s="183">
        <f>SUMIFS(Table1[Estimação (horas)],Table1[Tabela],Plano_V3!E83,Table1[Campo],Plano_V3!F83)</f>
        <v>4.0999999999999996</v>
      </c>
      <c r="J83" s="183">
        <f t="shared" si="21"/>
        <v>0.51249999999999996</v>
      </c>
      <c r="K83" s="183">
        <f>SUMIFS(Table1[Horas efetivas],Table1[Tabela],Plano_V3!E83,Table1[Campo],Plano_V3!F83)</f>
        <v>4.0999999999999996</v>
      </c>
      <c r="L83" s="183">
        <f t="shared" si="22"/>
        <v>0.51249999999999996</v>
      </c>
      <c r="M83" s="177"/>
      <c r="N83" s="177">
        <f t="shared" si="23"/>
        <v>1</v>
      </c>
      <c r="O83" s="177">
        <f t="shared" si="12"/>
        <v>1</v>
      </c>
      <c r="P83" s="89" t="s">
        <v>56</v>
      </c>
      <c r="Q83" s="90">
        <f t="shared" si="13"/>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outlineLevel="1">
      <c r="A84" s="29" t="str">
        <f t="shared" si="20"/>
        <v>PROCESSPROCESS_SUBPRODUCT_ID</v>
      </c>
      <c r="B84" s="67" t="s">
        <v>26</v>
      </c>
      <c r="C84" s="68" t="s">
        <v>54</v>
      </c>
      <c r="D84" s="64" t="s">
        <v>40</v>
      </c>
      <c r="E84" s="66" t="s">
        <v>55</v>
      </c>
      <c r="F84" s="66" t="s">
        <v>65</v>
      </c>
      <c r="G84" s="64" t="str">
        <f>INDEX(Auxiliar!$B$16:$B$24,MATCH(Plano_V3!H84,Auxiliar!$C$16:$C$24,0),1)</f>
        <v>1. Concluído</v>
      </c>
      <c r="H84" s="64">
        <f>VLOOKUP(A84,'Aux - pivots1'!$A:$B,2,0)</f>
        <v>1</v>
      </c>
      <c r="I84" s="183">
        <f>SUMIFS(Table1[Estimação (horas)],Table1[Tabela],Plano_V3!E84,Table1[Campo],Plano_V3!F84)</f>
        <v>4.0999999999999996</v>
      </c>
      <c r="J84" s="183">
        <f t="shared" si="21"/>
        <v>0.51249999999999996</v>
      </c>
      <c r="K84" s="183">
        <f>SUMIFS(Table1[Horas efetivas],Table1[Tabela],Plano_V3!E84,Table1[Campo],Plano_V3!F84)</f>
        <v>4.0999999999999996</v>
      </c>
      <c r="L84" s="183">
        <f t="shared" si="22"/>
        <v>0.51249999999999996</v>
      </c>
      <c r="M84" s="177"/>
      <c r="N84" s="177">
        <f t="shared" si="23"/>
        <v>1</v>
      </c>
      <c r="O84" s="177">
        <f t="shared" si="12"/>
        <v>1</v>
      </c>
      <c r="P84" s="89" t="s">
        <v>56</v>
      </c>
      <c r="Q84" s="90">
        <f t="shared" si="13"/>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outlineLevel="1">
      <c r="A85" s="29" t="str">
        <f t="shared" si="20"/>
        <v>PROCESSGUARANTEE_TYPE_CODE</v>
      </c>
      <c r="B85" s="67" t="s">
        <v>26</v>
      </c>
      <c r="C85" s="68" t="s">
        <v>54</v>
      </c>
      <c r="D85" s="64" t="s">
        <v>40</v>
      </c>
      <c r="E85" s="66" t="s">
        <v>55</v>
      </c>
      <c r="F85" s="66" t="s">
        <v>66</v>
      </c>
      <c r="G85" s="64" t="str">
        <f>INDEX(Auxiliar!$B$16:$B$24,MATCH(Plano_V3!H85,Auxiliar!$C$16:$C$24,0),1)</f>
        <v>1. Concluído</v>
      </c>
      <c r="H85" s="64">
        <f>VLOOKUP(A85,'Aux - pivots1'!$A:$B,2,0)</f>
        <v>1</v>
      </c>
      <c r="I85" s="183">
        <f>SUMIFS(Table1[Estimação (horas)],Table1[Tabela],Plano_V3!E85,Table1[Campo],Plano_V3!F85)</f>
        <v>4.0999999999999996</v>
      </c>
      <c r="J85" s="183">
        <f t="shared" si="21"/>
        <v>0.51249999999999996</v>
      </c>
      <c r="K85" s="183">
        <f>SUMIFS(Table1[Horas efetivas],Table1[Tabela],Plano_V3!E85,Table1[Campo],Plano_V3!F85)</f>
        <v>4.0999999999999996</v>
      </c>
      <c r="L85" s="183">
        <f t="shared" si="22"/>
        <v>0.51249999999999996</v>
      </c>
      <c r="M85" s="177"/>
      <c r="N85" s="177">
        <f t="shared" si="23"/>
        <v>1</v>
      </c>
      <c r="O85" s="177">
        <f t="shared" si="12"/>
        <v>1</v>
      </c>
      <c r="P85" s="89" t="s">
        <v>56</v>
      </c>
      <c r="Q85" s="90">
        <f t="shared" si="13"/>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outlineLevel="1">
      <c r="A86" s="29" t="str">
        <f t="shared" si="20"/>
        <v>PROCESSPROCESS_REFERENCE_CODE</v>
      </c>
      <c r="B86" s="67" t="s">
        <v>26</v>
      </c>
      <c r="C86" s="68" t="s">
        <v>54</v>
      </c>
      <c r="D86" s="64" t="s">
        <v>40</v>
      </c>
      <c r="E86" s="66" t="s">
        <v>55</v>
      </c>
      <c r="F86" s="66" t="s">
        <v>67</v>
      </c>
      <c r="G86" s="64" t="str">
        <f>INDEX(Auxiliar!$B$16:$B$24,MATCH(Plano_V3!H86,Auxiliar!$C$16:$C$24,0),1)</f>
        <v>1. Concluído</v>
      </c>
      <c r="H86" s="64">
        <f>VLOOKUP(A86,'Aux - pivots1'!$A:$B,2,0)</f>
        <v>1</v>
      </c>
      <c r="I86" s="183">
        <f>SUMIFS(Table1[Estimação (horas)],Table1[Tabela],Plano_V3!E86,Table1[Campo],Plano_V3!F86)</f>
        <v>4.0999999999999996</v>
      </c>
      <c r="J86" s="183">
        <f t="shared" si="21"/>
        <v>0.51249999999999996</v>
      </c>
      <c r="K86" s="183">
        <f>SUMIFS(Table1[Horas efetivas],Table1[Tabela],Plano_V3!E86,Table1[Campo],Plano_V3!F86)</f>
        <v>4.0999999999999996</v>
      </c>
      <c r="L86" s="183">
        <f t="shared" si="22"/>
        <v>0.51249999999999996</v>
      </c>
      <c r="M86" s="177"/>
      <c r="N86" s="177">
        <f t="shared" si="23"/>
        <v>1</v>
      </c>
      <c r="O86" s="177">
        <f t="shared" si="12"/>
        <v>1</v>
      </c>
      <c r="P86" s="89" t="s">
        <v>56</v>
      </c>
      <c r="Q86" s="90">
        <f t="shared" si="13"/>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outlineLevel="1">
      <c r="A87" s="29" t="str">
        <f t="shared" si="20"/>
        <v>PROCESSPROCESS_START_DATE</v>
      </c>
      <c r="B87" s="67" t="s">
        <v>26</v>
      </c>
      <c r="C87" s="68" t="s">
        <v>54</v>
      </c>
      <c r="D87" s="64" t="s">
        <v>40</v>
      </c>
      <c r="E87" s="66" t="s">
        <v>55</v>
      </c>
      <c r="F87" s="66" t="s">
        <v>68</v>
      </c>
      <c r="G87" s="64" t="str">
        <f>INDEX(Auxiliar!$B$16:$B$24,MATCH(Plano_V3!H87,Auxiliar!$C$16:$C$24,0),1)</f>
        <v>1. Concluído</v>
      </c>
      <c r="H87" s="64">
        <f>VLOOKUP(A87,'Aux - pivots1'!$A:$B,2,0)</f>
        <v>1</v>
      </c>
      <c r="I87" s="183">
        <f>SUMIFS(Table1[Estimação (horas)],Table1[Tabela],Plano_V3!E87,Table1[Campo],Plano_V3!F87)</f>
        <v>4.0999999999999996</v>
      </c>
      <c r="J87" s="183">
        <f t="shared" si="21"/>
        <v>0.51249999999999996</v>
      </c>
      <c r="K87" s="183">
        <f>SUMIFS(Table1[Horas efetivas],Table1[Tabela],Plano_V3!E87,Table1[Campo],Plano_V3!F87)</f>
        <v>4.0999999999999996</v>
      </c>
      <c r="L87" s="183">
        <f t="shared" si="22"/>
        <v>0.51249999999999996</v>
      </c>
      <c r="M87" s="177"/>
      <c r="N87" s="177">
        <f t="shared" si="23"/>
        <v>1</v>
      </c>
      <c r="O87" s="177">
        <f t="shared" si="12"/>
        <v>1</v>
      </c>
      <c r="P87" s="89" t="s">
        <v>56</v>
      </c>
      <c r="Q87" s="90">
        <f t="shared" si="13"/>
        <v>0.51249999999999996</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outlineLevel="1">
      <c r="A88" s="29" t="str">
        <f t="shared" si="20"/>
        <v>PROCESSPROCESS_DUE_DATE</v>
      </c>
      <c r="B88" s="67" t="s">
        <v>26</v>
      </c>
      <c r="C88" s="68" t="s">
        <v>54</v>
      </c>
      <c r="D88" s="64" t="s">
        <v>40</v>
      </c>
      <c r="E88" s="66" t="s">
        <v>55</v>
      </c>
      <c r="F88" s="66" t="s">
        <v>69</v>
      </c>
      <c r="G88" s="64" t="str">
        <f>INDEX(Auxiliar!$B$16:$B$24,MATCH(Plano_V3!H88,Auxiliar!$C$16:$C$24,0),1)</f>
        <v>1. Concluído</v>
      </c>
      <c r="H88" s="64">
        <f>VLOOKUP(A88,'Aux - pivots1'!$A:$B,2,0)</f>
        <v>1</v>
      </c>
      <c r="I88" s="183">
        <f>SUMIFS(Table1[Estimação (horas)],Table1[Tabela],Plano_V3!E88,Table1[Campo],Plano_V3!F88)</f>
        <v>4.0999999999999996</v>
      </c>
      <c r="J88" s="183">
        <f t="shared" si="21"/>
        <v>0.51249999999999996</v>
      </c>
      <c r="K88" s="183">
        <f>SUMIFS(Table1[Horas efetivas],Table1[Tabela],Plano_V3!E88,Table1[Campo],Plano_V3!F88)</f>
        <v>4.0999999999999996</v>
      </c>
      <c r="L88" s="183">
        <f t="shared" si="22"/>
        <v>0.51249999999999996</v>
      </c>
      <c r="M88" s="177"/>
      <c r="N88" s="177">
        <f t="shared" si="23"/>
        <v>1</v>
      </c>
      <c r="O88" s="177">
        <f t="shared" si="12"/>
        <v>1</v>
      </c>
      <c r="P88" s="89" t="s">
        <v>56</v>
      </c>
      <c r="Q88" s="90">
        <f t="shared" si="13"/>
        <v>0.51249999999999996</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outlineLevel="1">
      <c r="A89" s="29" t="str">
        <f t="shared" si="20"/>
        <v>PROCESSmontante_eur</v>
      </c>
      <c r="B89" s="67" t="s">
        <v>26</v>
      </c>
      <c r="C89" s="68" t="s">
        <v>54</v>
      </c>
      <c r="D89" s="64" t="s">
        <v>40</v>
      </c>
      <c r="E89" s="66" t="s">
        <v>55</v>
      </c>
      <c r="F89" s="170" t="s">
        <v>70</v>
      </c>
      <c r="G89" s="64" t="str">
        <f>INDEX(Auxiliar!$B$16:$B$24,MATCH(Plano_V3!H89,Auxiliar!$C$16:$C$24,0),1)</f>
        <v>0. Cancelado</v>
      </c>
      <c r="H89" s="64">
        <f>VLOOKUP(A89,'Aux - pivots1'!$A:$B,2,0)</f>
        <v>0</v>
      </c>
      <c r="I89" s="184">
        <v>0</v>
      </c>
      <c r="J89" s="183">
        <f t="shared" si="21"/>
        <v>0</v>
      </c>
      <c r="K89" s="183">
        <f>SUMIFS(Table1[Horas efetivas],Table1[Tabela],Plano_V3!E89,Table1[Campo],Plano_V3!F89)</f>
        <v>0</v>
      </c>
      <c r="L89" s="183">
        <f t="shared" si="22"/>
        <v>0</v>
      </c>
      <c r="M89" s="177"/>
      <c r="N89" s="177" t="e">
        <f t="shared" si="23"/>
        <v>#DIV/0!</v>
      </c>
      <c r="O89" s="177" t="e">
        <f t="shared" si="12"/>
        <v>#DIV/0!</v>
      </c>
      <c r="P89" s="89" t="s">
        <v>56</v>
      </c>
      <c r="Q89" s="90">
        <f t="shared" si="13"/>
        <v>0</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outlineLevel="1">
      <c r="A90" s="29" t="str">
        <f t="shared" si="20"/>
        <v>PROCESSmontante_org</v>
      </c>
      <c r="B90" s="67" t="s">
        <v>26</v>
      </c>
      <c r="C90" s="68" t="s">
        <v>54</v>
      </c>
      <c r="D90" s="64" t="s">
        <v>40</v>
      </c>
      <c r="E90" s="66" t="s">
        <v>55</v>
      </c>
      <c r="F90" s="66" t="s">
        <v>71</v>
      </c>
      <c r="G90" s="64" t="str">
        <f>INDEX(Auxiliar!$B$16:$B$24,MATCH(Plano_V3!H90,Auxiliar!$C$16:$C$24,0),1)</f>
        <v>0. Cancelado</v>
      </c>
      <c r="H90" s="64">
        <f>VLOOKUP(A90,'Aux - pivots1'!$A:$B,2,0)</f>
        <v>0</v>
      </c>
      <c r="I90" s="184">
        <v>0</v>
      </c>
      <c r="J90" s="183">
        <f t="shared" si="21"/>
        <v>0</v>
      </c>
      <c r="K90" s="183">
        <f>SUMIFS(Table1[Horas efetivas],Table1[Tabela],Plano_V3!E90,Table1[Campo],Plano_V3!F90)</f>
        <v>0</v>
      </c>
      <c r="L90" s="183">
        <f t="shared" si="22"/>
        <v>0</v>
      </c>
      <c r="M90" s="177"/>
      <c r="N90" s="177" t="e">
        <f t="shared" si="23"/>
        <v>#DIV/0!</v>
      </c>
      <c r="O90" s="177" t="e">
        <f t="shared" si="12"/>
        <v>#DIV/0!</v>
      </c>
      <c r="P90" s="89" t="s">
        <v>56</v>
      </c>
      <c r="Q90" s="90">
        <f t="shared" si="13"/>
        <v>0</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outlineLevel="1">
      <c r="A91" s="29" t="str">
        <f t="shared" si="20"/>
        <v>PROCESSorigem</v>
      </c>
      <c r="B91" s="67" t="s">
        <v>26</v>
      </c>
      <c r="C91" s="68" t="s">
        <v>54</v>
      </c>
      <c r="D91" s="64" t="s">
        <v>40</v>
      </c>
      <c r="E91" s="66" t="s">
        <v>55</v>
      </c>
      <c r="F91" s="66" t="s">
        <v>72</v>
      </c>
      <c r="G91" s="64" t="str">
        <f>INDEX(Auxiliar!$B$16:$B$24,MATCH(Plano_V3!H91,Auxiliar!$C$16:$C$24,0),1)</f>
        <v>0. Cancelado</v>
      </c>
      <c r="H91" s="64">
        <f>VLOOKUP(A91,'Aux - pivots1'!$A:$B,2,0)</f>
        <v>0</v>
      </c>
      <c r="I91" s="183">
        <f>SUMIFS(Table1[Estimação (horas)],Table1[Tabela],Plano_V3!E91,Table1[Campo],Plano_V3!F91)</f>
        <v>4.0999999999999996</v>
      </c>
      <c r="J91" s="183">
        <f t="shared" si="21"/>
        <v>0.51249999999999996</v>
      </c>
      <c r="K91" s="183">
        <f>SUMIFS(Table1[Horas efetivas],Table1[Tabela],Plano_V3!E91,Table1[Campo],Plano_V3!F91)</f>
        <v>0</v>
      </c>
      <c r="L91" s="183">
        <f t="shared" si="22"/>
        <v>0</v>
      </c>
      <c r="M91" s="177"/>
      <c r="N91" s="177">
        <f t="shared" si="23"/>
        <v>0</v>
      </c>
      <c r="O91" s="177">
        <f t="shared" si="12"/>
        <v>0</v>
      </c>
      <c r="P91" s="89" t="s">
        <v>56</v>
      </c>
      <c r="Q91" s="90">
        <f t="shared" si="13"/>
        <v>0.51249999999999996</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outlineLevel="1">
      <c r="A92" s="29" t="str">
        <f t="shared" si="20"/>
        <v>PROCESSDATA_DATE_PART</v>
      </c>
      <c r="B92" s="67" t="s">
        <v>26</v>
      </c>
      <c r="C92" s="68" t="s">
        <v>54</v>
      </c>
      <c r="D92" s="64" t="s">
        <v>40</v>
      </c>
      <c r="E92" s="66" t="s">
        <v>55</v>
      </c>
      <c r="F92" s="66" t="s">
        <v>73</v>
      </c>
      <c r="G92" s="64" t="str">
        <f>INDEX(Auxiliar!$B$16:$B$24,MATCH(Plano_V3!H92,Auxiliar!$C$16:$C$24,0),1)</f>
        <v>1. Concluído</v>
      </c>
      <c r="H92" s="64">
        <f>VLOOKUP(A92,'Aux - pivots1'!$A:$B,2,0)</f>
        <v>1</v>
      </c>
      <c r="I92" s="183">
        <f>SUMIFS(Table1[Estimação (horas)],Table1[Tabela],Plano_V3!E92,Table1[Campo],Plano_V3!F92)</f>
        <v>4.0999999999999996</v>
      </c>
      <c r="J92" s="183">
        <f t="shared" si="21"/>
        <v>0.51249999999999996</v>
      </c>
      <c r="K92" s="183">
        <f>SUMIFS(Table1[Horas efetivas],Table1[Tabela],Plano_V3!E92,Table1[Campo],Plano_V3!F92)</f>
        <v>4.0999999999999996</v>
      </c>
      <c r="L92" s="183">
        <f t="shared" si="22"/>
        <v>0.51249999999999996</v>
      </c>
      <c r="M92" s="177"/>
      <c r="N92" s="177">
        <f t="shared" si="23"/>
        <v>1</v>
      </c>
      <c r="O92" s="177">
        <f t="shared" si="12"/>
        <v>1</v>
      </c>
      <c r="P92" s="89" t="s">
        <v>56</v>
      </c>
      <c r="Q92" s="90">
        <f t="shared" si="13"/>
        <v>0.51249999999999996</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outlineLevel="1">
      <c r="A93" s="29" t="str">
        <f t="shared" si="20"/>
        <v>PROCESSSOURCE_CODE</v>
      </c>
      <c r="B93" s="67"/>
      <c r="C93" s="68"/>
      <c r="D93" s="64" t="s">
        <v>40</v>
      </c>
      <c r="E93" s="66" t="s">
        <v>55</v>
      </c>
      <c r="F93" s="66" t="s">
        <v>87</v>
      </c>
      <c r="G93" s="64" t="str">
        <f>INDEX(Auxiliar!$B$16:$B$24,MATCH(Plano_V3!H93,Auxiliar!$C$16:$C$24,0),1)</f>
        <v>1. Concluído</v>
      </c>
      <c r="H93" s="64">
        <f>VLOOKUP(A93,'Aux - pivots1'!$A:$B,2,0)</f>
        <v>1</v>
      </c>
      <c r="I93" s="183">
        <f>SUMIFS(Table1[Estimação (horas)],Table1[Tabela],Plano_V3!E93,Table1[Campo],Plano_V3!F93)</f>
        <v>2</v>
      </c>
      <c r="J93" s="183">
        <f t="shared" ref="J93" si="24">I93/8</f>
        <v>0.25</v>
      </c>
      <c r="K93" s="183">
        <f>SUMIFS(Table1[Horas efetivas],Table1[Tabela],Plano_V3!E93,Table1[Campo],Plano_V3!F93)</f>
        <v>2</v>
      </c>
      <c r="L93" s="183">
        <f t="shared" ref="L93" si="25">K93/8</f>
        <v>0.25</v>
      </c>
      <c r="M93" s="177"/>
      <c r="N93" s="177"/>
      <c r="O93" s="177"/>
      <c r="P93" s="89"/>
      <c r="Q93" s="90"/>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outlineLevel="1">
      <c r="A94" s="29" t="str">
        <f t="shared" si="20"/>
        <v>RESPONSIBILITY_PROCESS_RELn.a.</v>
      </c>
      <c r="B94" s="67" t="s">
        <v>26</v>
      </c>
      <c r="C94" s="68" t="s">
        <v>54</v>
      </c>
      <c r="D94" s="64" t="s">
        <v>36</v>
      </c>
      <c r="E94" s="66" t="s">
        <v>74</v>
      </c>
      <c r="F94" s="64" t="s">
        <v>38</v>
      </c>
      <c r="G94" s="64" t="str">
        <f>INDEX(Auxiliar!$B$16:$B$24,MATCH(Plano_V3!H94,Auxiliar!$C$16:$C$24,0),1)</f>
        <v>1. Concluído</v>
      </c>
      <c r="H94" s="64">
        <f>VLOOKUP(A94,'Aux - pivots1'!$A:$B,2,0)</f>
        <v>1</v>
      </c>
      <c r="I94" s="183">
        <f>SUMIFS(Table1[Estimação (horas)],Table1[Tabela],Plano_V3!E94,Table1[Campo],Plano_V3!F94)</f>
        <v>8</v>
      </c>
      <c r="J94" s="183">
        <f t="shared" si="21"/>
        <v>1</v>
      </c>
      <c r="K94" s="183">
        <f>SUMIFS(Table1[Horas efetivas],Table1[Tabela],Plano_V3!E94,Table1[Campo],Plano_V3!F94)</f>
        <v>8</v>
      </c>
      <c r="L94" s="183">
        <f t="shared" si="22"/>
        <v>1</v>
      </c>
      <c r="M94" s="177"/>
      <c r="N94" s="177">
        <f t="shared" si="23"/>
        <v>1</v>
      </c>
      <c r="O94" s="177">
        <f t="shared" si="12"/>
        <v>1</v>
      </c>
      <c r="P94" s="89" t="s">
        <v>39</v>
      </c>
      <c r="Q94" s="90">
        <f t="shared" si="13"/>
        <v>1</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outlineLevel="1">
      <c r="A95" s="29" t="str">
        <f t="shared" si="20"/>
        <v>RESPONSIBILITY_PROCESS_RELPROCESS_BANK_ID</v>
      </c>
      <c r="B95" s="67" t="s">
        <v>26</v>
      </c>
      <c r="C95" s="68" t="s">
        <v>54</v>
      </c>
      <c r="D95" s="64" t="s">
        <v>40</v>
      </c>
      <c r="E95" s="66" t="s">
        <v>74</v>
      </c>
      <c r="F95" s="66" t="s">
        <v>57</v>
      </c>
      <c r="G95" s="64" t="str">
        <f>INDEX(Auxiliar!$B$16:$B$24,MATCH(Plano_V3!H95,Auxiliar!$C$16:$C$24,0),1)</f>
        <v>1. Concluído</v>
      </c>
      <c r="H95" s="64">
        <f>VLOOKUP(A95,'Aux - pivots1'!$A:$B,2,0)</f>
        <v>1</v>
      </c>
      <c r="I95" s="183">
        <f>SUMIFS(Table1[Estimação (horas)],Table1[Tabela],Plano_V3!E95,Table1[Campo],Plano_V3!F95)</f>
        <v>8.1</v>
      </c>
      <c r="J95" s="183">
        <f t="shared" si="21"/>
        <v>1.0125</v>
      </c>
      <c r="K95" s="183">
        <f>SUMIFS(Table1[Horas efetivas],Table1[Tabela],Plano_V3!E95,Table1[Campo],Plano_V3!F95)</f>
        <v>8.1</v>
      </c>
      <c r="L95" s="183">
        <f t="shared" si="22"/>
        <v>1.0125</v>
      </c>
      <c r="M95" s="177"/>
      <c r="N95" s="177">
        <f t="shared" si="23"/>
        <v>1</v>
      </c>
      <c r="O95" s="177">
        <f t="shared" si="12"/>
        <v>1</v>
      </c>
      <c r="P95" s="89" t="s">
        <v>39</v>
      </c>
      <c r="Q95" s="90">
        <f t="shared" si="13"/>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outlineLevel="1">
      <c r="A96" s="29" t="str">
        <f t="shared" si="20"/>
        <v>RESPONSIBILITY_PROCESS_RELBANK_ID</v>
      </c>
      <c r="B96" s="67" t="s">
        <v>26</v>
      </c>
      <c r="C96" s="68" t="s">
        <v>54</v>
      </c>
      <c r="D96" s="64" t="s">
        <v>40</v>
      </c>
      <c r="E96" s="66" t="s">
        <v>74</v>
      </c>
      <c r="F96" s="66" t="s">
        <v>75</v>
      </c>
      <c r="G96" s="64" t="str">
        <f>INDEX(Auxiliar!$B$16:$B$24,MATCH(Plano_V3!H96,Auxiliar!$C$16:$C$24,0),1)</f>
        <v>1. Concluído</v>
      </c>
      <c r="H96" s="64">
        <f>VLOOKUP(A96,'Aux - pivots1'!$A:$B,2,0)</f>
        <v>1</v>
      </c>
      <c r="I96" s="183">
        <f>SUMIFS(Table1[Estimação (horas)],Table1[Tabela],Plano_V3!E96,Table1[Campo],Plano_V3!F96)</f>
        <v>8.1</v>
      </c>
      <c r="J96" s="183">
        <f t="shared" si="21"/>
        <v>1.0125</v>
      </c>
      <c r="K96" s="183">
        <f>SUMIFS(Table1[Horas efetivas],Table1[Tabela],Plano_V3!E96,Table1[Campo],Plano_V3!F96)</f>
        <v>8.1</v>
      </c>
      <c r="L96" s="183">
        <f t="shared" si="22"/>
        <v>1.0125</v>
      </c>
      <c r="M96" s="177"/>
      <c r="N96" s="177">
        <f t="shared" si="23"/>
        <v>1</v>
      </c>
      <c r="O96" s="177">
        <f t="shared" si="12"/>
        <v>1</v>
      </c>
      <c r="P96" s="89" t="s">
        <v>39</v>
      </c>
      <c r="Q96" s="90">
        <f t="shared" si="13"/>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outlineLevel="1">
      <c r="A97" s="29" t="str">
        <f t="shared" si="20"/>
        <v>RESPONSIBILITY_PROCESS_RELPROCESS_BRANCH_CODE</v>
      </c>
      <c r="B97" s="67" t="s">
        <v>26</v>
      </c>
      <c r="C97" s="68" t="s">
        <v>54</v>
      </c>
      <c r="D97" s="64" t="s">
        <v>40</v>
      </c>
      <c r="E97" s="66" t="s">
        <v>74</v>
      </c>
      <c r="F97" s="66" t="s">
        <v>58</v>
      </c>
      <c r="G97" s="64" t="str">
        <f>INDEX(Auxiliar!$B$16:$B$24,MATCH(Plano_V3!H97,Auxiliar!$C$16:$C$24,0),1)</f>
        <v>1. Concluído</v>
      </c>
      <c r="H97" s="64">
        <f>VLOOKUP(A97,'Aux - pivots1'!$A:$B,2,0)</f>
        <v>1</v>
      </c>
      <c r="I97" s="183">
        <f>SUMIFS(Table1[Estimação (horas)],Table1[Tabela],Plano_V3!E97,Table1[Campo],Plano_V3!F97)</f>
        <v>8.1</v>
      </c>
      <c r="J97" s="183">
        <f t="shared" si="21"/>
        <v>1.0125</v>
      </c>
      <c r="K97" s="183">
        <f>SUMIFS(Table1[Horas efetivas],Table1[Tabela],Plano_V3!E97,Table1[Campo],Plano_V3!F97)</f>
        <v>8.1</v>
      </c>
      <c r="L97" s="183">
        <f t="shared" si="22"/>
        <v>1.0125</v>
      </c>
      <c r="M97" s="177"/>
      <c r="N97" s="177">
        <f t="shared" si="23"/>
        <v>1</v>
      </c>
      <c r="O97" s="177">
        <f t="shared" si="12"/>
        <v>1</v>
      </c>
      <c r="P97" s="89" t="s">
        <v>39</v>
      </c>
      <c r="Q97" s="90">
        <f t="shared" si="13"/>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outlineLevel="1">
      <c r="A98" s="29" t="str">
        <f t="shared" si="20"/>
        <v>RESPONSIBILITY_PROCESS_RELBRANCH_CODE</v>
      </c>
      <c r="B98" s="67" t="s">
        <v>26</v>
      </c>
      <c r="C98" s="68" t="s">
        <v>54</v>
      </c>
      <c r="D98" s="64" t="s">
        <v>40</v>
      </c>
      <c r="E98" s="66" t="s">
        <v>74</v>
      </c>
      <c r="F98" s="66" t="s">
        <v>76</v>
      </c>
      <c r="G98" s="64" t="str">
        <f>INDEX(Auxiliar!$B$16:$B$24,MATCH(Plano_V3!H98,Auxiliar!$C$16:$C$24,0),1)</f>
        <v>1. Concluído</v>
      </c>
      <c r="H98" s="64">
        <f>VLOOKUP(A98,'Aux - pivots1'!$A:$B,2,0)</f>
        <v>1</v>
      </c>
      <c r="I98" s="183">
        <f>SUMIFS(Table1[Estimação (horas)],Table1[Tabela],Plano_V3!E98,Table1[Campo],Plano_V3!F98)</f>
        <v>8.1</v>
      </c>
      <c r="J98" s="183">
        <f t="shared" si="21"/>
        <v>1.0125</v>
      </c>
      <c r="K98" s="183">
        <f>SUMIFS(Table1[Horas efetivas],Table1[Tabela],Plano_V3!E98,Table1[Campo],Plano_V3!F98)</f>
        <v>8.1</v>
      </c>
      <c r="L98" s="183">
        <f t="shared" si="22"/>
        <v>1.0125</v>
      </c>
      <c r="M98" s="177"/>
      <c r="N98" s="177">
        <f t="shared" si="23"/>
        <v>1</v>
      </c>
      <c r="O98" s="177">
        <f t="shared" si="12"/>
        <v>1</v>
      </c>
      <c r="P98" s="89" t="s">
        <v>39</v>
      </c>
      <c r="Q98" s="90">
        <f t="shared" si="13"/>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outlineLevel="1">
      <c r="A99" s="29" t="str">
        <f t="shared" si="20"/>
        <v>RESPONSIBILITY_PROCESS_RELCONTRACT_ID</v>
      </c>
      <c r="B99" s="67" t="s">
        <v>26</v>
      </c>
      <c r="C99" s="68" t="s">
        <v>54</v>
      </c>
      <c r="D99" s="64" t="s">
        <v>40</v>
      </c>
      <c r="E99" s="66" t="s">
        <v>74</v>
      </c>
      <c r="F99" s="66" t="s">
        <v>77</v>
      </c>
      <c r="G99" s="64" t="str">
        <f>INDEX(Auxiliar!$B$16:$B$24,MATCH(Plano_V3!H99,Auxiliar!$C$16:$C$24,0),1)</f>
        <v>1. Concluído</v>
      </c>
      <c r="H99" s="64">
        <f>VLOOKUP(A99,'Aux - pivots1'!$A:$B,2,0)</f>
        <v>1</v>
      </c>
      <c r="I99" s="183">
        <f>SUMIFS(Table1[Estimação (horas)],Table1[Tabela],Plano_V3!E99,Table1[Campo],Plano_V3!F99)</f>
        <v>8.1</v>
      </c>
      <c r="J99" s="183">
        <f t="shared" si="21"/>
        <v>1.0125</v>
      </c>
      <c r="K99" s="183">
        <f>SUMIFS(Table1[Horas efetivas],Table1[Tabela],Plano_V3!E99,Table1[Campo],Plano_V3!F99)</f>
        <v>8.1</v>
      </c>
      <c r="L99" s="183">
        <f t="shared" si="22"/>
        <v>1.0125</v>
      </c>
      <c r="M99" s="177"/>
      <c r="N99" s="177">
        <f t="shared" si="23"/>
        <v>1</v>
      </c>
      <c r="O99" s="177">
        <f t="shared" si="12"/>
        <v>1</v>
      </c>
      <c r="P99" s="89" t="s">
        <v>39</v>
      </c>
      <c r="Q99" s="90">
        <f t="shared" si="13"/>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outlineLevel="1">
      <c r="A100" s="29" t="str">
        <f t="shared" si="20"/>
        <v>RESPONSIBILITY_PROCESS_RELPROCESS_ACCOUNT_ID</v>
      </c>
      <c r="B100" s="67" t="s">
        <v>26</v>
      </c>
      <c r="C100" s="68" t="s">
        <v>54</v>
      </c>
      <c r="D100" s="64" t="s">
        <v>40</v>
      </c>
      <c r="E100" s="66" t="s">
        <v>74</v>
      </c>
      <c r="F100" s="66" t="s">
        <v>59</v>
      </c>
      <c r="G100" s="64" t="str">
        <f>INDEX(Auxiliar!$B$16:$B$24,MATCH(Plano_V3!H100,Auxiliar!$C$16:$C$24,0),1)</f>
        <v>1. Concluído</v>
      </c>
      <c r="H100" s="64">
        <f>VLOOKUP(A100,'Aux - pivots1'!$A:$B,2,0)</f>
        <v>1</v>
      </c>
      <c r="I100" s="183">
        <f>SUMIFS(Table1[Estimação (horas)],Table1[Tabela],Plano_V3!E100,Table1[Campo],Plano_V3!F100)</f>
        <v>8.1</v>
      </c>
      <c r="J100" s="183">
        <f t="shared" si="21"/>
        <v>1.0125</v>
      </c>
      <c r="K100" s="183">
        <f>SUMIFS(Table1[Horas efetivas],Table1[Tabela],Plano_V3!E100,Table1[Campo],Plano_V3!F100)</f>
        <v>8.1</v>
      </c>
      <c r="L100" s="183">
        <f t="shared" si="22"/>
        <v>1.0125</v>
      </c>
      <c r="M100" s="177"/>
      <c r="N100" s="177">
        <f t="shared" si="23"/>
        <v>1</v>
      </c>
      <c r="O100" s="177">
        <f t="shared" si="12"/>
        <v>1</v>
      </c>
      <c r="P100" s="89" t="s">
        <v>39</v>
      </c>
      <c r="Q100" s="90">
        <f t="shared" si="13"/>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outlineLevel="1">
      <c r="A101" s="29" t="str">
        <f t="shared" si="20"/>
        <v>RESPONSIBILITY_PROCESS_RELREFERENCE_CODE</v>
      </c>
      <c r="B101" s="67" t="s">
        <v>26</v>
      </c>
      <c r="C101" s="68" t="s">
        <v>54</v>
      </c>
      <c r="D101" s="64" t="s">
        <v>40</v>
      </c>
      <c r="E101" s="66" t="s">
        <v>74</v>
      </c>
      <c r="F101" s="66" t="s">
        <v>78</v>
      </c>
      <c r="G101" s="64" t="str">
        <f>INDEX(Auxiliar!$B$16:$B$24,MATCH(Plano_V3!H101,Auxiliar!$C$16:$C$24,0),1)</f>
        <v>1. Concluído</v>
      </c>
      <c r="H101" s="64">
        <f>VLOOKUP(A101,'Aux - pivots1'!$A:$B,2,0)</f>
        <v>1</v>
      </c>
      <c r="I101" s="183">
        <f>SUMIFS(Table1[Estimação (horas)],Table1[Tabela],Plano_V3!E101,Table1[Campo],Plano_V3!F101)</f>
        <v>8.1</v>
      </c>
      <c r="J101" s="183">
        <f t="shared" si="21"/>
        <v>1.0125</v>
      </c>
      <c r="K101" s="183">
        <f>SUMIFS(Table1[Horas efetivas],Table1[Tabela],Plano_V3!E101,Table1[Campo],Plano_V3!F101)</f>
        <v>8.1</v>
      </c>
      <c r="L101" s="183">
        <f t="shared" si="22"/>
        <v>1.0125</v>
      </c>
      <c r="M101" s="177"/>
      <c r="N101" s="177">
        <f t="shared" si="23"/>
        <v>1</v>
      </c>
      <c r="O101" s="177">
        <f t="shared" si="12"/>
        <v>1</v>
      </c>
      <c r="P101" s="89" t="s">
        <v>39</v>
      </c>
      <c r="Q101" s="90">
        <f t="shared" si="13"/>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outlineLevel="1">
      <c r="A102" s="29" t="str">
        <f t="shared" si="20"/>
        <v>RESPONSIBILITY_PROCESS_RELPURPOSE_CODE</v>
      </c>
      <c r="B102" s="67" t="s">
        <v>26</v>
      </c>
      <c r="C102" s="68" t="s">
        <v>54</v>
      </c>
      <c r="D102" s="64" t="s">
        <v>40</v>
      </c>
      <c r="E102" s="66" t="s">
        <v>74</v>
      </c>
      <c r="F102" s="66" t="s">
        <v>79</v>
      </c>
      <c r="G102" s="64" t="str">
        <f>INDEX(Auxiliar!$B$16:$B$24,MATCH(Plano_V3!H102,Auxiliar!$C$16:$C$24,0),1)</f>
        <v>1. Concluído</v>
      </c>
      <c r="H102" s="64">
        <f>VLOOKUP(A102,'Aux - pivots1'!$A:$B,2,0)</f>
        <v>1</v>
      </c>
      <c r="I102" s="183">
        <f>SUMIFS(Table1[Estimação (horas)],Table1[Tabela],Plano_V3!E102,Table1[Campo],Plano_V3!F102)</f>
        <v>8.1</v>
      </c>
      <c r="J102" s="183">
        <f t="shared" si="21"/>
        <v>1.0125</v>
      </c>
      <c r="K102" s="183">
        <f>SUMIFS(Table1[Horas efetivas],Table1[Tabela],Plano_V3!E102,Table1[Campo],Plano_V3!F102)</f>
        <v>8.1</v>
      </c>
      <c r="L102" s="183">
        <f t="shared" si="22"/>
        <v>1.0125</v>
      </c>
      <c r="M102" s="177"/>
      <c r="N102" s="177">
        <f t="shared" si="23"/>
        <v>1</v>
      </c>
      <c r="O102" s="177">
        <f t="shared" si="12"/>
        <v>1</v>
      </c>
      <c r="P102" s="89" t="s">
        <v>39</v>
      </c>
      <c r="Q102" s="90">
        <f t="shared" si="13"/>
        <v>1.0125</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outlineLevel="1">
      <c r="A103" s="29" t="str">
        <f t="shared" si="20"/>
        <v>RESPONSIBILITY_PROCESS_RELINDIVIDUAL_OCCUPATION_CODE</v>
      </c>
      <c r="B103" s="67" t="s">
        <v>26</v>
      </c>
      <c r="C103" s="68" t="s">
        <v>54</v>
      </c>
      <c r="D103" s="64" t="s">
        <v>40</v>
      </c>
      <c r="E103" s="66" t="s">
        <v>74</v>
      </c>
      <c r="F103" s="66" t="s">
        <v>80</v>
      </c>
      <c r="G103" s="64" t="str">
        <f>INDEX(Auxiliar!$B$16:$B$24,MATCH(Plano_V3!H103,Auxiliar!$C$16:$C$24,0),1)</f>
        <v>1. Concluído</v>
      </c>
      <c r="H103" s="64">
        <f>VLOOKUP(A103,'Aux - pivots1'!$A:$B,2,0)</f>
        <v>1</v>
      </c>
      <c r="I103" s="183">
        <f>SUMIFS(Table1[Estimação (horas)],Table1[Tabela],Plano_V3!E103,Table1[Campo],Plano_V3!F103)</f>
        <v>8.1</v>
      </c>
      <c r="J103" s="183">
        <f t="shared" si="21"/>
        <v>1.0125</v>
      </c>
      <c r="K103" s="183">
        <f>SUMIFS(Table1[Horas efetivas],Table1[Tabela],Plano_V3!E103,Table1[Campo],Plano_V3!F103)</f>
        <v>8.1</v>
      </c>
      <c r="L103" s="183">
        <f t="shared" si="22"/>
        <v>1.0125</v>
      </c>
      <c r="M103" s="177"/>
      <c r="N103" s="177">
        <f t="shared" si="23"/>
        <v>1</v>
      </c>
      <c r="O103" s="177">
        <f t="shared" si="12"/>
        <v>1</v>
      </c>
      <c r="P103" s="89" t="s">
        <v>39</v>
      </c>
      <c r="Q103" s="90">
        <f t="shared" si="13"/>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outlineLevel="1">
      <c r="A104" s="29" t="str">
        <f t="shared" si="20"/>
        <v>RESPONSIBILITY_PROCESS_RELPRODUCT_ID</v>
      </c>
      <c r="B104" s="67" t="s">
        <v>26</v>
      </c>
      <c r="C104" s="68" t="s">
        <v>54</v>
      </c>
      <c r="D104" s="64" t="s">
        <v>40</v>
      </c>
      <c r="E104" s="66" t="s">
        <v>74</v>
      </c>
      <c r="F104" s="66" t="s">
        <v>81</v>
      </c>
      <c r="G104" s="64" t="str">
        <f>INDEX(Auxiliar!$B$16:$B$24,MATCH(Plano_V3!H104,Auxiliar!$C$16:$C$24,0),1)</f>
        <v>1. Concluído</v>
      </c>
      <c r="H104" s="64">
        <f>VLOOKUP(A104,'Aux - pivots1'!$A:$B,2,0)</f>
        <v>1</v>
      </c>
      <c r="I104" s="183">
        <f>SUMIFS(Table1[Estimação (horas)],Table1[Tabela],Plano_V3!E104,Table1[Campo],Plano_V3!F104)</f>
        <v>8.1</v>
      </c>
      <c r="J104" s="183">
        <f t="shared" si="21"/>
        <v>1.0125</v>
      </c>
      <c r="K104" s="183">
        <f>SUMIFS(Table1[Horas efetivas],Table1[Tabela],Plano_V3!E104,Table1[Campo],Plano_V3!F104)</f>
        <v>8.1</v>
      </c>
      <c r="L104" s="183">
        <f t="shared" si="22"/>
        <v>1.0125</v>
      </c>
      <c r="M104" s="177"/>
      <c r="N104" s="177">
        <f t="shared" si="23"/>
        <v>1</v>
      </c>
      <c r="O104" s="177">
        <f t="shared" si="12"/>
        <v>1</v>
      </c>
      <c r="P104" s="89" t="s">
        <v>39</v>
      </c>
      <c r="Q104" s="90">
        <f t="shared" si="13"/>
        <v>1.0125</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outlineLevel="1">
      <c r="A105" s="29" t="str">
        <f t="shared" si="20"/>
        <v>RESPONSIBILITY_PROCESS_RELcod_sit</v>
      </c>
      <c r="B105" s="67" t="s">
        <v>26</v>
      </c>
      <c r="C105" s="68" t="s">
        <v>54</v>
      </c>
      <c r="D105" s="64" t="s">
        <v>40</v>
      </c>
      <c r="E105" s="66" t="s">
        <v>74</v>
      </c>
      <c r="F105" s="66" t="s">
        <v>82</v>
      </c>
      <c r="G105" s="64" t="str">
        <f>INDEX(Auxiliar!$B$16:$B$24,MATCH(Plano_V3!H105,Auxiliar!$C$16:$C$24,0),1)</f>
        <v>0. Cancelado</v>
      </c>
      <c r="H105" s="64">
        <f>VLOOKUP(A105,'Aux - pivots1'!$A:$B,2,0)</f>
        <v>0</v>
      </c>
      <c r="I105" s="184">
        <v>0</v>
      </c>
      <c r="J105" s="183">
        <f t="shared" si="21"/>
        <v>0</v>
      </c>
      <c r="K105" s="183">
        <f>SUMIFS(Table1[Horas efetivas],Table1[Tabela],Plano_V3!E105,Table1[Campo],Plano_V3!F105)</f>
        <v>0</v>
      </c>
      <c r="L105" s="183">
        <f t="shared" si="22"/>
        <v>0</v>
      </c>
      <c r="M105" s="177"/>
      <c r="N105" s="177" t="e">
        <f t="shared" si="23"/>
        <v>#DIV/0!</v>
      </c>
      <c r="O105" s="177" t="e">
        <f t="shared" si="12"/>
        <v>#DIV/0!</v>
      </c>
      <c r="P105" s="89" t="s">
        <v>39</v>
      </c>
      <c r="Q105" s="90">
        <f t="shared" si="13"/>
        <v>0</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outlineLevel="1">
      <c r="A106" s="29" t="str">
        <f t="shared" si="20"/>
        <v>RESPONSIBILITY_PROCESS_RELSUBPRODUCT_ID</v>
      </c>
      <c r="B106" s="67" t="s">
        <v>26</v>
      </c>
      <c r="C106" s="68" t="s">
        <v>54</v>
      </c>
      <c r="D106" s="64" t="s">
        <v>40</v>
      </c>
      <c r="E106" s="66" t="s">
        <v>74</v>
      </c>
      <c r="F106" s="66" t="s">
        <v>83</v>
      </c>
      <c r="G106" s="64" t="str">
        <f>INDEX(Auxiliar!$B$16:$B$24,MATCH(Plano_V3!H106,Auxiliar!$C$16:$C$24,0),1)</f>
        <v>1. Concluído</v>
      </c>
      <c r="H106" s="64">
        <f>VLOOKUP(A106,'Aux - pivots1'!$A:$B,2,0)</f>
        <v>1</v>
      </c>
      <c r="I106" s="183">
        <f>SUMIFS(Table1[Estimação (horas)],Table1[Tabela],Plano_V3!E106,Table1[Campo],Plano_V3!F106)</f>
        <v>8.1</v>
      </c>
      <c r="J106" s="183">
        <f t="shared" si="21"/>
        <v>1.0125</v>
      </c>
      <c r="K106" s="183">
        <f>SUMIFS(Table1[Horas efetivas],Table1[Tabela],Plano_V3!E106,Table1[Campo],Plano_V3!F106)</f>
        <v>8.1</v>
      </c>
      <c r="L106" s="183">
        <f t="shared" si="22"/>
        <v>1.0125</v>
      </c>
      <c r="M106" s="177"/>
      <c r="N106" s="177">
        <f t="shared" si="23"/>
        <v>1</v>
      </c>
      <c r="O106" s="177">
        <f t="shared" si="12"/>
        <v>1</v>
      </c>
      <c r="P106" s="89" t="s">
        <v>39</v>
      </c>
      <c r="Q106" s="90">
        <f t="shared" si="13"/>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outlineLevel="1">
      <c r="A107" s="29" t="str">
        <f t="shared" si="20"/>
        <v>RESPONSIBILITY_PROCESS_RELPROCESS_REFERENCE_CODE</v>
      </c>
      <c r="B107" s="67" t="s">
        <v>26</v>
      </c>
      <c r="C107" s="68" t="s">
        <v>54</v>
      </c>
      <c r="D107" s="64" t="s">
        <v>40</v>
      </c>
      <c r="E107" s="66" t="s">
        <v>74</v>
      </c>
      <c r="F107" s="66" t="s">
        <v>67</v>
      </c>
      <c r="G107" s="64" t="str">
        <f>INDEX(Auxiliar!$B$16:$B$24,MATCH(Plano_V3!H107,Auxiliar!$C$16:$C$24,0),1)</f>
        <v>1. Concluído</v>
      </c>
      <c r="H107" s="64">
        <f>VLOOKUP(A107,'Aux - pivots1'!$A:$B,2,0)</f>
        <v>1</v>
      </c>
      <c r="I107" s="183">
        <f>SUMIFS(Table1[Estimação (horas)],Table1[Tabela],Plano_V3!E107,Table1[Campo],Plano_V3!F107)</f>
        <v>8.1</v>
      </c>
      <c r="J107" s="183">
        <f t="shared" si="21"/>
        <v>1.0125</v>
      </c>
      <c r="K107" s="183">
        <f>SUMIFS(Table1[Horas efetivas],Table1[Tabela],Plano_V3!E107,Table1[Campo],Plano_V3!F107)</f>
        <v>8.1</v>
      </c>
      <c r="L107" s="183">
        <f t="shared" si="22"/>
        <v>1.0125</v>
      </c>
      <c r="M107" s="177"/>
      <c r="N107" s="177">
        <f t="shared" si="23"/>
        <v>1</v>
      </c>
      <c r="O107" s="177">
        <f t="shared" si="12"/>
        <v>1</v>
      </c>
      <c r="P107" s="89" t="s">
        <v>39</v>
      </c>
      <c r="Q107" s="90">
        <f t="shared" si="13"/>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outlineLevel="1">
      <c r="A108" s="29" t="str">
        <f t="shared" si="20"/>
        <v>RESPONSIBILITY_PROCESS_RELEFFECTIVE_RELATION_END_DATE</v>
      </c>
      <c r="B108" s="67" t="s">
        <v>26</v>
      </c>
      <c r="C108" s="68" t="s">
        <v>54</v>
      </c>
      <c r="D108" s="64" t="s">
        <v>40</v>
      </c>
      <c r="E108" s="66" t="s">
        <v>74</v>
      </c>
      <c r="F108" s="66" t="s">
        <v>84</v>
      </c>
      <c r="G108" s="64" t="str">
        <f>INDEX(Auxiliar!$B$16:$B$24,MATCH(Plano_V3!H108,Auxiliar!$C$16:$C$24,0),1)</f>
        <v>1. Concluído</v>
      </c>
      <c r="H108" s="64">
        <f>VLOOKUP(A108,'Aux - pivots1'!$A:$B,2,0)</f>
        <v>1</v>
      </c>
      <c r="I108" s="183">
        <f>SUMIFS(Table1[Estimação (horas)],Table1[Tabela],Plano_V3!E108,Table1[Campo],Plano_V3!F108)</f>
        <v>8.1</v>
      </c>
      <c r="J108" s="183">
        <f t="shared" si="21"/>
        <v>1.0125</v>
      </c>
      <c r="K108" s="183">
        <f>SUMIFS(Table1[Horas efetivas],Table1[Tabela],Plano_V3!E108,Table1[Campo],Plano_V3!F108)</f>
        <v>8.1</v>
      </c>
      <c r="L108" s="183">
        <f t="shared" si="22"/>
        <v>1.0125</v>
      </c>
      <c r="M108" s="177"/>
      <c r="N108" s="177">
        <f t="shared" si="23"/>
        <v>1</v>
      </c>
      <c r="O108" s="177">
        <f t="shared" si="12"/>
        <v>1</v>
      </c>
      <c r="P108" s="89" t="s">
        <v>39</v>
      </c>
      <c r="Q108" s="90">
        <f t="shared" si="13"/>
        <v>1.0125</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outlineLevel="1">
      <c r="A109" s="29" t="str">
        <f t="shared" si="20"/>
        <v>RESPONSIBILITY_PROCESS_RELPROCESS_START_DATE</v>
      </c>
      <c r="B109" s="67" t="s">
        <v>26</v>
      </c>
      <c r="C109" s="68" t="s">
        <v>54</v>
      </c>
      <c r="D109" s="64" t="s">
        <v>40</v>
      </c>
      <c r="E109" s="66" t="s">
        <v>74</v>
      </c>
      <c r="F109" s="66" t="s">
        <v>68</v>
      </c>
      <c r="G109" s="64" t="str">
        <f>INDEX(Auxiliar!$B$16:$B$24,MATCH(Plano_V3!H109,Auxiliar!$C$16:$C$24,0),1)</f>
        <v>1. Concluído</v>
      </c>
      <c r="H109" s="64">
        <f>VLOOKUP(A109,'Aux - pivots1'!$A:$B,2,0)</f>
        <v>1</v>
      </c>
      <c r="I109" s="183">
        <f>SUMIFS(Table1[Estimação (horas)],Table1[Tabela],Plano_V3!E109,Table1[Campo],Plano_V3!F109)</f>
        <v>8.1</v>
      </c>
      <c r="J109" s="183">
        <f t="shared" si="21"/>
        <v>1.0125</v>
      </c>
      <c r="K109" s="183">
        <f>SUMIFS(Table1[Horas efetivas],Table1[Tabela],Plano_V3!E109,Table1[Campo],Plano_V3!F109)</f>
        <v>8.1</v>
      </c>
      <c r="L109" s="183">
        <f t="shared" si="22"/>
        <v>1.0125</v>
      </c>
      <c r="M109" s="177"/>
      <c r="N109" s="177">
        <f t="shared" si="23"/>
        <v>1</v>
      </c>
      <c r="O109" s="177">
        <f t="shared" si="12"/>
        <v>1</v>
      </c>
      <c r="P109" s="89" t="s">
        <v>39</v>
      </c>
      <c r="Q109" s="90">
        <f t="shared" si="13"/>
        <v>1.0125</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outlineLevel="1">
      <c r="A110" s="29" t="str">
        <f t="shared" si="20"/>
        <v>RESPONSIBILITY_PROCESS_RELPROCESS_DUE_DATE</v>
      </c>
      <c r="B110" s="67" t="s">
        <v>26</v>
      </c>
      <c r="C110" s="68" t="s">
        <v>54</v>
      </c>
      <c r="D110" s="64" t="s">
        <v>40</v>
      </c>
      <c r="E110" s="66" t="s">
        <v>74</v>
      </c>
      <c r="F110" s="66" t="s">
        <v>69</v>
      </c>
      <c r="G110" s="64" t="str">
        <f>INDEX(Auxiliar!$B$16:$B$24,MATCH(Plano_V3!H110,Auxiliar!$C$16:$C$24,0),1)</f>
        <v>1. Concluído</v>
      </c>
      <c r="H110" s="64">
        <f>VLOOKUP(A110,'Aux - pivots1'!$A:$B,2,0)</f>
        <v>1</v>
      </c>
      <c r="I110" s="183">
        <f>SUMIFS(Table1[Estimação (horas)],Table1[Tabela],Plano_V3!E110,Table1[Campo],Plano_V3!F110)</f>
        <v>8.1</v>
      </c>
      <c r="J110" s="183">
        <f t="shared" si="21"/>
        <v>1.0125</v>
      </c>
      <c r="K110" s="183">
        <f>SUMIFS(Table1[Horas efetivas],Table1[Tabela],Plano_V3!E110,Table1[Campo],Plano_V3!F110)</f>
        <v>8.1</v>
      </c>
      <c r="L110" s="183">
        <f t="shared" si="22"/>
        <v>1.0125</v>
      </c>
      <c r="M110" s="177"/>
      <c r="N110" s="177">
        <f t="shared" si="23"/>
        <v>1</v>
      </c>
      <c r="O110" s="177">
        <f t="shared" si="12"/>
        <v>1</v>
      </c>
      <c r="P110" s="89" t="s">
        <v>39</v>
      </c>
      <c r="Q110" s="90">
        <f t="shared" si="13"/>
        <v>1.0125</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outlineLevel="1">
      <c r="A111" s="29" t="str">
        <f t="shared" si="20"/>
        <v>RESPONSIBILITY_PROCESS_RELidetgar</v>
      </c>
      <c r="B111" s="67" t="s">
        <v>26</v>
      </c>
      <c r="C111" s="68" t="s">
        <v>54</v>
      </c>
      <c r="D111" s="64" t="s">
        <v>40</v>
      </c>
      <c r="E111" s="66" t="s">
        <v>74</v>
      </c>
      <c r="F111" s="66" t="s">
        <v>85</v>
      </c>
      <c r="G111" s="64" t="str">
        <f>INDEX(Auxiliar!$B$16:$B$24,MATCH(Plano_V3!H111,Auxiliar!$C$16:$C$24,0),1)</f>
        <v>0. Cancelado</v>
      </c>
      <c r="H111" s="64">
        <f>VLOOKUP(A111,'Aux - pivots1'!$A:$B,2,0)</f>
        <v>0</v>
      </c>
      <c r="I111" s="184">
        <v>0</v>
      </c>
      <c r="J111" s="183">
        <f t="shared" si="21"/>
        <v>0</v>
      </c>
      <c r="K111" s="183">
        <f>SUMIFS(Table1[Horas efetivas],Table1[Tabela],Plano_V3!E111,Table1[Campo],Plano_V3!F111)</f>
        <v>0</v>
      </c>
      <c r="L111" s="183">
        <f t="shared" si="22"/>
        <v>0</v>
      </c>
      <c r="M111" s="177"/>
      <c r="N111" s="177" t="e">
        <f t="shared" si="23"/>
        <v>#DIV/0!</v>
      </c>
      <c r="O111" s="177" t="e">
        <f t="shared" si="12"/>
        <v>#DIV/0!</v>
      </c>
      <c r="P111" s="89" t="s">
        <v>39</v>
      </c>
      <c r="Q111" s="90">
        <f t="shared" si="13"/>
        <v>0</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outlineLevel="1">
      <c r="A112" s="29" t="str">
        <f t="shared" si="20"/>
        <v>RESPONSIBILITY_PROCESS_RELnum_prop</v>
      </c>
      <c r="B112" s="67" t="s">
        <v>26</v>
      </c>
      <c r="C112" s="68" t="s">
        <v>54</v>
      </c>
      <c r="D112" s="64" t="s">
        <v>40</v>
      </c>
      <c r="E112" s="66" t="s">
        <v>74</v>
      </c>
      <c r="F112" s="66" t="s">
        <v>86</v>
      </c>
      <c r="G112" s="64" t="str">
        <f>INDEX(Auxiliar!$B$16:$B$24,MATCH(Plano_V3!H112,Auxiliar!$C$16:$C$24,0),1)</f>
        <v>0. Cancelado</v>
      </c>
      <c r="H112" s="64">
        <f>VLOOKUP(A112,'Aux - pivots1'!$A:$B,2,0)</f>
        <v>0</v>
      </c>
      <c r="I112" s="184">
        <v>0</v>
      </c>
      <c r="J112" s="183">
        <f t="shared" si="21"/>
        <v>0</v>
      </c>
      <c r="K112" s="183">
        <f>SUMIFS(Table1[Horas efetivas],Table1[Tabela],Plano_V3!E112,Table1[Campo],Plano_V3!F112)</f>
        <v>0</v>
      </c>
      <c r="L112" s="183">
        <f t="shared" si="22"/>
        <v>0</v>
      </c>
      <c r="M112" s="177"/>
      <c r="N112" s="177" t="e">
        <f t="shared" si="23"/>
        <v>#DIV/0!</v>
      </c>
      <c r="O112" s="177" t="e">
        <f t="shared" si="12"/>
        <v>#DIV/0!</v>
      </c>
      <c r="P112" s="89" t="s">
        <v>39</v>
      </c>
      <c r="Q112" s="90">
        <f t="shared" si="13"/>
        <v>0</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outlineLevel="1">
      <c r="A113" s="29" t="str">
        <f t="shared" si="20"/>
        <v>RESPONSIBILITY_PROCESS_RELSOURCE_CODE</v>
      </c>
      <c r="B113" s="67" t="s">
        <v>26</v>
      </c>
      <c r="C113" s="68" t="s">
        <v>54</v>
      </c>
      <c r="D113" s="64" t="s">
        <v>40</v>
      </c>
      <c r="E113" s="66" t="s">
        <v>74</v>
      </c>
      <c r="F113" s="66" t="s">
        <v>87</v>
      </c>
      <c r="G113" s="64" t="str">
        <f>INDEX(Auxiliar!$B$16:$B$24,MATCH(Plano_V3!H113,Auxiliar!$C$16:$C$24,0),1)</f>
        <v>1. Concluído</v>
      </c>
      <c r="H113" s="64">
        <f>VLOOKUP(A113,'Aux - pivots1'!$A:$B,2,0)</f>
        <v>1</v>
      </c>
      <c r="I113" s="183">
        <f>SUMIFS(Table1[Estimação (horas)],Table1[Tabela],Plano_V3!E113,Table1[Campo],Plano_V3!F113)</f>
        <v>4.0999999999999996</v>
      </c>
      <c r="J113" s="183">
        <f t="shared" si="21"/>
        <v>0.51249999999999996</v>
      </c>
      <c r="K113" s="183">
        <f>SUMIFS(Table1[Horas efetivas],Table1[Tabela],Plano_V3!E113,Table1[Campo],Plano_V3!F113)</f>
        <v>4.0999999999999996</v>
      </c>
      <c r="L113" s="183">
        <f t="shared" si="22"/>
        <v>0.51249999999999996</v>
      </c>
      <c r="M113" s="177"/>
      <c r="N113" s="177">
        <f t="shared" si="23"/>
        <v>1</v>
      </c>
      <c r="O113" s="177">
        <f t="shared" si="12"/>
        <v>1</v>
      </c>
      <c r="P113" s="89" t="s">
        <v>39</v>
      </c>
      <c r="Q113" s="90">
        <f t="shared" si="13"/>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outlineLevel="1">
      <c r="A114" s="29" t="str">
        <f t="shared" si="20"/>
        <v>RESPONSIBILITY_PROCESS_RELDATA_DATE_PART</v>
      </c>
      <c r="B114" s="67" t="s">
        <v>26</v>
      </c>
      <c r="C114" s="68" t="s">
        <v>54</v>
      </c>
      <c r="D114" s="64" t="s">
        <v>40</v>
      </c>
      <c r="E114" s="66" t="s">
        <v>74</v>
      </c>
      <c r="F114" s="66" t="s">
        <v>73</v>
      </c>
      <c r="G114" s="64" t="str">
        <f>INDEX(Auxiliar!$B$16:$B$24,MATCH(Plano_V3!H114,Auxiliar!$C$16:$C$24,0),1)</f>
        <v>1. Concluído</v>
      </c>
      <c r="H114" s="64">
        <f>VLOOKUP(A114,'Aux - pivots1'!$A:$B,2,0)</f>
        <v>1</v>
      </c>
      <c r="I114" s="183">
        <f>SUMIFS(Table1[Estimação (horas)],Table1[Tabela],Plano_V3!E114,Table1[Campo],Plano_V3!F114)</f>
        <v>4.0999999999999996</v>
      </c>
      <c r="J114" s="183">
        <f t="shared" si="21"/>
        <v>0.51249999999999996</v>
      </c>
      <c r="K114" s="183">
        <f>SUMIFS(Table1[Horas efetivas],Table1[Tabela],Plano_V3!E114,Table1[Campo],Plano_V3!F114)</f>
        <v>4.0999999999999996</v>
      </c>
      <c r="L114" s="183">
        <f t="shared" si="22"/>
        <v>0.51249999999999996</v>
      </c>
      <c r="M114" s="177"/>
      <c r="N114" s="177">
        <f t="shared" si="23"/>
        <v>1</v>
      </c>
      <c r="O114" s="177">
        <f t="shared" si="12"/>
        <v>1</v>
      </c>
      <c r="P114" s="89" t="s">
        <v>39</v>
      </c>
      <c r="Q114" s="90">
        <f t="shared" si="13"/>
        <v>0.51249999999999996</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outlineLevel="1">
      <c r="A115" s="29" t="str">
        <f t="shared" si="20"/>
        <v>PROCESS_PROPERTY_RELn.a.</v>
      </c>
      <c r="B115" s="67" t="s">
        <v>26</v>
      </c>
      <c r="C115" s="68" t="s">
        <v>54</v>
      </c>
      <c r="D115" s="64" t="s">
        <v>36</v>
      </c>
      <c r="E115" s="66" t="s">
        <v>88</v>
      </c>
      <c r="F115" s="64" t="s">
        <v>38</v>
      </c>
      <c r="G115" s="64" t="str">
        <f>INDEX(Auxiliar!$B$16:$B$24,MATCH(Plano_V3!H115,Auxiliar!$C$16:$C$24,0),1)</f>
        <v>1. Concluído</v>
      </c>
      <c r="H115" s="64">
        <f>VLOOKUP(A115,'Aux - pivots1'!$A:$B,2,0)</f>
        <v>1</v>
      </c>
      <c r="I115" s="183">
        <f>SUMIFS(Table1[Estimação (horas)],Table1[Tabela],Plano_V3!E115,Table1[Campo],Plano_V3!F115)</f>
        <v>8</v>
      </c>
      <c r="J115" s="183">
        <f t="shared" si="21"/>
        <v>1</v>
      </c>
      <c r="K115" s="183">
        <f>SUMIFS(Table1[Horas efetivas],Table1[Tabela],Plano_V3!E115,Table1[Campo],Plano_V3!F115)</f>
        <v>8</v>
      </c>
      <c r="L115" s="183">
        <f t="shared" si="22"/>
        <v>1</v>
      </c>
      <c r="M115" s="177"/>
      <c r="N115" s="177">
        <f t="shared" si="23"/>
        <v>1</v>
      </c>
      <c r="O115" s="177">
        <f t="shared" si="12"/>
        <v>1</v>
      </c>
      <c r="P115" s="89" t="s">
        <v>56</v>
      </c>
      <c r="Q115" s="90">
        <f t="shared" si="13"/>
        <v>1</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outlineLevel="1">
      <c r="A116" s="29" t="str">
        <f t="shared" si="20"/>
        <v>PROCESS_PROPERTY_RELPROPERTY_BANK_ID</v>
      </c>
      <c r="B116" s="67" t="s">
        <v>26</v>
      </c>
      <c r="C116" s="68" t="s">
        <v>54</v>
      </c>
      <c r="D116" s="64" t="s">
        <v>40</v>
      </c>
      <c r="E116" s="66" t="s">
        <v>88</v>
      </c>
      <c r="F116" s="66" t="s">
        <v>41</v>
      </c>
      <c r="G116" s="64" t="str">
        <f>INDEX(Auxiliar!$B$16:$B$24,MATCH(Plano_V3!H116,Auxiliar!$C$16:$C$24,0),1)</f>
        <v>1. Concluído</v>
      </c>
      <c r="H116" s="64">
        <f>VLOOKUP(A116,'Aux - pivots1'!$A:$B,2,0)</f>
        <v>1</v>
      </c>
      <c r="I116" s="183">
        <f>SUMIFS(Table1[Estimação (horas)],Table1[Tabela],Plano_V3!E116,Table1[Campo],Plano_V3!F116)</f>
        <v>4.0999999999999996</v>
      </c>
      <c r="J116" s="183">
        <f t="shared" si="21"/>
        <v>0.51249999999999996</v>
      </c>
      <c r="K116" s="183">
        <f>SUMIFS(Table1[Horas efetivas],Table1[Tabela],Plano_V3!E116,Table1[Campo],Plano_V3!F116)</f>
        <v>4.0999999999999996</v>
      </c>
      <c r="L116" s="183">
        <f t="shared" si="22"/>
        <v>0.51249999999999996</v>
      </c>
      <c r="M116" s="177"/>
      <c r="N116" s="177">
        <f t="shared" si="23"/>
        <v>1</v>
      </c>
      <c r="O116" s="177">
        <f t="shared" si="12"/>
        <v>1</v>
      </c>
      <c r="P116" s="89" t="s">
        <v>56</v>
      </c>
      <c r="Q116" s="90">
        <f t="shared" si="13"/>
        <v>0.51249999999999996</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outlineLevel="1">
      <c r="A117" s="29" t="str">
        <f t="shared" si="20"/>
        <v>PROCESS_PROPERTY_RELPROCESS_BANK_ID</v>
      </c>
      <c r="B117" s="67" t="s">
        <v>26</v>
      </c>
      <c r="C117" s="68" t="s">
        <v>54</v>
      </c>
      <c r="D117" s="64" t="s">
        <v>40</v>
      </c>
      <c r="E117" s="66" t="s">
        <v>88</v>
      </c>
      <c r="F117" s="66" t="s">
        <v>57</v>
      </c>
      <c r="G117" s="64" t="str">
        <f>INDEX(Auxiliar!$B$16:$B$24,MATCH(Plano_V3!H117,Auxiliar!$C$16:$C$24,0),1)</f>
        <v>1. Concluído</v>
      </c>
      <c r="H117" s="64">
        <f>VLOOKUP(A117,'Aux - pivots1'!$A:$B,2,0)</f>
        <v>1</v>
      </c>
      <c r="I117" s="183">
        <f>SUMIFS(Table1[Estimação (horas)],Table1[Tabela],Plano_V3!E117,Table1[Campo],Plano_V3!F117)</f>
        <v>8.1</v>
      </c>
      <c r="J117" s="183">
        <f t="shared" si="21"/>
        <v>1.0125</v>
      </c>
      <c r="K117" s="183">
        <f>SUMIFS(Table1[Horas efetivas],Table1[Tabela],Plano_V3!E117,Table1[Campo],Plano_V3!F117)</f>
        <v>8.1</v>
      </c>
      <c r="L117" s="183">
        <f t="shared" si="22"/>
        <v>1.0125</v>
      </c>
      <c r="M117" s="177"/>
      <c r="N117" s="177">
        <f t="shared" si="23"/>
        <v>1</v>
      </c>
      <c r="O117" s="177">
        <f t="shared" si="12"/>
        <v>1</v>
      </c>
      <c r="P117" s="89" t="s">
        <v>56</v>
      </c>
      <c r="Q117" s="90">
        <f t="shared" si="13"/>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outlineLevel="1">
      <c r="A118" s="29" t="str">
        <f t="shared" si="20"/>
        <v>PROCESS_PROPERTY_RELPROPERTY_BRANCH_CODE</v>
      </c>
      <c r="B118" s="67" t="s">
        <v>26</v>
      </c>
      <c r="C118" s="68" t="s">
        <v>54</v>
      </c>
      <c r="D118" s="64" t="s">
        <v>40</v>
      </c>
      <c r="E118" s="66" t="s">
        <v>88</v>
      </c>
      <c r="F118" s="66" t="s">
        <v>43</v>
      </c>
      <c r="G118" s="64" t="str">
        <f>INDEX(Auxiliar!$B$16:$B$24,MATCH(Plano_V3!H118,Auxiliar!$C$16:$C$24,0),1)</f>
        <v>1. Concluído</v>
      </c>
      <c r="H118" s="64">
        <f>VLOOKUP(A118,'Aux - pivots1'!$A:$B,2,0)</f>
        <v>1</v>
      </c>
      <c r="I118" s="183">
        <f>SUMIFS(Table1[Estimação (horas)],Table1[Tabela],Plano_V3!E118,Table1[Campo],Plano_V3!F118)</f>
        <v>8.1</v>
      </c>
      <c r="J118" s="183">
        <f t="shared" si="21"/>
        <v>1.0125</v>
      </c>
      <c r="K118" s="183">
        <f>SUMIFS(Table1[Horas efetivas],Table1[Tabela],Plano_V3!E118,Table1[Campo],Plano_V3!F118)</f>
        <v>8.1</v>
      </c>
      <c r="L118" s="183">
        <f t="shared" si="22"/>
        <v>1.0125</v>
      </c>
      <c r="M118" s="177"/>
      <c r="N118" s="177">
        <f t="shared" si="23"/>
        <v>1</v>
      </c>
      <c r="O118" s="177">
        <f t="shared" si="12"/>
        <v>1</v>
      </c>
      <c r="P118" s="89" t="s">
        <v>56</v>
      </c>
      <c r="Q118" s="90">
        <f t="shared" si="13"/>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outlineLevel="1">
      <c r="A119" s="29" t="str">
        <f t="shared" si="20"/>
        <v>PROCESS_PROPERTY_RELPROCESS_BRANCH_CODE</v>
      </c>
      <c r="B119" s="67" t="s">
        <v>26</v>
      </c>
      <c r="C119" s="68" t="s">
        <v>54</v>
      </c>
      <c r="D119" s="64" t="s">
        <v>40</v>
      </c>
      <c r="E119" s="66" t="s">
        <v>88</v>
      </c>
      <c r="F119" s="66" t="s">
        <v>58</v>
      </c>
      <c r="G119" s="64" t="str">
        <f>INDEX(Auxiliar!$B$16:$B$24,MATCH(Plano_V3!H119,Auxiliar!$C$16:$C$24,0),1)</f>
        <v>1. Concluído</v>
      </c>
      <c r="H119" s="64">
        <f>VLOOKUP(A119,'Aux - pivots1'!$A:$B,2,0)</f>
        <v>1</v>
      </c>
      <c r="I119" s="183">
        <f>SUMIFS(Table1[Estimação (horas)],Table1[Tabela],Plano_V3!E119,Table1[Campo],Plano_V3!F119)</f>
        <v>8.1</v>
      </c>
      <c r="J119" s="183">
        <f t="shared" si="21"/>
        <v>1.0125</v>
      </c>
      <c r="K119" s="183">
        <f>SUMIFS(Table1[Horas efetivas],Table1[Tabela],Plano_V3!E119,Table1[Campo],Plano_V3!F119)</f>
        <v>8.1</v>
      </c>
      <c r="L119" s="183">
        <f t="shared" si="22"/>
        <v>1.0125</v>
      </c>
      <c r="M119" s="177"/>
      <c r="N119" s="177">
        <f t="shared" si="23"/>
        <v>1</v>
      </c>
      <c r="O119" s="177">
        <f t="shared" si="12"/>
        <v>1</v>
      </c>
      <c r="P119" s="89" t="s">
        <v>56</v>
      </c>
      <c r="Q119" s="90">
        <f t="shared" si="13"/>
        <v>1.0125</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outlineLevel="1">
      <c r="A120" s="29" t="str">
        <f t="shared" si="20"/>
        <v>PROCESS_PROPERTY_RELPROPERTY_CONTRACT_ID</v>
      </c>
      <c r="B120" s="67" t="s">
        <v>26</v>
      </c>
      <c r="C120" s="68" t="s">
        <v>54</v>
      </c>
      <c r="D120" s="64" t="s">
        <v>40</v>
      </c>
      <c r="E120" s="66" t="s">
        <v>88</v>
      </c>
      <c r="F120" s="66" t="s">
        <v>44</v>
      </c>
      <c r="G120" s="64" t="str">
        <f>INDEX(Auxiliar!$B$16:$B$24,MATCH(Plano_V3!H120,Auxiliar!$C$16:$C$24,0),1)</f>
        <v>1. Concluído</v>
      </c>
      <c r="H120" s="64">
        <f>VLOOKUP(A120,'Aux - pivots1'!$A:$B,2,0)</f>
        <v>1</v>
      </c>
      <c r="I120" s="183">
        <f>SUMIFS(Table1[Estimação (horas)],Table1[Tabela],Plano_V3!E120,Table1[Campo],Plano_V3!F120)</f>
        <v>8.1</v>
      </c>
      <c r="J120" s="183">
        <f t="shared" si="21"/>
        <v>1.0125</v>
      </c>
      <c r="K120" s="183">
        <f>SUMIFS(Table1[Horas efetivas],Table1[Tabela],Plano_V3!E120,Table1[Campo],Plano_V3!F120)</f>
        <v>8.1</v>
      </c>
      <c r="L120" s="183">
        <f t="shared" si="22"/>
        <v>1.0125</v>
      </c>
      <c r="M120" s="177"/>
      <c r="N120" s="177">
        <f t="shared" si="23"/>
        <v>1</v>
      </c>
      <c r="O120" s="177">
        <f t="shared" si="12"/>
        <v>1</v>
      </c>
      <c r="P120" s="89" t="s">
        <v>56</v>
      </c>
      <c r="Q120" s="90">
        <f t="shared" si="13"/>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outlineLevel="1">
      <c r="A121" s="29" t="str">
        <f t="shared" si="20"/>
        <v>PROCESS_PROPERTY_RELPROCESS_ACCOUNT_ID</v>
      </c>
      <c r="B121" s="67" t="s">
        <v>26</v>
      </c>
      <c r="C121" s="68" t="s">
        <v>54</v>
      </c>
      <c r="D121" s="64" t="s">
        <v>40</v>
      </c>
      <c r="E121" s="66" t="s">
        <v>88</v>
      </c>
      <c r="F121" s="66" t="s">
        <v>59</v>
      </c>
      <c r="G121" s="64" t="str">
        <f>INDEX(Auxiliar!$B$16:$B$24,MATCH(Plano_V3!H121,Auxiliar!$C$16:$C$24,0),1)</f>
        <v>1. Concluído</v>
      </c>
      <c r="H121" s="64">
        <f>VLOOKUP(A121,'Aux - pivots1'!$A:$B,2,0)</f>
        <v>1</v>
      </c>
      <c r="I121" s="183">
        <f>SUMIFS(Table1[Estimação (horas)],Table1[Tabela],Plano_V3!E121,Table1[Campo],Plano_V3!F121)</f>
        <v>8.1</v>
      </c>
      <c r="J121" s="183">
        <f t="shared" si="21"/>
        <v>1.0125</v>
      </c>
      <c r="K121" s="183">
        <f>SUMIFS(Table1[Horas efetivas],Table1[Tabela],Plano_V3!E121,Table1[Campo],Plano_V3!F121)</f>
        <v>8.1</v>
      </c>
      <c r="L121" s="183">
        <f t="shared" si="22"/>
        <v>1.0125</v>
      </c>
      <c r="M121" s="177"/>
      <c r="N121" s="177">
        <f t="shared" si="23"/>
        <v>1</v>
      </c>
      <c r="O121" s="177">
        <f t="shared" si="12"/>
        <v>1</v>
      </c>
      <c r="P121" s="89" t="s">
        <v>56</v>
      </c>
      <c r="Q121" s="90">
        <f t="shared" si="13"/>
        <v>1.0125</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outlineLevel="1">
      <c r="A122" s="29" t="str">
        <f t="shared" si="20"/>
        <v>PROCESS_PROPERTY_RELPROPERTY_REFERENCE_CODE</v>
      </c>
      <c r="B122" s="67" t="s">
        <v>26</v>
      </c>
      <c r="C122" s="68" t="s">
        <v>54</v>
      </c>
      <c r="D122" s="64" t="s">
        <v>40</v>
      </c>
      <c r="E122" s="66" t="s">
        <v>88</v>
      </c>
      <c r="F122" s="66" t="s">
        <v>45</v>
      </c>
      <c r="G122" s="64" t="str">
        <f>INDEX(Auxiliar!$B$16:$B$24,MATCH(Plano_V3!H122,Auxiliar!$C$16:$C$24,0),1)</f>
        <v>1. Concluído</v>
      </c>
      <c r="H122" s="64">
        <f>VLOOKUP(A122,'Aux - pivots1'!$A:$B,2,0)</f>
        <v>1</v>
      </c>
      <c r="I122" s="183">
        <f>SUMIFS(Table1[Estimação (horas)],Table1[Tabela],Plano_V3!E122,Table1[Campo],Plano_V3!F122)</f>
        <v>4.0999999999999996</v>
      </c>
      <c r="J122" s="183">
        <f t="shared" si="21"/>
        <v>0.51249999999999996</v>
      </c>
      <c r="K122" s="183">
        <f>SUMIFS(Table1[Horas efetivas],Table1[Tabela],Plano_V3!E122,Table1[Campo],Plano_V3!F122)</f>
        <v>4.0999999999999996</v>
      </c>
      <c r="L122" s="183">
        <f t="shared" si="22"/>
        <v>0.51249999999999996</v>
      </c>
      <c r="M122" s="177"/>
      <c r="N122" s="177">
        <f t="shared" si="23"/>
        <v>1</v>
      </c>
      <c r="O122" s="177">
        <f t="shared" si="12"/>
        <v>1</v>
      </c>
      <c r="P122" s="89" t="s">
        <v>56</v>
      </c>
      <c r="Q122" s="90">
        <f t="shared" si="13"/>
        <v>0.51249999999999996</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outlineLevel="1">
      <c r="A123" s="29" t="str">
        <f t="shared" si="20"/>
        <v>PROCESS_PROPERTY_RELPROCESS_REFERENCE_CODE</v>
      </c>
      <c r="B123" s="67" t="s">
        <v>26</v>
      </c>
      <c r="C123" s="68" t="s">
        <v>54</v>
      </c>
      <c r="D123" s="64" t="s">
        <v>40</v>
      </c>
      <c r="E123" s="66" t="s">
        <v>88</v>
      </c>
      <c r="F123" s="66" t="s">
        <v>67</v>
      </c>
      <c r="G123" s="64" t="str">
        <f>INDEX(Auxiliar!$B$16:$B$24,MATCH(Plano_V3!H123,Auxiliar!$C$16:$C$24,0),1)</f>
        <v>1. Concluído</v>
      </c>
      <c r="H123" s="64">
        <f>VLOOKUP(A123,'Aux - pivots1'!$A:$B,2,0)</f>
        <v>1</v>
      </c>
      <c r="I123" s="183">
        <f>SUMIFS(Table1[Estimação (horas)],Table1[Tabela],Plano_V3!E123,Table1[Campo],Plano_V3!F123)</f>
        <v>8.1</v>
      </c>
      <c r="J123" s="183">
        <f t="shared" si="21"/>
        <v>1.0125</v>
      </c>
      <c r="K123" s="183">
        <f>SUMIFS(Table1[Horas efetivas],Table1[Tabela],Plano_V3!E123,Table1[Campo],Plano_V3!F123)</f>
        <v>8.1</v>
      </c>
      <c r="L123" s="183">
        <f t="shared" si="22"/>
        <v>1.0125</v>
      </c>
      <c r="M123" s="177"/>
      <c r="N123" s="177">
        <f t="shared" si="23"/>
        <v>1</v>
      </c>
      <c r="O123" s="177">
        <f t="shared" ref="O123:O187" si="26">N123-M123</f>
        <v>1</v>
      </c>
      <c r="P123" s="89" t="s">
        <v>56</v>
      </c>
      <c r="Q123" s="90">
        <f t="shared" si="13"/>
        <v>1.0125</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outlineLevel="1">
      <c r="A124" s="29" t="str">
        <f t="shared" si="20"/>
        <v>PROCESS_PROPERTY_RELdata_assc</v>
      </c>
      <c r="B124" s="67" t="s">
        <v>26</v>
      </c>
      <c r="C124" s="68" t="s">
        <v>54</v>
      </c>
      <c r="D124" s="64" t="s">
        <v>40</v>
      </c>
      <c r="E124" s="66" t="s">
        <v>88</v>
      </c>
      <c r="F124" s="66" t="s">
        <v>89</v>
      </c>
      <c r="G124" s="64" t="str">
        <f>INDEX(Auxiliar!$B$16:$B$24,MATCH(Plano_V3!H124,Auxiliar!$C$16:$C$24,0),1)</f>
        <v>0. Cancelado</v>
      </c>
      <c r="H124" s="64">
        <f>VLOOKUP(A124,'Aux - pivots1'!$A:$B,2,0)</f>
        <v>0</v>
      </c>
      <c r="I124" s="184">
        <v>0</v>
      </c>
      <c r="J124" s="183">
        <f t="shared" si="21"/>
        <v>0</v>
      </c>
      <c r="K124" s="183">
        <f>SUMIFS(Table1[Horas efetivas],Table1[Tabela],Plano_V3!E124,Table1[Campo],Plano_V3!F124)</f>
        <v>0</v>
      </c>
      <c r="L124" s="183">
        <f t="shared" si="22"/>
        <v>0</v>
      </c>
      <c r="M124" s="177"/>
      <c r="N124" s="177" t="e">
        <f t="shared" si="23"/>
        <v>#DIV/0!</v>
      </c>
      <c r="O124" s="177" t="e">
        <f t="shared" si="26"/>
        <v>#DIV/0!</v>
      </c>
      <c r="P124" s="89" t="s">
        <v>56</v>
      </c>
      <c r="Q124" s="90">
        <f t="shared" ref="Q124:Q188" si="27">J124-SUM(R124:ES124)</f>
        <v>0</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outlineLevel="1">
      <c r="A125" s="29" t="str">
        <f t="shared" si="20"/>
        <v>PROCESS_PROPERTY_RELSEIZED_PROPERTY_IND</v>
      </c>
      <c r="B125" s="67" t="s">
        <v>26</v>
      </c>
      <c r="C125" s="68" t="s">
        <v>54</v>
      </c>
      <c r="D125" s="64" t="s">
        <v>40</v>
      </c>
      <c r="E125" s="66" t="s">
        <v>88</v>
      </c>
      <c r="F125" s="66" t="s">
        <v>90</v>
      </c>
      <c r="G125" s="64" t="str">
        <f>INDEX(Auxiliar!$B$16:$B$24,MATCH(Plano_V3!H125,Auxiliar!$C$16:$C$24,0),1)</f>
        <v>1. Concluído</v>
      </c>
      <c r="H125" s="64">
        <f>VLOOKUP(A125,'Aux - pivots1'!$A:$B,2,0)</f>
        <v>1</v>
      </c>
      <c r="I125" s="183">
        <f>SUMIFS(Table1[Estimação (horas)],Table1[Tabela],Plano_V3!E125,Table1[Campo],Plano_V3!F125)</f>
        <v>4.0999999999999996</v>
      </c>
      <c r="J125" s="183">
        <f t="shared" si="21"/>
        <v>0.51249999999999996</v>
      </c>
      <c r="K125" s="183">
        <f>SUMIFS(Table1[Horas efetivas],Table1[Tabela],Plano_V3!E125,Table1[Campo],Plano_V3!F125)</f>
        <v>4.0999999999999996</v>
      </c>
      <c r="L125" s="183">
        <f t="shared" si="22"/>
        <v>0.51249999999999996</v>
      </c>
      <c r="M125" s="177"/>
      <c r="N125" s="177">
        <f t="shared" si="23"/>
        <v>1</v>
      </c>
      <c r="O125" s="177">
        <f t="shared" si="26"/>
        <v>1</v>
      </c>
      <c r="P125" s="89" t="s">
        <v>56</v>
      </c>
      <c r="Q125" s="90">
        <f t="shared" si="27"/>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outlineLevel="1">
      <c r="A126" s="29" t="str">
        <f t="shared" si="20"/>
        <v>PROCESS_PROPERTY_RELCOLLATERAL_PROPERTY_IND</v>
      </c>
      <c r="B126" s="67" t="s">
        <v>26</v>
      </c>
      <c r="C126" s="68" t="s">
        <v>54</v>
      </c>
      <c r="D126" s="64" t="s">
        <v>40</v>
      </c>
      <c r="E126" s="66" t="s">
        <v>88</v>
      </c>
      <c r="F126" s="66" t="s">
        <v>91</v>
      </c>
      <c r="G126" s="64" t="str">
        <f>INDEX(Auxiliar!$B$16:$B$24,MATCH(Plano_V3!H126,Auxiliar!$C$16:$C$24,0),1)</f>
        <v>1. Concluído</v>
      </c>
      <c r="H126" s="64">
        <f>VLOOKUP(A126,'Aux - pivots1'!$A:$B,2,0)</f>
        <v>1</v>
      </c>
      <c r="I126" s="183">
        <f>SUMIFS(Table1[Estimação (horas)],Table1[Tabela],Plano_V3!E126,Table1[Campo],Plano_V3!F126)</f>
        <v>4.0999999999999996</v>
      </c>
      <c r="J126" s="183">
        <f t="shared" si="21"/>
        <v>0.51249999999999996</v>
      </c>
      <c r="K126" s="183">
        <f>SUMIFS(Table1[Horas efetivas],Table1[Tabela],Plano_V3!E126,Table1[Campo],Plano_V3!F126)</f>
        <v>4.0999999999999996</v>
      </c>
      <c r="L126" s="183">
        <f t="shared" si="22"/>
        <v>0.51249999999999996</v>
      </c>
      <c r="M126" s="177"/>
      <c r="N126" s="177">
        <f t="shared" si="23"/>
        <v>1</v>
      </c>
      <c r="O126" s="177">
        <f t="shared" si="26"/>
        <v>1</v>
      </c>
      <c r="P126" s="89" t="s">
        <v>56</v>
      </c>
      <c r="Q126" s="90">
        <f t="shared" si="27"/>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outlineLevel="1">
      <c r="A127" s="29" t="str">
        <f t="shared" si="20"/>
        <v>PROCESS_PROPERTY_RELFINANCED_PROPERTY_IND</v>
      </c>
      <c r="B127" s="67" t="s">
        <v>26</v>
      </c>
      <c r="C127" s="68" t="s">
        <v>54</v>
      </c>
      <c r="D127" s="64" t="s">
        <v>40</v>
      </c>
      <c r="E127" s="66" t="s">
        <v>88</v>
      </c>
      <c r="F127" s="66" t="s">
        <v>92</v>
      </c>
      <c r="G127" s="64" t="str">
        <f>INDEX(Auxiliar!$B$16:$B$24,MATCH(Plano_V3!H127,Auxiliar!$C$16:$C$24,0),1)</f>
        <v>1. Concluído</v>
      </c>
      <c r="H127" s="64">
        <f>VLOOKUP(A127,'Aux - pivots1'!$A:$B,2,0)</f>
        <v>1</v>
      </c>
      <c r="I127" s="183">
        <f>SUMIFS(Table1[Estimação (horas)],Table1[Tabela],Plano_V3!E127,Table1[Campo],Plano_V3!F127)</f>
        <v>4.0999999999999996</v>
      </c>
      <c r="J127" s="183">
        <f t="shared" si="21"/>
        <v>0.51249999999999996</v>
      </c>
      <c r="K127" s="183">
        <f>SUMIFS(Table1[Horas efetivas],Table1[Tabela],Plano_V3!E127,Table1[Campo],Plano_V3!F127)</f>
        <v>4.0999999999999996</v>
      </c>
      <c r="L127" s="183">
        <f t="shared" si="22"/>
        <v>0.51249999999999996</v>
      </c>
      <c r="M127" s="177"/>
      <c r="N127" s="177">
        <f t="shared" si="23"/>
        <v>1</v>
      </c>
      <c r="O127" s="177">
        <f t="shared" si="26"/>
        <v>1</v>
      </c>
      <c r="P127" s="89" t="s">
        <v>56</v>
      </c>
      <c r="Q127" s="90">
        <f t="shared" si="27"/>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outlineLevel="1">
      <c r="A128" s="29" t="str">
        <f t="shared" si="20"/>
        <v>PROCESS_PROPERTY_RELOWNED_PROPERTY_IND</v>
      </c>
      <c r="B128" s="67" t="s">
        <v>26</v>
      </c>
      <c r="C128" s="68" t="s">
        <v>54</v>
      </c>
      <c r="D128" s="64" t="s">
        <v>40</v>
      </c>
      <c r="E128" s="66" t="s">
        <v>88</v>
      </c>
      <c r="F128" s="66" t="s">
        <v>93</v>
      </c>
      <c r="G128" s="64" t="str">
        <f>INDEX(Auxiliar!$B$16:$B$24,MATCH(Plano_V3!H128,Auxiliar!$C$16:$C$24,0),1)</f>
        <v>1. Concluído</v>
      </c>
      <c r="H128" s="64">
        <f>VLOOKUP(A128,'Aux - pivots1'!$A:$B,2,0)</f>
        <v>1</v>
      </c>
      <c r="I128" s="183">
        <f>SUMIFS(Table1[Estimação (horas)],Table1[Tabela],Plano_V3!E128,Table1[Campo],Plano_V3!F128)</f>
        <v>4.0999999999999996</v>
      </c>
      <c r="J128" s="183">
        <f t="shared" si="21"/>
        <v>0.51249999999999996</v>
      </c>
      <c r="K128" s="183">
        <f>SUMIFS(Table1[Horas efetivas],Table1[Tabela],Plano_V3!E128,Table1[Campo],Plano_V3!F128)</f>
        <v>4.0999999999999996</v>
      </c>
      <c r="L128" s="183">
        <f t="shared" si="22"/>
        <v>0.51249999999999996</v>
      </c>
      <c r="M128" s="177"/>
      <c r="N128" s="177">
        <f t="shared" si="23"/>
        <v>1</v>
      </c>
      <c r="O128" s="177">
        <f t="shared" si="26"/>
        <v>1</v>
      </c>
      <c r="P128" s="89" t="s">
        <v>56</v>
      </c>
      <c r="Q128" s="90">
        <f t="shared" si="27"/>
        <v>0.51249999999999996</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outlineLevel="1">
      <c r="A129" s="29" t="str">
        <f t="shared" si="20"/>
        <v>PROCESS_PROPERTY_RELSOURCE_CODE</v>
      </c>
      <c r="B129" s="67" t="s">
        <v>26</v>
      </c>
      <c r="C129" s="68" t="s">
        <v>54</v>
      </c>
      <c r="D129" s="64" t="s">
        <v>40</v>
      </c>
      <c r="E129" s="66" t="s">
        <v>88</v>
      </c>
      <c r="F129" s="66" t="s">
        <v>87</v>
      </c>
      <c r="G129" s="64" t="str">
        <f>INDEX(Auxiliar!$B$16:$B$24,MATCH(Plano_V3!H129,Auxiliar!$C$16:$C$24,0),1)</f>
        <v>1. Concluído</v>
      </c>
      <c r="H129" s="64">
        <f>VLOOKUP(A129,'Aux - pivots1'!$A:$B,2,0)</f>
        <v>1</v>
      </c>
      <c r="I129" s="183">
        <f>SUMIFS(Table1[Estimação (horas)],Table1[Tabela],Plano_V3!E129,Table1[Campo],Plano_V3!F129)</f>
        <v>4.0999999999999996</v>
      </c>
      <c r="J129" s="183">
        <f t="shared" si="21"/>
        <v>0.51249999999999996</v>
      </c>
      <c r="K129" s="183">
        <f>SUMIFS(Table1[Horas efetivas],Table1[Tabela],Plano_V3!E129,Table1[Campo],Plano_V3!F129)</f>
        <v>4.0999999999999996</v>
      </c>
      <c r="L129" s="183">
        <f t="shared" si="22"/>
        <v>0.51249999999999996</v>
      </c>
      <c r="M129" s="177"/>
      <c r="N129" s="177">
        <f t="shared" si="23"/>
        <v>1</v>
      </c>
      <c r="O129" s="177">
        <f t="shared" si="26"/>
        <v>1</v>
      </c>
      <c r="P129" s="89" t="s">
        <v>56</v>
      </c>
      <c r="Q129" s="90">
        <f t="shared" si="27"/>
        <v>0.51249999999999996</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outlineLevel="1">
      <c r="A130" s="29" t="str">
        <f t="shared" si="20"/>
        <v>PROCESS_PROPERTY_RELDATA_DATE_PART</v>
      </c>
      <c r="B130" s="67" t="s">
        <v>26</v>
      </c>
      <c r="C130" s="68" t="s">
        <v>54</v>
      </c>
      <c r="D130" s="64" t="s">
        <v>40</v>
      </c>
      <c r="E130" s="66" t="s">
        <v>88</v>
      </c>
      <c r="F130" s="66" t="s">
        <v>73</v>
      </c>
      <c r="G130" s="64" t="str">
        <f>INDEX(Auxiliar!$B$16:$B$24,MATCH(Plano_V3!H130,Auxiliar!$C$16:$C$24,0),1)</f>
        <v>1. Concluído</v>
      </c>
      <c r="H130" s="64">
        <f>VLOOKUP(A130,'Aux - pivots1'!$A:$B,2,0)</f>
        <v>1</v>
      </c>
      <c r="I130" s="183">
        <f>SUMIFS(Table1[Estimação (horas)],Table1[Tabela],Plano_V3!E130,Table1[Campo],Plano_V3!F130)</f>
        <v>4.0999999999999996</v>
      </c>
      <c r="J130" s="183">
        <f t="shared" si="21"/>
        <v>0.51249999999999996</v>
      </c>
      <c r="K130" s="183">
        <f>SUMIFS(Table1[Horas efetivas],Table1[Tabela],Plano_V3!E130,Table1[Campo],Plano_V3!F130)</f>
        <v>4.0999999999999996</v>
      </c>
      <c r="L130" s="183">
        <f t="shared" si="22"/>
        <v>0.51249999999999996</v>
      </c>
      <c r="M130" s="177"/>
      <c r="N130" s="177">
        <f t="shared" si="23"/>
        <v>1</v>
      </c>
      <c r="O130" s="177">
        <f t="shared" si="26"/>
        <v>1</v>
      </c>
      <c r="P130" s="89" t="s">
        <v>56</v>
      </c>
      <c r="Q130" s="90">
        <f t="shared" si="27"/>
        <v>0.51249999999999996</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outlineLevel="1">
      <c r="A131" s="29" t="str">
        <f t="shared" si="20"/>
        <v>PROPERTYn.a.</v>
      </c>
      <c r="B131" s="67" t="s">
        <v>26</v>
      </c>
      <c r="C131" s="68" t="s">
        <v>54</v>
      </c>
      <c r="D131" s="64" t="s">
        <v>36</v>
      </c>
      <c r="E131" s="66" t="s">
        <v>94</v>
      </c>
      <c r="F131" s="64" t="s">
        <v>38</v>
      </c>
      <c r="G131" s="64" t="str">
        <f>INDEX(Auxiliar!$B$16:$B$24,MATCH(Plano_V3!H131,Auxiliar!$C$16:$C$24,0),1)</f>
        <v>1. Concluído</v>
      </c>
      <c r="H131" s="64">
        <f>VLOOKUP(A131,'Aux - pivots1'!$A:$B,2,0)</f>
        <v>1</v>
      </c>
      <c r="I131" s="183">
        <f>SUMIFS(Table1[Estimação (horas)],Table1[Tabela],Plano_V3!E131,Table1[Campo],Plano_V3!F131)</f>
        <v>8</v>
      </c>
      <c r="J131" s="183">
        <f t="shared" si="21"/>
        <v>1</v>
      </c>
      <c r="K131" s="183">
        <f>SUMIFS(Table1[Horas efetivas],Table1[Tabela],Plano_V3!E131,Table1[Campo],Plano_V3!F131)</f>
        <v>8</v>
      </c>
      <c r="L131" s="183">
        <f t="shared" si="22"/>
        <v>1</v>
      </c>
      <c r="M131" s="177"/>
      <c r="N131" s="177">
        <f t="shared" si="23"/>
        <v>1</v>
      </c>
      <c r="O131" s="177">
        <f t="shared" si="26"/>
        <v>1</v>
      </c>
      <c r="P131" s="87" t="s">
        <v>95</v>
      </c>
      <c r="Q131" s="90">
        <f t="shared" si="27"/>
        <v>1</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outlineLevel="1">
      <c r="A132" s="29" t="str">
        <f t="shared" si="20"/>
        <v>PROPERTYCONSTRUCTION_YEAR</v>
      </c>
      <c r="B132" s="67" t="s">
        <v>26</v>
      </c>
      <c r="C132" s="68" t="s">
        <v>54</v>
      </c>
      <c r="D132" s="64" t="s">
        <v>40</v>
      </c>
      <c r="E132" s="66" t="s">
        <v>94</v>
      </c>
      <c r="F132" s="66" t="s">
        <v>96</v>
      </c>
      <c r="G132" s="64" t="str">
        <f>INDEX(Auxiliar!$B$16:$B$24,MATCH(Plano_V3!H132,Auxiliar!$C$16:$C$24,0),1)</f>
        <v>1. Concluído</v>
      </c>
      <c r="H132" s="64">
        <f>VLOOKUP(A132,'Aux - pivots1'!$A:$B,2,0)</f>
        <v>1</v>
      </c>
      <c r="I132" s="184">
        <v>0</v>
      </c>
      <c r="J132" s="183">
        <f t="shared" si="21"/>
        <v>0</v>
      </c>
      <c r="K132" s="183">
        <f>SUMIFS(Table1[Horas efetivas],Table1[Tabela],Plano_V3!E132,Table1[Campo],Plano_V3!F132)</f>
        <v>4</v>
      </c>
      <c r="L132" s="183">
        <f t="shared" si="22"/>
        <v>0.5</v>
      </c>
      <c r="M132" s="177"/>
      <c r="N132" s="177" t="e">
        <f t="shared" si="23"/>
        <v>#DIV/0!</v>
      </c>
      <c r="O132" s="177" t="e">
        <f t="shared" si="26"/>
        <v>#DIV/0!</v>
      </c>
      <c r="P132" s="87" t="s">
        <v>95</v>
      </c>
      <c r="Q132" s="90">
        <f t="shared" si="27"/>
        <v>0</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outlineLevel="1">
      <c r="A133" s="29" t="str">
        <f t="shared" si="20"/>
        <v>PROPERTYNET_FLOOR_AREA</v>
      </c>
      <c r="B133" s="67" t="s">
        <v>26</v>
      </c>
      <c r="C133" s="68" t="s">
        <v>54</v>
      </c>
      <c r="D133" s="64" t="s">
        <v>40</v>
      </c>
      <c r="E133" s="66" t="s">
        <v>94</v>
      </c>
      <c r="F133" s="66" t="s">
        <v>97</v>
      </c>
      <c r="G133" s="64" t="str">
        <f>INDEX(Auxiliar!$B$16:$B$24,MATCH(Plano_V3!H133,Auxiliar!$C$16:$C$24,0),1)</f>
        <v>1. Concluído</v>
      </c>
      <c r="H133" s="64">
        <f>VLOOKUP(A133,'Aux - pivots1'!$A:$B,2,0)</f>
        <v>1</v>
      </c>
      <c r="I133" s="183">
        <f>SUMIFS(Table1[Estimação (horas)],Table1[Tabela],Plano_V3!E133,Table1[Campo],Plano_V3!F133)</f>
        <v>8.1</v>
      </c>
      <c r="J133" s="183">
        <f t="shared" si="21"/>
        <v>1.0125</v>
      </c>
      <c r="K133" s="183">
        <f>SUMIFS(Table1[Horas efetivas],Table1[Tabela],Plano_V3!E133,Table1[Campo],Plano_V3!F133)</f>
        <v>8.1</v>
      </c>
      <c r="L133" s="183">
        <f t="shared" si="22"/>
        <v>1.0125</v>
      </c>
      <c r="M133" s="177"/>
      <c r="N133" s="177">
        <f t="shared" si="23"/>
        <v>1</v>
      </c>
      <c r="O133" s="177">
        <f t="shared" si="26"/>
        <v>1</v>
      </c>
      <c r="P133" s="87" t="s">
        <v>95</v>
      </c>
      <c r="Q133" s="90">
        <f t="shared" si="27"/>
        <v>1.0125</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outlineLevel="1">
      <c r="A134" s="29" t="str">
        <f t="shared" si="20"/>
        <v>PROPERTYPROPERTY_BANK_ID</v>
      </c>
      <c r="B134" s="67" t="s">
        <v>26</v>
      </c>
      <c r="C134" s="68" t="s">
        <v>54</v>
      </c>
      <c r="D134" s="64" t="s">
        <v>40</v>
      </c>
      <c r="E134" s="66" t="s">
        <v>94</v>
      </c>
      <c r="F134" s="66" t="s">
        <v>41</v>
      </c>
      <c r="G134" s="64" t="str">
        <f>INDEX(Auxiliar!$B$16:$B$24,MATCH(Plano_V3!H134,Auxiliar!$C$16:$C$24,0),1)</f>
        <v>1. Concluído</v>
      </c>
      <c r="H134" s="64">
        <f>VLOOKUP(A134,'Aux - pivots1'!$A:$B,2,0)</f>
        <v>1</v>
      </c>
      <c r="I134" s="183">
        <f>SUMIFS(Table1[Estimação (horas)],Table1[Tabela],Plano_V3!E134,Table1[Campo],Plano_V3!F134)</f>
        <v>4.0999999999999996</v>
      </c>
      <c r="J134" s="183">
        <f t="shared" si="21"/>
        <v>0.51249999999999996</v>
      </c>
      <c r="K134" s="183">
        <f>SUMIFS(Table1[Horas efetivas],Table1[Tabela],Plano_V3!E134,Table1[Campo],Plano_V3!F134)</f>
        <v>4.0999999999999996</v>
      </c>
      <c r="L134" s="183">
        <f t="shared" si="22"/>
        <v>0.51249999999999996</v>
      </c>
      <c r="M134" s="177"/>
      <c r="N134" s="177">
        <f t="shared" si="23"/>
        <v>1</v>
      </c>
      <c r="O134" s="177">
        <f t="shared" si="26"/>
        <v>1</v>
      </c>
      <c r="P134" s="87" t="s">
        <v>95</v>
      </c>
      <c r="Q134" s="90">
        <f t="shared" si="27"/>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outlineLevel="1">
      <c r="A135" s="29" t="str">
        <f t="shared" si="20"/>
        <v>PROPERTYPROPERTY_BRANCH_CODE</v>
      </c>
      <c r="B135" s="67" t="s">
        <v>26</v>
      </c>
      <c r="C135" s="68" t="s">
        <v>54</v>
      </c>
      <c r="D135" s="64" t="s">
        <v>40</v>
      </c>
      <c r="E135" s="66" t="s">
        <v>94</v>
      </c>
      <c r="F135" s="66" t="s">
        <v>43</v>
      </c>
      <c r="G135" s="64" t="str">
        <f>INDEX(Auxiliar!$B$16:$B$24,MATCH(Plano_V3!H135,Auxiliar!$C$16:$C$24,0),1)</f>
        <v>1. Concluído</v>
      </c>
      <c r="H135" s="64">
        <f>VLOOKUP(A135,'Aux - pivots1'!$A:$B,2,0)</f>
        <v>1</v>
      </c>
      <c r="I135" s="183">
        <f>SUMIFS(Table1[Estimação (horas)],Table1[Tabela],Plano_V3!E135,Table1[Campo],Plano_V3!F135)</f>
        <v>4.0999999999999996</v>
      </c>
      <c r="J135" s="183">
        <f t="shared" si="21"/>
        <v>0.51249999999999996</v>
      </c>
      <c r="K135" s="183">
        <f>SUMIFS(Table1[Horas efetivas],Table1[Tabela],Plano_V3!E135,Table1[Campo],Plano_V3!F135)</f>
        <v>4.0999999999999996</v>
      </c>
      <c r="L135" s="183">
        <f t="shared" si="22"/>
        <v>0.51249999999999996</v>
      </c>
      <c r="M135" s="177"/>
      <c r="N135" s="177">
        <f t="shared" si="23"/>
        <v>1</v>
      </c>
      <c r="O135" s="177">
        <f t="shared" si="26"/>
        <v>1</v>
      </c>
      <c r="P135" s="87" t="s">
        <v>95</v>
      </c>
      <c r="Q135" s="90">
        <f t="shared" si="27"/>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outlineLevel="1">
      <c r="A136" s="29" t="str">
        <f t="shared" si="20"/>
        <v>PROPERTYPROPERTY_CONTRACT_ID</v>
      </c>
      <c r="B136" s="67" t="s">
        <v>26</v>
      </c>
      <c r="C136" s="68" t="s">
        <v>54</v>
      </c>
      <c r="D136" s="64" t="s">
        <v>40</v>
      </c>
      <c r="E136" s="66" t="s">
        <v>94</v>
      </c>
      <c r="F136" s="66" t="s">
        <v>44</v>
      </c>
      <c r="G136" s="64" t="str">
        <f>INDEX(Auxiliar!$B$16:$B$24,MATCH(Plano_V3!H136,Auxiliar!$C$16:$C$24,0),1)</f>
        <v>1. Concluído</v>
      </c>
      <c r="H136" s="64">
        <f>VLOOKUP(A136,'Aux - pivots1'!$A:$B,2,0)</f>
        <v>1</v>
      </c>
      <c r="I136" s="183">
        <f>SUMIFS(Table1[Estimação (horas)],Table1[Tabela],Plano_V3!E136,Table1[Campo],Plano_V3!F136)</f>
        <v>4.0999999999999996</v>
      </c>
      <c r="J136" s="183">
        <f t="shared" si="21"/>
        <v>0.51249999999999996</v>
      </c>
      <c r="K136" s="183">
        <f>SUMIFS(Table1[Horas efetivas],Table1[Tabela],Plano_V3!E136,Table1[Campo],Plano_V3!F136)</f>
        <v>4.0999999999999996</v>
      </c>
      <c r="L136" s="183">
        <f t="shared" si="22"/>
        <v>0.51249999999999996</v>
      </c>
      <c r="M136" s="177"/>
      <c r="N136" s="177">
        <f t="shared" si="23"/>
        <v>1</v>
      </c>
      <c r="O136" s="177">
        <f t="shared" si="26"/>
        <v>1</v>
      </c>
      <c r="P136" s="87" t="s">
        <v>95</v>
      </c>
      <c r="Q136" s="90">
        <f t="shared" si="27"/>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outlineLevel="1">
      <c r="A137" s="29" t="str">
        <f t="shared" si="20"/>
        <v>PROPERTYPROPERTY_REFERENCE_CODE</v>
      </c>
      <c r="B137" s="67" t="s">
        <v>26</v>
      </c>
      <c r="C137" s="68" t="s">
        <v>54</v>
      </c>
      <c r="D137" s="64" t="s">
        <v>40</v>
      </c>
      <c r="E137" s="66" t="s">
        <v>94</v>
      </c>
      <c r="F137" s="66" t="s">
        <v>45</v>
      </c>
      <c r="G137" s="64" t="str">
        <f>INDEX(Auxiliar!$B$16:$B$24,MATCH(Plano_V3!H137,Auxiliar!$C$16:$C$24,0),1)</f>
        <v>1. Concluído</v>
      </c>
      <c r="H137" s="64">
        <f>VLOOKUP(A137,'Aux - pivots1'!$A:$B,2,0)</f>
        <v>1</v>
      </c>
      <c r="I137" s="183">
        <f>SUMIFS(Table1[Estimação (horas)],Table1[Tabela],Plano_V3!E137,Table1[Campo],Plano_V3!F137)</f>
        <v>4.0999999999999996</v>
      </c>
      <c r="J137" s="183">
        <f t="shared" si="21"/>
        <v>0.51249999999999996</v>
      </c>
      <c r="K137" s="183">
        <f>SUMIFS(Table1[Horas efetivas],Table1[Tabela],Plano_V3!E137,Table1[Campo],Plano_V3!F137)</f>
        <v>4.0999999999999996</v>
      </c>
      <c r="L137" s="183">
        <f t="shared" si="22"/>
        <v>0.51249999999999996</v>
      </c>
      <c r="M137" s="177"/>
      <c r="N137" s="177">
        <f t="shared" si="23"/>
        <v>1</v>
      </c>
      <c r="O137" s="177">
        <f t="shared" si="26"/>
        <v>1</v>
      </c>
      <c r="P137" s="87" t="s">
        <v>95</v>
      </c>
      <c r="Q137" s="90">
        <f t="shared" si="27"/>
        <v>0.51249999999999996</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outlineLevel="1">
      <c r="A138" s="29" t="str">
        <f t="shared" si="20"/>
        <v>PROPERTYCADASTRAL_REGISTER_CODE</v>
      </c>
      <c r="B138" s="67" t="s">
        <v>26</v>
      </c>
      <c r="C138" s="68" t="s">
        <v>54</v>
      </c>
      <c r="D138" s="64" t="s">
        <v>40</v>
      </c>
      <c r="E138" s="66" t="s">
        <v>94</v>
      </c>
      <c r="F138" s="66" t="s">
        <v>98</v>
      </c>
      <c r="G138" s="64" t="str">
        <f>INDEX(Auxiliar!$B$16:$B$24,MATCH(Plano_V3!H138,Auxiliar!$C$16:$C$24,0),1)</f>
        <v>1. Concluído</v>
      </c>
      <c r="H138" s="64">
        <f>VLOOKUP(A138,'Aux - pivots1'!$A:$B,2,0)</f>
        <v>1</v>
      </c>
      <c r="I138" s="183">
        <f>SUMIFS(Table1[Estimação (horas)],Table1[Tabela],Plano_V3!E138,Table1[Campo],Plano_V3!F138)</f>
        <v>4.0999999999999996</v>
      </c>
      <c r="J138" s="183">
        <f t="shared" si="21"/>
        <v>0.51249999999999996</v>
      </c>
      <c r="K138" s="183">
        <f>SUMIFS(Table1[Horas efetivas],Table1[Tabela],Plano_V3!E138,Table1[Campo],Plano_V3!F138)</f>
        <v>4.0999999999999996</v>
      </c>
      <c r="L138" s="183">
        <f t="shared" si="22"/>
        <v>0.51249999999999996</v>
      </c>
      <c r="M138" s="177"/>
      <c r="N138" s="177">
        <f t="shared" si="23"/>
        <v>1</v>
      </c>
      <c r="O138" s="177">
        <f t="shared" si="26"/>
        <v>1</v>
      </c>
      <c r="P138" s="87" t="s">
        <v>95</v>
      </c>
      <c r="Q138" s="90">
        <f t="shared" si="27"/>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outlineLevel="1">
      <c r="A139" s="29" t="str">
        <f t="shared" ref="A139:A202" si="28">E139&amp;F139</f>
        <v>PROPERTYAPPRAISAL_CODE</v>
      </c>
      <c r="B139" s="67" t="s">
        <v>26</v>
      </c>
      <c r="C139" s="68" t="s">
        <v>54</v>
      </c>
      <c r="D139" s="64" t="s">
        <v>40</v>
      </c>
      <c r="E139" s="66" t="s">
        <v>94</v>
      </c>
      <c r="F139" s="66" t="s">
        <v>99</v>
      </c>
      <c r="G139" s="64" t="str">
        <f>INDEX(Auxiliar!$B$16:$B$24,MATCH(Plano_V3!H139,Auxiliar!$C$16:$C$24,0),1)</f>
        <v>1. Concluído</v>
      </c>
      <c r="H139" s="64">
        <f>VLOOKUP(A139,'Aux - pivots1'!$A:$B,2,0)</f>
        <v>1</v>
      </c>
      <c r="I139" s="183">
        <f>SUMIFS(Table1[Estimação (horas)],Table1[Tabela],Plano_V3!E139,Table1[Campo],Plano_V3!F139)</f>
        <v>4.0999999999999996</v>
      </c>
      <c r="J139" s="183">
        <f t="shared" si="21"/>
        <v>0.51249999999999996</v>
      </c>
      <c r="K139" s="183">
        <f>SUMIFS(Table1[Horas efetivas],Table1[Tabela],Plano_V3!E139,Table1[Campo],Plano_V3!F139)</f>
        <v>4.0999999999999996</v>
      </c>
      <c r="L139" s="183">
        <f t="shared" si="22"/>
        <v>0.51249999999999996</v>
      </c>
      <c r="M139" s="177"/>
      <c r="N139" s="177">
        <f t="shared" si="23"/>
        <v>1</v>
      </c>
      <c r="O139" s="177">
        <f t="shared" si="26"/>
        <v>1</v>
      </c>
      <c r="P139" s="87" t="s">
        <v>95</v>
      </c>
      <c r="Q139" s="90">
        <f t="shared" si="27"/>
        <v>0.51249999999999996</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outlineLevel="1">
      <c r="A140" s="29" t="str">
        <f t="shared" si="28"/>
        <v>PROPERTYcod_bem</v>
      </c>
      <c r="B140" s="67" t="s">
        <v>26</v>
      </c>
      <c r="C140" s="68" t="s">
        <v>54</v>
      </c>
      <c r="D140" s="64" t="s">
        <v>40</v>
      </c>
      <c r="E140" s="66" t="s">
        <v>94</v>
      </c>
      <c r="F140" s="66" t="s">
        <v>100</v>
      </c>
      <c r="G140" s="64" t="str">
        <f>INDEX(Auxiliar!$B$16:$B$24,MATCH(Plano_V3!H140,Auxiliar!$C$16:$C$24,0),1)</f>
        <v>0. Cancelado</v>
      </c>
      <c r="H140" s="64">
        <f>VLOOKUP(A140,'Aux - pivots1'!$A:$B,2,0)</f>
        <v>0</v>
      </c>
      <c r="I140" s="184">
        <v>0</v>
      </c>
      <c r="J140" s="183">
        <f t="shared" ref="J140:J204" si="29">I140/8</f>
        <v>0</v>
      </c>
      <c r="K140" s="183">
        <f>SUMIFS(Table1[Horas efetivas],Table1[Tabela],Plano_V3!E140,Table1[Campo],Plano_V3!F140)</f>
        <v>0</v>
      </c>
      <c r="L140" s="183">
        <f t="shared" ref="L140:L204" si="30">K140/8</f>
        <v>0</v>
      </c>
      <c r="M140" s="177"/>
      <c r="N140" s="177" t="e">
        <f t="shared" ref="N140:N204" si="31">L140/J140</f>
        <v>#DIV/0!</v>
      </c>
      <c r="O140" s="177" t="e">
        <f t="shared" si="26"/>
        <v>#DIV/0!</v>
      </c>
      <c r="P140" s="87" t="s">
        <v>95</v>
      </c>
      <c r="Q140" s="90">
        <f t="shared" si="27"/>
        <v>0</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outlineLevel="1">
      <c r="A141" s="29" t="str">
        <f t="shared" si="28"/>
        <v>PROPERTYDISTRICT_MUNICIP_PARISH_CODE</v>
      </c>
      <c r="B141" s="67" t="s">
        <v>26</v>
      </c>
      <c r="C141" s="68" t="s">
        <v>54</v>
      </c>
      <c r="D141" s="64" t="s">
        <v>40</v>
      </c>
      <c r="E141" s="66" t="s">
        <v>94</v>
      </c>
      <c r="F141" s="66" t="s">
        <v>101</v>
      </c>
      <c r="G141" s="64" t="str">
        <f>INDEX(Auxiliar!$B$16:$B$24,MATCH(Plano_V3!H141,Auxiliar!$C$16:$C$24,0),1)</f>
        <v>1. Concluído</v>
      </c>
      <c r="H141" s="64">
        <f>VLOOKUP(A141,'Aux - pivots1'!$A:$B,2,0)</f>
        <v>1</v>
      </c>
      <c r="I141" s="183">
        <f>SUMIFS(Table1[Estimação (horas)],Table1[Tabela],Plano_V3!E141,Table1[Campo],Plano_V3!F141)</f>
        <v>4.0999999999999996</v>
      </c>
      <c r="J141" s="183">
        <f t="shared" si="29"/>
        <v>0.51249999999999996</v>
      </c>
      <c r="K141" s="183">
        <f>SUMIFS(Table1[Horas efetivas],Table1[Tabela],Plano_V3!E141,Table1[Campo],Plano_V3!F141)</f>
        <v>4.0999999999999996</v>
      </c>
      <c r="L141" s="183">
        <f t="shared" si="30"/>
        <v>0.51249999999999996</v>
      </c>
      <c r="M141" s="177"/>
      <c r="N141" s="177">
        <f t="shared" si="31"/>
        <v>1</v>
      </c>
      <c r="O141" s="177">
        <f t="shared" si="26"/>
        <v>1</v>
      </c>
      <c r="P141" s="87" t="s">
        <v>95</v>
      </c>
      <c r="Q141" s="90">
        <f t="shared" si="27"/>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outlineLevel="1">
      <c r="A142" s="29" t="str">
        <f t="shared" si="28"/>
        <v>PROPERTYPROPERTY_PURPOSE_CODE</v>
      </c>
      <c r="B142" s="67" t="s">
        <v>26</v>
      </c>
      <c r="C142" s="68" t="s">
        <v>54</v>
      </c>
      <c r="D142" s="64" t="s">
        <v>40</v>
      </c>
      <c r="E142" s="66" t="s">
        <v>94</v>
      </c>
      <c r="F142" s="66" t="s">
        <v>102</v>
      </c>
      <c r="G142" s="64" t="str">
        <f>INDEX(Auxiliar!$B$16:$B$24,MATCH(Plano_V3!H142,Auxiliar!$C$16:$C$24,0),1)</f>
        <v>1. Concluído</v>
      </c>
      <c r="H142" s="64">
        <f>VLOOKUP(A142,'Aux - pivots1'!$A:$B,2,0)</f>
        <v>1</v>
      </c>
      <c r="I142" s="183">
        <f>SUMIFS(Table1[Estimação (horas)],Table1[Tabela],Plano_V3!E142,Table1[Campo],Plano_V3!F142)</f>
        <v>4.0999999999999996</v>
      </c>
      <c r="J142" s="183">
        <f t="shared" si="29"/>
        <v>0.51249999999999996</v>
      </c>
      <c r="K142" s="183">
        <f>SUMIFS(Table1[Horas efetivas],Table1[Tabela],Plano_V3!E142,Table1[Campo],Plano_V3!F142)</f>
        <v>4.0999999999999996</v>
      </c>
      <c r="L142" s="183">
        <f t="shared" si="30"/>
        <v>0.51249999999999996</v>
      </c>
      <c r="M142" s="177"/>
      <c r="N142" s="177">
        <f t="shared" si="31"/>
        <v>1</v>
      </c>
      <c r="O142" s="177">
        <f t="shared" si="26"/>
        <v>1</v>
      </c>
      <c r="P142" s="87" t="s">
        <v>95</v>
      </c>
      <c r="Q142" s="90">
        <f t="shared" si="27"/>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outlineLevel="1">
      <c r="A143" s="29" t="str">
        <f t="shared" si="28"/>
        <v>PROPERTYPROPERTY_LIFETIME_CODE</v>
      </c>
      <c r="B143" s="67" t="s">
        <v>26</v>
      </c>
      <c r="C143" s="68" t="s">
        <v>54</v>
      </c>
      <c r="D143" s="64" t="s">
        <v>40</v>
      </c>
      <c r="E143" s="66" t="s">
        <v>94</v>
      </c>
      <c r="F143" s="66" t="s">
        <v>103</v>
      </c>
      <c r="G143" s="64" t="str">
        <f>INDEX(Auxiliar!$B$16:$B$24,MATCH(Plano_V3!H143,Auxiliar!$C$16:$C$24,0),1)</f>
        <v>1. Concluído</v>
      </c>
      <c r="H143" s="64">
        <f>VLOOKUP(A143,'Aux - pivots1'!$A:$B,2,0)</f>
        <v>1</v>
      </c>
      <c r="I143" s="183">
        <f>SUMIFS(Table1[Estimação (horas)],Table1[Tabela],Plano_V3!E143,Table1[Campo],Plano_V3!F143)</f>
        <v>4.0999999999999996</v>
      </c>
      <c r="J143" s="183">
        <f t="shared" si="29"/>
        <v>0.51249999999999996</v>
      </c>
      <c r="K143" s="183">
        <f>SUMIFS(Table1[Horas efetivas],Table1[Tabela],Plano_V3!E143,Table1[Campo],Plano_V3!F143)</f>
        <v>4.0999999999999996</v>
      </c>
      <c r="L143" s="183">
        <f t="shared" si="30"/>
        <v>0.51249999999999996</v>
      </c>
      <c r="M143" s="177"/>
      <c r="N143" s="177">
        <f t="shared" si="31"/>
        <v>1</v>
      </c>
      <c r="O143" s="177">
        <f t="shared" si="26"/>
        <v>1</v>
      </c>
      <c r="P143" s="87" t="s">
        <v>95</v>
      </c>
      <c r="Q143" s="90">
        <f t="shared" si="27"/>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outlineLevel="1">
      <c r="A144" s="29" t="str">
        <f t="shared" si="28"/>
        <v>PROPERTYADDRESS_CODE</v>
      </c>
      <c r="B144" s="67" t="s">
        <v>26</v>
      </c>
      <c r="C144" s="68" t="s">
        <v>54</v>
      </c>
      <c r="D144" s="64" t="s">
        <v>40</v>
      </c>
      <c r="E144" s="66" t="s">
        <v>94</v>
      </c>
      <c r="F144" s="66" t="s">
        <v>104</v>
      </c>
      <c r="G144" s="64" t="str">
        <f>INDEX(Auxiliar!$B$16:$B$24,MATCH(Plano_V3!H144,Auxiliar!$C$16:$C$24,0),1)</f>
        <v>1. Concluído</v>
      </c>
      <c r="H144" s="64">
        <f>VLOOKUP(A144,'Aux - pivots1'!$A:$B,2,0)</f>
        <v>1</v>
      </c>
      <c r="I144" s="183">
        <f>SUMIFS(Table1[Estimação (horas)],Table1[Tabela],Plano_V3!E144,Table1[Campo],Plano_V3!F144)</f>
        <v>4.0999999999999996</v>
      </c>
      <c r="J144" s="183">
        <f t="shared" si="29"/>
        <v>0.51249999999999996</v>
      </c>
      <c r="K144" s="183">
        <f>SUMIFS(Table1[Horas efetivas],Table1[Tabela],Plano_V3!E144,Table1[Campo],Plano_V3!F144)</f>
        <v>4.0999999999999996</v>
      </c>
      <c r="L144" s="183">
        <f t="shared" si="30"/>
        <v>0.51249999999999996</v>
      </c>
      <c r="M144" s="177"/>
      <c r="N144" s="177">
        <f t="shared" si="31"/>
        <v>1</v>
      </c>
      <c r="O144" s="177">
        <f t="shared" si="26"/>
        <v>1</v>
      </c>
      <c r="P144" s="87" t="s">
        <v>95</v>
      </c>
      <c r="Q144" s="90">
        <f t="shared" si="27"/>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outlineLevel="1">
      <c r="A145" s="29" t="str">
        <f t="shared" si="28"/>
        <v>PROPERTYCOUNTRY_CODE</v>
      </c>
      <c r="B145" s="67" t="s">
        <v>26</v>
      </c>
      <c r="C145" s="68" t="s">
        <v>54</v>
      </c>
      <c r="D145" s="64" t="s">
        <v>40</v>
      </c>
      <c r="E145" s="66" t="s">
        <v>94</v>
      </c>
      <c r="F145" s="66" t="s">
        <v>105</v>
      </c>
      <c r="G145" s="64" t="str">
        <f>INDEX(Auxiliar!$B$16:$B$24,MATCH(Plano_V3!H145,Auxiliar!$C$16:$C$24,0),1)</f>
        <v>1. Concluído</v>
      </c>
      <c r="H145" s="64">
        <f>VLOOKUP(A145,'Aux - pivots1'!$A:$B,2,0)</f>
        <v>1</v>
      </c>
      <c r="I145" s="183">
        <f>SUMIFS(Table1[Estimação (horas)],Table1[Tabela],Plano_V3!E145,Table1[Campo],Plano_V3!F145)</f>
        <v>4.0999999999999996</v>
      </c>
      <c r="J145" s="183">
        <f t="shared" si="29"/>
        <v>0.51249999999999996</v>
      </c>
      <c r="K145" s="183">
        <f>SUMIFS(Table1[Horas efetivas],Table1[Tabela],Plano_V3!E145,Table1[Campo],Plano_V3!F145)</f>
        <v>4.0999999999999996</v>
      </c>
      <c r="L145" s="183">
        <f t="shared" si="30"/>
        <v>0.51249999999999996</v>
      </c>
      <c r="M145" s="177"/>
      <c r="N145" s="177">
        <f t="shared" si="31"/>
        <v>1</v>
      </c>
      <c r="O145" s="177">
        <f t="shared" si="26"/>
        <v>1</v>
      </c>
      <c r="P145" s="87" t="s">
        <v>95</v>
      </c>
      <c r="Q145" s="90">
        <f t="shared" si="27"/>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outlineLevel="1">
      <c r="A146" s="29" t="str">
        <f t="shared" si="28"/>
        <v>PROPERTYPOSTAL_CODE</v>
      </c>
      <c r="B146" s="67" t="s">
        <v>26</v>
      </c>
      <c r="C146" s="68" t="s">
        <v>54</v>
      </c>
      <c r="D146" s="64" t="s">
        <v>40</v>
      </c>
      <c r="E146" s="66" t="s">
        <v>94</v>
      </c>
      <c r="F146" s="66" t="s">
        <v>106</v>
      </c>
      <c r="G146" s="64" t="str">
        <f>INDEX(Auxiliar!$B$16:$B$24,MATCH(Plano_V3!H146,Auxiliar!$C$16:$C$24,0),1)</f>
        <v>1. Concluído</v>
      </c>
      <c r="H146" s="64">
        <f>VLOOKUP(A146,'Aux - pivots1'!$A:$B,2,0)</f>
        <v>1</v>
      </c>
      <c r="I146" s="183">
        <f>SUMIFS(Table1[Estimação (horas)],Table1[Tabela],Plano_V3!E146,Table1[Campo],Plano_V3!F146)</f>
        <v>4.0999999999999996</v>
      </c>
      <c r="J146" s="183">
        <f t="shared" si="29"/>
        <v>0.51249999999999996</v>
      </c>
      <c r="K146" s="183">
        <f>SUMIFS(Table1[Horas efetivas],Table1[Tabela],Plano_V3!E146,Table1[Campo],Plano_V3!F146)</f>
        <v>4.0999999999999996</v>
      </c>
      <c r="L146" s="183">
        <f t="shared" si="30"/>
        <v>0.51249999999999996</v>
      </c>
      <c r="M146" s="177"/>
      <c r="N146" s="177">
        <f t="shared" si="31"/>
        <v>1</v>
      </c>
      <c r="O146" s="177">
        <f t="shared" si="26"/>
        <v>1</v>
      </c>
      <c r="P146" s="87" t="s">
        <v>95</v>
      </c>
      <c r="Q146" s="90">
        <f t="shared" si="27"/>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outlineLevel="1">
      <c r="A147" s="29" t="str">
        <f t="shared" si="28"/>
        <v>PROPERTYPROPERTY_TYPE_CODE</v>
      </c>
      <c r="B147" s="67" t="s">
        <v>26</v>
      </c>
      <c r="C147" s="68" t="s">
        <v>54</v>
      </c>
      <c r="D147" s="64" t="s">
        <v>40</v>
      </c>
      <c r="E147" s="66" t="s">
        <v>94</v>
      </c>
      <c r="F147" s="66" t="s">
        <v>107</v>
      </c>
      <c r="G147" s="64" t="str">
        <f>INDEX(Auxiliar!$B$16:$B$24,MATCH(Plano_V3!H147,Auxiliar!$C$16:$C$24,0),1)</f>
        <v>1. Concluído</v>
      </c>
      <c r="H147" s="64">
        <f>VLOOKUP(A147,'Aux - pivots1'!$A:$B,2,0)</f>
        <v>1</v>
      </c>
      <c r="I147" s="183">
        <f>SUMIFS(Table1[Estimação (horas)],Table1[Tabela],Plano_V3!E147,Table1[Campo],Plano_V3!F147)</f>
        <v>4.0999999999999996</v>
      </c>
      <c r="J147" s="183">
        <f t="shared" si="29"/>
        <v>0.51249999999999996</v>
      </c>
      <c r="K147" s="183">
        <f>SUMIFS(Table1[Horas efetivas],Table1[Tabela],Plano_V3!E147,Table1[Campo],Plano_V3!F147)</f>
        <v>4.0999999999999996</v>
      </c>
      <c r="L147" s="183">
        <f t="shared" si="30"/>
        <v>0.51249999999999996</v>
      </c>
      <c r="M147" s="177"/>
      <c r="N147" s="177">
        <f t="shared" si="31"/>
        <v>1</v>
      </c>
      <c r="O147" s="177">
        <f t="shared" si="26"/>
        <v>1</v>
      </c>
      <c r="P147" s="87" t="s">
        <v>95</v>
      </c>
      <c r="Q147" s="90">
        <f t="shared" si="27"/>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outlineLevel="1">
      <c r="A148" s="29" t="str">
        <f t="shared" si="28"/>
        <v>PROPERTYLAST_APPRAISAL_DATE</v>
      </c>
      <c r="B148" s="67" t="s">
        <v>26</v>
      </c>
      <c r="C148" s="68" t="s">
        <v>54</v>
      </c>
      <c r="D148" s="64" t="s">
        <v>40</v>
      </c>
      <c r="E148" s="66" t="s">
        <v>94</v>
      </c>
      <c r="F148" s="66" t="s">
        <v>108</v>
      </c>
      <c r="G148" s="64" t="str">
        <f>INDEX(Auxiliar!$B$16:$B$24,MATCH(Plano_V3!H148,Auxiliar!$C$16:$C$24,0),1)</f>
        <v>1. Concluído</v>
      </c>
      <c r="H148" s="64">
        <f>VLOOKUP(A148,'Aux - pivots1'!$A:$B,2,0)</f>
        <v>1</v>
      </c>
      <c r="I148" s="183">
        <f>SUMIFS(Table1[Estimação (horas)],Table1[Tabela],Plano_V3!E148,Table1[Campo],Plano_V3!F148)</f>
        <v>4.0999999999999996</v>
      </c>
      <c r="J148" s="183">
        <f t="shared" si="29"/>
        <v>0.51249999999999996</v>
      </c>
      <c r="K148" s="183">
        <f>SUMIFS(Table1[Horas efetivas],Table1[Tabela],Plano_V3!E148,Table1[Campo],Plano_V3!F148)</f>
        <v>4.0999999999999996</v>
      </c>
      <c r="L148" s="183">
        <f t="shared" si="30"/>
        <v>0.51249999999999996</v>
      </c>
      <c r="M148" s="177"/>
      <c r="N148" s="177">
        <f t="shared" si="31"/>
        <v>1</v>
      </c>
      <c r="O148" s="177">
        <f t="shared" si="26"/>
        <v>1</v>
      </c>
      <c r="P148" s="87" t="s">
        <v>95</v>
      </c>
      <c r="Q148" s="90">
        <f t="shared" si="27"/>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outlineLevel="1">
      <c r="A149" s="29" t="str">
        <f t="shared" si="28"/>
        <v>PROPERTYUSAGE_PERMIT_START_DATE</v>
      </c>
      <c r="B149" s="67" t="s">
        <v>26</v>
      </c>
      <c r="C149" s="68" t="s">
        <v>54</v>
      </c>
      <c r="D149" s="64" t="s">
        <v>40</v>
      </c>
      <c r="E149" s="66" t="s">
        <v>94</v>
      </c>
      <c r="F149" s="66" t="s">
        <v>109</v>
      </c>
      <c r="G149" s="64" t="str">
        <f>INDEX(Auxiliar!$B$16:$B$24,MATCH(Plano_V3!H149,Auxiliar!$C$16:$C$24,0),1)</f>
        <v>1. Concluído</v>
      </c>
      <c r="H149" s="64">
        <f>VLOOKUP(A149,'Aux - pivots1'!$A:$B,2,0)</f>
        <v>1</v>
      </c>
      <c r="I149" s="183">
        <f>SUMIFS(Table1[Estimação (horas)],Table1[Tabela],Plano_V3!E149,Table1[Campo],Plano_V3!F149)</f>
        <v>4.0999999999999996</v>
      </c>
      <c r="J149" s="183">
        <f t="shared" si="29"/>
        <v>0.51249999999999996</v>
      </c>
      <c r="K149" s="183">
        <f>SUMIFS(Table1[Horas efetivas],Table1[Tabela],Plano_V3!E149,Table1[Campo],Plano_V3!F149)</f>
        <v>4.0999999999999996</v>
      </c>
      <c r="L149" s="183">
        <f t="shared" si="30"/>
        <v>0.51249999999999996</v>
      </c>
      <c r="M149" s="177"/>
      <c r="N149" s="177">
        <f t="shared" si="31"/>
        <v>1</v>
      </c>
      <c r="O149" s="177">
        <f t="shared" si="26"/>
        <v>1</v>
      </c>
      <c r="P149" s="87" t="s">
        <v>95</v>
      </c>
      <c r="Q149" s="90">
        <f t="shared" si="27"/>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outlineLevel="1">
      <c r="A150" s="29" t="str">
        <f t="shared" si="28"/>
        <v>PROPERTYCONSERVATORY_REG_FILE_ID</v>
      </c>
      <c r="B150" s="67" t="s">
        <v>26</v>
      </c>
      <c r="C150" s="68" t="s">
        <v>54</v>
      </c>
      <c r="D150" s="64" t="s">
        <v>40</v>
      </c>
      <c r="E150" s="66" t="s">
        <v>94</v>
      </c>
      <c r="F150" s="66" t="s">
        <v>110</v>
      </c>
      <c r="G150" s="64" t="str">
        <f>INDEX(Auxiliar!$B$16:$B$24,MATCH(Plano_V3!H150,Auxiliar!$C$16:$C$24,0),1)</f>
        <v>1. Concluído</v>
      </c>
      <c r="H150" s="64">
        <f>VLOOKUP(A150,'Aux - pivots1'!$A:$B,2,0)</f>
        <v>1</v>
      </c>
      <c r="I150" s="183">
        <f>SUMIFS(Table1[Estimação (horas)],Table1[Tabela],Plano_V3!E150,Table1[Campo],Plano_V3!F150)</f>
        <v>4.0999999999999996</v>
      </c>
      <c r="J150" s="183">
        <f t="shared" si="29"/>
        <v>0.51249999999999996</v>
      </c>
      <c r="K150" s="183">
        <f>SUMIFS(Table1[Horas efetivas],Table1[Tabela],Plano_V3!E150,Table1[Campo],Plano_V3!F150)</f>
        <v>4.0999999999999996</v>
      </c>
      <c r="L150" s="183">
        <f t="shared" si="30"/>
        <v>0.51249999999999996</v>
      </c>
      <c r="M150" s="177"/>
      <c r="N150" s="177">
        <f t="shared" si="31"/>
        <v>1</v>
      </c>
      <c r="O150" s="177">
        <f t="shared" si="26"/>
        <v>1</v>
      </c>
      <c r="P150" s="87" t="s">
        <v>95</v>
      </c>
      <c r="Q150" s="90">
        <f t="shared" si="27"/>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outlineLevel="1">
      <c r="A151" s="29" t="str">
        <f t="shared" si="28"/>
        <v>PROPERTYFLOOR_NUMBER</v>
      </c>
      <c r="B151" s="67" t="s">
        <v>26</v>
      </c>
      <c r="C151" s="68" t="s">
        <v>54</v>
      </c>
      <c r="D151" s="64" t="s">
        <v>40</v>
      </c>
      <c r="E151" s="66" t="s">
        <v>94</v>
      </c>
      <c r="F151" s="66" t="s">
        <v>111</v>
      </c>
      <c r="G151" s="64" t="str">
        <f>INDEX(Auxiliar!$B$16:$B$24,MATCH(Plano_V3!H151,Auxiliar!$C$16:$C$24,0),1)</f>
        <v>1. Concluído</v>
      </c>
      <c r="H151" s="64">
        <f>VLOOKUP(A151,'Aux - pivots1'!$A:$B,2,0)</f>
        <v>1</v>
      </c>
      <c r="I151" s="183">
        <f>SUMIFS(Table1[Estimação (horas)],Table1[Tabela],Plano_V3!E151,Table1[Campo],Plano_V3!F151)</f>
        <v>4.0999999999999996</v>
      </c>
      <c r="J151" s="183">
        <f t="shared" si="29"/>
        <v>0.51249999999999996</v>
      </c>
      <c r="K151" s="183">
        <f>SUMIFS(Table1[Horas efetivas],Table1[Tabela],Plano_V3!E151,Table1[Campo],Plano_V3!F151)</f>
        <v>4.0999999999999996</v>
      </c>
      <c r="L151" s="183">
        <f t="shared" si="30"/>
        <v>0.51249999999999996</v>
      </c>
      <c r="M151" s="177"/>
      <c r="N151" s="177">
        <f t="shared" si="31"/>
        <v>1</v>
      </c>
      <c r="O151" s="177">
        <f t="shared" si="26"/>
        <v>1</v>
      </c>
      <c r="P151" s="87" t="s">
        <v>95</v>
      </c>
      <c r="Q151" s="90">
        <f t="shared" si="27"/>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outlineLevel="1">
      <c r="A152" s="29" t="str">
        <f t="shared" si="28"/>
        <v>PROPERTYLOCALITY</v>
      </c>
      <c r="B152" s="67" t="s">
        <v>26</v>
      </c>
      <c r="C152" s="68" t="s">
        <v>54</v>
      </c>
      <c r="D152" s="64" t="s">
        <v>40</v>
      </c>
      <c r="E152" s="66" t="s">
        <v>94</v>
      </c>
      <c r="F152" s="66" t="s">
        <v>112</v>
      </c>
      <c r="G152" s="64" t="str">
        <f>INDEX(Auxiliar!$B$16:$B$24,MATCH(Plano_V3!H152,Auxiliar!$C$16:$C$24,0),1)</f>
        <v>1. Concluído</v>
      </c>
      <c r="H152" s="64">
        <f>VLOOKUP(A152,'Aux - pivots1'!$A:$B,2,0)</f>
        <v>1</v>
      </c>
      <c r="I152" s="183">
        <f>SUMIFS(Table1[Estimação (horas)],Table1[Tabela],Plano_V3!E152,Table1[Campo],Plano_V3!F152)</f>
        <v>4.0999999999999996</v>
      </c>
      <c r="J152" s="183">
        <f t="shared" si="29"/>
        <v>0.51249999999999996</v>
      </c>
      <c r="K152" s="183">
        <f>SUMIFS(Table1[Horas efetivas],Table1[Tabela],Plano_V3!E152,Table1[Campo],Plano_V3!F152)</f>
        <v>4.0999999999999996</v>
      </c>
      <c r="L152" s="183">
        <f t="shared" si="30"/>
        <v>0.51249999999999996</v>
      </c>
      <c r="M152" s="177"/>
      <c r="N152" s="177">
        <f t="shared" si="31"/>
        <v>1</v>
      </c>
      <c r="O152" s="177">
        <f t="shared" si="26"/>
        <v>1</v>
      </c>
      <c r="P152" s="87" t="s">
        <v>95</v>
      </c>
      <c r="Q152" s="90">
        <f t="shared" si="27"/>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outlineLevel="1">
      <c r="A153" s="29" t="str">
        <f t="shared" si="28"/>
        <v>PROPERTYPROPERTY_LOT</v>
      </c>
      <c r="B153" s="67" t="s">
        <v>26</v>
      </c>
      <c r="C153" s="68" t="s">
        <v>54</v>
      </c>
      <c r="D153" s="64" t="s">
        <v>40</v>
      </c>
      <c r="E153" s="66" t="s">
        <v>94</v>
      </c>
      <c r="F153" s="66" t="s">
        <v>113</v>
      </c>
      <c r="G153" s="64" t="str">
        <f>INDEX(Auxiliar!$B$16:$B$24,MATCH(Plano_V3!H153,Auxiliar!$C$16:$C$24,0),1)</f>
        <v>1. Concluído</v>
      </c>
      <c r="H153" s="64">
        <f>VLOOKUP(A153,'Aux - pivots1'!$A:$B,2,0)</f>
        <v>1</v>
      </c>
      <c r="I153" s="183">
        <f>SUMIFS(Table1[Estimação (horas)],Table1[Tabela],Plano_V3!E153,Table1[Campo],Plano_V3!F153)</f>
        <v>4.0999999999999996</v>
      </c>
      <c r="J153" s="183">
        <f t="shared" si="29"/>
        <v>0.51249999999999996</v>
      </c>
      <c r="K153" s="183">
        <f>SUMIFS(Table1[Horas efetivas],Table1[Tabela],Plano_V3!E153,Table1[Campo],Plano_V3!F153)</f>
        <v>4.0999999999999996</v>
      </c>
      <c r="L153" s="183">
        <f t="shared" si="30"/>
        <v>0.51249999999999996</v>
      </c>
      <c r="M153" s="177"/>
      <c r="N153" s="177">
        <f t="shared" si="31"/>
        <v>1</v>
      </c>
      <c r="O153" s="177">
        <f t="shared" si="26"/>
        <v>1</v>
      </c>
      <c r="P153" s="87" t="s">
        <v>95</v>
      </c>
      <c r="Q153" s="90">
        <f t="shared" si="27"/>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outlineLevel="1">
      <c r="A154" s="29" t="str">
        <f t="shared" si="28"/>
        <v>PROPERTYLAST_APPRAISAL_AMOUNT</v>
      </c>
      <c r="B154" s="67" t="s">
        <v>26</v>
      </c>
      <c r="C154" s="68" t="s">
        <v>54</v>
      </c>
      <c r="D154" s="64" t="s">
        <v>40</v>
      </c>
      <c r="E154" s="66" t="s">
        <v>94</v>
      </c>
      <c r="F154" s="66" t="s">
        <v>114</v>
      </c>
      <c r="G154" s="64" t="str">
        <f>INDEX(Auxiliar!$B$16:$B$24,MATCH(Plano_V3!H154,Auxiliar!$C$16:$C$24,0),1)</f>
        <v>1. Concluído</v>
      </c>
      <c r="H154" s="64">
        <f>VLOOKUP(A154,'Aux - pivots1'!$A:$B,2,0)</f>
        <v>1</v>
      </c>
      <c r="I154" s="183">
        <f>SUMIFS(Table1[Estimação (horas)],Table1[Tabela],Plano_V3!E154,Table1[Campo],Plano_V3!F154)</f>
        <v>4.0999999999999996</v>
      </c>
      <c r="J154" s="183">
        <f t="shared" si="29"/>
        <v>0.51249999999999996</v>
      </c>
      <c r="K154" s="183">
        <f>SUMIFS(Table1[Horas efetivas],Table1[Tabela],Plano_V3!E154,Table1[Campo],Plano_V3!F154)</f>
        <v>4.0999999999999996</v>
      </c>
      <c r="L154" s="183">
        <f t="shared" si="30"/>
        <v>0.51249999999999996</v>
      </c>
      <c r="M154" s="177"/>
      <c r="N154" s="177">
        <f t="shared" si="31"/>
        <v>1</v>
      </c>
      <c r="O154" s="177">
        <f t="shared" si="26"/>
        <v>1</v>
      </c>
      <c r="P154" s="87" t="s">
        <v>95</v>
      </c>
      <c r="Q154" s="90">
        <f t="shared" si="27"/>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outlineLevel="1">
      <c r="A155" s="29" t="str">
        <f t="shared" si="28"/>
        <v>PROPERTYNET_APPRAISAL_AMOUNT</v>
      </c>
      <c r="B155" s="67" t="s">
        <v>26</v>
      </c>
      <c r="C155" s="68" t="s">
        <v>54</v>
      </c>
      <c r="D155" s="64" t="s">
        <v>40</v>
      </c>
      <c r="E155" s="66" t="s">
        <v>94</v>
      </c>
      <c r="F155" s="66" t="s">
        <v>115</v>
      </c>
      <c r="G155" s="64" t="str">
        <f>INDEX(Auxiliar!$B$16:$B$24,MATCH(Plano_V3!H155,Auxiliar!$C$16:$C$24,0),1)</f>
        <v>1. Concluído</v>
      </c>
      <c r="H155" s="64">
        <f>VLOOKUP(A155,'Aux - pivots1'!$A:$B,2,0)</f>
        <v>1</v>
      </c>
      <c r="I155" s="183">
        <f>SUMIFS(Table1[Estimação (horas)],Table1[Tabela],Plano_V3!E155,Table1[Campo],Plano_V3!F155)</f>
        <v>4.0999999999999996</v>
      </c>
      <c r="J155" s="183">
        <f t="shared" si="29"/>
        <v>0.51249999999999996</v>
      </c>
      <c r="K155" s="183">
        <f>SUMIFS(Table1[Horas efetivas],Table1[Tabela],Plano_V3!E155,Table1[Campo],Plano_V3!F155)</f>
        <v>4.0999999999999996</v>
      </c>
      <c r="L155" s="183">
        <f t="shared" si="30"/>
        <v>0.51249999999999996</v>
      </c>
      <c r="M155" s="177"/>
      <c r="N155" s="177">
        <f t="shared" si="31"/>
        <v>1</v>
      </c>
      <c r="O155" s="177">
        <f t="shared" si="26"/>
        <v>1</v>
      </c>
      <c r="P155" s="87" t="s">
        <v>95</v>
      </c>
      <c r="Q155" s="90">
        <f t="shared" si="27"/>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outlineLevel="1">
      <c r="A156" s="29" t="str">
        <f t="shared" si="28"/>
        <v>PROPERTYCOLLATERAL_FAST_SALE_AMOUNT</v>
      </c>
      <c r="B156" s="67" t="s">
        <v>26</v>
      </c>
      <c r="C156" s="68" t="s">
        <v>54</v>
      </c>
      <c r="D156" s="64" t="s">
        <v>40</v>
      </c>
      <c r="E156" s="66" t="s">
        <v>94</v>
      </c>
      <c r="F156" s="66" t="s">
        <v>116</v>
      </c>
      <c r="G156" s="64" t="str">
        <f>INDEX(Auxiliar!$B$16:$B$24,MATCH(Plano_V3!H156,Auxiliar!$C$16:$C$24,0),1)</f>
        <v>1. Concluído</v>
      </c>
      <c r="H156" s="64">
        <f>VLOOKUP(A156,'Aux - pivots1'!$A:$B,2,0)</f>
        <v>1</v>
      </c>
      <c r="I156" s="183">
        <f>SUMIFS(Table1[Estimação (horas)],Table1[Tabela],Plano_V3!E156,Table1[Campo],Plano_V3!F156)</f>
        <v>4.0999999999999996</v>
      </c>
      <c r="J156" s="183">
        <f t="shared" si="29"/>
        <v>0.51249999999999996</v>
      </c>
      <c r="K156" s="183">
        <f>SUMIFS(Table1[Horas efetivas],Table1[Tabela],Plano_V3!E156,Table1[Campo],Plano_V3!F156)</f>
        <v>4.0999999999999996</v>
      </c>
      <c r="L156" s="183">
        <f t="shared" si="30"/>
        <v>0.51249999999999996</v>
      </c>
      <c r="M156" s="177"/>
      <c r="N156" s="177">
        <f t="shared" si="31"/>
        <v>1</v>
      </c>
      <c r="O156" s="177">
        <f t="shared" si="26"/>
        <v>1</v>
      </c>
      <c r="P156" s="87" t="s">
        <v>95</v>
      </c>
      <c r="Q156" s="90">
        <f t="shared" si="27"/>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outlineLevel="1">
      <c r="A157" s="29" t="str">
        <f t="shared" si="28"/>
        <v>PROPERTYADDRESS</v>
      </c>
      <c r="B157" s="67" t="s">
        <v>26</v>
      </c>
      <c r="C157" s="68" t="s">
        <v>54</v>
      </c>
      <c r="D157" s="64" t="s">
        <v>40</v>
      </c>
      <c r="E157" s="66" t="s">
        <v>94</v>
      </c>
      <c r="F157" s="66" t="s">
        <v>117</v>
      </c>
      <c r="G157" s="64" t="str">
        <f>INDEX(Auxiliar!$B$16:$B$24,MATCH(Plano_V3!H157,Auxiliar!$C$16:$C$24,0),1)</f>
        <v>1. Concluído</v>
      </c>
      <c r="H157" s="64">
        <f>VLOOKUP(A157,'Aux - pivots1'!$A:$B,2,0)</f>
        <v>1</v>
      </c>
      <c r="I157" s="183">
        <f>SUMIFS(Table1[Estimação (horas)],Table1[Tabela],Plano_V3!E157,Table1[Campo],Plano_V3!F157)</f>
        <v>4.0999999999999996</v>
      </c>
      <c r="J157" s="183">
        <f t="shared" si="29"/>
        <v>0.51249999999999996</v>
      </c>
      <c r="K157" s="183">
        <f>SUMIFS(Table1[Horas efetivas],Table1[Tabela],Plano_V3!E157,Table1[Campo],Plano_V3!F157)</f>
        <v>4.0999999999999996</v>
      </c>
      <c r="L157" s="183">
        <f t="shared" si="30"/>
        <v>0.51249999999999996</v>
      </c>
      <c r="M157" s="177"/>
      <c r="N157" s="177">
        <f t="shared" si="31"/>
        <v>1</v>
      </c>
      <c r="O157" s="177">
        <f t="shared" si="26"/>
        <v>1</v>
      </c>
      <c r="P157" s="87" t="s">
        <v>95</v>
      </c>
      <c r="Q157" s="90">
        <f t="shared" si="27"/>
        <v>0.51249999999999996</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outlineLevel="1">
      <c r="A158" s="29" t="str">
        <f t="shared" si="28"/>
        <v>PROPERTYPROPERTY_NUMBER</v>
      </c>
      <c r="B158" s="67" t="s">
        <v>26</v>
      </c>
      <c r="C158" s="68" t="s">
        <v>54</v>
      </c>
      <c r="D158" s="64" t="s">
        <v>40</v>
      </c>
      <c r="E158" s="66" t="s">
        <v>94</v>
      </c>
      <c r="F158" s="66" t="s">
        <v>118</v>
      </c>
      <c r="G158" s="64" t="str">
        <f>INDEX(Auxiliar!$B$16:$B$24,MATCH(Plano_V3!H158,Auxiliar!$C$16:$C$24,0),1)</f>
        <v>1. Concluído</v>
      </c>
      <c r="H158" s="64">
        <f>VLOOKUP(A158,'Aux - pivots1'!$A:$B,2,0)</f>
        <v>1</v>
      </c>
      <c r="I158" s="183">
        <f>SUMIFS(Table1[Estimação (horas)],Table1[Tabela],Plano_V3!E158,Table1[Campo],Plano_V3!F158)</f>
        <v>4.0999999999999996</v>
      </c>
      <c r="J158" s="183">
        <f t="shared" si="29"/>
        <v>0.51249999999999996</v>
      </c>
      <c r="K158" s="183">
        <f>SUMIFS(Table1[Horas efetivas],Table1[Tabela],Plano_V3!E158,Table1[Campo],Plano_V3!F158)</f>
        <v>4.0999999999999996</v>
      </c>
      <c r="L158" s="183">
        <f t="shared" si="30"/>
        <v>0.51249999999999996</v>
      </c>
      <c r="M158" s="177"/>
      <c r="N158" s="177">
        <f t="shared" si="31"/>
        <v>1</v>
      </c>
      <c r="O158" s="177">
        <f t="shared" si="26"/>
        <v>1</v>
      </c>
      <c r="P158" s="87" t="s">
        <v>95</v>
      </c>
      <c r="Q158" s="90">
        <f t="shared" si="27"/>
        <v>0.51249999999999996</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outlineLevel="1">
      <c r="A159" s="29" t="str">
        <f t="shared" si="28"/>
        <v>PROPERTYOrigem</v>
      </c>
      <c r="B159" s="67" t="s">
        <v>26</v>
      </c>
      <c r="C159" s="68" t="s">
        <v>54</v>
      </c>
      <c r="D159" s="64" t="s">
        <v>40</v>
      </c>
      <c r="E159" s="66" t="s">
        <v>94</v>
      </c>
      <c r="F159" s="66" t="s">
        <v>119</v>
      </c>
      <c r="G159" s="64" t="str">
        <f>INDEX(Auxiliar!$B$16:$B$24,MATCH(Plano_V3!H159,Auxiliar!$C$16:$C$24,0),1)</f>
        <v>0. Cancelado</v>
      </c>
      <c r="H159" s="64">
        <f>VLOOKUP(A159,'Aux - pivots1'!$A:$B,2,0)</f>
        <v>0</v>
      </c>
      <c r="I159" s="183">
        <f>SUMIFS(Table1[Estimação (horas)],Table1[Tabela],Plano_V3!E159,Table1[Campo],Plano_V3!F159)</f>
        <v>4.0999999999999996</v>
      </c>
      <c r="J159" s="183">
        <f t="shared" si="29"/>
        <v>0.51249999999999996</v>
      </c>
      <c r="K159" s="183">
        <f>SUMIFS(Table1[Horas efetivas],Table1[Tabela],Plano_V3!E159,Table1[Campo],Plano_V3!F159)</f>
        <v>0</v>
      </c>
      <c r="L159" s="183">
        <f t="shared" si="30"/>
        <v>0</v>
      </c>
      <c r="M159" s="177"/>
      <c r="N159" s="177">
        <f t="shared" si="31"/>
        <v>0</v>
      </c>
      <c r="O159" s="177">
        <f t="shared" si="26"/>
        <v>0</v>
      </c>
      <c r="P159" s="87" t="s">
        <v>95</v>
      </c>
      <c r="Q159" s="90">
        <f t="shared" si="27"/>
        <v>0.51249999999999996</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outlineLevel="1">
      <c r="A160" s="29" t="str">
        <f t="shared" si="28"/>
        <v>PROPERTYCURRENT_CONSTRUCTION_PCT</v>
      </c>
      <c r="B160" s="67" t="s">
        <v>26</v>
      </c>
      <c r="C160" s="68" t="s">
        <v>54</v>
      </c>
      <c r="D160" s="64" t="s">
        <v>40</v>
      </c>
      <c r="E160" s="66" t="s">
        <v>94</v>
      </c>
      <c r="F160" s="66" t="s">
        <v>120</v>
      </c>
      <c r="G160" s="64" t="str">
        <f>INDEX(Auxiliar!$B$16:$B$24,MATCH(Plano_V3!H160,Auxiliar!$C$16:$C$24,0),1)</f>
        <v>1. Concluído</v>
      </c>
      <c r="H160" s="64">
        <f>VLOOKUP(A160,'Aux - pivots1'!$A:$B,2,0)</f>
        <v>1</v>
      </c>
      <c r="I160" s="183">
        <f>SUMIFS(Table1[Estimação (horas)],Table1[Tabela],Plano_V3!E160,Table1[Campo],Plano_V3!F160)</f>
        <v>8.1</v>
      </c>
      <c r="J160" s="183">
        <f t="shared" si="29"/>
        <v>1.0125</v>
      </c>
      <c r="K160" s="183">
        <f>SUMIFS(Table1[Horas efetivas],Table1[Tabela],Plano_V3!E160,Table1[Campo],Plano_V3!F160)</f>
        <v>8.1</v>
      </c>
      <c r="L160" s="183">
        <f t="shared" si="30"/>
        <v>1.0125</v>
      </c>
      <c r="M160" s="177"/>
      <c r="N160" s="177">
        <f t="shared" si="31"/>
        <v>1</v>
      </c>
      <c r="O160" s="177">
        <f t="shared" si="26"/>
        <v>1</v>
      </c>
      <c r="P160" s="87" t="s">
        <v>95</v>
      </c>
      <c r="Q160" s="90">
        <f t="shared" si="27"/>
        <v>1.0125</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outlineLevel="1">
      <c r="A161" s="29" t="str">
        <f t="shared" si="28"/>
        <v>PROPERTYCONSTRUCTION_COMPLETED_PCT</v>
      </c>
      <c r="B161" s="67" t="s">
        <v>26</v>
      </c>
      <c r="C161" s="68" t="s">
        <v>54</v>
      </c>
      <c r="D161" s="64" t="s">
        <v>40</v>
      </c>
      <c r="E161" s="66" t="s">
        <v>94</v>
      </c>
      <c r="F161" s="66" t="s">
        <v>121</v>
      </c>
      <c r="G161" s="64" t="str">
        <f>INDEX(Auxiliar!$B$16:$B$24,MATCH(Plano_V3!H161,Auxiliar!$C$16:$C$24,0),1)</f>
        <v>1. Concluído</v>
      </c>
      <c r="H161" s="64">
        <f>VLOOKUP(A161,'Aux - pivots1'!$A:$B,2,0)</f>
        <v>1</v>
      </c>
      <c r="I161" s="183">
        <f>SUMIFS(Table1[Estimação (horas)],Table1[Tabela],Plano_V3!E161,Table1[Campo],Plano_V3!F161)</f>
        <v>8.1</v>
      </c>
      <c r="J161" s="183">
        <f t="shared" si="29"/>
        <v>1.0125</v>
      </c>
      <c r="K161" s="183">
        <f>SUMIFS(Table1[Horas efetivas],Table1[Tabela],Plano_V3!E161,Table1[Campo],Plano_V3!F161)</f>
        <v>8.1</v>
      </c>
      <c r="L161" s="183">
        <f t="shared" si="30"/>
        <v>1.0125</v>
      </c>
      <c r="M161" s="177"/>
      <c r="N161" s="177">
        <f t="shared" si="31"/>
        <v>1</v>
      </c>
      <c r="O161" s="177">
        <f t="shared" si="26"/>
        <v>1</v>
      </c>
      <c r="P161" s="87" t="s">
        <v>95</v>
      </c>
      <c r="Q161" s="90">
        <f t="shared" si="27"/>
        <v>1.0125</v>
      </c>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outlineLevel="1">
      <c r="A162" s="29" t="str">
        <f t="shared" si="28"/>
        <v>PROPERTYDATA_DATE_PART</v>
      </c>
      <c r="B162" s="67" t="s">
        <v>26</v>
      </c>
      <c r="C162" s="68" t="s">
        <v>54</v>
      </c>
      <c r="D162" s="64" t="s">
        <v>40</v>
      </c>
      <c r="E162" s="66" t="s">
        <v>94</v>
      </c>
      <c r="F162" s="66" t="s">
        <v>73</v>
      </c>
      <c r="G162" s="64" t="str">
        <f>INDEX(Auxiliar!$B$16:$B$24,MATCH(Plano_V3!H162,Auxiliar!$C$16:$C$24,0),1)</f>
        <v>1. Concluído</v>
      </c>
      <c r="H162" s="64">
        <f>VLOOKUP(A162,'Aux - pivots1'!$A:$B,2,0)</f>
        <v>1</v>
      </c>
      <c r="I162" s="183">
        <f>SUMIFS(Table1[Estimação (horas)],Table1[Tabela],Plano_V3!E162,Table1[Campo],Plano_V3!F162)</f>
        <v>4.0999999999999996</v>
      </c>
      <c r="J162" s="183">
        <f t="shared" si="29"/>
        <v>0.51249999999999996</v>
      </c>
      <c r="K162" s="183">
        <f>SUMIFS(Table1[Horas efetivas],Table1[Tabela],Plano_V3!E162,Table1[Campo],Plano_V3!F162)</f>
        <v>4.0999999999999996</v>
      </c>
      <c r="L162" s="183">
        <f t="shared" si="30"/>
        <v>0.51249999999999996</v>
      </c>
      <c r="M162" s="177"/>
      <c r="N162" s="177">
        <f t="shared" si="31"/>
        <v>1</v>
      </c>
      <c r="O162" s="177">
        <f t="shared" si="26"/>
        <v>1</v>
      </c>
      <c r="P162" s="87" t="s">
        <v>95</v>
      </c>
      <c r="Q162" s="90">
        <f t="shared" si="27"/>
        <v>0.51249999999999996</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outlineLevel="1">
      <c r="A163" s="29" t="str">
        <f t="shared" si="28"/>
        <v>PROPERTYURBANIZATION</v>
      </c>
      <c r="B163" s="67" t="s">
        <v>26</v>
      </c>
      <c r="C163" s="68" t="s">
        <v>54</v>
      </c>
      <c r="D163" s="64" t="s">
        <v>40</v>
      </c>
      <c r="E163" s="66" t="s">
        <v>94</v>
      </c>
      <c r="F163" s="66" t="s">
        <v>122</v>
      </c>
      <c r="G163" s="64" t="str">
        <f>INDEX(Auxiliar!$B$16:$B$24,MATCH(Plano_V3!H163,Auxiliar!$C$16:$C$24,0),1)</f>
        <v>1. Concluído</v>
      </c>
      <c r="H163" s="64">
        <f>VLOOKUP(A163,'Aux - pivots1'!$A:$B,2,0)</f>
        <v>1</v>
      </c>
      <c r="I163" s="183">
        <f>SUMIFS(Table1[Estimação (horas)],Table1[Tabela],Plano_V3!E163,Table1[Campo],Plano_V3!F163)</f>
        <v>4.0999999999999996</v>
      </c>
      <c r="J163" s="183">
        <f t="shared" si="29"/>
        <v>0.51249999999999996</v>
      </c>
      <c r="K163" s="183">
        <f>SUMIFS(Table1[Horas efetivas],Table1[Tabela],Plano_V3!E163,Table1[Campo],Plano_V3!F163)</f>
        <v>4.0999999999999996</v>
      </c>
      <c r="L163" s="183">
        <f t="shared" si="30"/>
        <v>0.51249999999999996</v>
      </c>
      <c r="M163" s="177"/>
      <c r="N163" s="177">
        <f t="shared" si="31"/>
        <v>1</v>
      </c>
      <c r="O163" s="177">
        <f t="shared" si="26"/>
        <v>1</v>
      </c>
      <c r="P163" s="87" t="s">
        <v>95</v>
      </c>
      <c r="Q163" s="90">
        <f t="shared" si="27"/>
        <v>0.51249999999999996</v>
      </c>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outlineLevel="1">
      <c r="A164" s="29" t="str">
        <f>E164&amp;F164</f>
        <v>PROPERTYPROPERTY_CODE</v>
      </c>
      <c r="B164" s="67"/>
      <c r="C164" s="68"/>
      <c r="D164" s="64" t="s">
        <v>40</v>
      </c>
      <c r="E164" s="66" t="s">
        <v>94</v>
      </c>
      <c r="F164" s="66" t="s">
        <v>2167</v>
      </c>
      <c r="G164" s="64" t="str">
        <f>INDEX(Auxiliar!$B$16:$B$24,MATCH(Plano_V3!H164,Auxiliar!$C$16:$C$24,0),1)</f>
        <v>1. Concluído</v>
      </c>
      <c r="H164" s="64">
        <f>VLOOKUP(A164,'Aux - pivots1'!$A:$B,2,0)</f>
        <v>1</v>
      </c>
      <c r="I164" s="183">
        <f>SUMIFS(Table1[Estimação (horas)],Table1[Tabela],Plano_V3!E164,Table1[Campo],Plano_V3!F164)</f>
        <v>4.0999999999999996</v>
      </c>
      <c r="J164" s="183">
        <f>I164/8</f>
        <v>0.51249999999999996</v>
      </c>
      <c r="K164" s="183">
        <f>SUMIFS(Table1[Horas efetivas],Table1[Tabela],Plano_V3!E164,Table1[Campo],Plano_V3!F164)</f>
        <v>4.0999999999999996</v>
      </c>
      <c r="L164" s="183">
        <f>K164/8</f>
        <v>0.51249999999999996</v>
      </c>
      <c r="M164" s="177"/>
      <c r="N164" s="177">
        <f t="shared" si="31"/>
        <v>1</v>
      </c>
      <c r="O164" s="177">
        <f t="shared" si="26"/>
        <v>1</v>
      </c>
      <c r="P164" s="87" t="s">
        <v>95</v>
      </c>
      <c r="Q164" s="90"/>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outlineLevel="1">
      <c r="A165" s="29" t="str">
        <f t="shared" si="28"/>
        <v>PROPERTY_ENERGY_CERTIFICATEn.a.</v>
      </c>
      <c r="B165" s="67" t="s">
        <v>26</v>
      </c>
      <c r="C165" s="68" t="s">
        <v>54</v>
      </c>
      <c r="D165" s="64" t="s">
        <v>36</v>
      </c>
      <c r="E165" s="66" t="s">
        <v>123</v>
      </c>
      <c r="F165" s="64" t="s">
        <v>38</v>
      </c>
      <c r="G165" s="64" t="str">
        <f>INDEX(Auxiliar!$B$16:$B$24,MATCH(Plano_V3!H165,Auxiliar!$C$16:$C$24,0),1)</f>
        <v>1. Concluído</v>
      </c>
      <c r="H165" s="64">
        <f>VLOOKUP(A165,'Aux - pivots1'!$A:$B,2,0)</f>
        <v>1</v>
      </c>
      <c r="I165" s="183">
        <f>SUMIFS(Table1[Estimação (horas)],Table1[Tabela],Plano_V3!E165,Table1[Campo],Plano_V3!F165)</f>
        <v>8</v>
      </c>
      <c r="J165" s="183">
        <f t="shared" si="29"/>
        <v>1</v>
      </c>
      <c r="K165" s="183">
        <f>SUMIFS(Table1[Horas efetivas],Table1[Tabela],Plano_V3!E165,Table1[Campo],Plano_V3!F165)</f>
        <v>8</v>
      </c>
      <c r="L165" s="183">
        <f t="shared" si="30"/>
        <v>1</v>
      </c>
      <c r="M165" s="177"/>
      <c r="N165" s="177">
        <f t="shared" si="31"/>
        <v>1</v>
      </c>
      <c r="O165" s="177">
        <f t="shared" si="26"/>
        <v>1</v>
      </c>
      <c r="P165" s="87" t="s">
        <v>124</v>
      </c>
      <c r="Q165" s="90">
        <f t="shared" si="27"/>
        <v>1</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outlineLevel="1">
      <c r="A166" s="29" t="str">
        <f t="shared" si="28"/>
        <v>PROPERTY_ENERGY_CERTIFICATEPROPERTY_BANK_ID</v>
      </c>
      <c r="B166" s="67" t="s">
        <v>26</v>
      </c>
      <c r="C166" s="68" t="s">
        <v>54</v>
      </c>
      <c r="D166" s="64" t="s">
        <v>40</v>
      </c>
      <c r="E166" s="66" t="s">
        <v>123</v>
      </c>
      <c r="F166" s="66" t="s">
        <v>41</v>
      </c>
      <c r="G166" s="64" t="str">
        <f>INDEX(Auxiliar!$B$16:$B$24,MATCH(Plano_V3!H166,Auxiliar!$C$16:$C$24,0),1)</f>
        <v>1. Concluído</v>
      </c>
      <c r="H166" s="64">
        <f>VLOOKUP(A166,'Aux - pivots1'!$A:$B,2,0)</f>
        <v>1</v>
      </c>
      <c r="I166" s="183">
        <f>SUMIFS(Table1[Estimação (horas)],Table1[Tabela],Plano_V3!E166,Table1[Campo],Plano_V3!F166)</f>
        <v>4.0999999999999996</v>
      </c>
      <c r="J166" s="183">
        <f t="shared" si="29"/>
        <v>0.51249999999999996</v>
      </c>
      <c r="K166" s="183">
        <f>SUMIFS(Table1[Horas efetivas],Table1[Tabela],Plano_V3!E166,Table1[Campo],Plano_V3!F166)</f>
        <v>4.0999999999999996</v>
      </c>
      <c r="L166" s="183">
        <f t="shared" si="30"/>
        <v>0.51249999999999996</v>
      </c>
      <c r="M166" s="177"/>
      <c r="N166" s="177">
        <f t="shared" si="31"/>
        <v>1</v>
      </c>
      <c r="O166" s="177">
        <f t="shared" si="26"/>
        <v>1</v>
      </c>
      <c r="P166" s="87" t="s">
        <v>124</v>
      </c>
      <c r="Q166" s="90">
        <f t="shared" si="27"/>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outlineLevel="1">
      <c r="A167" s="29" t="str">
        <f t="shared" si="28"/>
        <v>PROPERTY_ENERGY_CERTIFICATEPROPERTY_BRANCH_CODE</v>
      </c>
      <c r="B167" s="67" t="s">
        <v>26</v>
      </c>
      <c r="C167" s="68" t="s">
        <v>54</v>
      </c>
      <c r="D167" s="64" t="s">
        <v>40</v>
      </c>
      <c r="E167" s="66" t="s">
        <v>123</v>
      </c>
      <c r="F167" s="66" t="s">
        <v>43</v>
      </c>
      <c r="G167" s="64" t="str">
        <f>INDEX(Auxiliar!$B$16:$B$24,MATCH(Plano_V3!H167,Auxiliar!$C$16:$C$24,0),1)</f>
        <v>1. Concluído</v>
      </c>
      <c r="H167" s="64">
        <f>VLOOKUP(A167,'Aux - pivots1'!$A:$B,2,0)</f>
        <v>1</v>
      </c>
      <c r="I167" s="183">
        <f>SUMIFS(Table1[Estimação (horas)],Table1[Tabela],Plano_V3!E167,Table1[Campo],Plano_V3!F167)</f>
        <v>4.0999999999999996</v>
      </c>
      <c r="J167" s="183">
        <f t="shared" si="29"/>
        <v>0.51249999999999996</v>
      </c>
      <c r="K167" s="183">
        <f>SUMIFS(Table1[Horas efetivas],Table1[Tabela],Plano_V3!E167,Table1[Campo],Plano_V3!F167)</f>
        <v>4.0999999999999996</v>
      </c>
      <c r="L167" s="183">
        <f t="shared" si="30"/>
        <v>0.51249999999999996</v>
      </c>
      <c r="M167" s="177"/>
      <c r="N167" s="177">
        <f t="shared" si="31"/>
        <v>1</v>
      </c>
      <c r="O167" s="177">
        <f t="shared" si="26"/>
        <v>1</v>
      </c>
      <c r="P167" s="87" t="s">
        <v>124</v>
      </c>
      <c r="Q167" s="90">
        <f t="shared" si="27"/>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outlineLevel="1">
      <c r="A168" s="29" t="str">
        <f t="shared" si="28"/>
        <v>PROPERTY_ENERGY_CERTIFICATEPROPERTY_CONTRACT_ID</v>
      </c>
      <c r="B168" s="67" t="s">
        <v>26</v>
      </c>
      <c r="C168" s="68" t="s">
        <v>54</v>
      </c>
      <c r="D168" s="64" t="s">
        <v>40</v>
      </c>
      <c r="E168" s="66" t="s">
        <v>123</v>
      </c>
      <c r="F168" s="66" t="s">
        <v>44</v>
      </c>
      <c r="G168" s="64" t="str">
        <f>INDEX(Auxiliar!$B$16:$B$24,MATCH(Plano_V3!H168,Auxiliar!$C$16:$C$24,0),1)</f>
        <v>1. Concluído</v>
      </c>
      <c r="H168" s="64">
        <f>VLOOKUP(A168,'Aux - pivots1'!$A:$B,2,0)</f>
        <v>1</v>
      </c>
      <c r="I168" s="183">
        <f>SUMIFS(Table1[Estimação (horas)],Table1[Tabela],Plano_V3!E168,Table1[Campo],Plano_V3!F168)</f>
        <v>4.0999999999999996</v>
      </c>
      <c r="J168" s="183">
        <f t="shared" si="29"/>
        <v>0.51249999999999996</v>
      </c>
      <c r="K168" s="183">
        <f>SUMIFS(Table1[Horas efetivas],Table1[Tabela],Plano_V3!E168,Table1[Campo],Plano_V3!F168)</f>
        <v>4.0999999999999996</v>
      </c>
      <c r="L168" s="183">
        <f t="shared" si="30"/>
        <v>0.51249999999999996</v>
      </c>
      <c r="M168" s="177"/>
      <c r="N168" s="177">
        <f t="shared" si="31"/>
        <v>1</v>
      </c>
      <c r="O168" s="177">
        <f t="shared" si="26"/>
        <v>1</v>
      </c>
      <c r="P168" s="87" t="s">
        <v>124</v>
      </c>
      <c r="Q168" s="90">
        <f t="shared" si="27"/>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outlineLevel="1">
      <c r="A169" s="29" t="str">
        <f t="shared" si="28"/>
        <v>PROPERTY_ENERGY_CERTIFICATEPROPERTY_REFERENCE_CODE</v>
      </c>
      <c r="B169" s="67" t="s">
        <v>26</v>
      </c>
      <c r="C169" s="68" t="s">
        <v>54</v>
      </c>
      <c r="D169" s="64" t="s">
        <v>40</v>
      </c>
      <c r="E169" s="66" t="s">
        <v>123</v>
      </c>
      <c r="F169" s="66" t="s">
        <v>45</v>
      </c>
      <c r="G169" s="64" t="str">
        <f>INDEX(Auxiliar!$B$16:$B$24,MATCH(Plano_V3!H169,Auxiliar!$C$16:$C$24,0),1)</f>
        <v>1. Concluído</v>
      </c>
      <c r="H169" s="64">
        <f>VLOOKUP(A169,'Aux - pivots1'!$A:$B,2,0)</f>
        <v>1</v>
      </c>
      <c r="I169" s="183">
        <f>SUMIFS(Table1[Estimação (horas)],Table1[Tabela],Plano_V3!E169,Table1[Campo],Plano_V3!F169)</f>
        <v>4.0999999999999996</v>
      </c>
      <c r="J169" s="183">
        <f t="shared" si="29"/>
        <v>0.51249999999999996</v>
      </c>
      <c r="K169" s="183">
        <f>SUMIFS(Table1[Horas efetivas],Table1[Tabela],Plano_V3!E169,Table1[Campo],Plano_V3!F169)</f>
        <v>4.0999999999999996</v>
      </c>
      <c r="L169" s="183">
        <f t="shared" si="30"/>
        <v>0.51249999999999996</v>
      </c>
      <c r="M169" s="177"/>
      <c r="N169" s="177">
        <f t="shared" si="31"/>
        <v>1</v>
      </c>
      <c r="O169" s="177">
        <f t="shared" si="26"/>
        <v>1</v>
      </c>
      <c r="P169" s="87" t="s">
        <v>124</v>
      </c>
      <c r="Q169" s="90">
        <f t="shared" si="27"/>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outlineLevel="1">
      <c r="A170" s="29" t="str">
        <f t="shared" si="28"/>
        <v>PROPERTY_ENERGY_CERTIFICATELAND_REGISTRY_OFFICE_CODE</v>
      </c>
      <c r="B170" s="67" t="s">
        <v>26</v>
      </c>
      <c r="C170" s="68" t="s">
        <v>54</v>
      </c>
      <c r="D170" s="64" t="s">
        <v>40</v>
      </c>
      <c r="E170" s="66" t="s">
        <v>123</v>
      </c>
      <c r="F170" s="66" t="s">
        <v>125</v>
      </c>
      <c r="G170" s="64" t="str">
        <f>INDEX(Auxiliar!$B$16:$B$24,MATCH(Plano_V3!H170,Auxiliar!$C$16:$C$24,0),1)</f>
        <v>1. Concluído</v>
      </c>
      <c r="H170" s="64">
        <f>VLOOKUP(A170,'Aux - pivots1'!$A:$B,2,0)</f>
        <v>1</v>
      </c>
      <c r="I170" s="183">
        <f>SUMIFS(Table1[Estimação (horas)],Table1[Tabela],Plano_V3!E170,Table1[Campo],Plano_V3!F170)</f>
        <v>4.0999999999999996</v>
      </c>
      <c r="J170" s="183">
        <f t="shared" si="29"/>
        <v>0.51249999999999996</v>
      </c>
      <c r="K170" s="183">
        <f>SUMIFS(Table1[Horas efetivas],Table1[Tabela],Plano_V3!E170,Table1[Campo],Plano_V3!F170)</f>
        <v>4.0999999999999996</v>
      </c>
      <c r="L170" s="183">
        <f t="shared" si="30"/>
        <v>0.51249999999999996</v>
      </c>
      <c r="M170" s="177"/>
      <c r="N170" s="177">
        <f t="shared" si="31"/>
        <v>1</v>
      </c>
      <c r="O170" s="177">
        <f t="shared" si="26"/>
        <v>1</v>
      </c>
      <c r="P170" s="87" t="s">
        <v>124</v>
      </c>
      <c r="Q170" s="90">
        <f t="shared" si="27"/>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outlineLevel="1">
      <c r="A171" s="29" t="str">
        <f t="shared" si="28"/>
        <v>PROPERTY_ENERGY_CERTIFICATEPROPERTY_IDENTIFICATION_CODE</v>
      </c>
      <c r="B171" s="67" t="s">
        <v>26</v>
      </c>
      <c r="C171" s="68" t="s">
        <v>54</v>
      </c>
      <c r="D171" s="64" t="s">
        <v>40</v>
      </c>
      <c r="E171" s="66" t="s">
        <v>123</v>
      </c>
      <c r="F171" s="66" t="s">
        <v>126</v>
      </c>
      <c r="G171" s="64" t="str">
        <f>INDEX(Auxiliar!$B$16:$B$24,MATCH(Plano_V3!H171,Auxiliar!$C$16:$C$24,0),1)</f>
        <v>1. Concluído</v>
      </c>
      <c r="H171" s="64">
        <f>VLOOKUP(A171,'Aux - pivots1'!$A:$B,2,0)</f>
        <v>1</v>
      </c>
      <c r="I171" s="183">
        <f>SUMIFS(Table1[Estimação (horas)],Table1[Tabela],Plano_V3!E171,Table1[Campo],Plano_V3!F171)</f>
        <v>4.0999999999999996</v>
      </c>
      <c r="J171" s="183">
        <f t="shared" si="29"/>
        <v>0.51249999999999996</v>
      </c>
      <c r="K171" s="183">
        <f>SUMIFS(Table1[Horas efetivas],Table1[Tabela],Plano_V3!E171,Table1[Campo],Plano_V3!F171)</f>
        <v>4.0999999999999996</v>
      </c>
      <c r="L171" s="183">
        <f t="shared" si="30"/>
        <v>0.51249999999999996</v>
      </c>
      <c r="M171" s="177"/>
      <c r="N171" s="177">
        <f t="shared" si="31"/>
        <v>1</v>
      </c>
      <c r="O171" s="177">
        <f t="shared" si="26"/>
        <v>1</v>
      </c>
      <c r="P171" s="87" t="s">
        <v>124</v>
      </c>
      <c r="Q171" s="90">
        <f t="shared" si="27"/>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outlineLevel="1">
      <c r="A172" s="29" t="str">
        <f t="shared" si="28"/>
        <v>PROPERTY_ENERGY_CERTIFICATEENERGY_CERTIFICATION_SYSTEM_CODE</v>
      </c>
      <c r="B172" s="67" t="s">
        <v>26</v>
      </c>
      <c r="C172" s="68" t="s">
        <v>54</v>
      </c>
      <c r="D172" s="64" t="s">
        <v>40</v>
      </c>
      <c r="E172" s="66" t="s">
        <v>123</v>
      </c>
      <c r="F172" s="66" t="s">
        <v>127</v>
      </c>
      <c r="G172" s="64" t="str">
        <f>INDEX(Auxiliar!$B$16:$B$24,MATCH(Plano_V3!H172,Auxiliar!$C$16:$C$24,0),1)</f>
        <v>1. Concluído</v>
      </c>
      <c r="H172" s="64">
        <f>VLOOKUP(A172,'Aux - pivots1'!$A:$B,2,0)</f>
        <v>1</v>
      </c>
      <c r="I172" s="183">
        <f>SUMIFS(Table1[Estimação (horas)],Table1[Tabela],Plano_V3!E172,Table1[Campo],Plano_V3!F172)</f>
        <v>4.0999999999999996</v>
      </c>
      <c r="J172" s="183">
        <f t="shared" si="29"/>
        <v>0.51249999999999996</v>
      </c>
      <c r="K172" s="183">
        <f>SUMIFS(Table1[Horas efetivas],Table1[Tabela],Plano_V3!E172,Table1[Campo],Plano_V3!F172)</f>
        <v>4.0999999999999996</v>
      </c>
      <c r="L172" s="183">
        <f t="shared" si="30"/>
        <v>0.51249999999999996</v>
      </c>
      <c r="M172" s="177"/>
      <c r="N172" s="177">
        <f t="shared" si="31"/>
        <v>1</v>
      </c>
      <c r="O172" s="177">
        <f t="shared" si="26"/>
        <v>1</v>
      </c>
      <c r="P172" s="87" t="s">
        <v>124</v>
      </c>
      <c r="Q172" s="90">
        <f t="shared" si="27"/>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outlineLevel="1">
      <c r="A173" s="29" t="str">
        <f t="shared" si="28"/>
        <v>PROPERTY_ENERGY_CERTIFICATEEPC_ISSUING_DATE</v>
      </c>
      <c r="B173" s="67" t="s">
        <v>26</v>
      </c>
      <c r="C173" s="68" t="s">
        <v>54</v>
      </c>
      <c r="D173" s="64" t="s">
        <v>40</v>
      </c>
      <c r="E173" s="66" t="s">
        <v>123</v>
      </c>
      <c r="F173" s="66" t="s">
        <v>128</v>
      </c>
      <c r="G173" s="64" t="str">
        <f>INDEX(Auxiliar!$B$16:$B$24,MATCH(Plano_V3!H173,Auxiliar!$C$16:$C$24,0),1)</f>
        <v>1. Concluído</v>
      </c>
      <c r="H173" s="64">
        <f>VLOOKUP(A173,'Aux - pivots1'!$A:$B,2,0)</f>
        <v>1</v>
      </c>
      <c r="I173" s="183">
        <f>SUMIFS(Table1[Estimação (horas)],Table1[Tabela],Plano_V3!E173,Table1[Campo],Plano_V3!F173)</f>
        <v>4.0999999999999996</v>
      </c>
      <c r="J173" s="183">
        <f t="shared" si="29"/>
        <v>0.51249999999999996</v>
      </c>
      <c r="K173" s="183">
        <f>SUMIFS(Table1[Horas efetivas],Table1[Tabela],Plano_V3!E173,Table1[Campo],Plano_V3!F173)</f>
        <v>4.0999999999999996</v>
      </c>
      <c r="L173" s="183">
        <f t="shared" si="30"/>
        <v>0.51249999999999996</v>
      </c>
      <c r="M173" s="177"/>
      <c r="N173" s="177">
        <f t="shared" si="31"/>
        <v>1</v>
      </c>
      <c r="O173" s="177">
        <f t="shared" si="26"/>
        <v>1</v>
      </c>
      <c r="P173" s="87" t="s">
        <v>124</v>
      </c>
      <c r="Q173" s="90">
        <f t="shared" si="27"/>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outlineLevel="1">
      <c r="A174" s="29" t="str">
        <f t="shared" si="28"/>
        <v>PROPERTY_ENERGY_CERTIFICATEEPC_EXPIRATION_DATE</v>
      </c>
      <c r="B174" s="67" t="s">
        <v>26</v>
      </c>
      <c r="C174" s="68" t="s">
        <v>54</v>
      </c>
      <c r="D174" s="64" t="s">
        <v>40</v>
      </c>
      <c r="E174" s="66" t="s">
        <v>123</v>
      </c>
      <c r="F174" s="66" t="s">
        <v>129</v>
      </c>
      <c r="G174" s="64" t="str">
        <f>INDEX(Auxiliar!$B$16:$B$24,MATCH(Plano_V3!H174,Auxiliar!$C$16:$C$24,0),1)</f>
        <v>1. Concluído</v>
      </c>
      <c r="H174" s="64">
        <f>VLOOKUP(A174,'Aux - pivots1'!$A:$B,2,0)</f>
        <v>1</v>
      </c>
      <c r="I174" s="183">
        <f>SUMIFS(Table1[Estimação (horas)],Table1[Tabela],Plano_V3!E174,Table1[Campo],Plano_V3!F174)</f>
        <v>4.0999999999999996</v>
      </c>
      <c r="J174" s="183">
        <f t="shared" si="29"/>
        <v>0.51249999999999996</v>
      </c>
      <c r="K174" s="183">
        <f>SUMIFS(Table1[Horas efetivas],Table1[Tabela],Plano_V3!E174,Table1[Campo],Plano_V3!F174)</f>
        <v>4.0999999999999996</v>
      </c>
      <c r="L174" s="183">
        <f t="shared" si="30"/>
        <v>0.51249999999999996</v>
      </c>
      <c r="M174" s="177"/>
      <c r="N174" s="177">
        <f t="shared" si="31"/>
        <v>1</v>
      </c>
      <c r="O174" s="177">
        <f t="shared" si="26"/>
        <v>1</v>
      </c>
      <c r="P174" s="87" t="s">
        <v>124</v>
      </c>
      <c r="Q174" s="90">
        <f t="shared" si="27"/>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outlineLevel="1">
      <c r="A175" s="29" t="str">
        <f t="shared" si="28"/>
        <v>PROPERTY_ENERGY_CERTIFICATEEPC</v>
      </c>
      <c r="B175" s="67" t="s">
        <v>26</v>
      </c>
      <c r="C175" s="68" t="s">
        <v>54</v>
      </c>
      <c r="D175" s="64" t="s">
        <v>40</v>
      </c>
      <c r="E175" s="66" t="s">
        <v>123</v>
      </c>
      <c r="F175" s="66" t="s">
        <v>47</v>
      </c>
      <c r="G175" s="64" t="str">
        <f>INDEX(Auxiliar!$B$16:$B$24,MATCH(Plano_V3!H175,Auxiliar!$C$16:$C$24,0),1)</f>
        <v>2.1 Em Teste</v>
      </c>
      <c r="H175" s="64">
        <f>VLOOKUP(A175,'Aux - pivots1'!$A:$B,2,0)</f>
        <v>2</v>
      </c>
      <c r="I175" s="183">
        <f>SUMIFS(Table1[Estimação (horas)],Table1[Tabela],Plano_V3!E175,Table1[Campo],Plano_V3!F175)</f>
        <v>4.0999999999999996</v>
      </c>
      <c r="J175" s="183">
        <f t="shared" si="29"/>
        <v>0.51249999999999996</v>
      </c>
      <c r="K175" s="183">
        <f>SUMIFS(Table1[Horas efetivas],Table1[Tabela],Plano_V3!E175,Table1[Campo],Plano_V3!F175)</f>
        <v>2.0499999999999998</v>
      </c>
      <c r="L175" s="183">
        <f t="shared" si="30"/>
        <v>0.25624999999999998</v>
      </c>
      <c r="M175" s="177"/>
      <c r="N175" s="177">
        <f t="shared" si="31"/>
        <v>0.5</v>
      </c>
      <c r="O175" s="177">
        <f t="shared" si="26"/>
        <v>0.5</v>
      </c>
      <c r="P175" s="87" t="s">
        <v>124</v>
      </c>
      <c r="Q175" s="90">
        <f t="shared" si="27"/>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outlineLevel="1">
      <c r="A176" s="29" t="str">
        <f t="shared" si="28"/>
        <v>PROPERTY_ENERGY_CERTIFICATEENERGY_CONSUMPTION_TYPE_S_IND</v>
      </c>
      <c r="B176" s="67" t="s">
        <v>26</v>
      </c>
      <c r="C176" s="68" t="s">
        <v>54</v>
      </c>
      <c r="D176" s="64" t="s">
        <v>40</v>
      </c>
      <c r="E176" s="66" t="s">
        <v>123</v>
      </c>
      <c r="F176" s="66" t="s">
        <v>130</v>
      </c>
      <c r="G176" s="64" t="str">
        <f>INDEX(Auxiliar!$B$16:$B$24,MATCH(Plano_V3!H176,Auxiliar!$C$16:$C$24,0),1)</f>
        <v>1. Concluído</v>
      </c>
      <c r="H176" s="64">
        <f>VLOOKUP(A176,'Aux - pivots1'!$A:$B,2,0)</f>
        <v>1</v>
      </c>
      <c r="I176" s="183">
        <f>SUMIFS(Table1[Estimação (horas)],Table1[Tabela],Plano_V3!E176,Table1[Campo],Plano_V3!F176)</f>
        <v>4.0999999999999996</v>
      </c>
      <c r="J176" s="183">
        <f t="shared" si="29"/>
        <v>0.51249999999999996</v>
      </c>
      <c r="K176" s="183">
        <f>SUMIFS(Table1[Horas efetivas],Table1[Tabela],Plano_V3!E176,Table1[Campo],Plano_V3!F176)</f>
        <v>4.0999999999999996</v>
      </c>
      <c r="L176" s="183">
        <f t="shared" si="30"/>
        <v>0.51249999999999996</v>
      </c>
      <c r="M176" s="177"/>
      <c r="N176" s="177">
        <f t="shared" si="31"/>
        <v>1</v>
      </c>
      <c r="O176" s="177">
        <f t="shared" si="26"/>
        <v>1</v>
      </c>
      <c r="P176" s="87" t="s">
        <v>124</v>
      </c>
      <c r="Q176" s="90">
        <f t="shared" si="27"/>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outlineLevel="1">
      <c r="A177" s="29" t="str">
        <f t="shared" si="28"/>
        <v>PROPERTY_ENERGY_CERTIFICATEENERGY_CONSUMPTION_TYPE_T_IND</v>
      </c>
      <c r="B177" s="67" t="s">
        <v>26</v>
      </c>
      <c r="C177" s="68" t="s">
        <v>54</v>
      </c>
      <c r="D177" s="64" t="s">
        <v>40</v>
      </c>
      <c r="E177" s="66" t="s">
        <v>123</v>
      </c>
      <c r="F177" s="66" t="s">
        <v>131</v>
      </c>
      <c r="G177" s="64" t="str">
        <f>INDEX(Auxiliar!$B$16:$B$24,MATCH(Plano_V3!H177,Auxiliar!$C$16:$C$24,0),1)</f>
        <v>1. Concluído</v>
      </c>
      <c r="H177" s="64">
        <f>VLOOKUP(A177,'Aux - pivots1'!$A:$B,2,0)</f>
        <v>1</v>
      </c>
      <c r="I177" s="183">
        <f>SUMIFS(Table1[Estimação (horas)],Table1[Tabela],Plano_V3!E177,Table1[Campo],Plano_V3!F177)</f>
        <v>4.0999999999999996</v>
      </c>
      <c r="J177" s="183">
        <f t="shared" si="29"/>
        <v>0.51249999999999996</v>
      </c>
      <c r="K177" s="183">
        <f>SUMIFS(Table1[Horas efetivas],Table1[Tabela],Plano_V3!E177,Table1[Campo],Plano_V3!F177)</f>
        <v>4.0999999999999996</v>
      </c>
      <c r="L177" s="183">
        <f t="shared" si="30"/>
        <v>0.51249999999999996</v>
      </c>
      <c r="M177" s="177"/>
      <c r="N177" s="177">
        <f t="shared" si="31"/>
        <v>1</v>
      </c>
      <c r="O177" s="177">
        <f t="shared" si="26"/>
        <v>1</v>
      </c>
      <c r="P177" s="87" t="s">
        <v>124</v>
      </c>
      <c r="Q177" s="90">
        <f t="shared" si="27"/>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outlineLevel="1">
      <c r="A178" s="29" t="str">
        <f t="shared" si="28"/>
        <v>PROPERTY_ENERGY_CERTIFICATEENERGY_EFFICIENCY_IND</v>
      </c>
      <c r="B178" s="67" t="s">
        <v>26</v>
      </c>
      <c r="C178" s="68" t="s">
        <v>54</v>
      </c>
      <c r="D178" s="64" t="s">
        <v>40</v>
      </c>
      <c r="E178" s="66" t="s">
        <v>123</v>
      </c>
      <c r="F178" s="66" t="s">
        <v>132</v>
      </c>
      <c r="G178" s="64" t="str">
        <f>INDEX(Auxiliar!$B$16:$B$24,MATCH(Plano_V3!H178,Auxiliar!$C$16:$C$24,0),1)</f>
        <v>1. Concluído</v>
      </c>
      <c r="H178" s="64">
        <f>VLOOKUP(A178,'Aux - pivots1'!$A:$B,2,0)</f>
        <v>1</v>
      </c>
      <c r="I178" s="183">
        <f>SUMIFS(Table1[Estimação (horas)],Table1[Tabela],Plano_V3!E178,Table1[Campo],Plano_V3!F178)</f>
        <v>4.0999999999999996</v>
      </c>
      <c r="J178" s="183">
        <f t="shared" si="29"/>
        <v>0.51249999999999996</v>
      </c>
      <c r="K178" s="183">
        <f>SUMIFS(Table1[Horas efetivas],Table1[Tabela],Plano_V3!E178,Table1[Campo],Plano_V3!F178)</f>
        <v>4.0999999999999996</v>
      </c>
      <c r="L178" s="183">
        <f t="shared" si="30"/>
        <v>0.51249999999999996</v>
      </c>
      <c r="M178" s="177"/>
      <c r="N178" s="177">
        <f t="shared" si="31"/>
        <v>1</v>
      </c>
      <c r="O178" s="177">
        <f t="shared" si="26"/>
        <v>1</v>
      </c>
      <c r="P178" s="87" t="s">
        <v>124</v>
      </c>
      <c r="Q178" s="90">
        <f t="shared" si="27"/>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outlineLevel="1">
      <c r="A179" s="29" t="str">
        <f t="shared" si="28"/>
        <v>PROPERTY_ENERGY_CERTIFICATEREN_ENERGY_EFFICIENCY_IND</v>
      </c>
      <c r="B179" s="67" t="s">
        <v>26</v>
      </c>
      <c r="C179" s="68" t="s">
        <v>54</v>
      </c>
      <c r="D179" s="64" t="s">
        <v>40</v>
      </c>
      <c r="E179" s="66" t="s">
        <v>123</v>
      </c>
      <c r="F179" s="66" t="s">
        <v>133</v>
      </c>
      <c r="G179" s="64" t="str">
        <f>INDEX(Auxiliar!$B$16:$B$24,MATCH(Plano_V3!H179,Auxiliar!$C$16:$C$24,0),1)</f>
        <v>1. Concluído</v>
      </c>
      <c r="H179" s="64">
        <f>VLOOKUP(A179,'Aux - pivots1'!$A:$B,2,0)</f>
        <v>1</v>
      </c>
      <c r="I179" s="183">
        <f>SUMIFS(Table1[Estimação (horas)],Table1[Tabela],Plano_V3!E179,Table1[Campo],Plano_V3!F179)</f>
        <v>4.0999999999999996</v>
      </c>
      <c r="J179" s="183">
        <f t="shared" si="29"/>
        <v>0.51249999999999996</v>
      </c>
      <c r="K179" s="183">
        <f>SUMIFS(Table1[Horas efetivas],Table1[Tabela],Plano_V3!E179,Table1[Campo],Plano_V3!F179)</f>
        <v>4.0999999999999996</v>
      </c>
      <c r="L179" s="183">
        <f t="shared" si="30"/>
        <v>0.51249999999999996</v>
      </c>
      <c r="M179" s="177"/>
      <c r="N179" s="177">
        <f t="shared" si="31"/>
        <v>1</v>
      </c>
      <c r="O179" s="177">
        <f t="shared" si="26"/>
        <v>1</v>
      </c>
      <c r="P179" s="87" t="s">
        <v>124</v>
      </c>
      <c r="Q179" s="90">
        <f t="shared" si="27"/>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outlineLevel="1">
      <c r="A180" s="29" t="str">
        <f t="shared" si="28"/>
        <v>PROPERTY_ENERGY_CERTIFICATENZEB_IND</v>
      </c>
      <c r="B180" s="67" t="s">
        <v>26</v>
      </c>
      <c r="C180" s="68" t="s">
        <v>54</v>
      </c>
      <c r="D180" s="64" t="s">
        <v>40</v>
      </c>
      <c r="E180" s="66" t="s">
        <v>123</v>
      </c>
      <c r="F180" s="66" t="s">
        <v>134</v>
      </c>
      <c r="G180" s="64" t="str">
        <f>INDEX(Auxiliar!$B$16:$B$24,MATCH(Plano_V3!H180,Auxiliar!$C$16:$C$24,0),1)</f>
        <v>1. Concluído</v>
      </c>
      <c r="H180" s="64">
        <f>VLOOKUP(A180,'Aux - pivots1'!$A:$B,2,0)</f>
        <v>1</v>
      </c>
      <c r="I180" s="183">
        <f>SUMIFS(Table1[Estimação (horas)],Table1[Tabela],Plano_V3!E180,Table1[Campo],Plano_V3!F180)</f>
        <v>4.0999999999999996</v>
      </c>
      <c r="J180" s="183">
        <f t="shared" si="29"/>
        <v>0.51249999999999996</v>
      </c>
      <c r="K180" s="183">
        <f>SUMIFS(Table1[Horas efetivas],Table1[Tabela],Plano_V3!E180,Table1[Campo],Plano_V3!F180)</f>
        <v>4.0999999999999996</v>
      </c>
      <c r="L180" s="183">
        <f t="shared" si="30"/>
        <v>0.51249999999999996</v>
      </c>
      <c r="M180" s="177"/>
      <c r="N180" s="177">
        <f t="shared" si="31"/>
        <v>1</v>
      </c>
      <c r="O180" s="177">
        <f t="shared" si="26"/>
        <v>1</v>
      </c>
      <c r="P180" s="87" t="s">
        <v>124</v>
      </c>
      <c r="Q180" s="90">
        <f t="shared" si="27"/>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outlineLevel="1">
      <c r="A181" s="29" t="str">
        <f t="shared" si="28"/>
        <v>PROPERTY_ENERGY_CERTIFICATEQUALITY_SCORE</v>
      </c>
      <c r="B181" s="67" t="s">
        <v>26</v>
      </c>
      <c r="C181" s="68" t="s">
        <v>54</v>
      </c>
      <c r="D181" s="64" t="s">
        <v>40</v>
      </c>
      <c r="E181" s="66" t="s">
        <v>123</v>
      </c>
      <c r="F181" s="66" t="s">
        <v>50</v>
      </c>
      <c r="G181" s="64" t="str">
        <f>INDEX(Auxiliar!$B$16:$B$24,MATCH(Plano_V3!H181,Auxiliar!$C$16:$C$24,0),1)</f>
        <v>1. Concluído</v>
      </c>
      <c r="H181" s="64">
        <f>VLOOKUP(A181,'Aux - pivots1'!$A:$B,2,0)</f>
        <v>1</v>
      </c>
      <c r="I181" s="183">
        <f>SUMIFS(Table1[Estimação (horas)],Table1[Tabela],Plano_V3!E181,Table1[Campo],Plano_V3!F181)</f>
        <v>4.0999999999999996</v>
      </c>
      <c r="J181" s="183">
        <f t="shared" si="29"/>
        <v>0.51249999999999996</v>
      </c>
      <c r="K181" s="183">
        <f>SUMIFS(Table1[Horas efetivas],Table1[Tabela],Plano_V3!E181,Table1[Campo],Plano_V3!F181)</f>
        <v>4.0999999999999996</v>
      </c>
      <c r="L181" s="183">
        <f t="shared" si="30"/>
        <v>0.51249999999999996</v>
      </c>
      <c r="M181" s="177"/>
      <c r="N181" s="177">
        <f t="shared" si="31"/>
        <v>1</v>
      </c>
      <c r="O181" s="177">
        <f t="shared" si="26"/>
        <v>1</v>
      </c>
      <c r="P181" s="87" t="s">
        <v>124</v>
      </c>
      <c r="Q181" s="90">
        <f t="shared" si="27"/>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outlineLevel="1">
      <c r="A182" s="29" t="str">
        <f t="shared" si="28"/>
        <v>PROPERTY_ENERGY_CERTIFICATEEP_SCORE</v>
      </c>
      <c r="B182" s="67" t="s">
        <v>26</v>
      </c>
      <c r="C182" s="68" t="s">
        <v>54</v>
      </c>
      <c r="D182" s="64" t="s">
        <v>40</v>
      </c>
      <c r="E182" s="66" t="s">
        <v>123</v>
      </c>
      <c r="F182" s="66" t="s">
        <v>135</v>
      </c>
      <c r="G182" s="64" t="str">
        <f>INDEX(Auxiliar!$B$16:$B$24,MATCH(Plano_V3!H182,Auxiliar!$C$16:$C$24,0),1)</f>
        <v>4. Validação EF</v>
      </c>
      <c r="H182" s="64">
        <f>VLOOKUP(A182,'Aux - pivots1'!$A:$B,2,0)</f>
        <v>5</v>
      </c>
      <c r="I182" s="183">
        <f>SUMIFS(Table1[Estimação (horas)],Table1[Tabela],Plano_V3!E182,Table1[Campo],Plano_V3!F182)</f>
        <v>4.0999999999999996</v>
      </c>
      <c r="J182" s="183">
        <f t="shared" si="29"/>
        <v>0.51249999999999996</v>
      </c>
      <c r="K182" s="183">
        <f>SUMIFS(Table1[Horas efetivas],Table1[Tabela],Plano_V3!E182,Table1[Campo],Plano_V3!F182)</f>
        <v>1.0249999999999999</v>
      </c>
      <c r="L182" s="183">
        <f t="shared" si="30"/>
        <v>0.12812499999999999</v>
      </c>
      <c r="M182" s="177"/>
      <c r="N182" s="177">
        <f t="shared" si="31"/>
        <v>0.25</v>
      </c>
      <c r="O182" s="177">
        <f t="shared" si="26"/>
        <v>0.25</v>
      </c>
      <c r="P182" s="87" t="s">
        <v>124</v>
      </c>
      <c r="Q182" s="90">
        <f t="shared" si="27"/>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outlineLevel="1">
      <c r="A183" s="29" t="str">
        <f t="shared" si="28"/>
        <v>PROPERTY_ENERGY_CERTIFICATESOURCE_CODE</v>
      </c>
      <c r="B183" s="67" t="s">
        <v>26</v>
      </c>
      <c r="C183" s="68" t="s">
        <v>54</v>
      </c>
      <c r="D183" s="64" t="s">
        <v>40</v>
      </c>
      <c r="E183" s="66" t="s">
        <v>123</v>
      </c>
      <c r="F183" s="66" t="s">
        <v>87</v>
      </c>
      <c r="G183" s="64" t="str">
        <f>INDEX(Auxiliar!$B$16:$B$24,MATCH(Plano_V3!H183,Auxiliar!$C$16:$C$24,0),1)</f>
        <v>1. Concluído</v>
      </c>
      <c r="H183" s="64">
        <f>VLOOKUP(A183,'Aux - pivots1'!$A:$B,2,0)</f>
        <v>1</v>
      </c>
      <c r="I183" s="183">
        <f>SUMIFS(Table1[Estimação (horas)],Table1[Tabela],Plano_V3!E183,Table1[Campo],Plano_V3!F183)</f>
        <v>4.0999999999999996</v>
      </c>
      <c r="J183" s="183">
        <f t="shared" si="29"/>
        <v>0.51249999999999996</v>
      </c>
      <c r="K183" s="183">
        <f>SUMIFS(Table1[Horas efetivas],Table1[Tabela],Plano_V3!E183,Table1[Campo],Plano_V3!F183)</f>
        <v>4.0999999999999996</v>
      </c>
      <c r="L183" s="183">
        <f t="shared" si="30"/>
        <v>0.51249999999999996</v>
      </c>
      <c r="M183" s="177"/>
      <c r="N183" s="177">
        <f t="shared" si="31"/>
        <v>1</v>
      </c>
      <c r="O183" s="177">
        <f t="shared" si="26"/>
        <v>1</v>
      </c>
      <c r="P183" s="87" t="s">
        <v>124</v>
      </c>
      <c r="Q183" s="90">
        <f t="shared" si="27"/>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outlineLevel="1">
      <c r="A184" s="29" t="str">
        <f t="shared" si="28"/>
        <v>PROPERTY_ENERGY_CERTIFICATEDATA_DATE_PART</v>
      </c>
      <c r="B184" s="67" t="s">
        <v>26</v>
      </c>
      <c r="C184" s="68" t="s">
        <v>54</v>
      </c>
      <c r="D184" s="64" t="s">
        <v>40</v>
      </c>
      <c r="E184" s="66" t="s">
        <v>123</v>
      </c>
      <c r="F184" s="66" t="s">
        <v>73</v>
      </c>
      <c r="G184" s="64" t="str">
        <f>INDEX(Auxiliar!$B$16:$B$24,MATCH(Plano_V3!H184,Auxiliar!$C$16:$C$24,0),1)</f>
        <v>1. Concluído</v>
      </c>
      <c r="H184" s="64">
        <f>VLOOKUP(A184,'Aux - pivots1'!$A:$B,2,0)</f>
        <v>1</v>
      </c>
      <c r="I184" s="183">
        <f>SUMIFS(Table1[Estimação (horas)],Table1[Tabela],Plano_V3!E184,Table1[Campo],Plano_V3!F184)</f>
        <v>4.0999999999999996</v>
      </c>
      <c r="J184" s="183">
        <f t="shared" si="29"/>
        <v>0.51249999999999996</v>
      </c>
      <c r="K184" s="183">
        <f>SUMIFS(Table1[Horas efetivas],Table1[Tabela],Plano_V3!E184,Table1[Campo],Plano_V3!F184)</f>
        <v>4.0999999999999996</v>
      </c>
      <c r="L184" s="183">
        <f t="shared" si="30"/>
        <v>0.51249999999999996</v>
      </c>
      <c r="M184" s="177"/>
      <c r="N184" s="177">
        <f t="shared" si="31"/>
        <v>1</v>
      </c>
      <c r="O184" s="177">
        <f t="shared" si="26"/>
        <v>1</v>
      </c>
      <c r="P184" s="87" t="s">
        <v>124</v>
      </c>
      <c r="Q184" s="90">
        <f t="shared" si="27"/>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outlineLevel="1">
      <c r="A185" s="29" t="str">
        <f t="shared" si="28"/>
        <v>PROPERTY_ENERGY_CERTIFICATECERTIFICATE_TYPE</v>
      </c>
      <c r="B185" s="67" t="s">
        <v>26</v>
      </c>
      <c r="C185" s="68" t="s">
        <v>54</v>
      </c>
      <c r="D185" s="64" t="s">
        <v>40</v>
      </c>
      <c r="E185" s="66" t="s">
        <v>123</v>
      </c>
      <c r="F185" s="66" t="s">
        <v>136</v>
      </c>
      <c r="G185" s="64" t="str">
        <f>INDEX(Auxiliar!$B$16:$B$24,MATCH(Plano_V3!H185,Auxiliar!$C$16:$C$24,0),1)</f>
        <v>1. Concluído</v>
      </c>
      <c r="H185" s="64">
        <f>VLOOKUP(A185,'Aux - pivots1'!$A:$B,2,0)</f>
        <v>1</v>
      </c>
      <c r="I185" s="183">
        <f>SUMIFS(Table1[Estimação (horas)],Table1[Tabela],Plano_V3!E185,Table1[Campo],Plano_V3!F185)</f>
        <v>4.0999999999999996</v>
      </c>
      <c r="J185" s="183">
        <f t="shared" si="29"/>
        <v>0.51249999999999996</v>
      </c>
      <c r="K185" s="183">
        <f>SUMIFS(Table1[Horas efetivas],Table1[Tabela],Plano_V3!E185,Table1[Campo],Plano_V3!F185)</f>
        <v>4.0999999999999996</v>
      </c>
      <c r="L185" s="183">
        <f t="shared" si="30"/>
        <v>0.51249999999999996</v>
      </c>
      <c r="M185" s="177"/>
      <c r="N185" s="177">
        <f t="shared" si="31"/>
        <v>1</v>
      </c>
      <c r="O185" s="177">
        <f t="shared" si="26"/>
        <v>1</v>
      </c>
      <c r="P185" s="87" t="s">
        <v>124</v>
      </c>
      <c r="Q185" s="90">
        <f t="shared" si="27"/>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outlineLevel="1">
      <c r="A186" s="29" t="str">
        <f t="shared" si="28"/>
        <v>PROPERTY_ENERGY_CERTIFICATEBUILDING_DOMEST_HOTWATER_VALUE</v>
      </c>
      <c r="B186" s="67" t="s">
        <v>26</v>
      </c>
      <c r="C186" s="68" t="s">
        <v>54</v>
      </c>
      <c r="D186" s="64" t="s">
        <v>40</v>
      </c>
      <c r="E186" s="66" t="s">
        <v>123</v>
      </c>
      <c r="F186" s="66" t="s">
        <v>137</v>
      </c>
      <c r="G186" s="64" t="str">
        <f>INDEX(Auxiliar!$B$16:$B$24,MATCH(Plano_V3!H186,Auxiliar!$C$16:$C$24,0),1)</f>
        <v>1. Concluído</v>
      </c>
      <c r="H186" s="64">
        <f>VLOOKUP(A186,'Aux - pivots1'!$A:$B,2,0)</f>
        <v>1</v>
      </c>
      <c r="I186" s="183">
        <f>SUMIFS(Table1[Estimação (horas)],Table1[Tabela],Plano_V3!E186,Table1[Campo],Plano_V3!F186)</f>
        <v>4.0999999999999996</v>
      </c>
      <c r="J186" s="183">
        <f t="shared" si="29"/>
        <v>0.51249999999999996</v>
      </c>
      <c r="K186" s="183">
        <f>SUMIFS(Table1[Horas efetivas],Table1[Tabela],Plano_V3!E186,Table1[Campo],Plano_V3!F186)</f>
        <v>4.0999999999999996</v>
      </c>
      <c r="L186" s="183">
        <f t="shared" si="30"/>
        <v>0.51249999999999996</v>
      </c>
      <c r="M186" s="177"/>
      <c r="N186" s="177">
        <f t="shared" si="31"/>
        <v>1</v>
      </c>
      <c r="O186" s="177">
        <f t="shared" si="26"/>
        <v>1</v>
      </c>
      <c r="P186" s="87" t="s">
        <v>124</v>
      </c>
      <c r="Q186" s="90">
        <f t="shared" si="27"/>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outlineLevel="1">
      <c r="A187" s="29" t="str">
        <f t="shared" si="28"/>
        <v>PROPERTY_ENERGY_CERTIFICATERENEWABLE_DOMEST_HOTWATER_VALUE</v>
      </c>
      <c r="B187" s="67" t="s">
        <v>26</v>
      </c>
      <c r="C187" s="68" t="s">
        <v>54</v>
      </c>
      <c r="D187" s="64" t="s">
        <v>40</v>
      </c>
      <c r="E187" s="66" t="s">
        <v>123</v>
      </c>
      <c r="F187" s="66" t="s">
        <v>138</v>
      </c>
      <c r="G187" s="64" t="str">
        <f>INDEX(Auxiliar!$B$16:$B$24,MATCH(Plano_V3!H187,Auxiliar!$C$16:$C$24,0),1)</f>
        <v>1. Concluído</v>
      </c>
      <c r="H187" s="64">
        <f>VLOOKUP(A187,'Aux - pivots1'!$A:$B,2,0)</f>
        <v>1</v>
      </c>
      <c r="I187" s="183">
        <f>SUMIFS(Table1[Estimação (horas)],Table1[Tabela],Plano_V3!E187,Table1[Campo],Plano_V3!F187)</f>
        <v>4.0999999999999996</v>
      </c>
      <c r="J187" s="183">
        <f t="shared" si="29"/>
        <v>0.51249999999999996</v>
      </c>
      <c r="K187" s="183">
        <f>SUMIFS(Table1[Horas efetivas],Table1[Tabela],Plano_V3!E187,Table1[Campo],Plano_V3!F187)</f>
        <v>4.0999999999999996</v>
      </c>
      <c r="L187" s="183">
        <f t="shared" si="30"/>
        <v>0.51249999999999996</v>
      </c>
      <c r="M187" s="177"/>
      <c r="N187" s="177">
        <f t="shared" si="31"/>
        <v>1</v>
      </c>
      <c r="O187" s="177">
        <f t="shared" si="26"/>
        <v>1</v>
      </c>
      <c r="P187" s="87" t="s">
        <v>124</v>
      </c>
      <c r="Q187" s="90">
        <f t="shared" si="27"/>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outlineLevel="1">
      <c r="A188" s="29" t="str">
        <f t="shared" si="28"/>
        <v>PROPERTY_ENERGY_CERTIFICATEDOMEST_HOTWATER_REF_VALUE</v>
      </c>
      <c r="B188" s="67" t="s">
        <v>26</v>
      </c>
      <c r="C188" s="68" t="s">
        <v>54</v>
      </c>
      <c r="D188" s="64" t="s">
        <v>40</v>
      </c>
      <c r="E188" s="66" t="s">
        <v>123</v>
      </c>
      <c r="F188" s="66" t="s">
        <v>139</v>
      </c>
      <c r="G188" s="64" t="str">
        <f>INDEX(Auxiliar!$B$16:$B$24,MATCH(Plano_V3!H188,Auxiliar!$C$16:$C$24,0),1)</f>
        <v>1. Concluído</v>
      </c>
      <c r="H188" s="64">
        <f>VLOOKUP(A188,'Aux - pivots1'!$A:$B,2,0)</f>
        <v>1</v>
      </c>
      <c r="I188" s="183">
        <f>SUMIFS(Table1[Estimação (horas)],Table1[Tabela],Plano_V3!E188,Table1[Campo],Plano_V3!F188)</f>
        <v>4.0999999999999996</v>
      </c>
      <c r="J188" s="183">
        <f t="shared" si="29"/>
        <v>0.51249999999999996</v>
      </c>
      <c r="K188" s="183">
        <f>SUMIFS(Table1[Horas efetivas],Table1[Tabela],Plano_V3!E188,Table1[Campo],Plano_V3!F188)</f>
        <v>4.0999999999999996</v>
      </c>
      <c r="L188" s="183">
        <f t="shared" si="30"/>
        <v>0.51249999999999996</v>
      </c>
      <c r="M188" s="177"/>
      <c r="N188" s="177">
        <f t="shared" si="31"/>
        <v>1</v>
      </c>
      <c r="O188" s="177">
        <f t="shared" ref="O188:O256" si="32">N188-M188</f>
        <v>1</v>
      </c>
      <c r="P188" s="87" t="s">
        <v>124</v>
      </c>
      <c r="Q188" s="90">
        <f t="shared" si="27"/>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outlineLevel="1">
      <c r="A189" s="29" t="str">
        <f t="shared" si="28"/>
        <v>PROPERTY_ENERGY_CERTIFICATEHEIGHT</v>
      </c>
      <c r="B189" s="67" t="s">
        <v>26</v>
      </c>
      <c r="C189" s="68" t="s">
        <v>54</v>
      </c>
      <c r="D189" s="64" t="s">
        <v>40</v>
      </c>
      <c r="E189" s="66" t="s">
        <v>123</v>
      </c>
      <c r="F189" s="66" t="s">
        <v>140</v>
      </c>
      <c r="G189" s="64" t="str">
        <f>INDEX(Auxiliar!$B$16:$B$24,MATCH(Plano_V3!H189,Auxiliar!$C$16:$C$24,0),1)</f>
        <v>1. Concluído</v>
      </c>
      <c r="H189" s="64">
        <f>VLOOKUP(A189,'Aux - pivots1'!$A:$B,2,0)</f>
        <v>1</v>
      </c>
      <c r="I189" s="183">
        <f>SUMIFS(Table1[Estimação (horas)],Table1[Tabela],Plano_V3!E189,Table1[Campo],Plano_V3!F189)</f>
        <v>4.0999999999999996</v>
      </c>
      <c r="J189" s="183">
        <f t="shared" si="29"/>
        <v>0.51249999999999996</v>
      </c>
      <c r="K189" s="183">
        <f>SUMIFS(Table1[Horas efetivas],Table1[Tabela],Plano_V3!E189,Table1[Campo],Plano_V3!F189)</f>
        <v>4.0999999999999996</v>
      </c>
      <c r="L189" s="183">
        <f t="shared" si="30"/>
        <v>0.51249999999999996</v>
      </c>
      <c r="M189" s="177"/>
      <c r="N189" s="177">
        <f t="shared" si="31"/>
        <v>1</v>
      </c>
      <c r="O189" s="177">
        <f t="shared" si="32"/>
        <v>1</v>
      </c>
      <c r="P189" s="87" t="s">
        <v>124</v>
      </c>
      <c r="Q189" s="90">
        <f t="shared" ref="Q189:Q268" si="33">J189-SUM(R189:ES189)</f>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outlineLevel="1">
      <c r="A190" s="29" t="str">
        <f t="shared" si="28"/>
        <v>PROPERTY_ENERGY_CERTIFICATEBUILDING_SPACE_HEATING_VALUE</v>
      </c>
      <c r="B190" s="67" t="s">
        <v>26</v>
      </c>
      <c r="C190" s="68" t="s">
        <v>54</v>
      </c>
      <c r="D190" s="64" t="s">
        <v>40</v>
      </c>
      <c r="E190" s="66" t="s">
        <v>123</v>
      </c>
      <c r="F190" s="66" t="s">
        <v>141</v>
      </c>
      <c r="G190" s="64" t="str">
        <f>INDEX(Auxiliar!$B$16:$B$24,MATCH(Plano_V3!H190,Auxiliar!$C$16:$C$24,0),1)</f>
        <v>1. Concluído</v>
      </c>
      <c r="H190" s="64">
        <f>VLOOKUP(A190,'Aux - pivots1'!$A:$B,2,0)</f>
        <v>1</v>
      </c>
      <c r="I190" s="183">
        <f>SUMIFS(Table1[Estimação (horas)],Table1[Tabela],Plano_V3!E190,Table1[Campo],Plano_V3!F190)</f>
        <v>4.0999999999999996</v>
      </c>
      <c r="J190" s="183">
        <f t="shared" si="29"/>
        <v>0.51249999999999996</v>
      </c>
      <c r="K190" s="183">
        <f>SUMIFS(Table1[Horas efetivas],Table1[Tabela],Plano_V3!E190,Table1[Campo],Plano_V3!F190)</f>
        <v>4.0999999999999996</v>
      </c>
      <c r="L190" s="183">
        <f t="shared" si="30"/>
        <v>0.51249999999999996</v>
      </c>
      <c r="M190" s="177"/>
      <c r="N190" s="177">
        <f t="shared" si="31"/>
        <v>1</v>
      </c>
      <c r="O190" s="177">
        <f t="shared" si="32"/>
        <v>1</v>
      </c>
      <c r="P190" s="87" t="s">
        <v>124</v>
      </c>
      <c r="Q190" s="90">
        <f t="shared" si="33"/>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outlineLevel="1">
      <c r="A191" s="29" t="str">
        <f t="shared" si="28"/>
        <v>PROPERTY_ENERGY_CERTIFICATESPACE_HEATING_REF_VALUE</v>
      </c>
      <c r="B191" s="67" t="s">
        <v>26</v>
      </c>
      <c r="C191" s="68" t="s">
        <v>54</v>
      </c>
      <c r="D191" s="64" t="s">
        <v>40</v>
      </c>
      <c r="E191" s="66" t="s">
        <v>123</v>
      </c>
      <c r="F191" s="66" t="s">
        <v>142</v>
      </c>
      <c r="G191" s="64" t="str">
        <f>INDEX(Auxiliar!$B$16:$B$24,MATCH(Plano_V3!H191,Auxiliar!$C$16:$C$24,0),1)</f>
        <v>1. Concluído</v>
      </c>
      <c r="H191" s="64">
        <f>VLOOKUP(A191,'Aux - pivots1'!$A:$B,2,0)</f>
        <v>1</v>
      </c>
      <c r="I191" s="183">
        <f>SUMIFS(Table1[Estimação (horas)],Table1[Tabela],Plano_V3!E191,Table1[Campo],Plano_V3!F191)</f>
        <v>4.0999999999999996</v>
      </c>
      <c r="J191" s="183">
        <f t="shared" si="29"/>
        <v>0.51249999999999996</v>
      </c>
      <c r="K191" s="183">
        <f>SUMIFS(Table1[Horas efetivas],Table1[Tabela],Plano_V3!E191,Table1[Campo],Plano_V3!F191)</f>
        <v>4.0999999999999996</v>
      </c>
      <c r="L191" s="183">
        <f t="shared" si="30"/>
        <v>0.51249999999999996</v>
      </c>
      <c r="M191" s="177"/>
      <c r="N191" s="177">
        <f t="shared" si="31"/>
        <v>1</v>
      </c>
      <c r="O191" s="177">
        <f t="shared" si="32"/>
        <v>1</v>
      </c>
      <c r="P191" s="87" t="s">
        <v>124</v>
      </c>
      <c r="Q191" s="90">
        <f t="shared" si="33"/>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outlineLevel="1">
      <c r="A192" s="29" t="str">
        <f t="shared" si="28"/>
        <v>PROPERTY_ENERGY_CERTIFICATERENEWABLE_SPACE_HEATING_VALUE</v>
      </c>
      <c r="B192" s="67" t="s">
        <v>26</v>
      </c>
      <c r="C192" s="68" t="s">
        <v>54</v>
      </c>
      <c r="D192" s="64" t="s">
        <v>40</v>
      </c>
      <c r="E192" s="66" t="s">
        <v>123</v>
      </c>
      <c r="F192" s="66" t="s">
        <v>143</v>
      </c>
      <c r="G192" s="64" t="str">
        <f>INDEX(Auxiliar!$B$16:$B$24,MATCH(Plano_V3!H192,Auxiliar!$C$16:$C$24,0),1)</f>
        <v>1. Concluído</v>
      </c>
      <c r="H192" s="64">
        <f>VLOOKUP(A192,'Aux - pivots1'!$A:$B,2,0)</f>
        <v>1</v>
      </c>
      <c r="I192" s="183">
        <f>SUMIFS(Table1[Estimação (horas)],Table1[Tabela],Plano_V3!E192,Table1[Campo],Plano_V3!F192)</f>
        <v>4.0999999999999996</v>
      </c>
      <c r="J192" s="183">
        <f t="shared" si="29"/>
        <v>0.51249999999999996</v>
      </c>
      <c r="K192" s="183">
        <f>SUMIFS(Table1[Horas efetivas],Table1[Tabela],Plano_V3!E192,Table1[Campo],Plano_V3!F192)</f>
        <v>4.0999999999999996</v>
      </c>
      <c r="L192" s="183">
        <f t="shared" si="30"/>
        <v>0.51249999999999996</v>
      </c>
      <c r="M192" s="177"/>
      <c r="N192" s="177">
        <f t="shared" si="31"/>
        <v>1</v>
      </c>
      <c r="O192" s="177">
        <f t="shared" si="32"/>
        <v>1</v>
      </c>
      <c r="P192" s="87" t="s">
        <v>124</v>
      </c>
      <c r="Q192" s="90">
        <f t="shared" si="33"/>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outlineLevel="1">
      <c r="A193" s="29" t="str">
        <f t="shared" si="28"/>
        <v>PROPERTY_ENERGY_CERTIFICATEBUILDING_SPACE_COOLING_VALUE</v>
      </c>
      <c r="B193" s="67" t="s">
        <v>26</v>
      </c>
      <c r="C193" s="68" t="s">
        <v>54</v>
      </c>
      <c r="D193" s="64" t="s">
        <v>40</v>
      </c>
      <c r="E193" s="66" t="s">
        <v>123</v>
      </c>
      <c r="F193" s="66" t="s">
        <v>144</v>
      </c>
      <c r="G193" s="64" t="str">
        <f>INDEX(Auxiliar!$B$16:$B$24,MATCH(Plano_V3!H193,Auxiliar!$C$16:$C$24,0),1)</f>
        <v>1. Concluído</v>
      </c>
      <c r="H193" s="64">
        <f>VLOOKUP(A193,'Aux - pivots1'!$A:$B,2,0)</f>
        <v>1</v>
      </c>
      <c r="I193" s="183">
        <f>SUMIFS(Table1[Estimação (horas)],Table1[Tabela],Plano_V3!E193,Table1[Campo],Plano_V3!F193)</f>
        <v>4.0999999999999996</v>
      </c>
      <c r="J193" s="183">
        <f t="shared" si="29"/>
        <v>0.51249999999999996</v>
      </c>
      <c r="K193" s="183">
        <f>SUMIFS(Table1[Horas efetivas],Table1[Tabela],Plano_V3!E193,Table1[Campo],Plano_V3!F193)</f>
        <v>4.0999999999999996</v>
      </c>
      <c r="L193" s="183">
        <f t="shared" si="30"/>
        <v>0.51249999999999996</v>
      </c>
      <c r="M193" s="177"/>
      <c r="N193" s="177">
        <f t="shared" si="31"/>
        <v>1</v>
      </c>
      <c r="O193" s="177">
        <f t="shared" si="32"/>
        <v>1</v>
      </c>
      <c r="P193" s="87" t="s">
        <v>124</v>
      </c>
      <c r="Q193" s="90">
        <f t="shared" si="33"/>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outlineLevel="1">
      <c r="A194" s="29" t="str">
        <f t="shared" si="28"/>
        <v>PROPERTY_ENERGY_CERTIFICATERENEWABLE_SPACE_COOLING_VALUE</v>
      </c>
      <c r="B194" s="67" t="s">
        <v>26</v>
      </c>
      <c r="C194" s="68" t="s">
        <v>54</v>
      </c>
      <c r="D194" s="64" t="s">
        <v>40</v>
      </c>
      <c r="E194" s="66" t="s">
        <v>123</v>
      </c>
      <c r="F194" s="66" t="s">
        <v>145</v>
      </c>
      <c r="G194" s="64" t="str">
        <f>INDEX(Auxiliar!$B$16:$B$24,MATCH(Plano_V3!H194,Auxiliar!$C$16:$C$24,0),1)</f>
        <v>1. Concluído</v>
      </c>
      <c r="H194" s="64">
        <f>VLOOKUP(A194,'Aux - pivots1'!$A:$B,2,0)</f>
        <v>1</v>
      </c>
      <c r="I194" s="183">
        <f>SUMIFS(Table1[Estimação (horas)],Table1[Tabela],Plano_V3!E194,Table1[Campo],Plano_V3!F194)</f>
        <v>4.0999999999999996</v>
      </c>
      <c r="J194" s="183">
        <f t="shared" si="29"/>
        <v>0.51249999999999996</v>
      </c>
      <c r="K194" s="183">
        <f>SUMIFS(Table1[Horas efetivas],Table1[Tabela],Plano_V3!E194,Table1[Campo],Plano_V3!F194)</f>
        <v>4.0999999999999996</v>
      </c>
      <c r="L194" s="183">
        <f t="shared" si="30"/>
        <v>0.51249999999999996</v>
      </c>
      <c r="M194" s="177"/>
      <c r="N194" s="177">
        <f t="shared" si="31"/>
        <v>1</v>
      </c>
      <c r="O194" s="177">
        <f t="shared" si="32"/>
        <v>1</v>
      </c>
      <c r="P194" s="87" t="s">
        <v>124</v>
      </c>
      <c r="Q194" s="90">
        <f t="shared" si="33"/>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outlineLevel="1">
      <c r="A195" s="29" t="str">
        <f t="shared" si="28"/>
        <v>PROPERTY_ENERGY_CERTIFICATESPACE_COOLING_REF_VALUE</v>
      </c>
      <c r="B195" s="67" t="s">
        <v>26</v>
      </c>
      <c r="C195" s="68" t="s">
        <v>54</v>
      </c>
      <c r="D195" s="64" t="s">
        <v>40</v>
      </c>
      <c r="E195" s="66" t="s">
        <v>123</v>
      </c>
      <c r="F195" s="66" t="s">
        <v>146</v>
      </c>
      <c r="G195" s="64" t="str">
        <f>INDEX(Auxiliar!$B$16:$B$24,MATCH(Plano_V3!H195,Auxiliar!$C$16:$C$24,0),1)</f>
        <v>1. Concluído</v>
      </c>
      <c r="H195" s="64">
        <f>VLOOKUP(A195,'Aux - pivots1'!$A:$B,2,0)</f>
        <v>1</v>
      </c>
      <c r="I195" s="183">
        <f>SUMIFS(Table1[Estimação (horas)],Table1[Tabela],Plano_V3!E195,Table1[Campo],Plano_V3!F195)</f>
        <v>4.0999999999999996</v>
      </c>
      <c r="J195" s="183">
        <f t="shared" si="29"/>
        <v>0.51249999999999996</v>
      </c>
      <c r="K195" s="183">
        <f>SUMIFS(Table1[Horas efetivas],Table1[Tabela],Plano_V3!E195,Table1[Campo],Plano_V3!F195)</f>
        <v>4.0999999999999996</v>
      </c>
      <c r="L195" s="183">
        <f t="shared" si="30"/>
        <v>0.51249999999999996</v>
      </c>
      <c r="M195" s="177"/>
      <c r="N195" s="177">
        <f t="shared" si="31"/>
        <v>1</v>
      </c>
      <c r="O195" s="177">
        <f t="shared" si="32"/>
        <v>1</v>
      </c>
      <c r="P195" s="87" t="s">
        <v>124</v>
      </c>
      <c r="Q195" s="90">
        <f t="shared" si="33"/>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outlineLevel="1">
      <c r="A196" s="29" t="str">
        <f t="shared" si="28"/>
        <v>PROPERTY_ENERGY_CERTIFICATEENERGY_CLASS_AFTER_MEASUREMENT</v>
      </c>
      <c r="B196" s="67" t="s">
        <v>26</v>
      </c>
      <c r="C196" s="68" t="s">
        <v>54</v>
      </c>
      <c r="D196" s="64" t="s">
        <v>40</v>
      </c>
      <c r="E196" s="66" t="s">
        <v>123</v>
      </c>
      <c r="F196" s="66" t="s">
        <v>147</v>
      </c>
      <c r="G196" s="64" t="str">
        <f>INDEX(Auxiliar!$B$16:$B$24,MATCH(Plano_V3!H196,Auxiliar!$C$16:$C$24,0),1)</f>
        <v>1. Concluído</v>
      </c>
      <c r="H196" s="64">
        <f>VLOOKUP(A196,'Aux - pivots1'!$A:$B,2,0)</f>
        <v>1</v>
      </c>
      <c r="I196" s="183">
        <f>SUMIFS(Table1[Estimação (horas)],Table1[Tabela],Plano_V3!E196,Table1[Campo],Plano_V3!F196)</f>
        <v>4.0999999999999996</v>
      </c>
      <c r="J196" s="183">
        <f t="shared" si="29"/>
        <v>0.51249999999999996</v>
      </c>
      <c r="K196" s="183">
        <f>SUMIFS(Table1[Horas efetivas],Table1[Tabela],Plano_V3!E196,Table1[Campo],Plano_V3!F196)</f>
        <v>4.0999999999999996</v>
      </c>
      <c r="L196" s="183">
        <f t="shared" si="30"/>
        <v>0.51249999999999996</v>
      </c>
      <c r="M196" s="177"/>
      <c r="N196" s="177">
        <f t="shared" si="31"/>
        <v>1</v>
      </c>
      <c r="O196" s="177">
        <f t="shared" si="32"/>
        <v>1</v>
      </c>
      <c r="P196" s="87" t="s">
        <v>124</v>
      </c>
      <c r="Q196" s="90">
        <f t="shared" si="33"/>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outlineLevel="1">
      <c r="A197" s="29" t="str">
        <f t="shared" si="28"/>
        <v>PROPERTY_ENERGY_CERTIFICATEENERGY_CONSUMPTION_VALUE_YEAR</v>
      </c>
      <c r="B197" s="67" t="s">
        <v>26</v>
      </c>
      <c r="C197" s="68" t="s">
        <v>54</v>
      </c>
      <c r="D197" s="64" t="s">
        <v>40</v>
      </c>
      <c r="E197" s="66" t="s">
        <v>123</v>
      </c>
      <c r="F197" s="66" t="s">
        <v>51</v>
      </c>
      <c r="G197" s="64" t="str">
        <f>INDEX(Auxiliar!$B$16:$B$24,MATCH(Plano_V3!H197,Auxiliar!$C$16:$C$24,0),1)</f>
        <v>4. Validação EF</v>
      </c>
      <c r="H197" s="64">
        <f>VLOOKUP(A197,'Aux - pivots1'!$A:$B,2,0)</f>
        <v>5</v>
      </c>
      <c r="I197" s="183">
        <f>SUMIFS(Table1[Estimação (horas)],Table1[Tabela],Plano_V3!E197,Table1[Campo],Plano_V3!F197)</f>
        <v>4.0999999999999996</v>
      </c>
      <c r="J197" s="183">
        <f t="shared" si="29"/>
        <v>0.51249999999999996</v>
      </c>
      <c r="K197" s="183">
        <f>SUMIFS(Table1[Horas efetivas],Table1[Tabela],Plano_V3!E197,Table1[Campo],Plano_V3!F197)</f>
        <v>1.0249999999999999</v>
      </c>
      <c r="L197" s="183">
        <f t="shared" si="30"/>
        <v>0.12812499999999999</v>
      </c>
      <c r="M197" s="177"/>
      <c r="N197" s="177">
        <f t="shared" si="31"/>
        <v>0.25</v>
      </c>
      <c r="O197" s="177">
        <f t="shared" si="32"/>
        <v>0.25</v>
      </c>
      <c r="P197" s="87" t="s">
        <v>124</v>
      </c>
      <c r="Q197" s="90">
        <f t="shared" si="33"/>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outlineLevel="1">
      <c r="A198" s="29" t="str">
        <f t="shared" si="28"/>
        <v>PROPERTY_ENERGY_CERTIFICATETHERMAL_BEHAVIOUR_ROOF</v>
      </c>
      <c r="B198" s="67" t="s">
        <v>26</v>
      </c>
      <c r="C198" s="68" t="s">
        <v>54</v>
      </c>
      <c r="D198" s="64" t="s">
        <v>40</v>
      </c>
      <c r="E198" s="66" t="s">
        <v>123</v>
      </c>
      <c r="F198" s="66" t="s">
        <v>148</v>
      </c>
      <c r="G198" s="64" t="str">
        <f>INDEX(Auxiliar!$B$16:$B$24,MATCH(Plano_V3!H198,Auxiliar!$C$16:$C$24,0),1)</f>
        <v>1. Concluído</v>
      </c>
      <c r="H198" s="64">
        <f>VLOOKUP(A198,'Aux - pivots1'!$A:$B,2,0)</f>
        <v>1</v>
      </c>
      <c r="I198" s="183">
        <f>SUMIFS(Table1[Estimação (horas)],Table1[Tabela],Plano_V3!E198,Table1[Campo],Plano_V3!F198)</f>
        <v>4.0999999999999996</v>
      </c>
      <c r="J198" s="183">
        <f t="shared" si="29"/>
        <v>0.51249999999999996</v>
      </c>
      <c r="K198" s="183">
        <f>SUMIFS(Table1[Horas efetivas],Table1[Tabela],Plano_V3!E198,Table1[Campo],Plano_V3!F198)</f>
        <v>4.0999999999999996</v>
      </c>
      <c r="L198" s="183">
        <f t="shared" si="30"/>
        <v>0.51249999999999996</v>
      </c>
      <c r="M198" s="177"/>
      <c r="N198" s="177">
        <f t="shared" si="31"/>
        <v>1</v>
      </c>
      <c r="O198" s="177">
        <f t="shared" si="32"/>
        <v>1</v>
      </c>
      <c r="P198" s="87" t="s">
        <v>124</v>
      </c>
      <c r="Q198" s="90">
        <f t="shared" si="33"/>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outlineLevel="1">
      <c r="A199" s="29" t="str">
        <f t="shared" si="28"/>
        <v>PROPERTY_ENERGY_CERTIFICATETHERMAL_BEHAVIOUR_WINDOWS</v>
      </c>
      <c r="B199" s="67" t="s">
        <v>26</v>
      </c>
      <c r="C199" s="68" t="s">
        <v>54</v>
      </c>
      <c r="D199" s="64" t="s">
        <v>40</v>
      </c>
      <c r="E199" s="66" t="s">
        <v>123</v>
      </c>
      <c r="F199" s="66" t="s">
        <v>149</v>
      </c>
      <c r="G199" s="64" t="str">
        <f>INDEX(Auxiliar!$B$16:$B$24,MATCH(Plano_V3!H199,Auxiliar!$C$16:$C$24,0),1)</f>
        <v>1. Concluído</v>
      </c>
      <c r="H199" s="64">
        <f>VLOOKUP(A199,'Aux - pivots1'!$A:$B,2,0)</f>
        <v>1</v>
      </c>
      <c r="I199" s="183">
        <f>SUMIFS(Table1[Estimação (horas)],Table1[Tabela],Plano_V3!E199,Table1[Campo],Plano_V3!F199)</f>
        <v>4.0999999999999996</v>
      </c>
      <c r="J199" s="183">
        <f t="shared" si="29"/>
        <v>0.51249999999999996</v>
      </c>
      <c r="K199" s="183">
        <f>SUMIFS(Table1[Horas efetivas],Table1[Tabela],Plano_V3!E199,Table1[Campo],Plano_V3!F199)</f>
        <v>4.0999999999999996</v>
      </c>
      <c r="L199" s="183">
        <f t="shared" si="30"/>
        <v>0.51249999999999996</v>
      </c>
      <c r="M199" s="177"/>
      <c r="N199" s="177">
        <f t="shared" si="31"/>
        <v>1</v>
      </c>
      <c r="O199" s="177">
        <f t="shared" si="32"/>
        <v>1</v>
      </c>
      <c r="P199" s="87" t="s">
        <v>124</v>
      </c>
      <c r="Q199" s="90">
        <f t="shared" si="33"/>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outlineLevel="1">
      <c r="A200" s="29" t="str">
        <f t="shared" si="28"/>
        <v>PROPERTY_ENERGY_CERTIFICATETHERMAL_BEHAVIOUR_WALL</v>
      </c>
      <c r="B200" s="67" t="s">
        <v>26</v>
      </c>
      <c r="C200" s="68" t="s">
        <v>54</v>
      </c>
      <c r="D200" s="64" t="s">
        <v>40</v>
      </c>
      <c r="E200" s="66" t="s">
        <v>123</v>
      </c>
      <c r="F200" s="66" t="s">
        <v>150</v>
      </c>
      <c r="G200" s="64" t="str">
        <f>INDEX(Auxiliar!$B$16:$B$24,MATCH(Plano_V3!H200,Auxiliar!$C$16:$C$24,0),1)</f>
        <v>1. Concluído</v>
      </c>
      <c r="H200" s="64">
        <f>VLOOKUP(A200,'Aux - pivots1'!$A:$B,2,0)</f>
        <v>1</v>
      </c>
      <c r="I200" s="183">
        <f>SUMIFS(Table1[Estimação (horas)],Table1[Tabela],Plano_V3!E200,Table1[Campo],Plano_V3!F200)</f>
        <v>4.0999999999999996</v>
      </c>
      <c r="J200" s="183">
        <f t="shared" si="29"/>
        <v>0.51249999999999996</v>
      </c>
      <c r="K200" s="183">
        <f>SUMIFS(Table1[Horas efetivas],Table1[Tabela],Plano_V3!E200,Table1[Campo],Plano_V3!F200)</f>
        <v>4.0999999999999996</v>
      </c>
      <c r="L200" s="183">
        <f t="shared" si="30"/>
        <v>0.51249999999999996</v>
      </c>
      <c r="M200" s="177"/>
      <c r="N200" s="177">
        <f t="shared" si="31"/>
        <v>1</v>
      </c>
      <c r="O200" s="177">
        <f t="shared" si="32"/>
        <v>1</v>
      </c>
      <c r="P200" s="87" t="s">
        <v>124</v>
      </c>
      <c r="Q200" s="90">
        <f t="shared" si="33"/>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outlineLevel="1">
      <c r="A201" s="29" t="str">
        <f t="shared" si="28"/>
        <v>PROPERTY_ENERGY_CERTIFICATETHERMAL_BEHAVIOUR_FLOORS</v>
      </c>
      <c r="B201" s="67" t="s">
        <v>26</v>
      </c>
      <c r="C201" s="68" t="s">
        <v>54</v>
      </c>
      <c r="D201" s="64" t="s">
        <v>40</v>
      </c>
      <c r="E201" s="66" t="s">
        <v>123</v>
      </c>
      <c r="F201" s="66" t="s">
        <v>151</v>
      </c>
      <c r="G201" s="64" t="str">
        <f>INDEX(Auxiliar!$B$16:$B$24,MATCH(Plano_V3!H201,Auxiliar!$C$16:$C$24,0),1)</f>
        <v>1. Concluído</v>
      </c>
      <c r="H201" s="64">
        <f>VLOOKUP(A201,'Aux - pivots1'!$A:$B,2,0)</f>
        <v>1</v>
      </c>
      <c r="I201" s="183">
        <f>SUMIFS(Table1[Estimação (horas)],Table1[Tabela],Plano_V3!E201,Table1[Campo],Plano_V3!F201)</f>
        <v>4.0999999999999996</v>
      </c>
      <c r="J201" s="183">
        <f t="shared" si="29"/>
        <v>0.51249999999999996</v>
      </c>
      <c r="K201" s="183">
        <f>SUMIFS(Table1[Horas efetivas],Table1[Tabela],Plano_V3!E201,Table1[Campo],Plano_V3!F201)</f>
        <v>4.0999999999999996</v>
      </c>
      <c r="L201" s="183">
        <f t="shared" si="30"/>
        <v>0.51249999999999996</v>
      </c>
      <c r="M201" s="177"/>
      <c r="N201" s="177">
        <f t="shared" si="31"/>
        <v>1</v>
      </c>
      <c r="O201" s="177">
        <f t="shared" si="32"/>
        <v>1</v>
      </c>
      <c r="P201" s="87" t="s">
        <v>124</v>
      </c>
      <c r="Q201" s="90">
        <f t="shared" si="33"/>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outlineLevel="1">
      <c r="A202" s="29" t="str">
        <f t="shared" si="28"/>
        <v>PROPERTY_ENERGY_CERTIFICATETHERMAL_BEHAVIOUR_TECH_SYS_VENT</v>
      </c>
      <c r="B202" s="67" t="s">
        <v>26</v>
      </c>
      <c r="C202" s="68" t="s">
        <v>54</v>
      </c>
      <c r="D202" s="64" t="s">
        <v>40</v>
      </c>
      <c r="E202" s="66" t="s">
        <v>123</v>
      </c>
      <c r="F202" s="66" t="s">
        <v>152</v>
      </c>
      <c r="G202" s="64" t="str">
        <f>INDEX(Auxiliar!$B$16:$B$24,MATCH(Plano_V3!H202,Auxiliar!$C$16:$C$24,0),1)</f>
        <v>1. Concluído</v>
      </c>
      <c r="H202" s="64">
        <f>VLOOKUP(A202,'Aux - pivots1'!$A:$B,2,0)</f>
        <v>1</v>
      </c>
      <c r="I202" s="183">
        <f>SUMIFS(Table1[Estimação (horas)],Table1[Tabela],Plano_V3!E202,Table1[Campo],Plano_V3!F202)</f>
        <v>4.0999999999999996</v>
      </c>
      <c r="J202" s="183">
        <f t="shared" si="29"/>
        <v>0.51249999999999996</v>
      </c>
      <c r="K202" s="183">
        <f>SUMIFS(Table1[Horas efetivas],Table1[Tabela],Plano_V3!E202,Table1[Campo],Plano_V3!F202)</f>
        <v>4.0999999999999996</v>
      </c>
      <c r="L202" s="183">
        <f t="shared" si="30"/>
        <v>0.51249999999999996</v>
      </c>
      <c r="M202" s="177"/>
      <c r="N202" s="177">
        <f t="shared" si="31"/>
        <v>1</v>
      </c>
      <c r="O202" s="177">
        <f t="shared" si="32"/>
        <v>1</v>
      </c>
      <c r="P202" s="87" t="s">
        <v>124</v>
      </c>
      <c r="Q202" s="90">
        <f t="shared" si="33"/>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outlineLevel="1">
      <c r="A203" s="29" t="str">
        <f t="shared" ref="A203:A242" si="34">E203&amp;F203</f>
        <v>PROPERTY_ENERGY_CERTIFICATETOTAL_INVSTMNT_ESTMTD_VALUE</v>
      </c>
      <c r="B203" s="67" t="s">
        <v>26</v>
      </c>
      <c r="C203" s="68" t="s">
        <v>54</v>
      </c>
      <c r="D203" s="64" t="s">
        <v>40</v>
      </c>
      <c r="E203" s="66" t="s">
        <v>123</v>
      </c>
      <c r="F203" s="66" t="s">
        <v>153</v>
      </c>
      <c r="G203" s="64" t="str">
        <f>INDEX(Auxiliar!$B$16:$B$24,MATCH(Plano_V3!H203,Auxiliar!$C$16:$C$24,0),1)</f>
        <v>1. Concluído</v>
      </c>
      <c r="H203" s="64">
        <f>VLOOKUP(A203,'Aux - pivots1'!$A:$B,2,0)</f>
        <v>1</v>
      </c>
      <c r="I203" s="183">
        <f>SUMIFS(Table1[Estimação (horas)],Table1[Tabela],Plano_V3!E203,Table1[Campo],Plano_V3!F203)</f>
        <v>4.0999999999999996</v>
      </c>
      <c r="J203" s="183">
        <f t="shared" si="29"/>
        <v>0.51249999999999996</v>
      </c>
      <c r="K203" s="183">
        <f>SUMIFS(Table1[Horas efetivas],Table1[Tabela],Plano_V3!E203,Table1[Campo],Plano_V3!F203)</f>
        <v>4.0999999999999996</v>
      </c>
      <c r="L203" s="183">
        <f t="shared" si="30"/>
        <v>0.51249999999999996</v>
      </c>
      <c r="M203" s="177"/>
      <c r="N203" s="177">
        <f t="shared" si="31"/>
        <v>1</v>
      </c>
      <c r="O203" s="177">
        <f t="shared" si="32"/>
        <v>1</v>
      </c>
      <c r="P203" s="87" t="s">
        <v>124</v>
      </c>
      <c r="Q203" s="90">
        <f t="shared" si="33"/>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outlineLevel="1">
      <c r="A204" s="29" t="str">
        <f t="shared" si="34"/>
        <v>PROPERTY_ENERGY_CERTIFICATEDURATION_SUMMER</v>
      </c>
      <c r="B204" s="67" t="s">
        <v>26</v>
      </c>
      <c r="C204" s="68" t="s">
        <v>54</v>
      </c>
      <c r="D204" s="64" t="s">
        <v>40</v>
      </c>
      <c r="E204" s="66" t="s">
        <v>123</v>
      </c>
      <c r="F204" s="66" t="s">
        <v>154</v>
      </c>
      <c r="G204" s="64" t="str">
        <f>INDEX(Auxiliar!$B$16:$B$24,MATCH(Plano_V3!H204,Auxiliar!$C$16:$C$24,0),1)</f>
        <v>1. Concluído</v>
      </c>
      <c r="H204" s="64">
        <f>VLOOKUP(A204,'Aux - pivots1'!$A:$B,2,0)</f>
        <v>1</v>
      </c>
      <c r="I204" s="183">
        <f>SUMIFS(Table1[Estimação (horas)],Table1[Tabela],Plano_V3!E204,Table1[Campo],Plano_V3!F204)</f>
        <v>4.0999999999999996</v>
      </c>
      <c r="J204" s="183">
        <f t="shared" si="29"/>
        <v>0.51249999999999996</v>
      </c>
      <c r="K204" s="183">
        <f>SUMIFS(Table1[Horas efetivas],Table1[Tabela],Plano_V3!E204,Table1[Campo],Plano_V3!F204)</f>
        <v>4.0999999999999996</v>
      </c>
      <c r="L204" s="183">
        <f t="shared" si="30"/>
        <v>0.51249999999999996</v>
      </c>
      <c r="M204" s="177"/>
      <c r="N204" s="177">
        <f t="shared" si="31"/>
        <v>1</v>
      </c>
      <c r="O204" s="177">
        <f t="shared" si="32"/>
        <v>1</v>
      </c>
      <c r="P204" s="87" t="s">
        <v>124</v>
      </c>
      <c r="Q204" s="90">
        <f t="shared" si="33"/>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outlineLevel="1">
      <c r="A205" s="29" t="str">
        <f t="shared" si="34"/>
        <v>PROPERTY_ENERGY_CERTIFICATEDURATION_WINTER</v>
      </c>
      <c r="B205" s="67" t="s">
        <v>26</v>
      </c>
      <c r="C205" s="68" t="s">
        <v>54</v>
      </c>
      <c r="D205" s="64" t="s">
        <v>40</v>
      </c>
      <c r="E205" s="66" t="s">
        <v>123</v>
      </c>
      <c r="F205" s="66" t="s">
        <v>155</v>
      </c>
      <c r="G205" s="64" t="str">
        <f>INDEX(Auxiliar!$B$16:$B$24,MATCH(Plano_V3!H205,Auxiliar!$C$16:$C$24,0),1)</f>
        <v>1. Concluído</v>
      </c>
      <c r="H205" s="64">
        <f>VLOOKUP(A205,'Aux - pivots1'!$A:$B,2,0)</f>
        <v>1</v>
      </c>
      <c r="I205" s="183">
        <f>SUMIFS(Table1[Estimação (horas)],Table1[Tabela],Plano_V3!E205,Table1[Campo],Plano_V3!F205)</f>
        <v>4.0999999999999996</v>
      </c>
      <c r="J205" s="183">
        <f t="shared" ref="J205:J237" si="35">I205/8</f>
        <v>0.51249999999999996</v>
      </c>
      <c r="K205" s="183">
        <f>SUMIFS(Table1[Horas efetivas],Table1[Tabela],Plano_V3!E205,Table1[Campo],Plano_V3!F205)</f>
        <v>4.0999999999999996</v>
      </c>
      <c r="L205" s="183">
        <f t="shared" ref="L205:L237" si="36">K205/8</f>
        <v>0.51249999999999996</v>
      </c>
      <c r="M205" s="177"/>
      <c r="N205" s="177">
        <f t="shared" ref="N205:N242" si="37">L205/J205</f>
        <v>1</v>
      </c>
      <c r="O205" s="177">
        <f t="shared" si="32"/>
        <v>1</v>
      </c>
      <c r="P205" s="87" t="s">
        <v>124</v>
      </c>
      <c r="Q205" s="90">
        <f t="shared" si="33"/>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outlineLevel="1">
      <c r="A206" s="29" t="str">
        <f t="shared" si="34"/>
        <v>PROPERTY_ENERGY_CERTIFICATECARBON_EMISSION_VALUE_YEAR</v>
      </c>
      <c r="B206" s="67" t="s">
        <v>26</v>
      </c>
      <c r="C206" s="68" t="s">
        <v>54</v>
      </c>
      <c r="D206" s="64" t="s">
        <v>40</v>
      </c>
      <c r="E206" s="66" t="s">
        <v>123</v>
      </c>
      <c r="F206" s="66" t="s">
        <v>52</v>
      </c>
      <c r="G206" s="64" t="str">
        <f>INDEX(Auxiliar!$B$16:$B$24,MATCH(Plano_V3!H206,Auxiliar!$C$16:$C$24,0),1)</f>
        <v>2.1 Em Teste</v>
      </c>
      <c r="H206" s="64">
        <f>VLOOKUP(A206,'Aux - pivots1'!$A:$B,2,0)</f>
        <v>2</v>
      </c>
      <c r="I206" s="183">
        <f>SUMIFS(Table1[Estimação (horas)],Table1[Tabela],Plano_V3!E206,Table1[Campo],Plano_V3!F206)</f>
        <v>4.0999999999999996</v>
      </c>
      <c r="J206" s="183">
        <f t="shared" si="35"/>
        <v>0.51249999999999996</v>
      </c>
      <c r="K206" s="183">
        <f>SUMIFS(Table1[Horas efetivas],Table1[Tabela],Plano_V3!E206,Table1[Campo],Plano_V3!F206)</f>
        <v>2.0499999999999998</v>
      </c>
      <c r="L206" s="183">
        <f t="shared" si="36"/>
        <v>0.25624999999999998</v>
      </c>
      <c r="M206" s="177"/>
      <c r="N206" s="177">
        <f t="shared" si="37"/>
        <v>0.5</v>
      </c>
      <c r="O206" s="177">
        <f t="shared" si="32"/>
        <v>0.5</v>
      </c>
      <c r="P206" s="87" t="s">
        <v>124</v>
      </c>
      <c r="Q206" s="90">
        <f t="shared" si="33"/>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outlineLevel="1">
      <c r="A207" s="29" t="str">
        <f t="shared" si="34"/>
        <v>PROPERTY_ENERGY_CERTIFICATECARBON_EMISSION_VALUE</v>
      </c>
      <c r="B207" s="67" t="s">
        <v>26</v>
      </c>
      <c r="C207" s="68" t="s">
        <v>54</v>
      </c>
      <c r="D207" s="64" t="s">
        <v>40</v>
      </c>
      <c r="E207" s="66" t="s">
        <v>123</v>
      </c>
      <c r="F207" s="66" t="s">
        <v>156</v>
      </c>
      <c r="G207" s="64" t="str">
        <f>INDEX(Auxiliar!$B$16:$B$24,MATCH(Plano_V3!H207,Auxiliar!$C$16:$C$24,0),1)</f>
        <v>1. Concluído</v>
      </c>
      <c r="H207" s="64">
        <f>VLOOKUP(A207,'Aux - pivots1'!$A:$B,2,0)</f>
        <v>1</v>
      </c>
      <c r="I207" s="183">
        <f>SUMIFS(Table1[Estimação (horas)],Table1[Tabela],Plano_V3!E207,Table1[Campo],Plano_V3!F207)</f>
        <v>4.0999999999999996</v>
      </c>
      <c r="J207" s="183">
        <f t="shared" si="35"/>
        <v>0.51249999999999996</v>
      </c>
      <c r="K207" s="183">
        <f>SUMIFS(Table1[Horas efetivas],Table1[Tabela],Plano_V3!E207,Table1[Campo],Plano_V3!F207)</f>
        <v>4.0999999999999996</v>
      </c>
      <c r="L207" s="183">
        <f t="shared" si="36"/>
        <v>0.51249999999999996</v>
      </c>
      <c r="M207" s="177"/>
      <c r="N207" s="177">
        <f t="shared" si="37"/>
        <v>1</v>
      </c>
      <c r="O207" s="177">
        <f t="shared" si="32"/>
        <v>1</v>
      </c>
      <c r="P207" s="87" t="s">
        <v>124</v>
      </c>
      <c r="Q207" s="90">
        <f t="shared" si="33"/>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outlineLevel="1">
      <c r="A208" s="29" t="str">
        <f t="shared" si="34"/>
        <v>PROPERTY_ENERGY_CERTIFICATEUSEFUL_ENERGY_FANS_REQ_VALUE</v>
      </c>
      <c r="B208" s="67" t="s">
        <v>26</v>
      </c>
      <c r="C208" s="68" t="s">
        <v>54</v>
      </c>
      <c r="D208" s="64" t="s">
        <v>40</v>
      </c>
      <c r="E208" s="66" t="s">
        <v>123</v>
      </c>
      <c r="F208" s="66" t="s">
        <v>157</v>
      </c>
      <c r="G208" s="64" t="str">
        <f>INDEX(Auxiliar!$B$16:$B$24,MATCH(Plano_V3!H208,Auxiliar!$C$16:$C$24,0),1)</f>
        <v>1. Concluído</v>
      </c>
      <c r="H208" s="64">
        <f>VLOOKUP(A208,'Aux - pivots1'!$A:$B,2,0)</f>
        <v>1</v>
      </c>
      <c r="I208" s="183">
        <f>SUMIFS(Table1[Estimação (horas)],Table1[Tabela],Plano_V3!E208,Table1[Campo],Plano_V3!F208)</f>
        <v>4.0999999999999996</v>
      </c>
      <c r="J208" s="183">
        <f t="shared" si="35"/>
        <v>0.51249999999999996</v>
      </c>
      <c r="K208" s="183">
        <f>SUMIFS(Table1[Horas efetivas],Table1[Tabela],Plano_V3!E208,Table1[Campo],Plano_V3!F208)</f>
        <v>4.0999999999999996</v>
      </c>
      <c r="L208" s="183">
        <f t="shared" si="36"/>
        <v>0.51249999999999996</v>
      </c>
      <c r="M208" s="177"/>
      <c r="N208" s="177">
        <f t="shared" si="37"/>
        <v>1</v>
      </c>
      <c r="O208" s="177">
        <f t="shared" si="32"/>
        <v>1</v>
      </c>
      <c r="P208" s="87" t="s">
        <v>124</v>
      </c>
      <c r="Q208" s="90">
        <f t="shared" si="33"/>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outlineLevel="1">
      <c r="A209" s="29" t="str">
        <f t="shared" si="34"/>
        <v>PROPERTY_ENERGY_CERTIFICATEREN_ENERGY_PRODUCED_OTHER_VALUE</v>
      </c>
      <c r="B209" s="67" t="s">
        <v>26</v>
      </c>
      <c r="C209" s="68" t="s">
        <v>54</v>
      </c>
      <c r="D209" s="64" t="s">
        <v>40</v>
      </c>
      <c r="E209" s="66" t="s">
        <v>123</v>
      </c>
      <c r="F209" s="66" t="s">
        <v>158</v>
      </c>
      <c r="G209" s="64" t="str">
        <f>INDEX(Auxiliar!$B$16:$B$24,MATCH(Plano_V3!H209,Auxiliar!$C$16:$C$24,0),1)</f>
        <v>1. Concluído</v>
      </c>
      <c r="H209" s="64">
        <f>VLOOKUP(A209,'Aux - pivots1'!$A:$B,2,0)</f>
        <v>1</v>
      </c>
      <c r="I209" s="183">
        <f>SUMIFS(Table1[Estimação (horas)],Table1[Tabela],Plano_V3!E209,Table1[Campo],Plano_V3!F209)</f>
        <v>4.0999999999999996</v>
      </c>
      <c r="J209" s="183">
        <f t="shared" si="35"/>
        <v>0.51249999999999996</v>
      </c>
      <c r="K209" s="183">
        <f>SUMIFS(Table1[Horas efetivas],Table1[Tabela],Plano_V3!E209,Table1[Campo],Plano_V3!F209)</f>
        <v>4.0999999999999996</v>
      </c>
      <c r="L209" s="183">
        <f t="shared" si="36"/>
        <v>0.51249999999999996</v>
      </c>
      <c r="M209" s="177"/>
      <c r="N209" s="177">
        <f t="shared" si="37"/>
        <v>1</v>
      </c>
      <c r="O209" s="177">
        <f t="shared" si="32"/>
        <v>1</v>
      </c>
      <c r="P209" s="87" t="s">
        <v>124</v>
      </c>
      <c r="Q209" s="90">
        <f t="shared" si="33"/>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outlineLevel="1">
      <c r="A210" s="29" t="str">
        <f t="shared" si="34"/>
        <v>PROPERTY_ENERGY_CERTIFICATEREN_ENERGY_PRODUCED_REG_VALUE</v>
      </c>
      <c r="B210" s="67" t="s">
        <v>26</v>
      </c>
      <c r="C210" s="68" t="s">
        <v>54</v>
      </c>
      <c r="D210" s="64" t="s">
        <v>40</v>
      </c>
      <c r="E210" s="66" t="s">
        <v>123</v>
      </c>
      <c r="F210" s="66" t="s">
        <v>159</v>
      </c>
      <c r="G210" s="64" t="str">
        <f>INDEX(Auxiliar!$B$16:$B$24,MATCH(Plano_V3!H210,Auxiliar!$C$16:$C$24,0),1)</f>
        <v>1. Concluído</v>
      </c>
      <c r="H210" s="64">
        <f>VLOOKUP(A210,'Aux - pivots1'!$A:$B,2,0)</f>
        <v>1</v>
      </c>
      <c r="I210" s="183">
        <f>SUMIFS(Table1[Estimação (horas)],Table1[Tabela],Plano_V3!E210,Table1[Campo],Plano_V3!F210)</f>
        <v>4.0999999999999996</v>
      </c>
      <c r="J210" s="183">
        <f t="shared" si="35"/>
        <v>0.51249999999999996</v>
      </c>
      <c r="K210" s="183">
        <f>SUMIFS(Table1[Horas efetivas],Table1[Tabela],Plano_V3!E210,Table1[Campo],Plano_V3!F210)</f>
        <v>4.0999999999999996</v>
      </c>
      <c r="L210" s="183">
        <f t="shared" si="36"/>
        <v>0.51249999999999996</v>
      </c>
      <c r="M210" s="177"/>
      <c r="N210" s="177">
        <f t="shared" si="37"/>
        <v>1</v>
      </c>
      <c r="O210" s="177">
        <f t="shared" si="32"/>
        <v>1</v>
      </c>
      <c r="P210" s="87" t="s">
        <v>124</v>
      </c>
      <c r="Q210" s="90">
        <f t="shared" si="33"/>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outlineLevel="1">
      <c r="A211" s="29" t="str">
        <f t="shared" si="34"/>
        <v>PROPERTY_ENERGY_CERTIFICATEREN_ENERGY_PRODUCED_VALUE</v>
      </c>
      <c r="B211" s="67" t="s">
        <v>26</v>
      </c>
      <c r="C211" s="68" t="s">
        <v>54</v>
      </c>
      <c r="D211" s="64" t="s">
        <v>40</v>
      </c>
      <c r="E211" s="66" t="s">
        <v>123</v>
      </c>
      <c r="F211" s="66" t="s">
        <v>160</v>
      </c>
      <c r="G211" s="64" t="str">
        <f>INDEX(Auxiliar!$B$16:$B$24,MATCH(Plano_V3!H211,Auxiliar!$C$16:$C$24,0),1)</f>
        <v>1. Concluído</v>
      </c>
      <c r="H211" s="64">
        <f>VLOOKUP(A211,'Aux - pivots1'!$A:$B,2,0)</f>
        <v>1</v>
      </c>
      <c r="I211" s="183">
        <f>SUMIFS(Table1[Estimação (horas)],Table1[Tabela],Plano_V3!E211,Table1[Campo],Plano_V3!F211)</f>
        <v>4.0999999999999996</v>
      </c>
      <c r="J211" s="183">
        <f t="shared" si="35"/>
        <v>0.51249999999999996</v>
      </c>
      <c r="K211" s="183">
        <f>SUMIFS(Table1[Horas efetivas],Table1[Tabela],Plano_V3!E211,Table1[Campo],Plano_V3!F211)</f>
        <v>4.0999999999999996</v>
      </c>
      <c r="L211" s="183">
        <f t="shared" si="36"/>
        <v>0.51249999999999996</v>
      </c>
      <c r="M211" s="177"/>
      <c r="N211" s="177">
        <f t="shared" si="37"/>
        <v>1</v>
      </c>
      <c r="O211" s="177">
        <f t="shared" si="32"/>
        <v>1</v>
      </c>
      <c r="P211" s="87" t="s">
        <v>124</v>
      </c>
      <c r="Q211" s="90">
        <f t="shared" si="33"/>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outlineLevel="1">
      <c r="A212" s="29" t="str">
        <f t="shared" si="34"/>
        <v>PROPERTY_ENERGY_CERTIFICATEUSEFUL_ENERGY_DOM_HOTWATER_VALUE</v>
      </c>
      <c r="B212" s="67" t="s">
        <v>26</v>
      </c>
      <c r="C212" s="68" t="s">
        <v>54</v>
      </c>
      <c r="D212" s="64" t="s">
        <v>40</v>
      </c>
      <c r="E212" s="66" t="s">
        <v>123</v>
      </c>
      <c r="F212" s="66" t="s">
        <v>161</v>
      </c>
      <c r="G212" s="64" t="str">
        <f>INDEX(Auxiliar!$B$16:$B$24,MATCH(Plano_V3!H212,Auxiliar!$C$16:$C$24,0),1)</f>
        <v>1. Concluído</v>
      </c>
      <c r="H212" s="64">
        <f>VLOOKUP(A212,'Aux - pivots1'!$A:$B,2,0)</f>
        <v>1</v>
      </c>
      <c r="I212" s="183">
        <f>SUMIFS(Table1[Estimação (horas)],Table1[Tabela],Plano_V3!E212,Table1[Campo],Plano_V3!F212)</f>
        <v>4.0999999999999996</v>
      </c>
      <c r="J212" s="183">
        <f t="shared" si="35"/>
        <v>0.51249999999999996</v>
      </c>
      <c r="K212" s="183">
        <f>SUMIFS(Table1[Horas efetivas],Table1[Tabela],Plano_V3!E212,Table1[Campo],Plano_V3!F212)</f>
        <v>4.0999999999999996</v>
      </c>
      <c r="L212" s="183">
        <f t="shared" si="36"/>
        <v>0.51249999999999996</v>
      </c>
      <c r="M212" s="177"/>
      <c r="N212" s="177">
        <f t="shared" si="37"/>
        <v>1</v>
      </c>
      <c r="O212" s="177">
        <f t="shared" si="32"/>
        <v>1</v>
      </c>
      <c r="P212" s="87" t="s">
        <v>124</v>
      </c>
      <c r="Q212" s="90">
        <f t="shared" si="33"/>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outlineLevel="1">
      <c r="A213" s="29" t="str">
        <f t="shared" si="34"/>
        <v>PROPERTY_ENERGY_CERTIFICATEUSEFUL_ENERGY_COOLING_VALUE</v>
      </c>
      <c r="B213" s="67" t="s">
        <v>26</v>
      </c>
      <c r="C213" s="68" t="s">
        <v>54</v>
      </c>
      <c r="D213" s="64" t="s">
        <v>40</v>
      </c>
      <c r="E213" s="66" t="s">
        <v>123</v>
      </c>
      <c r="F213" s="66" t="s">
        <v>162</v>
      </c>
      <c r="G213" s="64" t="str">
        <f>INDEX(Auxiliar!$B$16:$B$24,MATCH(Plano_V3!H213,Auxiliar!$C$16:$C$24,0),1)</f>
        <v>1. Concluído</v>
      </c>
      <c r="H213" s="64">
        <f>VLOOKUP(A213,'Aux - pivots1'!$A:$B,2,0)</f>
        <v>1</v>
      </c>
      <c r="I213" s="183">
        <f>SUMIFS(Table1[Estimação (horas)],Table1[Tabela],Plano_V3!E213,Table1[Campo],Plano_V3!F213)</f>
        <v>4.0999999999999996</v>
      </c>
      <c r="J213" s="183">
        <f t="shared" si="35"/>
        <v>0.51249999999999996</v>
      </c>
      <c r="K213" s="183">
        <f>SUMIFS(Table1[Horas efetivas],Table1[Tabela],Plano_V3!E213,Table1[Campo],Plano_V3!F213)</f>
        <v>4.0999999999999996</v>
      </c>
      <c r="L213" s="183">
        <f t="shared" si="36"/>
        <v>0.51249999999999996</v>
      </c>
      <c r="M213" s="177"/>
      <c r="N213" s="177">
        <f t="shared" si="37"/>
        <v>1</v>
      </c>
      <c r="O213" s="177">
        <f t="shared" si="32"/>
        <v>1</v>
      </c>
      <c r="P213" s="87" t="s">
        <v>124</v>
      </c>
      <c r="Q213" s="90">
        <f t="shared" si="33"/>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outlineLevel="1">
      <c r="A214" s="29" t="str">
        <f t="shared" si="34"/>
        <v>PROPERTY_ENERGY_CERTIFICATETEMPERATURE_DAY_VALUE</v>
      </c>
      <c r="B214" s="67" t="s">
        <v>26</v>
      </c>
      <c r="C214" s="68" t="s">
        <v>54</v>
      </c>
      <c r="D214" s="64" t="s">
        <v>40</v>
      </c>
      <c r="E214" s="66" t="s">
        <v>123</v>
      </c>
      <c r="F214" s="66" t="s">
        <v>163</v>
      </c>
      <c r="G214" s="64" t="str">
        <f>INDEX(Auxiliar!$B$16:$B$24,MATCH(Plano_V3!H214,Auxiliar!$C$16:$C$24,0),1)</f>
        <v>1. Concluído</v>
      </c>
      <c r="H214" s="64">
        <f>VLOOKUP(A214,'Aux - pivots1'!$A:$B,2,0)</f>
        <v>1</v>
      </c>
      <c r="I214" s="183">
        <f>SUMIFS(Table1[Estimação (horas)],Table1[Tabela],Plano_V3!E214,Table1[Campo],Plano_V3!F214)</f>
        <v>4.0999999999999996</v>
      </c>
      <c r="J214" s="183">
        <f t="shared" si="35"/>
        <v>0.51249999999999996</v>
      </c>
      <c r="K214" s="183">
        <f>SUMIFS(Table1[Horas efetivas],Table1[Tabela],Plano_V3!E214,Table1[Campo],Plano_V3!F214)</f>
        <v>4.0999999999999996</v>
      </c>
      <c r="L214" s="183">
        <f t="shared" si="36"/>
        <v>0.51249999999999996</v>
      </c>
      <c r="M214" s="177"/>
      <c r="N214" s="177">
        <f t="shared" si="37"/>
        <v>1</v>
      </c>
      <c r="O214" s="177">
        <f t="shared" si="32"/>
        <v>1</v>
      </c>
      <c r="P214" s="87" t="s">
        <v>124</v>
      </c>
      <c r="Q214" s="90">
        <f t="shared" si="33"/>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outlineLevel="1">
      <c r="A215" s="29" t="str">
        <f t="shared" si="34"/>
        <v>PROPERTY_ENERGY_CERTIFICATEPRIMARY_ENERGY_REQ_VALUE</v>
      </c>
      <c r="B215" s="67" t="s">
        <v>26</v>
      </c>
      <c r="C215" s="68" t="s">
        <v>54</v>
      </c>
      <c r="D215" s="64" t="s">
        <v>40</v>
      </c>
      <c r="E215" s="66" t="s">
        <v>123</v>
      </c>
      <c r="F215" s="66" t="s">
        <v>164</v>
      </c>
      <c r="G215" s="64" t="str">
        <f>INDEX(Auxiliar!$B$16:$B$24,MATCH(Plano_V3!H215,Auxiliar!$C$16:$C$24,0),1)</f>
        <v>1. Concluído</v>
      </c>
      <c r="H215" s="64">
        <f>VLOOKUP(A215,'Aux - pivots1'!$A:$B,2,0)</f>
        <v>1</v>
      </c>
      <c r="I215" s="183">
        <f>SUMIFS(Table1[Estimação (horas)],Table1[Tabela],Plano_V3!E215,Table1[Campo],Plano_V3!F215)</f>
        <v>4.0999999999999996</v>
      </c>
      <c r="J215" s="183">
        <f t="shared" si="35"/>
        <v>0.51249999999999996</v>
      </c>
      <c r="K215" s="183">
        <f>SUMIFS(Table1[Horas efetivas],Table1[Tabela],Plano_V3!E215,Table1[Campo],Plano_V3!F215)</f>
        <v>4.0999999999999996</v>
      </c>
      <c r="L215" s="183">
        <f t="shared" si="36"/>
        <v>0.51249999999999996</v>
      </c>
      <c r="M215" s="177"/>
      <c r="N215" s="177">
        <f t="shared" si="37"/>
        <v>1</v>
      </c>
      <c r="O215" s="177">
        <f t="shared" si="32"/>
        <v>1</v>
      </c>
      <c r="P215" s="87" t="s">
        <v>124</v>
      </c>
      <c r="Q215" s="90">
        <f t="shared" si="33"/>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outlineLevel="1">
      <c r="A216" s="29" t="str">
        <f t="shared" si="34"/>
        <v>PROPERTY_ENERGY_CERTIFICATEUSEFUL_ENERGY_HEATING_REQ_VALUE</v>
      </c>
      <c r="B216" s="67" t="s">
        <v>26</v>
      </c>
      <c r="C216" s="68" t="s">
        <v>54</v>
      </c>
      <c r="D216" s="64" t="s">
        <v>40</v>
      </c>
      <c r="E216" s="66" t="s">
        <v>123</v>
      </c>
      <c r="F216" s="66" t="s">
        <v>165</v>
      </c>
      <c r="G216" s="64" t="str">
        <f>INDEX(Auxiliar!$B$16:$B$24,MATCH(Plano_V3!H216,Auxiliar!$C$16:$C$24,0),1)</f>
        <v>1. Concluído</v>
      </c>
      <c r="H216" s="64">
        <f>VLOOKUP(A216,'Aux - pivots1'!$A:$B,2,0)</f>
        <v>1</v>
      </c>
      <c r="I216" s="183">
        <f>SUMIFS(Table1[Estimação (horas)],Table1[Tabela],Plano_V3!E216,Table1[Campo],Plano_V3!F216)</f>
        <v>4.0999999999999996</v>
      </c>
      <c r="J216" s="183">
        <f t="shared" si="35"/>
        <v>0.51249999999999996</v>
      </c>
      <c r="K216" s="183">
        <f>SUMIFS(Table1[Horas efetivas],Table1[Tabela],Plano_V3!E216,Table1[Campo],Plano_V3!F216)</f>
        <v>4.0999999999999996</v>
      </c>
      <c r="L216" s="183">
        <f t="shared" si="36"/>
        <v>0.51249999999999996</v>
      </c>
      <c r="M216" s="177"/>
      <c r="N216" s="177">
        <f t="shared" si="37"/>
        <v>1</v>
      </c>
      <c r="O216" s="177">
        <f t="shared" si="32"/>
        <v>1</v>
      </c>
      <c r="P216" s="87" t="s">
        <v>124</v>
      </c>
      <c r="Q216" s="90">
        <f t="shared" si="33"/>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outlineLevel="1">
      <c r="A217" s="29" t="str">
        <f t="shared" si="34"/>
        <v>PROPERTY_ENERGY_CERTIFICATEPNL_WINTER_WALLS_DOORS_VALUE</v>
      </c>
      <c r="B217" s="67" t="s">
        <v>26</v>
      </c>
      <c r="C217" s="68" t="s">
        <v>54</v>
      </c>
      <c r="D217" s="64" t="s">
        <v>40</v>
      </c>
      <c r="E217" s="66" t="s">
        <v>123</v>
      </c>
      <c r="F217" s="66" t="s">
        <v>166</v>
      </c>
      <c r="G217" s="64" t="str">
        <f>INDEX(Auxiliar!$B$16:$B$24,MATCH(Plano_V3!H217,Auxiliar!$C$16:$C$24,0),1)</f>
        <v>1. Concluído</v>
      </c>
      <c r="H217" s="64">
        <f>VLOOKUP(A217,'Aux - pivots1'!$A:$B,2,0)</f>
        <v>1</v>
      </c>
      <c r="I217" s="183">
        <f>SUMIFS(Table1[Estimação (horas)],Table1[Tabela],Plano_V3!E217,Table1[Campo],Plano_V3!F217)</f>
        <v>4.0999999999999996</v>
      </c>
      <c r="J217" s="183">
        <f t="shared" si="35"/>
        <v>0.51249999999999996</v>
      </c>
      <c r="K217" s="183">
        <f>SUMIFS(Table1[Horas efetivas],Table1[Tabela],Plano_V3!E217,Table1[Campo],Plano_V3!F217)</f>
        <v>4.0999999999999996</v>
      </c>
      <c r="L217" s="183">
        <f t="shared" si="36"/>
        <v>0.51249999999999996</v>
      </c>
      <c r="M217" s="177"/>
      <c r="N217" s="177">
        <f t="shared" si="37"/>
        <v>1</v>
      </c>
      <c r="O217" s="177">
        <f t="shared" si="32"/>
        <v>1</v>
      </c>
      <c r="P217" s="87" t="s">
        <v>124</v>
      </c>
      <c r="Q217" s="90">
        <f t="shared" si="33"/>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outlineLevel="1">
      <c r="A218" s="29" t="str">
        <f t="shared" si="34"/>
        <v>PROPERTY_ENERGY_CERTIFICATEPNL_WINTER_FLOORS_VALUE</v>
      </c>
      <c r="B218" s="67" t="s">
        <v>26</v>
      </c>
      <c r="C218" s="68" t="s">
        <v>54</v>
      </c>
      <c r="D218" s="64" t="s">
        <v>40</v>
      </c>
      <c r="E218" s="66" t="s">
        <v>123</v>
      </c>
      <c r="F218" s="66" t="s">
        <v>167</v>
      </c>
      <c r="G218" s="64" t="str">
        <f>INDEX(Auxiliar!$B$16:$B$24,MATCH(Plano_V3!H218,Auxiliar!$C$16:$C$24,0),1)</f>
        <v>1. Concluído</v>
      </c>
      <c r="H218" s="64">
        <f>VLOOKUP(A218,'Aux - pivots1'!$A:$B,2,0)</f>
        <v>1</v>
      </c>
      <c r="I218" s="183">
        <f>SUMIFS(Table1[Estimação (horas)],Table1[Tabela],Plano_V3!E218,Table1[Campo],Plano_V3!F218)</f>
        <v>4.0999999999999996</v>
      </c>
      <c r="J218" s="183">
        <f t="shared" si="35"/>
        <v>0.51249999999999996</v>
      </c>
      <c r="K218" s="183">
        <f>SUMIFS(Table1[Horas efetivas],Table1[Tabela],Plano_V3!E218,Table1[Campo],Plano_V3!F218)</f>
        <v>4.0999999999999996</v>
      </c>
      <c r="L218" s="183">
        <f t="shared" si="36"/>
        <v>0.51249999999999996</v>
      </c>
      <c r="M218" s="177"/>
      <c r="N218" s="177">
        <f t="shared" si="37"/>
        <v>1</v>
      </c>
      <c r="O218" s="177">
        <f t="shared" si="32"/>
        <v>1</v>
      </c>
      <c r="P218" s="87" t="s">
        <v>124</v>
      </c>
      <c r="Q218" s="90">
        <f t="shared" si="33"/>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outlineLevel="1">
      <c r="A219" s="29" t="str">
        <f t="shared" si="34"/>
        <v>PROPERTY_ENERGY_CERTIFICATEPNL_WINTER_ROOF_VALUE</v>
      </c>
      <c r="B219" s="67" t="s">
        <v>26</v>
      </c>
      <c r="C219" s="68" t="s">
        <v>54</v>
      </c>
      <c r="D219" s="64" t="s">
        <v>40</v>
      </c>
      <c r="E219" s="66" t="s">
        <v>123</v>
      </c>
      <c r="F219" s="66" t="s">
        <v>168</v>
      </c>
      <c r="G219" s="64" t="str">
        <f>INDEX(Auxiliar!$B$16:$B$24,MATCH(Plano_V3!H219,Auxiliar!$C$16:$C$24,0),1)</f>
        <v>1. Concluído</v>
      </c>
      <c r="H219" s="64">
        <f>VLOOKUP(A219,'Aux - pivots1'!$A:$B,2,0)</f>
        <v>1</v>
      </c>
      <c r="I219" s="183">
        <f>SUMIFS(Table1[Estimação (horas)],Table1[Tabela],Plano_V3!E219,Table1[Campo],Plano_V3!F219)</f>
        <v>4.0999999999999996</v>
      </c>
      <c r="J219" s="183">
        <f t="shared" si="35"/>
        <v>0.51249999999999996</v>
      </c>
      <c r="K219" s="183">
        <f>SUMIFS(Table1[Horas efetivas],Table1[Tabela],Plano_V3!E219,Table1[Campo],Plano_V3!F219)</f>
        <v>4.0999999999999996</v>
      </c>
      <c r="L219" s="183">
        <f t="shared" si="36"/>
        <v>0.51249999999999996</v>
      </c>
      <c r="M219" s="177"/>
      <c r="N219" s="177">
        <f t="shared" si="37"/>
        <v>1</v>
      </c>
      <c r="O219" s="177">
        <f t="shared" si="32"/>
        <v>1</v>
      </c>
      <c r="P219" s="87" t="s">
        <v>124</v>
      </c>
      <c r="Q219" s="90">
        <f t="shared" si="33"/>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outlineLevel="1">
      <c r="A220" s="29" t="str">
        <f t="shared" si="34"/>
        <v>PROPERTY_ENERGY_CERTIFICATEPNL_WINTER_WINDOWS_VALUE</v>
      </c>
      <c r="B220" s="67" t="s">
        <v>26</v>
      </c>
      <c r="C220" s="68" t="s">
        <v>54</v>
      </c>
      <c r="D220" s="64" t="s">
        <v>40</v>
      </c>
      <c r="E220" s="66" t="s">
        <v>123</v>
      </c>
      <c r="F220" s="66" t="s">
        <v>169</v>
      </c>
      <c r="G220" s="64" t="str">
        <f>INDEX(Auxiliar!$B$16:$B$24,MATCH(Plano_V3!H220,Auxiliar!$C$16:$C$24,0),1)</f>
        <v>1. Concluído</v>
      </c>
      <c r="H220" s="64">
        <f>VLOOKUP(A220,'Aux - pivots1'!$A:$B,2,0)</f>
        <v>1</v>
      </c>
      <c r="I220" s="183">
        <f>SUMIFS(Table1[Estimação (horas)],Table1[Tabela],Plano_V3!E220,Table1[Campo],Plano_V3!F220)</f>
        <v>4.0999999999999996</v>
      </c>
      <c r="J220" s="183">
        <f t="shared" si="35"/>
        <v>0.51249999999999996</v>
      </c>
      <c r="K220" s="183">
        <f>SUMIFS(Table1[Horas efetivas],Table1[Tabela],Plano_V3!E220,Table1[Campo],Plano_V3!F220)</f>
        <v>4.0999999999999996</v>
      </c>
      <c r="L220" s="183">
        <f t="shared" si="36"/>
        <v>0.51249999999999996</v>
      </c>
      <c r="M220" s="177"/>
      <c r="N220" s="177">
        <f t="shared" si="37"/>
        <v>1</v>
      </c>
      <c r="O220" s="177">
        <f t="shared" si="32"/>
        <v>1</v>
      </c>
      <c r="P220" s="87" t="s">
        <v>124</v>
      </c>
      <c r="Q220" s="90">
        <f t="shared" si="33"/>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outlineLevel="1">
      <c r="A221" s="29" t="str">
        <f t="shared" si="34"/>
        <v>PROPERTY_ENERGY_CERTIFICATEPNL_WINTER_REF_VALUE</v>
      </c>
      <c r="B221" s="67" t="s">
        <v>26</v>
      </c>
      <c r="C221" s="68" t="s">
        <v>54</v>
      </c>
      <c r="D221" s="64" t="s">
        <v>40</v>
      </c>
      <c r="E221" s="66" t="s">
        <v>123</v>
      </c>
      <c r="F221" s="66" t="s">
        <v>170</v>
      </c>
      <c r="G221" s="64" t="str">
        <f>INDEX(Auxiliar!$B$16:$B$24,MATCH(Plano_V3!H221,Auxiliar!$C$16:$C$24,0),1)</f>
        <v>1. Concluído</v>
      </c>
      <c r="H221" s="64">
        <f>VLOOKUP(A221,'Aux - pivots1'!$A:$B,2,0)</f>
        <v>1</v>
      </c>
      <c r="I221" s="183">
        <f>SUMIFS(Table1[Estimação (horas)],Table1[Tabela],Plano_V3!E221,Table1[Campo],Plano_V3!F221)</f>
        <v>4.0999999999999996</v>
      </c>
      <c r="J221" s="183">
        <f t="shared" si="35"/>
        <v>0.51249999999999996</v>
      </c>
      <c r="K221" s="183">
        <f>SUMIFS(Table1[Horas efetivas],Table1[Tabela],Plano_V3!E221,Table1[Campo],Plano_V3!F221)</f>
        <v>4.0999999999999996</v>
      </c>
      <c r="L221" s="183">
        <f t="shared" si="36"/>
        <v>0.51249999999999996</v>
      </c>
      <c r="M221" s="177"/>
      <c r="N221" s="177">
        <f t="shared" si="37"/>
        <v>1</v>
      </c>
      <c r="O221" s="177">
        <f t="shared" si="32"/>
        <v>1</v>
      </c>
      <c r="P221" s="87" t="s">
        <v>124</v>
      </c>
      <c r="Q221" s="90">
        <f t="shared" si="33"/>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outlineLevel="1">
      <c r="A222" s="29" t="str">
        <f t="shared" si="34"/>
        <v>PROPERTY_ENERGY_CERTIFICATEPNL_WINTER_FANS_VALUE</v>
      </c>
      <c r="B222" s="67" t="s">
        <v>26</v>
      </c>
      <c r="C222" s="68" t="s">
        <v>54</v>
      </c>
      <c r="D222" s="64" t="s">
        <v>40</v>
      </c>
      <c r="E222" s="66" t="s">
        <v>123</v>
      </c>
      <c r="F222" s="66" t="s">
        <v>171</v>
      </c>
      <c r="G222" s="64" t="str">
        <f>INDEX(Auxiliar!$B$16:$B$24,MATCH(Plano_V3!H222,Auxiliar!$C$16:$C$24,0),1)</f>
        <v>1. Concluído</v>
      </c>
      <c r="H222" s="64">
        <f>VLOOKUP(A222,'Aux - pivots1'!$A:$B,2,0)</f>
        <v>1</v>
      </c>
      <c r="I222" s="183">
        <f>SUMIFS(Table1[Estimação (horas)],Table1[Tabela],Plano_V3!E222,Table1[Campo],Plano_V3!F222)</f>
        <v>4.0999999999999996</v>
      </c>
      <c r="J222" s="183">
        <f t="shared" si="35"/>
        <v>0.51249999999999996</v>
      </c>
      <c r="K222" s="183">
        <f>SUMIFS(Table1[Horas efetivas],Table1[Tabela],Plano_V3!E222,Table1[Campo],Plano_V3!F222)</f>
        <v>4.0999999999999996</v>
      </c>
      <c r="L222" s="183">
        <f t="shared" si="36"/>
        <v>0.51249999999999996</v>
      </c>
      <c r="M222" s="177"/>
      <c r="N222" s="177">
        <f t="shared" si="37"/>
        <v>1</v>
      </c>
      <c r="O222" s="177">
        <f t="shared" si="32"/>
        <v>1</v>
      </c>
      <c r="P222" s="87" t="s">
        <v>124</v>
      </c>
      <c r="Q222" s="90">
        <f t="shared" si="33"/>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outlineLevel="1">
      <c r="A223" s="29" t="str">
        <f t="shared" si="34"/>
        <v>PROPERTY_ENERGY_CERTIFICATEPNL_SUMMER_ROOF_VALUE</v>
      </c>
      <c r="B223" s="67" t="s">
        <v>26</v>
      </c>
      <c r="C223" s="68" t="s">
        <v>54</v>
      </c>
      <c r="D223" s="64" t="s">
        <v>40</v>
      </c>
      <c r="E223" s="66" t="s">
        <v>123</v>
      </c>
      <c r="F223" s="66" t="s">
        <v>172</v>
      </c>
      <c r="G223" s="64" t="str">
        <f>INDEX(Auxiliar!$B$16:$B$24,MATCH(Plano_V3!H223,Auxiliar!$C$16:$C$24,0),1)</f>
        <v>1. Concluído</v>
      </c>
      <c r="H223" s="64">
        <f>VLOOKUP(A223,'Aux - pivots1'!$A:$B,2,0)</f>
        <v>1</v>
      </c>
      <c r="I223" s="183">
        <f>SUMIFS(Table1[Estimação (horas)],Table1[Tabela],Plano_V3!E223,Table1[Campo],Plano_V3!F223)</f>
        <v>4.0999999999999996</v>
      </c>
      <c r="J223" s="183">
        <f t="shared" si="35"/>
        <v>0.51249999999999996</v>
      </c>
      <c r="K223" s="183">
        <f>SUMIFS(Table1[Horas efetivas],Table1[Tabela],Plano_V3!E223,Table1[Campo],Plano_V3!F223)</f>
        <v>4.0999999999999996</v>
      </c>
      <c r="L223" s="183">
        <f t="shared" si="36"/>
        <v>0.51249999999999996</v>
      </c>
      <c r="M223" s="177"/>
      <c r="N223" s="177">
        <f t="shared" si="37"/>
        <v>1</v>
      </c>
      <c r="O223" s="177">
        <f t="shared" si="32"/>
        <v>1</v>
      </c>
      <c r="P223" s="87" t="s">
        <v>124</v>
      </c>
      <c r="Q223" s="90">
        <f t="shared" si="33"/>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outlineLevel="1">
      <c r="A224" s="29" t="str">
        <f t="shared" si="34"/>
        <v>PROPERTY_ENERGY_CERTIFICATEPNL_SUMMER_WINDOWS_VALUE</v>
      </c>
      <c r="B224" s="67" t="s">
        <v>26</v>
      </c>
      <c r="C224" s="68" t="s">
        <v>54</v>
      </c>
      <c r="D224" s="64" t="s">
        <v>40</v>
      </c>
      <c r="E224" s="66" t="s">
        <v>123</v>
      </c>
      <c r="F224" s="66" t="s">
        <v>173</v>
      </c>
      <c r="G224" s="64" t="str">
        <f>INDEX(Auxiliar!$B$16:$B$24,MATCH(Plano_V3!H224,Auxiliar!$C$16:$C$24,0),1)</f>
        <v>1. Concluído</v>
      </c>
      <c r="H224" s="64">
        <f>VLOOKUP(A224,'Aux - pivots1'!$A:$B,2,0)</f>
        <v>1</v>
      </c>
      <c r="I224" s="183">
        <f>SUMIFS(Table1[Estimação (horas)],Table1[Tabela],Plano_V3!E224,Table1[Campo],Plano_V3!F224)</f>
        <v>4.0999999999999996</v>
      </c>
      <c r="J224" s="183">
        <f t="shared" si="35"/>
        <v>0.51249999999999996</v>
      </c>
      <c r="K224" s="183">
        <f>SUMIFS(Table1[Horas efetivas],Table1[Tabela],Plano_V3!E224,Table1[Campo],Plano_V3!F224)</f>
        <v>4.0999999999999996</v>
      </c>
      <c r="L224" s="183">
        <f t="shared" si="36"/>
        <v>0.51249999999999996</v>
      </c>
      <c r="M224" s="177"/>
      <c r="N224" s="177">
        <f t="shared" si="37"/>
        <v>1</v>
      </c>
      <c r="O224" s="177">
        <f t="shared" si="32"/>
        <v>1</v>
      </c>
      <c r="P224" s="87" t="s">
        <v>124</v>
      </c>
      <c r="Q224" s="90">
        <f t="shared" si="33"/>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outlineLevel="1">
      <c r="A225" s="29" t="str">
        <f t="shared" si="34"/>
        <v>PROPERTY_ENERGY_CERTIFICATEPNL_SUMMER_WALLS_DOORS_VALUE</v>
      </c>
      <c r="B225" s="67" t="s">
        <v>26</v>
      </c>
      <c r="C225" s="68" t="s">
        <v>54</v>
      </c>
      <c r="D225" s="64" t="s">
        <v>40</v>
      </c>
      <c r="E225" s="66" t="s">
        <v>123</v>
      </c>
      <c r="F225" s="66" t="s">
        <v>174</v>
      </c>
      <c r="G225" s="64" t="str">
        <f>INDEX(Auxiliar!$B$16:$B$24,MATCH(Plano_V3!H225,Auxiliar!$C$16:$C$24,0),1)</f>
        <v>1. Concluído</v>
      </c>
      <c r="H225" s="64">
        <f>VLOOKUP(A225,'Aux - pivots1'!$A:$B,2,0)</f>
        <v>1</v>
      </c>
      <c r="I225" s="183">
        <f>SUMIFS(Table1[Estimação (horas)],Table1[Tabela],Plano_V3!E225,Table1[Campo],Plano_V3!F225)</f>
        <v>4.0999999999999996</v>
      </c>
      <c r="J225" s="183">
        <f t="shared" si="35"/>
        <v>0.51249999999999996</v>
      </c>
      <c r="K225" s="183">
        <f>SUMIFS(Table1[Horas efetivas],Table1[Tabela],Plano_V3!E225,Table1[Campo],Plano_V3!F225)</f>
        <v>4.0999999999999996</v>
      </c>
      <c r="L225" s="183">
        <f t="shared" si="36"/>
        <v>0.51249999999999996</v>
      </c>
      <c r="M225" s="177"/>
      <c r="N225" s="177">
        <f t="shared" si="37"/>
        <v>1</v>
      </c>
      <c r="O225" s="177">
        <f t="shared" si="32"/>
        <v>1</v>
      </c>
      <c r="P225" s="87" t="s">
        <v>124</v>
      </c>
      <c r="Q225" s="90">
        <f t="shared" si="33"/>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outlineLevel="1">
      <c r="A226" s="29" t="str">
        <f t="shared" si="34"/>
        <v>PROPERTY_ENERGY_CERTIFICATEPNL_SUMMER_REF_VALUE</v>
      </c>
      <c r="B226" s="67" t="s">
        <v>26</v>
      </c>
      <c r="C226" s="68" t="s">
        <v>54</v>
      </c>
      <c r="D226" s="64" t="s">
        <v>40</v>
      </c>
      <c r="E226" s="66" t="s">
        <v>123</v>
      </c>
      <c r="F226" s="66" t="s">
        <v>175</v>
      </c>
      <c r="G226" s="64" t="str">
        <f>INDEX(Auxiliar!$B$16:$B$24,MATCH(Plano_V3!H226,Auxiliar!$C$16:$C$24,0),1)</f>
        <v>1. Concluído</v>
      </c>
      <c r="H226" s="64">
        <f>VLOOKUP(A226,'Aux - pivots1'!$A:$B,2,0)</f>
        <v>1</v>
      </c>
      <c r="I226" s="183">
        <f>SUMIFS(Table1[Estimação (horas)],Table1[Tabela],Plano_V3!E226,Table1[Campo],Plano_V3!F226)</f>
        <v>4.0999999999999996</v>
      </c>
      <c r="J226" s="183">
        <f t="shared" si="35"/>
        <v>0.51249999999999996</v>
      </c>
      <c r="K226" s="183">
        <f>SUMIFS(Table1[Horas efetivas],Table1[Tabela],Plano_V3!E226,Table1[Campo],Plano_V3!F226)</f>
        <v>4.0999999999999996</v>
      </c>
      <c r="L226" s="183">
        <f t="shared" si="36"/>
        <v>0.51249999999999996</v>
      </c>
      <c r="M226" s="177"/>
      <c r="N226" s="177">
        <f t="shared" si="37"/>
        <v>1</v>
      </c>
      <c r="O226" s="177">
        <f t="shared" si="32"/>
        <v>1</v>
      </c>
      <c r="P226" s="87" t="s">
        <v>124</v>
      </c>
      <c r="Q226" s="90">
        <f t="shared" si="33"/>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outlineLevel="1">
      <c r="A227" s="29" t="str">
        <f t="shared" si="34"/>
        <v>PROPERTY_ENERGY_CERTIFICATEINVOICE_RED_ANNUAL_ESTMTD_VALUE</v>
      </c>
      <c r="B227" s="67" t="s">
        <v>26</v>
      </c>
      <c r="C227" s="68" t="s">
        <v>54</v>
      </c>
      <c r="D227" s="64" t="s">
        <v>40</v>
      </c>
      <c r="E227" s="66" t="s">
        <v>123</v>
      </c>
      <c r="F227" s="66" t="s">
        <v>176</v>
      </c>
      <c r="G227" s="64" t="str">
        <f>INDEX(Auxiliar!$B$16:$B$24,MATCH(Plano_V3!H227,Auxiliar!$C$16:$C$24,0),1)</f>
        <v>1. Concluído</v>
      </c>
      <c r="H227" s="64">
        <f>VLOOKUP(A227,'Aux - pivots1'!$A:$B,2,0)</f>
        <v>1</v>
      </c>
      <c r="I227" s="183">
        <f>SUMIFS(Table1[Estimação (horas)],Table1[Tabela],Plano_V3!E227,Table1[Campo],Plano_V3!F227)</f>
        <v>4.0999999999999996</v>
      </c>
      <c r="J227" s="183">
        <f t="shared" si="35"/>
        <v>0.51249999999999996</v>
      </c>
      <c r="K227" s="183">
        <f>SUMIFS(Table1[Horas efetivas],Table1[Tabela],Plano_V3!E227,Table1[Campo],Plano_V3!F227)</f>
        <v>4.0999999999999996</v>
      </c>
      <c r="L227" s="183">
        <f t="shared" si="36"/>
        <v>0.51249999999999996</v>
      </c>
      <c r="M227" s="177"/>
      <c r="N227" s="177">
        <f t="shared" si="37"/>
        <v>1</v>
      </c>
      <c r="O227" s="177">
        <f t="shared" si="32"/>
        <v>1</v>
      </c>
      <c r="P227" s="87" t="s">
        <v>124</v>
      </c>
      <c r="Q227" s="90">
        <f t="shared" si="33"/>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outlineLevel="1">
      <c r="A228" s="29" t="str">
        <f t="shared" si="34"/>
        <v>PROPERTY_ENERGY_CERTIFICATETEMPERATURE_OUTDOOR_AVG_VALUE</v>
      </c>
      <c r="B228" s="67" t="s">
        <v>26</v>
      </c>
      <c r="C228" s="68" t="s">
        <v>54</v>
      </c>
      <c r="D228" s="64" t="s">
        <v>40</v>
      </c>
      <c r="E228" s="66" t="s">
        <v>123</v>
      </c>
      <c r="F228" s="66" t="s">
        <v>177</v>
      </c>
      <c r="G228" s="64" t="str">
        <f>INDEX(Auxiliar!$B$16:$B$24,MATCH(Plano_V3!H228,Auxiliar!$C$16:$C$24,0),1)</f>
        <v>1. Concluído</v>
      </c>
      <c r="H228" s="64">
        <f>VLOOKUP(A228,'Aux - pivots1'!$A:$B,2,0)</f>
        <v>1</v>
      </c>
      <c r="I228" s="183">
        <f>SUMIFS(Table1[Estimação (horas)],Table1[Tabela],Plano_V3!E228,Table1[Campo],Plano_V3!F228)</f>
        <v>4.0999999999999996</v>
      </c>
      <c r="J228" s="183">
        <f t="shared" si="35"/>
        <v>0.51249999999999996</v>
      </c>
      <c r="K228" s="183">
        <f>SUMIFS(Table1[Horas efetivas],Table1[Tabela],Plano_V3!E228,Table1[Campo],Plano_V3!F228)</f>
        <v>4.0999999999999996</v>
      </c>
      <c r="L228" s="183">
        <f t="shared" si="36"/>
        <v>0.51249999999999996</v>
      </c>
      <c r="M228" s="177"/>
      <c r="N228" s="177">
        <f t="shared" si="37"/>
        <v>1</v>
      </c>
      <c r="O228" s="177">
        <f t="shared" si="32"/>
        <v>1</v>
      </c>
      <c r="P228" s="87" t="s">
        <v>124</v>
      </c>
      <c r="Q228" s="90">
        <f t="shared" si="33"/>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outlineLevel="1">
      <c r="A229" s="29" t="str">
        <f t="shared" si="34"/>
        <v>PROPERTY_ENERGY_CERTIFICATECLIMATE_ZONE_WINTER</v>
      </c>
      <c r="B229" s="67" t="s">
        <v>26</v>
      </c>
      <c r="C229" s="68" t="s">
        <v>54</v>
      </c>
      <c r="D229" s="64" t="s">
        <v>40</v>
      </c>
      <c r="E229" s="66" t="s">
        <v>123</v>
      </c>
      <c r="F229" s="66" t="s">
        <v>178</v>
      </c>
      <c r="G229" s="64" t="str">
        <f>INDEX(Auxiliar!$B$16:$B$24,MATCH(Plano_V3!H229,Auxiliar!$C$16:$C$24,0),1)</f>
        <v>1. Concluído</v>
      </c>
      <c r="H229" s="64">
        <f>VLOOKUP(A229,'Aux - pivots1'!$A:$B,2,0)</f>
        <v>1</v>
      </c>
      <c r="I229" s="183">
        <f>SUMIFS(Table1[Estimação (horas)],Table1[Tabela],Plano_V3!E229,Table1[Campo],Plano_V3!F229)</f>
        <v>4.0999999999999996</v>
      </c>
      <c r="J229" s="183">
        <f t="shared" si="35"/>
        <v>0.51249999999999996</v>
      </c>
      <c r="K229" s="183">
        <f>SUMIFS(Table1[Horas efetivas],Table1[Tabela],Plano_V3!E229,Table1[Campo],Plano_V3!F229)</f>
        <v>4.0999999999999996</v>
      </c>
      <c r="L229" s="183">
        <f t="shared" si="36"/>
        <v>0.51249999999999996</v>
      </c>
      <c r="M229" s="177"/>
      <c r="N229" s="177">
        <f t="shared" si="37"/>
        <v>1</v>
      </c>
      <c r="O229" s="177">
        <f t="shared" si="32"/>
        <v>1</v>
      </c>
      <c r="P229" s="87" t="s">
        <v>124</v>
      </c>
      <c r="Q229" s="90">
        <f t="shared" si="33"/>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outlineLevel="1">
      <c r="A230" s="29" t="str">
        <f t="shared" si="34"/>
        <v>PROPERTY_ENERGY_CERTIFICATENET_FLOOR_AREA</v>
      </c>
      <c r="B230" s="67" t="s">
        <v>26</v>
      </c>
      <c r="C230" s="68" t="s">
        <v>54</v>
      </c>
      <c r="D230" s="64" t="s">
        <v>40</v>
      </c>
      <c r="E230" s="66" t="s">
        <v>123</v>
      </c>
      <c r="F230" s="66" t="s">
        <v>97</v>
      </c>
      <c r="G230" s="64" t="str">
        <f>INDEX(Auxiliar!$B$16:$B$24,MATCH(Plano_V3!H230,Auxiliar!$C$16:$C$24,0),1)</f>
        <v>1. Concluído</v>
      </c>
      <c r="H230" s="64">
        <f>VLOOKUP(A230,'Aux - pivots1'!$A:$B,2,0)</f>
        <v>1</v>
      </c>
      <c r="I230" s="183">
        <f>SUMIFS(Table1[Estimação (horas)],Table1[Tabela],Plano_V3!E230,Table1[Campo],Plano_V3!F230)</f>
        <v>4.0999999999999996</v>
      </c>
      <c r="J230" s="183">
        <f t="shared" ref="J230:J236" si="38">I230/8</f>
        <v>0.51249999999999996</v>
      </c>
      <c r="K230" s="183">
        <f>SUMIFS(Table1[Horas efetivas],Table1[Tabela],Plano_V3!E230,Table1[Campo],Plano_V3!F230)</f>
        <v>4.0999999999999996</v>
      </c>
      <c r="L230" s="183">
        <f t="shared" ref="L230:L236" si="39">K230/8</f>
        <v>0.51249999999999996</v>
      </c>
      <c r="M230" s="177"/>
      <c r="N230" s="177">
        <f t="shared" ref="N230:N236" si="40">L230/J230</f>
        <v>1</v>
      </c>
      <c r="O230" s="177">
        <f t="shared" si="32"/>
        <v>1</v>
      </c>
      <c r="P230" s="87" t="s">
        <v>124</v>
      </c>
      <c r="Q230" s="90">
        <f t="shared" ref="Q230:Q236" si="41">J230-SUM(R230:ES230)</f>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outlineLevel="1">
      <c r="A231" s="29" t="str">
        <f t="shared" si="34"/>
        <v>PROPERTY_ENERGY_CERTIFICATECADASTRAL_REGISTER_CODE</v>
      </c>
      <c r="B231" s="67" t="s">
        <v>26</v>
      </c>
      <c r="C231" s="68" t="s">
        <v>54</v>
      </c>
      <c r="D231" s="64" t="s">
        <v>40</v>
      </c>
      <c r="E231" s="66" t="s">
        <v>123</v>
      </c>
      <c r="F231" s="66" t="s">
        <v>98</v>
      </c>
      <c r="G231" s="64" t="str">
        <f>INDEX(Auxiliar!$B$16:$B$24,MATCH(Plano_V3!H231,Auxiliar!$C$16:$C$24,0),1)</f>
        <v>1. Concluído</v>
      </c>
      <c r="H231" s="64">
        <f>VLOOKUP(A231,'Aux - pivots1'!$A:$B,2,0)</f>
        <v>1</v>
      </c>
      <c r="I231" s="183">
        <f>SUMIFS(Table1[Estimação (horas)],Table1[Tabela],Plano_V3!E231,Table1[Campo],Plano_V3!F231)</f>
        <v>4.0999999999999996</v>
      </c>
      <c r="J231" s="183">
        <f t="shared" si="38"/>
        <v>0.51249999999999996</v>
      </c>
      <c r="K231" s="183">
        <f>SUMIFS(Table1[Horas efetivas],Table1[Tabela],Plano_V3!E231,Table1[Campo],Plano_V3!F231)</f>
        <v>4.0999999999999996</v>
      </c>
      <c r="L231" s="183">
        <f t="shared" si="39"/>
        <v>0.51249999999999996</v>
      </c>
      <c r="M231" s="177"/>
      <c r="N231" s="177">
        <f t="shared" si="40"/>
        <v>1</v>
      </c>
      <c r="O231" s="177">
        <f t="shared" si="32"/>
        <v>1</v>
      </c>
      <c r="P231" s="87" t="s">
        <v>124</v>
      </c>
      <c r="Q231" s="90">
        <f t="shared" si="41"/>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outlineLevel="1">
      <c r="A232" s="29" t="str">
        <f t="shared" si="34"/>
        <v>PROPERTY_ENERGY_CERTIFICATEDISTRICT_MUNICIP_PARISH_CODE</v>
      </c>
      <c r="B232" s="67" t="s">
        <v>26</v>
      </c>
      <c r="C232" s="68" t="s">
        <v>54</v>
      </c>
      <c r="D232" s="64" t="s">
        <v>40</v>
      </c>
      <c r="E232" s="66" t="s">
        <v>123</v>
      </c>
      <c r="F232" s="66" t="s">
        <v>101</v>
      </c>
      <c r="G232" s="64" t="str">
        <f>INDEX(Auxiliar!$B$16:$B$24,MATCH(Plano_V3!H232,Auxiliar!$C$16:$C$24,0),1)</f>
        <v>1. Concluído</v>
      </c>
      <c r="H232" s="64">
        <f>VLOOKUP(A232,'Aux - pivots1'!$A:$B,2,0)</f>
        <v>1</v>
      </c>
      <c r="I232" s="183">
        <f>SUMIFS(Table1[Estimação (horas)],Table1[Tabela],Plano_V3!E232,Table1[Campo],Plano_V3!F232)</f>
        <v>4.0999999999999996</v>
      </c>
      <c r="J232" s="183">
        <f t="shared" si="38"/>
        <v>0.51249999999999996</v>
      </c>
      <c r="K232" s="183">
        <f>SUMIFS(Table1[Horas efetivas],Table1[Tabela],Plano_V3!E232,Table1[Campo],Plano_V3!F232)</f>
        <v>4.0999999999999996</v>
      </c>
      <c r="L232" s="183">
        <f t="shared" si="39"/>
        <v>0.51249999999999996</v>
      </c>
      <c r="M232" s="177"/>
      <c r="N232" s="177">
        <f t="shared" si="40"/>
        <v>1</v>
      </c>
      <c r="O232" s="177">
        <f t="shared" si="32"/>
        <v>1</v>
      </c>
      <c r="P232" s="87" t="s">
        <v>124</v>
      </c>
      <c r="Q232" s="90">
        <f t="shared" si="41"/>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outlineLevel="1">
      <c r="A233" s="29" t="str">
        <f t="shared" si="34"/>
        <v>PROPERTY_ENERGY_CERTIFICATEPROPERTY_PURPOSE_CODE</v>
      </c>
      <c r="B233" s="67" t="s">
        <v>26</v>
      </c>
      <c r="C233" s="68" t="s">
        <v>54</v>
      </c>
      <c r="D233" s="64" t="s">
        <v>40</v>
      </c>
      <c r="E233" s="66" t="s">
        <v>123</v>
      </c>
      <c r="F233" s="66" t="s">
        <v>102</v>
      </c>
      <c r="G233" s="64" t="str">
        <f>INDEX(Auxiliar!$B$16:$B$24,MATCH(Plano_V3!H233,Auxiliar!$C$16:$C$24,0),1)</f>
        <v>1. Concluído</v>
      </c>
      <c r="H233" s="64">
        <f>VLOOKUP(A233,'Aux - pivots1'!$A:$B,2,0)</f>
        <v>1</v>
      </c>
      <c r="I233" s="183">
        <f>SUMIFS(Table1[Estimação (horas)],Table1[Tabela],Plano_V3!E233,Table1[Campo],Plano_V3!F233)</f>
        <v>4.0999999999999996</v>
      </c>
      <c r="J233" s="183">
        <f t="shared" si="38"/>
        <v>0.51249999999999996</v>
      </c>
      <c r="K233" s="183">
        <f>SUMIFS(Table1[Horas efetivas],Table1[Tabela],Plano_V3!E233,Table1[Campo],Plano_V3!F233)</f>
        <v>4.0999999999999996</v>
      </c>
      <c r="L233" s="183">
        <f t="shared" si="39"/>
        <v>0.51249999999999996</v>
      </c>
      <c r="M233" s="177"/>
      <c r="N233" s="177">
        <f t="shared" si="40"/>
        <v>1</v>
      </c>
      <c r="O233" s="177">
        <f t="shared" si="32"/>
        <v>1</v>
      </c>
      <c r="P233" s="87" t="s">
        <v>124</v>
      </c>
      <c r="Q233" s="90">
        <f t="shared" si="41"/>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outlineLevel="1">
      <c r="A234" s="29" t="str">
        <f t="shared" si="34"/>
        <v>PROPERTY_ENERGY_CERTIFICATEADDRESS_CODE</v>
      </c>
      <c r="B234" s="67" t="s">
        <v>26</v>
      </c>
      <c r="C234" s="68" t="s">
        <v>54</v>
      </c>
      <c r="D234" s="64" t="s">
        <v>40</v>
      </c>
      <c r="E234" s="66" t="s">
        <v>123</v>
      </c>
      <c r="F234" s="66" t="s">
        <v>104</v>
      </c>
      <c r="G234" s="64" t="str">
        <f>INDEX(Auxiliar!$B$16:$B$24,MATCH(Plano_V3!H234,Auxiliar!$C$16:$C$24,0),1)</f>
        <v>1. Concluído</v>
      </c>
      <c r="H234" s="64">
        <f>VLOOKUP(A234,'Aux - pivots1'!$A:$B,2,0)</f>
        <v>1</v>
      </c>
      <c r="I234" s="183">
        <f>SUMIFS(Table1[Estimação (horas)],Table1[Tabela],Plano_V3!E234,Table1[Campo],Plano_V3!F234)</f>
        <v>4.0999999999999996</v>
      </c>
      <c r="J234" s="183">
        <f t="shared" si="38"/>
        <v>0.51249999999999996</v>
      </c>
      <c r="K234" s="183">
        <f>SUMIFS(Table1[Horas efetivas],Table1[Tabela],Plano_V3!E234,Table1[Campo],Plano_V3!F234)</f>
        <v>4.0999999999999996</v>
      </c>
      <c r="L234" s="183">
        <f t="shared" si="39"/>
        <v>0.51249999999999996</v>
      </c>
      <c r="M234" s="177"/>
      <c r="N234" s="177">
        <f t="shared" si="40"/>
        <v>1</v>
      </c>
      <c r="O234" s="177">
        <f t="shared" si="32"/>
        <v>1</v>
      </c>
      <c r="P234" s="87" t="s">
        <v>124</v>
      </c>
      <c r="Q234" s="90">
        <f t="shared" si="41"/>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outlineLevel="1">
      <c r="A235" s="29" t="str">
        <f t="shared" si="34"/>
        <v>PROPERTY_ENERGY_CERTIFICATEFLOOR_NUMBER</v>
      </c>
      <c r="B235" s="67" t="s">
        <v>26</v>
      </c>
      <c r="C235" s="68" t="s">
        <v>54</v>
      </c>
      <c r="D235" s="64" t="s">
        <v>40</v>
      </c>
      <c r="E235" s="66" t="s">
        <v>123</v>
      </c>
      <c r="F235" s="66" t="s">
        <v>111</v>
      </c>
      <c r="G235" s="64" t="str">
        <f>INDEX(Auxiliar!$B$16:$B$24,MATCH(Plano_V3!H235,Auxiliar!$C$16:$C$24,0),1)</f>
        <v>1. Concluído</v>
      </c>
      <c r="H235" s="64">
        <f>VLOOKUP(A235,'Aux - pivots1'!$A:$B,2,0)</f>
        <v>1</v>
      </c>
      <c r="I235" s="183">
        <f>SUMIFS(Table1[Estimação (horas)],Table1[Tabela],Plano_V3!E235,Table1[Campo],Plano_V3!F235)</f>
        <v>4.0999999999999996</v>
      </c>
      <c r="J235" s="183">
        <f t="shared" si="38"/>
        <v>0.51249999999999996</v>
      </c>
      <c r="K235" s="183">
        <f>SUMIFS(Table1[Horas efetivas],Table1[Tabela],Plano_V3!E235,Table1[Campo],Plano_V3!F235)</f>
        <v>4.0999999999999996</v>
      </c>
      <c r="L235" s="183">
        <f t="shared" si="39"/>
        <v>0.51249999999999996</v>
      </c>
      <c r="M235" s="177"/>
      <c r="N235" s="177">
        <f t="shared" si="40"/>
        <v>1</v>
      </c>
      <c r="O235" s="177">
        <f t="shared" si="32"/>
        <v>1</v>
      </c>
      <c r="P235" s="87" t="s">
        <v>124</v>
      </c>
      <c r="Q235" s="90">
        <f t="shared" si="41"/>
        <v>0.51249999999999996</v>
      </c>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outlineLevel="1">
      <c r="A236" s="29" t="str">
        <f t="shared" si="34"/>
        <v>PROPERTY_ENERGY_CERTIFICATELOCALITY</v>
      </c>
      <c r="B236" s="67" t="s">
        <v>26</v>
      </c>
      <c r="C236" s="68" t="s">
        <v>54</v>
      </c>
      <c r="D236" s="64" t="s">
        <v>40</v>
      </c>
      <c r="E236" s="66" t="s">
        <v>123</v>
      </c>
      <c r="F236" s="66" t="s">
        <v>112</v>
      </c>
      <c r="G236" s="64" t="str">
        <f>INDEX(Auxiliar!$B$16:$B$24,MATCH(Plano_V3!H236,Auxiliar!$C$16:$C$24,0),1)</f>
        <v>1. Concluído</v>
      </c>
      <c r="H236" s="64">
        <f>VLOOKUP(A236,'Aux - pivots1'!$A:$B,2,0)</f>
        <v>1</v>
      </c>
      <c r="I236" s="183">
        <f>SUMIFS(Table1[Estimação (horas)],Table1[Tabela],Plano_V3!E236,Table1[Campo],Plano_V3!F236)</f>
        <v>4.0999999999999996</v>
      </c>
      <c r="J236" s="183">
        <f t="shared" si="38"/>
        <v>0.51249999999999996</v>
      </c>
      <c r="K236" s="183">
        <f>SUMIFS(Table1[Horas efetivas],Table1[Tabela],Plano_V3!E236,Table1[Campo],Plano_V3!F236)</f>
        <v>4.0999999999999996</v>
      </c>
      <c r="L236" s="183">
        <f t="shared" si="39"/>
        <v>0.51249999999999996</v>
      </c>
      <c r="M236" s="177"/>
      <c r="N236" s="177">
        <f t="shared" si="40"/>
        <v>1</v>
      </c>
      <c r="O236" s="177">
        <f t="shared" si="32"/>
        <v>1</v>
      </c>
      <c r="P236" s="87" t="s">
        <v>124</v>
      </c>
      <c r="Q236" s="90">
        <f t="shared" si="41"/>
        <v>0.51249999999999996</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outlineLevel="1">
      <c r="A237" s="29" t="str">
        <f t="shared" si="34"/>
        <v>PROPERTY_ENERGY_CERTIFICATECLIMATE_ZONE_SUMMER</v>
      </c>
      <c r="B237" s="67" t="s">
        <v>26</v>
      </c>
      <c r="C237" s="68" t="s">
        <v>54</v>
      </c>
      <c r="D237" s="64" t="s">
        <v>40</v>
      </c>
      <c r="E237" s="66" t="s">
        <v>123</v>
      </c>
      <c r="F237" s="66" t="s">
        <v>179</v>
      </c>
      <c r="G237" s="64" t="str">
        <f>INDEX(Auxiliar!$B$16:$B$24,MATCH(Plano_V3!H237,Auxiliar!$C$16:$C$24,0),1)</f>
        <v>1. Concluído</v>
      </c>
      <c r="H237" s="64">
        <f>VLOOKUP(A237,'Aux - pivots1'!$A:$B,2,0)</f>
        <v>1</v>
      </c>
      <c r="I237" s="183">
        <f>SUMIFS(Table1[Estimação (horas)],Table1[Tabela],Plano_V3!E237,Table1[Campo],Plano_V3!F237)</f>
        <v>4.0999999999999996</v>
      </c>
      <c r="J237" s="183">
        <f t="shared" si="35"/>
        <v>0.51249999999999996</v>
      </c>
      <c r="K237" s="183">
        <f>SUMIFS(Table1[Horas efetivas],Table1[Tabela],Plano_V3!E237,Table1[Campo],Plano_V3!F237)</f>
        <v>4.0999999999999996</v>
      </c>
      <c r="L237" s="183">
        <f t="shared" si="36"/>
        <v>0.51249999999999996</v>
      </c>
      <c r="M237" s="177"/>
      <c r="N237" s="177">
        <f t="shared" si="37"/>
        <v>1</v>
      </c>
      <c r="O237" s="177">
        <f t="shared" si="32"/>
        <v>1</v>
      </c>
      <c r="P237" s="87" t="s">
        <v>124</v>
      </c>
      <c r="Q237" s="90">
        <f t="shared" si="33"/>
        <v>0.51249999999999996</v>
      </c>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78"/>
      <c r="AU237" s="78"/>
      <c r="AV237" s="78"/>
      <c r="AW237" s="78"/>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outlineLevel="1">
      <c r="A238" s="29" t="str">
        <f>E238&amp;F238</f>
        <v>PROPERTY_ENERGY_CERTIFICATEPRMRY_ENRGY_DMND_RFRNC_VL</v>
      </c>
      <c r="B238" s="67" t="s">
        <v>26</v>
      </c>
      <c r="C238" s="68" t="s">
        <v>54</v>
      </c>
      <c r="D238" s="64" t="s">
        <v>40</v>
      </c>
      <c r="E238" s="66" t="s">
        <v>123</v>
      </c>
      <c r="F238" s="66" t="s">
        <v>2270</v>
      </c>
      <c r="G238" s="64" t="str">
        <f>INDEX(Auxiliar!$B$16:$B$24,MATCH(Plano_V3!H238,Auxiliar!$C$16:$C$24,0),1)</f>
        <v>1. Concluído</v>
      </c>
      <c r="H238" s="64">
        <f>VLOOKUP(A238,'Aux - pivots1'!$A:$B,2,0)</f>
        <v>1</v>
      </c>
      <c r="I238" s="183" t="e">
        <f>SUMIFS(Table1[Estimação (horas)],Table1[Tabela],Plano_V3!E238,Table1[Campo],Plano_V3!F238)</f>
        <v>#N/A</v>
      </c>
      <c r="J238" s="183" t="e">
        <f>I238/8</f>
        <v>#N/A</v>
      </c>
      <c r="K238" s="183" t="e">
        <f>SUMIFS(Table1[Horas efetivas],Table1[Tabela],Plano_V3!E238,Table1[Campo],Plano_V3!F238)</f>
        <v>#N/A</v>
      </c>
      <c r="L238" s="183" t="e">
        <f>K238/8</f>
        <v>#N/A</v>
      </c>
      <c r="M238" s="177"/>
      <c r="N238" s="177" t="e">
        <f>L238/J238</f>
        <v>#N/A</v>
      </c>
      <c r="O238" s="177" t="e">
        <f>N238-M238</f>
        <v>#N/A</v>
      </c>
      <c r="P238" s="87" t="s">
        <v>124</v>
      </c>
      <c r="Q238" s="90" t="e">
        <f>J238-SUM(R238:ES238)</f>
        <v>#N/A</v>
      </c>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outlineLevel="1">
      <c r="A239" s="29" t="str">
        <f t="shared" si="34"/>
        <v>PROPERTY_ENERGY_CERTIFICATECURRENT_ENERGY_RATING_PERCENTAGE</v>
      </c>
      <c r="B239" s="67"/>
      <c r="C239" s="68"/>
      <c r="D239" s="64" t="s">
        <v>40</v>
      </c>
      <c r="E239" s="66" t="s">
        <v>123</v>
      </c>
      <c r="F239" s="66" t="s">
        <v>1963</v>
      </c>
      <c r="G239" s="64" t="str">
        <f>INDEX(Auxiliar!$B$16:$B$24,MATCH(Plano_V3!H239,Auxiliar!$C$16:$C$24,0),1)</f>
        <v>1. Concluído</v>
      </c>
      <c r="H239" s="64">
        <f>VLOOKUP(A239,'Aux - pivots1'!$A:$B,2,0)</f>
        <v>1</v>
      </c>
      <c r="I239" s="183">
        <f>SUMIFS(Table1[Estimação (horas)],Table1[Tabela],Plano_V3!E239,Table1[Campo],Plano_V3!F239)</f>
        <v>4.0999999999999996</v>
      </c>
      <c r="J239" s="183">
        <f>I239/8</f>
        <v>0.51249999999999996</v>
      </c>
      <c r="K239" s="183">
        <f>SUMIFS(Table1[Horas efetivas],Table1[Tabela],Plano_V3!E239,Table1[Campo],Plano_V3!F239)</f>
        <v>4.0999999999999996</v>
      </c>
      <c r="L239" s="183">
        <f>K239/8</f>
        <v>0.51249999999999996</v>
      </c>
      <c r="M239" s="177"/>
      <c r="N239" s="177">
        <f>L239/J239</f>
        <v>1</v>
      </c>
      <c r="O239" s="177">
        <f>N239-M239</f>
        <v>1</v>
      </c>
      <c r="P239" s="87" t="s">
        <v>124</v>
      </c>
      <c r="Q239" s="90"/>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78"/>
      <c r="AW239" s="78"/>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outlineLevel="1">
      <c r="A240" s="29" t="str">
        <f t="shared" si="34"/>
        <v>PROPERTY_ENERGY_CERTIFICATEGPS_LATITUDE</v>
      </c>
      <c r="B240" s="67"/>
      <c r="C240" s="68"/>
      <c r="D240" s="64" t="s">
        <v>40</v>
      </c>
      <c r="E240" s="66" t="s">
        <v>123</v>
      </c>
      <c r="F240" s="66" t="s">
        <v>2441</v>
      </c>
      <c r="G240" s="64" t="str">
        <f>INDEX(Auxiliar!$B$16:$B$24,MATCH(Plano_V3!H240,Auxiliar!$C$16:$C$24,0),1)</f>
        <v>1. Concluído</v>
      </c>
      <c r="H240" s="64">
        <f>VLOOKUP(A240,'Aux - pivots1'!$A:$B,2,0)</f>
        <v>1</v>
      </c>
      <c r="I240" s="183">
        <f>SUMIFS(Table1[Estimação (horas)],Table1[Tabela],Plano_V3!E240,Table1[Campo],Plano_V3!F240)</f>
        <v>2</v>
      </c>
      <c r="J240" s="183">
        <f>I240/8</f>
        <v>0.25</v>
      </c>
      <c r="K240" s="183">
        <f>SUMIFS(Table1[Horas efetivas],Table1[Tabela],Plano_V3!E240,Table1[Campo],Plano_V3!F240)</f>
        <v>2</v>
      </c>
      <c r="L240" s="183"/>
      <c r="M240" s="177"/>
      <c r="N240" s="177"/>
      <c r="O240" s="177"/>
      <c r="P240" s="87"/>
      <c r="Q240" s="90"/>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6384" outlineLevel="1">
      <c r="A241" s="29" t="str">
        <f t="shared" si="34"/>
        <v>PROPERTY_ENERGY_CERTIFICATEGPS_LONGITUDE</v>
      </c>
      <c r="B241" s="67"/>
      <c r="C241" s="68"/>
      <c r="D241" s="64" t="s">
        <v>40</v>
      </c>
      <c r="E241" s="66" t="s">
        <v>123</v>
      </c>
      <c r="F241" s="66" t="s">
        <v>2442</v>
      </c>
      <c r="G241" s="64" t="str">
        <f>INDEX(Auxiliar!$B$16:$B$24,MATCH(Plano_V3!H241,Auxiliar!$C$16:$C$24,0),1)</f>
        <v>1. Concluído</v>
      </c>
      <c r="H241" s="64">
        <f>VLOOKUP(A241,'Aux - pivots1'!$A:$B,2,0)</f>
        <v>1</v>
      </c>
      <c r="I241" s="183">
        <f>SUMIFS(Table1[Estimação (horas)],Table1[Tabela],Plano_V3!E241,Table1[Campo],Plano_V3!F241)</f>
        <v>2</v>
      </c>
      <c r="J241" s="183">
        <f>I241/8</f>
        <v>0.25</v>
      </c>
      <c r="K241" s="183">
        <f>SUMIFS(Table1[Horas efetivas],Table1[Tabela],Plano_V3!E241,Table1[Campo],Plano_V3!F241)</f>
        <v>2</v>
      </c>
      <c r="L241" s="183"/>
      <c r="M241" s="177"/>
      <c r="N241" s="177"/>
      <c r="O241" s="177"/>
      <c r="P241" s="87"/>
      <c r="Q241" s="90"/>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6384" outlineLevel="1">
      <c r="A242" s="29" t="str">
        <f t="shared" si="34"/>
        <v>Re-testesn.a.</v>
      </c>
      <c r="B242" s="67" t="s">
        <v>26</v>
      </c>
      <c r="C242" s="68" t="s">
        <v>54</v>
      </c>
      <c r="D242" s="64" t="s">
        <v>40</v>
      </c>
      <c r="E242" s="66" t="s">
        <v>53</v>
      </c>
      <c r="F242" s="64" t="s">
        <v>38</v>
      </c>
      <c r="G242" s="64"/>
      <c r="H242" s="64"/>
      <c r="I242" s="183">
        <f>SUM(I75:I237)*$D$7</f>
        <v>93.100000000000293</v>
      </c>
      <c r="J242" s="183">
        <f>I242/8</f>
        <v>11.637500000000037</v>
      </c>
      <c r="K242" s="183">
        <f>SUM(K75:K237)*$D$7</f>
        <v>91.293750000000273</v>
      </c>
      <c r="L242" s="183">
        <f>K242/8</f>
        <v>11.411718750000034</v>
      </c>
      <c r="M242" s="177"/>
      <c r="N242" s="177">
        <f t="shared" si="37"/>
        <v>0.98059881847475816</v>
      </c>
      <c r="O242" s="177">
        <f t="shared" si="32"/>
        <v>0.98059881847475816</v>
      </c>
      <c r="P242" s="87"/>
      <c r="Q242" s="90">
        <f t="shared" si="33"/>
        <v>11.637500000000037</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6384" ht="64.8">
      <c r="A243" s="29" t="str">
        <f t="shared" ref="A243:A274" si="42">E243&amp;F243</f>
        <v/>
      </c>
      <c r="B243" s="63" t="s">
        <v>26</v>
      </c>
      <c r="C243" s="96" t="s">
        <v>181</v>
      </c>
      <c r="D243" s="96"/>
      <c r="E243" s="103"/>
      <c r="F243" s="96"/>
      <c r="G243" s="96"/>
      <c r="H243" s="96"/>
      <c r="I243" s="182" t="e">
        <f>SUM(I244:I451)</f>
        <v>#N/A</v>
      </c>
      <c r="J243" s="182" t="e">
        <f>ROUNDUP(I243/8,0)</f>
        <v>#N/A</v>
      </c>
      <c r="K243" s="182" t="e">
        <f>SUM(K244:K451)</f>
        <v>#N/A</v>
      </c>
      <c r="L243" s="182" t="e">
        <f>ROUNDUP(K243/8,0)</f>
        <v>#N/A</v>
      </c>
      <c r="M243" s="181" t="e">
        <f>SUMIFS(R243:ES243,$R$9:$ES$9,"S")/J243</f>
        <v>#N/A</v>
      </c>
      <c r="N243" s="181">
        <f>IFERROR(L243/J243,0)</f>
        <v>0</v>
      </c>
      <c r="O243" s="181" t="e">
        <f t="shared" si="32"/>
        <v>#N/A</v>
      </c>
      <c r="P243" s="188" t="s">
        <v>1850</v>
      </c>
      <c r="Q243" s="90" t="e">
        <f t="shared" si="33"/>
        <v>#N/A</v>
      </c>
      <c r="R243" s="78"/>
      <c r="S243" s="78"/>
      <c r="T243" s="78"/>
      <c r="U243" s="78"/>
      <c r="V243" s="78"/>
      <c r="W243" s="78"/>
      <c r="X243" s="78"/>
      <c r="Y243" s="78"/>
      <c r="Z243" s="78"/>
      <c r="AA243" s="78"/>
      <c r="AB243" s="78"/>
      <c r="AC243" s="78">
        <v>0.5</v>
      </c>
      <c r="AD243" s="78">
        <v>0.5</v>
      </c>
      <c r="AE243" s="78">
        <v>1</v>
      </c>
      <c r="AF243" s="78">
        <v>1</v>
      </c>
      <c r="AG243" s="192"/>
      <c r="AH243" s="78">
        <v>0.5</v>
      </c>
      <c r="AI243" s="192"/>
      <c r="AJ243" s="192"/>
      <c r="AK243" s="78">
        <v>0.5</v>
      </c>
      <c r="AL243" s="78">
        <v>0.5</v>
      </c>
      <c r="AM243" s="78">
        <v>2</v>
      </c>
      <c r="AN243" s="78">
        <v>2</v>
      </c>
      <c r="AO243" s="78">
        <v>1.5</v>
      </c>
      <c r="AP243" s="78">
        <v>1.5</v>
      </c>
      <c r="AQ243" s="78">
        <v>1.5</v>
      </c>
      <c r="AR243" s="78">
        <v>2</v>
      </c>
      <c r="AS243" s="78">
        <v>2</v>
      </c>
      <c r="AT243" s="78">
        <v>2</v>
      </c>
      <c r="AU243" s="78">
        <v>2</v>
      </c>
      <c r="AV243" s="78">
        <v>1</v>
      </c>
      <c r="AW243" s="78">
        <v>1</v>
      </c>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6384" hidden="1" outlineLevel="1">
      <c r="A244" s="29" t="str">
        <f t="shared" si="42"/>
        <v>modesg_param_sfics_taxon_europeian.a.</v>
      </c>
      <c r="B244" s="67" t="s">
        <v>26</v>
      </c>
      <c r="C244" s="68" t="s">
        <v>181</v>
      </c>
      <c r="D244" s="64" t="s">
        <v>36</v>
      </c>
      <c r="E244" s="66" t="s">
        <v>2102</v>
      </c>
      <c r="F244" s="64" t="s">
        <v>38</v>
      </c>
      <c r="G244" s="64" t="str">
        <f>INDEX(Auxiliar!$B$16:$B$24,MATCH(Plano_V3!H244,Auxiliar!$C$16:$C$24,0),1)</f>
        <v xml:space="preserve">6. Em implementação </v>
      </c>
      <c r="H244" s="64">
        <f>VLOOKUP(A244,'Aux - pivots1'!$A:$B,2,0)</f>
        <v>7</v>
      </c>
      <c r="I244" s="183">
        <f>SUMIFS(Table1[Estimação (horas)],Table1[Tabela],Plano_V3!E244,Table1[Campo],Plano_V3!F244)</f>
        <v>8.5</v>
      </c>
      <c r="J244" s="183">
        <f t="shared" ref="J244:J330" si="43">I244/8</f>
        <v>1.0625</v>
      </c>
      <c r="K244" s="183">
        <f>SUMIFS(Table1[Horas efetivas],Table1[Tabela],Plano_V3!E244,Table1[Campo],Plano_V3!F244)</f>
        <v>2.125</v>
      </c>
      <c r="L244" s="183">
        <f>K244/8</f>
        <v>0.265625</v>
      </c>
      <c r="M244" s="177"/>
      <c r="N244" s="177">
        <f>L244/J244</f>
        <v>0.25</v>
      </c>
      <c r="O244" s="177">
        <f t="shared" si="32"/>
        <v>0.25</v>
      </c>
      <c r="P244" s="89" t="s">
        <v>39</v>
      </c>
      <c r="Q244" s="90">
        <f t="shared" si="33"/>
        <v>1.0625</v>
      </c>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91"/>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91"/>
      <c r="EO244" s="91"/>
      <c r="EP244" s="91"/>
      <c r="EQ244" s="91"/>
      <c r="ER244" s="91"/>
      <c r="ES244" s="91"/>
    </row>
    <row r="245" spans="1:16384" hidden="1" outlineLevel="1">
      <c r="A245" s="29" t="str">
        <f t="shared" si="42"/>
        <v>modesg_param_sfics_taxon_europeiacod_regra</v>
      </c>
      <c r="B245" s="67" t="s">
        <v>26</v>
      </c>
      <c r="C245" s="68" t="s">
        <v>181</v>
      </c>
      <c r="D245" s="64" t="s">
        <v>40</v>
      </c>
      <c r="E245" s="66" t="s">
        <v>2102</v>
      </c>
      <c r="F245" s="64" t="s">
        <v>191</v>
      </c>
      <c r="G245" s="64" t="str">
        <f>INDEX(Auxiliar!$B$16:$B$24,MATCH(Plano_V3!H245,Auxiliar!$C$16:$C$24,0),1)</f>
        <v xml:space="preserve">6. Em implementação </v>
      </c>
      <c r="H245" s="64">
        <f>VLOOKUP(A245,'Aux - pivots1'!$A:$B,2,0)</f>
        <v>7</v>
      </c>
      <c r="I245" s="183" t="e">
        <f>SUMIFS(Table1[Estimação (horas)],Table1[Tabela],Plano_V3!E245,Table1[Campo],Plano_V3!F245)</f>
        <v>#N/A</v>
      </c>
      <c r="J245" s="183" t="e">
        <f t="shared" si="43"/>
        <v>#N/A</v>
      </c>
      <c r="K245" s="183" t="e">
        <f>SUMIFS(Table1[Horas efetivas],Table1[Tabela],Plano_V3!E245,Table1[Campo],Plano_V3!F245)</f>
        <v>#N/A</v>
      </c>
      <c r="L245" s="183" t="e">
        <f t="shared" ref="L245:L331" si="44">K245/8</f>
        <v>#N/A</v>
      </c>
      <c r="M245" s="177"/>
      <c r="N245" s="177" t="e">
        <f t="shared" ref="N245:N331" si="45">L245/J245</f>
        <v>#N/A</v>
      </c>
      <c r="O245" s="177" t="e">
        <f t="shared" si="32"/>
        <v>#N/A</v>
      </c>
      <c r="P245" s="89" t="s">
        <v>39</v>
      </c>
      <c r="Q245" s="90" t="e">
        <f t="shared" si="33"/>
        <v>#N/A</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6384" hidden="1" outlineLevel="1">
      <c r="A246" s="29" t="str">
        <f t="shared" si="42"/>
        <v>modesg_param_sfics_taxon_europeianivel</v>
      </c>
      <c r="B246" s="67" t="s">
        <v>26</v>
      </c>
      <c r="C246" s="68" t="s">
        <v>181</v>
      </c>
      <c r="D246" s="64" t="s">
        <v>40</v>
      </c>
      <c r="E246" s="66" t="s">
        <v>2102</v>
      </c>
      <c r="F246" s="64" t="s">
        <v>2414</v>
      </c>
      <c r="G246" s="64" t="str">
        <f>INDEX(Auxiliar!$B$16:$B$24,MATCH(Plano_V3!H246,Auxiliar!$C$16:$C$24,0),1)</f>
        <v xml:space="preserve">6. Em implementação </v>
      </c>
      <c r="H246" s="64">
        <f>VLOOKUP(A246,'Aux - pivots1'!$A:$B,2,0)</f>
        <v>7</v>
      </c>
      <c r="I246" s="183" t="e">
        <f>SUMIFS(Table1[Estimação (horas)],Table1[Tabela],Plano_V3!E246,Table1[Campo],Plano_V3!F246)</f>
        <v>#N/A</v>
      </c>
      <c r="J246" s="183" t="e">
        <f t="shared" si="43"/>
        <v>#N/A</v>
      </c>
      <c r="K246" s="183" t="e">
        <f>SUMIFS(Table1[Horas efetivas],Table1[Tabela],Plano_V3!E246,Table1[Campo],Plano_V3!F246)</f>
        <v>#N/A</v>
      </c>
      <c r="L246" s="183" t="e">
        <f t="shared" si="44"/>
        <v>#N/A</v>
      </c>
      <c r="M246" s="177"/>
      <c r="N246" s="177" t="e">
        <f t="shared" si="45"/>
        <v>#N/A</v>
      </c>
      <c r="O246" s="177" t="e">
        <f t="shared" si="32"/>
        <v>#N/A</v>
      </c>
      <c r="P246" s="89" t="s">
        <v>39</v>
      </c>
      <c r="Q246" s="90" t="e">
        <f t="shared" si="33"/>
        <v>#N/A</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6384" hidden="1" outlineLevel="1">
      <c r="A247" s="29" t="str">
        <f t="shared" si="42"/>
        <v>modesg_param_sfics_taxon_europeiagrupo_regra</v>
      </c>
      <c r="B247" s="67" t="s">
        <v>26</v>
      </c>
      <c r="C247" s="68" t="s">
        <v>181</v>
      </c>
      <c r="D247" s="64" t="s">
        <v>40</v>
      </c>
      <c r="E247" s="66" t="s">
        <v>2102</v>
      </c>
      <c r="F247" s="64" t="s">
        <v>2422</v>
      </c>
      <c r="G247" s="64" t="s">
        <v>2325</v>
      </c>
      <c r="H247" s="64">
        <f>VLOOKUP(A247,'Aux - pivots1'!$A:$B,2,0)</f>
        <v>7</v>
      </c>
      <c r="I247" s="183" t="e">
        <f>SUMIFS(Table1[Estimação (horas)],Table1[Tabela],Plano_V3!E247,Table1[Campo],Plano_V3!F247)</f>
        <v>#N/A</v>
      </c>
      <c r="J247" s="183" t="e">
        <f>I247/8</f>
        <v>#N/A</v>
      </c>
      <c r="K247" s="183" t="e">
        <f>SUMIFS(Table1[Horas efetivas],Table1[Tabela],Plano_V3!E247,Table1[Campo],Plano_V3!F247)</f>
        <v>#N/A</v>
      </c>
      <c r="L247" s="183" t="e">
        <f>K247/8</f>
        <v>#N/A</v>
      </c>
      <c r="M247" s="177"/>
      <c r="N247" s="177" t="e">
        <f>L247/J247</f>
        <v>#N/A</v>
      </c>
      <c r="O247" s="177" t="e">
        <f>N247-M247</f>
        <v>#N/A</v>
      </c>
      <c r="P247" s="89" t="s">
        <v>39</v>
      </c>
      <c r="Q247" s="29" t="e">
        <f t="shared" ref="Q247:CB247" si="46">U247&amp;V247</f>
        <v>#REF!</v>
      </c>
      <c r="R247" s="29" t="e">
        <f t="shared" si="46"/>
        <v>#REF!</v>
      </c>
      <c r="S247" s="29" t="e">
        <f t="shared" si="46"/>
        <v>#REF!</v>
      </c>
      <c r="T247" s="29" t="e">
        <f t="shared" si="46"/>
        <v>#REF!</v>
      </c>
      <c r="U247" s="29" t="e">
        <f t="shared" si="46"/>
        <v>#REF!</v>
      </c>
      <c r="V247" s="29" t="e">
        <f t="shared" si="46"/>
        <v>#REF!</v>
      </c>
      <c r="W247" s="29" t="e">
        <f t="shared" si="46"/>
        <v>#REF!</v>
      </c>
      <c r="X247" s="29" t="e">
        <f t="shared" si="46"/>
        <v>#REF!</v>
      </c>
      <c r="Y247" s="29" t="e">
        <f t="shared" si="46"/>
        <v>#REF!</v>
      </c>
      <c r="Z247" s="29" t="e">
        <f t="shared" si="46"/>
        <v>#REF!</v>
      </c>
      <c r="AA247" s="29" t="e">
        <f t="shared" si="46"/>
        <v>#REF!</v>
      </c>
      <c r="AB247" s="29" t="e">
        <f t="shared" si="46"/>
        <v>#REF!</v>
      </c>
      <c r="AC247" s="29" t="e">
        <f t="shared" si="46"/>
        <v>#REF!</v>
      </c>
      <c r="AD247" s="29" t="e">
        <f t="shared" si="46"/>
        <v>#REF!</v>
      </c>
      <c r="AE247" s="29" t="e">
        <f t="shared" si="46"/>
        <v>#REF!</v>
      </c>
      <c r="AF247" s="29" t="e">
        <f t="shared" si="46"/>
        <v>#REF!</v>
      </c>
      <c r="AG247" s="29" t="e">
        <f t="shared" si="46"/>
        <v>#REF!</v>
      </c>
      <c r="AH247" s="29" t="e">
        <f t="shared" si="46"/>
        <v>#REF!</v>
      </c>
      <c r="AI247" s="29" t="e">
        <f t="shared" si="46"/>
        <v>#REF!</v>
      </c>
      <c r="AJ247" s="29" t="e">
        <f t="shared" si="46"/>
        <v>#REF!</v>
      </c>
      <c r="AK247" s="29" t="e">
        <f t="shared" si="46"/>
        <v>#REF!</v>
      </c>
      <c r="AL247" s="29" t="e">
        <f t="shared" si="46"/>
        <v>#REF!</v>
      </c>
      <c r="AM247" s="29" t="e">
        <f t="shared" si="46"/>
        <v>#REF!</v>
      </c>
      <c r="AN247" s="29" t="e">
        <f t="shared" si="46"/>
        <v>#REF!</v>
      </c>
      <c r="AO247" s="29" t="e">
        <f t="shared" si="46"/>
        <v>#REF!</v>
      </c>
      <c r="AP247" s="29" t="e">
        <f t="shared" si="46"/>
        <v>#REF!</v>
      </c>
      <c r="AQ247" s="29" t="e">
        <f t="shared" si="46"/>
        <v>#REF!</v>
      </c>
      <c r="AR247" s="29" t="e">
        <f t="shared" si="46"/>
        <v>#REF!</v>
      </c>
      <c r="AS247" s="29" t="e">
        <f t="shared" si="46"/>
        <v>#REF!</v>
      </c>
      <c r="AT247" s="29" t="e">
        <f t="shared" si="46"/>
        <v>#REF!</v>
      </c>
      <c r="AU247" s="29" t="e">
        <f t="shared" si="46"/>
        <v>#REF!</v>
      </c>
      <c r="AV247" s="29" t="e">
        <f t="shared" si="46"/>
        <v>#REF!</v>
      </c>
      <c r="AW247" s="29" t="e">
        <f t="shared" si="46"/>
        <v>#REF!</v>
      </c>
      <c r="AX247" s="29" t="e">
        <f t="shared" si="46"/>
        <v>#REF!</v>
      </c>
      <c r="AY247" s="29" t="e">
        <f t="shared" si="46"/>
        <v>#REF!</v>
      </c>
      <c r="AZ247" s="29" t="e">
        <f t="shared" si="46"/>
        <v>#REF!</v>
      </c>
      <c r="BA247" s="29" t="e">
        <f t="shared" si="46"/>
        <v>#REF!</v>
      </c>
      <c r="BB247" s="29" t="e">
        <f t="shared" si="46"/>
        <v>#REF!</v>
      </c>
      <c r="BC247" s="29" t="e">
        <f t="shared" si="46"/>
        <v>#REF!</v>
      </c>
      <c r="BD247" s="29" t="e">
        <f t="shared" si="46"/>
        <v>#REF!</v>
      </c>
      <c r="BE247" s="29" t="e">
        <f t="shared" si="46"/>
        <v>#REF!</v>
      </c>
      <c r="BF247" s="29" t="e">
        <f t="shared" si="46"/>
        <v>#REF!</v>
      </c>
      <c r="BG247" s="29" t="e">
        <f t="shared" si="46"/>
        <v>#REF!</v>
      </c>
      <c r="BH247" s="29" t="e">
        <f t="shared" si="46"/>
        <v>#REF!</v>
      </c>
      <c r="BI247" s="29" t="e">
        <f t="shared" si="46"/>
        <v>#REF!</v>
      </c>
      <c r="BJ247" s="29" t="e">
        <f t="shared" si="46"/>
        <v>#REF!</v>
      </c>
      <c r="BK247" s="29" t="e">
        <f t="shared" si="46"/>
        <v>#REF!</v>
      </c>
      <c r="BL247" s="29" t="e">
        <f t="shared" si="46"/>
        <v>#REF!</v>
      </c>
      <c r="BM247" s="29" t="e">
        <f t="shared" si="46"/>
        <v>#REF!</v>
      </c>
      <c r="BN247" s="29" t="e">
        <f t="shared" si="46"/>
        <v>#REF!</v>
      </c>
      <c r="BO247" s="29" t="e">
        <f t="shared" si="46"/>
        <v>#REF!</v>
      </c>
      <c r="BP247" s="29" t="e">
        <f t="shared" si="46"/>
        <v>#REF!</v>
      </c>
      <c r="BQ247" s="29" t="e">
        <f t="shared" si="46"/>
        <v>#REF!</v>
      </c>
      <c r="BR247" s="29" t="e">
        <f t="shared" si="46"/>
        <v>#REF!</v>
      </c>
      <c r="BS247" s="29" t="e">
        <f t="shared" si="46"/>
        <v>#REF!</v>
      </c>
      <c r="BT247" s="29" t="e">
        <f t="shared" si="46"/>
        <v>#REF!</v>
      </c>
      <c r="BU247" s="29" t="e">
        <f t="shared" si="46"/>
        <v>#REF!</v>
      </c>
      <c r="BV247" s="29" t="e">
        <f t="shared" si="46"/>
        <v>#REF!</v>
      </c>
      <c r="BW247" s="29" t="e">
        <f t="shared" si="46"/>
        <v>#REF!</v>
      </c>
      <c r="BX247" s="29" t="e">
        <f t="shared" si="46"/>
        <v>#REF!</v>
      </c>
      <c r="BY247" s="29" t="e">
        <f t="shared" si="46"/>
        <v>#REF!</v>
      </c>
      <c r="BZ247" s="29" t="e">
        <f t="shared" si="46"/>
        <v>#REF!</v>
      </c>
      <c r="CA247" s="29" t="e">
        <f t="shared" si="46"/>
        <v>#REF!</v>
      </c>
      <c r="CB247" s="29" t="e">
        <f t="shared" si="46"/>
        <v>#REF!</v>
      </c>
      <c r="CC247" s="29" t="e">
        <f t="shared" ref="CC247:EN247" si="47">CG247&amp;CH247</f>
        <v>#REF!</v>
      </c>
      <c r="CD247" s="29" t="e">
        <f t="shared" si="47"/>
        <v>#REF!</v>
      </c>
      <c r="CE247" s="29" t="e">
        <f t="shared" si="47"/>
        <v>#REF!</v>
      </c>
      <c r="CF247" s="29" t="e">
        <f t="shared" si="47"/>
        <v>#REF!</v>
      </c>
      <c r="CG247" s="29" t="e">
        <f t="shared" si="47"/>
        <v>#REF!</v>
      </c>
      <c r="CH247" s="29" t="e">
        <f t="shared" si="47"/>
        <v>#REF!</v>
      </c>
      <c r="CI247" s="29" t="e">
        <f t="shared" si="47"/>
        <v>#REF!</v>
      </c>
      <c r="CJ247" s="29" t="e">
        <f t="shared" si="47"/>
        <v>#REF!</v>
      </c>
      <c r="CK247" s="29" t="e">
        <f t="shared" si="47"/>
        <v>#REF!</v>
      </c>
      <c r="CL247" s="29" t="e">
        <f t="shared" si="47"/>
        <v>#REF!</v>
      </c>
      <c r="CM247" s="29" t="e">
        <f t="shared" si="47"/>
        <v>#REF!</v>
      </c>
      <c r="CN247" s="29" t="e">
        <f t="shared" si="47"/>
        <v>#REF!</v>
      </c>
      <c r="CO247" s="29" t="e">
        <f t="shared" si="47"/>
        <v>#REF!</v>
      </c>
      <c r="CP247" s="29" t="e">
        <f t="shared" si="47"/>
        <v>#REF!</v>
      </c>
      <c r="CQ247" s="29" t="e">
        <f t="shared" si="47"/>
        <v>#REF!</v>
      </c>
      <c r="CR247" s="29" t="e">
        <f t="shared" si="47"/>
        <v>#REF!</v>
      </c>
      <c r="CS247" s="29" t="e">
        <f t="shared" si="47"/>
        <v>#REF!</v>
      </c>
      <c r="CT247" s="29" t="e">
        <f t="shared" si="47"/>
        <v>#REF!</v>
      </c>
      <c r="CU247" s="29" t="e">
        <f t="shared" si="47"/>
        <v>#REF!</v>
      </c>
      <c r="CV247" s="29" t="e">
        <f t="shared" si="47"/>
        <v>#REF!</v>
      </c>
      <c r="CW247" s="29" t="e">
        <f t="shared" si="47"/>
        <v>#REF!</v>
      </c>
      <c r="CX247" s="29" t="e">
        <f t="shared" si="47"/>
        <v>#REF!</v>
      </c>
      <c r="CY247" s="29" t="e">
        <f t="shared" si="47"/>
        <v>#REF!</v>
      </c>
      <c r="CZ247" s="29" t="e">
        <f t="shared" si="47"/>
        <v>#REF!</v>
      </c>
      <c r="DA247" s="29" t="e">
        <f t="shared" si="47"/>
        <v>#REF!</v>
      </c>
      <c r="DB247" s="29" t="e">
        <f t="shared" si="47"/>
        <v>#REF!</v>
      </c>
      <c r="DC247" s="29" t="e">
        <f t="shared" si="47"/>
        <v>#REF!</v>
      </c>
      <c r="DD247" s="29" t="e">
        <f t="shared" si="47"/>
        <v>#REF!</v>
      </c>
      <c r="DE247" s="29" t="e">
        <f t="shared" si="47"/>
        <v>#REF!</v>
      </c>
      <c r="DF247" s="29" t="e">
        <f t="shared" si="47"/>
        <v>#REF!</v>
      </c>
      <c r="DG247" s="29" t="e">
        <f t="shared" si="47"/>
        <v>#REF!</v>
      </c>
      <c r="DH247" s="29" t="e">
        <f t="shared" si="47"/>
        <v>#REF!</v>
      </c>
      <c r="DI247" s="29" t="e">
        <f t="shared" si="47"/>
        <v>#REF!</v>
      </c>
      <c r="DJ247" s="29" t="e">
        <f t="shared" si="47"/>
        <v>#REF!</v>
      </c>
      <c r="DK247" s="29" t="e">
        <f t="shared" si="47"/>
        <v>#REF!</v>
      </c>
      <c r="DL247" s="29" t="e">
        <f t="shared" si="47"/>
        <v>#REF!</v>
      </c>
      <c r="DM247" s="29" t="e">
        <f t="shared" si="47"/>
        <v>#REF!</v>
      </c>
      <c r="DN247" s="29" t="e">
        <f t="shared" si="47"/>
        <v>#REF!</v>
      </c>
      <c r="DO247" s="29" t="e">
        <f t="shared" si="47"/>
        <v>#REF!</v>
      </c>
      <c r="DP247" s="29" t="e">
        <f t="shared" si="47"/>
        <v>#REF!</v>
      </c>
      <c r="DQ247" s="29" t="e">
        <f t="shared" si="47"/>
        <v>#REF!</v>
      </c>
      <c r="DR247" s="29" t="e">
        <f t="shared" si="47"/>
        <v>#REF!</v>
      </c>
      <c r="DS247" s="29" t="e">
        <f t="shared" si="47"/>
        <v>#REF!</v>
      </c>
      <c r="DT247" s="29" t="e">
        <f t="shared" si="47"/>
        <v>#REF!</v>
      </c>
      <c r="DU247" s="29" t="e">
        <f t="shared" si="47"/>
        <v>#REF!</v>
      </c>
      <c r="DV247" s="29" t="e">
        <f t="shared" si="47"/>
        <v>#REF!</v>
      </c>
      <c r="DW247" s="29" t="e">
        <f t="shared" si="47"/>
        <v>#REF!</v>
      </c>
      <c r="DX247" s="29" t="e">
        <f t="shared" si="47"/>
        <v>#REF!</v>
      </c>
      <c r="DY247" s="29" t="e">
        <f t="shared" si="47"/>
        <v>#REF!</v>
      </c>
      <c r="DZ247" s="29" t="e">
        <f t="shared" si="47"/>
        <v>#REF!</v>
      </c>
      <c r="EA247" s="29" t="e">
        <f t="shared" si="47"/>
        <v>#REF!</v>
      </c>
      <c r="EB247" s="29" t="e">
        <f t="shared" si="47"/>
        <v>#REF!</v>
      </c>
      <c r="EC247" s="29" t="e">
        <f t="shared" si="47"/>
        <v>#REF!</v>
      </c>
      <c r="ED247" s="29" t="e">
        <f t="shared" si="47"/>
        <v>#REF!</v>
      </c>
      <c r="EE247" s="29" t="e">
        <f t="shared" si="47"/>
        <v>#REF!</v>
      </c>
      <c r="EF247" s="29" t="e">
        <f t="shared" si="47"/>
        <v>#REF!</v>
      </c>
      <c r="EG247" s="29" t="e">
        <f t="shared" si="47"/>
        <v>#REF!</v>
      </c>
      <c r="EH247" s="29" t="e">
        <f t="shared" si="47"/>
        <v>#REF!</v>
      </c>
      <c r="EI247" s="29" t="e">
        <f t="shared" si="47"/>
        <v>#REF!</v>
      </c>
      <c r="EJ247" s="29" t="e">
        <f t="shared" si="47"/>
        <v>#REF!</v>
      </c>
      <c r="EK247" s="29" t="e">
        <f t="shared" si="47"/>
        <v>#REF!</v>
      </c>
      <c r="EL247" s="29" t="e">
        <f t="shared" si="47"/>
        <v>#REF!</v>
      </c>
      <c r="EM247" s="29" t="e">
        <f t="shared" si="47"/>
        <v>#REF!</v>
      </c>
      <c r="EN247" s="29" t="e">
        <f t="shared" si="47"/>
        <v>#REF!</v>
      </c>
      <c r="EO247" s="29" t="e">
        <f t="shared" ref="EO247:GZ247" si="48">ES247&amp;ET247</f>
        <v>#REF!</v>
      </c>
      <c r="EP247" s="29" t="e">
        <f t="shared" si="48"/>
        <v>#REF!</v>
      </c>
      <c r="EQ247" s="29" t="e">
        <f t="shared" si="48"/>
        <v>#REF!</v>
      </c>
      <c r="ER247" s="29" t="e">
        <f t="shared" si="48"/>
        <v>#REF!</v>
      </c>
      <c r="ES247" s="29" t="e">
        <f t="shared" si="48"/>
        <v>#REF!</v>
      </c>
      <c r="ET247" s="29" t="e">
        <f t="shared" si="48"/>
        <v>#REF!</v>
      </c>
      <c r="EU247" s="29" t="e">
        <f t="shared" si="48"/>
        <v>#REF!</v>
      </c>
      <c r="EV247" s="29" t="e">
        <f t="shared" si="48"/>
        <v>#REF!</v>
      </c>
      <c r="EW247" s="29" t="e">
        <f t="shared" si="48"/>
        <v>#REF!</v>
      </c>
      <c r="EX247" s="29" t="e">
        <f t="shared" si="48"/>
        <v>#REF!</v>
      </c>
      <c r="EY247" s="29" t="e">
        <f t="shared" si="48"/>
        <v>#REF!</v>
      </c>
      <c r="EZ247" s="29" t="e">
        <f t="shared" si="48"/>
        <v>#REF!</v>
      </c>
      <c r="FA247" s="29" t="e">
        <f t="shared" si="48"/>
        <v>#REF!</v>
      </c>
      <c r="FB247" s="29" t="e">
        <f t="shared" si="48"/>
        <v>#REF!</v>
      </c>
      <c r="FC247" s="29" t="e">
        <f t="shared" si="48"/>
        <v>#REF!</v>
      </c>
      <c r="FD247" s="29" t="e">
        <f t="shared" si="48"/>
        <v>#REF!</v>
      </c>
      <c r="FE247" s="29" t="e">
        <f t="shared" si="48"/>
        <v>#REF!</v>
      </c>
      <c r="FF247" s="29" t="e">
        <f t="shared" si="48"/>
        <v>#REF!</v>
      </c>
      <c r="FG247" s="29" t="e">
        <f t="shared" si="48"/>
        <v>#REF!</v>
      </c>
      <c r="FH247" s="29" t="e">
        <f t="shared" si="48"/>
        <v>#REF!</v>
      </c>
      <c r="FI247" s="29" t="e">
        <f t="shared" si="48"/>
        <v>#REF!</v>
      </c>
      <c r="FJ247" s="29" t="e">
        <f t="shared" si="48"/>
        <v>#REF!</v>
      </c>
      <c r="FK247" s="29" t="e">
        <f t="shared" si="48"/>
        <v>#REF!</v>
      </c>
      <c r="FL247" s="29" t="e">
        <f t="shared" si="48"/>
        <v>#REF!</v>
      </c>
      <c r="FM247" s="29" t="e">
        <f t="shared" si="48"/>
        <v>#REF!</v>
      </c>
      <c r="FN247" s="29" t="e">
        <f t="shared" si="48"/>
        <v>#REF!</v>
      </c>
      <c r="FO247" s="29" t="e">
        <f t="shared" si="48"/>
        <v>#REF!</v>
      </c>
      <c r="FP247" s="29" t="e">
        <f t="shared" si="48"/>
        <v>#REF!</v>
      </c>
      <c r="FQ247" s="29" t="e">
        <f t="shared" si="48"/>
        <v>#REF!</v>
      </c>
      <c r="FR247" s="29" t="e">
        <f t="shared" si="48"/>
        <v>#REF!</v>
      </c>
      <c r="FS247" s="29" t="e">
        <f t="shared" si="48"/>
        <v>#REF!</v>
      </c>
      <c r="FT247" s="29" t="e">
        <f t="shared" si="48"/>
        <v>#REF!</v>
      </c>
      <c r="FU247" s="29" t="e">
        <f t="shared" si="48"/>
        <v>#REF!</v>
      </c>
      <c r="FV247" s="29" t="e">
        <f t="shared" si="48"/>
        <v>#REF!</v>
      </c>
      <c r="FW247" s="29" t="e">
        <f t="shared" si="48"/>
        <v>#REF!</v>
      </c>
      <c r="FX247" s="29" t="e">
        <f t="shared" si="48"/>
        <v>#REF!</v>
      </c>
      <c r="FY247" s="29" t="e">
        <f t="shared" si="48"/>
        <v>#REF!</v>
      </c>
      <c r="FZ247" s="29" t="e">
        <f t="shared" si="48"/>
        <v>#REF!</v>
      </c>
      <c r="GA247" s="29" t="e">
        <f t="shared" si="48"/>
        <v>#REF!</v>
      </c>
      <c r="GB247" s="29" t="e">
        <f t="shared" si="48"/>
        <v>#REF!</v>
      </c>
      <c r="GC247" s="29" t="e">
        <f t="shared" si="48"/>
        <v>#REF!</v>
      </c>
      <c r="GD247" s="29" t="e">
        <f t="shared" si="48"/>
        <v>#REF!</v>
      </c>
      <c r="GE247" s="29" t="e">
        <f t="shared" si="48"/>
        <v>#REF!</v>
      </c>
      <c r="GF247" s="29" t="e">
        <f t="shared" si="48"/>
        <v>#REF!</v>
      </c>
      <c r="GG247" s="29" t="e">
        <f t="shared" si="48"/>
        <v>#REF!</v>
      </c>
      <c r="GH247" s="29" t="e">
        <f t="shared" si="48"/>
        <v>#REF!</v>
      </c>
      <c r="GI247" s="29" t="e">
        <f t="shared" si="48"/>
        <v>#REF!</v>
      </c>
      <c r="GJ247" s="29" t="e">
        <f t="shared" si="48"/>
        <v>#REF!</v>
      </c>
      <c r="GK247" s="29" t="e">
        <f t="shared" si="48"/>
        <v>#REF!</v>
      </c>
      <c r="GL247" s="29" t="e">
        <f t="shared" si="48"/>
        <v>#REF!</v>
      </c>
      <c r="GM247" s="29" t="e">
        <f t="shared" si="48"/>
        <v>#REF!</v>
      </c>
      <c r="GN247" s="29" t="e">
        <f t="shared" si="48"/>
        <v>#REF!</v>
      </c>
      <c r="GO247" s="29" t="e">
        <f t="shared" si="48"/>
        <v>#REF!</v>
      </c>
      <c r="GP247" s="29" t="e">
        <f t="shared" si="48"/>
        <v>#REF!</v>
      </c>
      <c r="GQ247" s="29" t="e">
        <f t="shared" si="48"/>
        <v>#REF!</v>
      </c>
      <c r="GR247" s="29" t="e">
        <f t="shared" si="48"/>
        <v>#REF!</v>
      </c>
      <c r="GS247" s="29" t="e">
        <f t="shared" si="48"/>
        <v>#REF!</v>
      </c>
      <c r="GT247" s="29" t="e">
        <f t="shared" si="48"/>
        <v>#REF!</v>
      </c>
      <c r="GU247" s="29" t="e">
        <f t="shared" si="48"/>
        <v>#REF!</v>
      </c>
      <c r="GV247" s="29" t="e">
        <f t="shared" si="48"/>
        <v>#REF!</v>
      </c>
      <c r="GW247" s="29" t="e">
        <f t="shared" si="48"/>
        <v>#REF!</v>
      </c>
      <c r="GX247" s="29" t="e">
        <f t="shared" si="48"/>
        <v>#REF!</v>
      </c>
      <c r="GY247" s="29" t="e">
        <f t="shared" si="48"/>
        <v>#REF!</v>
      </c>
      <c r="GZ247" s="29" t="e">
        <f t="shared" si="48"/>
        <v>#REF!</v>
      </c>
      <c r="HA247" s="29" t="e">
        <f t="shared" ref="HA247:JL247" si="49">HE247&amp;HF247</f>
        <v>#REF!</v>
      </c>
      <c r="HB247" s="29" t="e">
        <f t="shared" si="49"/>
        <v>#REF!</v>
      </c>
      <c r="HC247" s="29" t="e">
        <f t="shared" si="49"/>
        <v>#REF!</v>
      </c>
      <c r="HD247" s="29" t="e">
        <f t="shared" si="49"/>
        <v>#REF!</v>
      </c>
      <c r="HE247" s="29" t="e">
        <f t="shared" si="49"/>
        <v>#REF!</v>
      </c>
      <c r="HF247" s="29" t="e">
        <f t="shared" si="49"/>
        <v>#REF!</v>
      </c>
      <c r="HG247" s="29" t="e">
        <f t="shared" si="49"/>
        <v>#REF!</v>
      </c>
      <c r="HH247" s="29" t="e">
        <f t="shared" si="49"/>
        <v>#REF!</v>
      </c>
      <c r="HI247" s="29" t="e">
        <f t="shared" si="49"/>
        <v>#REF!</v>
      </c>
      <c r="HJ247" s="29" t="e">
        <f t="shared" si="49"/>
        <v>#REF!</v>
      </c>
      <c r="HK247" s="29" t="e">
        <f t="shared" si="49"/>
        <v>#REF!</v>
      </c>
      <c r="HL247" s="29" t="e">
        <f t="shared" si="49"/>
        <v>#REF!</v>
      </c>
      <c r="HM247" s="29" t="e">
        <f t="shared" si="49"/>
        <v>#REF!</v>
      </c>
      <c r="HN247" s="29" t="e">
        <f t="shared" si="49"/>
        <v>#REF!</v>
      </c>
      <c r="HO247" s="29" t="e">
        <f t="shared" si="49"/>
        <v>#REF!</v>
      </c>
      <c r="HP247" s="29" t="e">
        <f t="shared" si="49"/>
        <v>#REF!</v>
      </c>
      <c r="HQ247" s="29" t="e">
        <f t="shared" si="49"/>
        <v>#REF!</v>
      </c>
      <c r="HR247" s="29" t="e">
        <f t="shared" si="49"/>
        <v>#REF!</v>
      </c>
      <c r="HS247" s="29" t="e">
        <f t="shared" si="49"/>
        <v>#REF!</v>
      </c>
      <c r="HT247" s="29" t="e">
        <f t="shared" si="49"/>
        <v>#REF!</v>
      </c>
      <c r="HU247" s="29" t="e">
        <f t="shared" si="49"/>
        <v>#REF!</v>
      </c>
      <c r="HV247" s="29" t="e">
        <f t="shared" si="49"/>
        <v>#REF!</v>
      </c>
      <c r="HW247" s="29" t="e">
        <f t="shared" si="49"/>
        <v>#REF!</v>
      </c>
      <c r="HX247" s="29" t="e">
        <f t="shared" si="49"/>
        <v>#REF!</v>
      </c>
      <c r="HY247" s="29" t="e">
        <f t="shared" si="49"/>
        <v>#REF!</v>
      </c>
      <c r="HZ247" s="29" t="e">
        <f t="shared" si="49"/>
        <v>#REF!</v>
      </c>
      <c r="IA247" s="29" t="e">
        <f t="shared" si="49"/>
        <v>#REF!</v>
      </c>
      <c r="IB247" s="29" t="e">
        <f t="shared" si="49"/>
        <v>#REF!</v>
      </c>
      <c r="IC247" s="29" t="e">
        <f t="shared" si="49"/>
        <v>#REF!</v>
      </c>
      <c r="ID247" s="29" t="e">
        <f t="shared" si="49"/>
        <v>#REF!</v>
      </c>
      <c r="IE247" s="29" t="e">
        <f t="shared" si="49"/>
        <v>#REF!</v>
      </c>
      <c r="IF247" s="29" t="e">
        <f t="shared" si="49"/>
        <v>#REF!</v>
      </c>
      <c r="IG247" s="29" t="e">
        <f t="shared" si="49"/>
        <v>#REF!</v>
      </c>
      <c r="IH247" s="29" t="e">
        <f t="shared" si="49"/>
        <v>#REF!</v>
      </c>
      <c r="II247" s="29" t="e">
        <f t="shared" si="49"/>
        <v>#REF!</v>
      </c>
      <c r="IJ247" s="29" t="e">
        <f t="shared" si="49"/>
        <v>#REF!</v>
      </c>
      <c r="IK247" s="29" t="e">
        <f t="shared" si="49"/>
        <v>#REF!</v>
      </c>
      <c r="IL247" s="29" t="e">
        <f t="shared" si="49"/>
        <v>#REF!</v>
      </c>
      <c r="IM247" s="29" t="e">
        <f t="shared" si="49"/>
        <v>#REF!</v>
      </c>
      <c r="IN247" s="29" t="e">
        <f t="shared" si="49"/>
        <v>#REF!</v>
      </c>
      <c r="IO247" s="29" t="e">
        <f t="shared" si="49"/>
        <v>#REF!</v>
      </c>
      <c r="IP247" s="29" t="e">
        <f t="shared" si="49"/>
        <v>#REF!</v>
      </c>
      <c r="IQ247" s="29" t="e">
        <f t="shared" si="49"/>
        <v>#REF!</v>
      </c>
      <c r="IR247" s="29" t="e">
        <f t="shared" si="49"/>
        <v>#REF!</v>
      </c>
      <c r="IS247" s="29" t="e">
        <f t="shared" si="49"/>
        <v>#REF!</v>
      </c>
      <c r="IT247" s="29" t="e">
        <f t="shared" si="49"/>
        <v>#REF!</v>
      </c>
      <c r="IU247" s="29" t="e">
        <f t="shared" si="49"/>
        <v>#REF!</v>
      </c>
      <c r="IV247" s="29" t="e">
        <f t="shared" si="49"/>
        <v>#REF!</v>
      </c>
      <c r="IW247" s="29" t="e">
        <f t="shared" si="49"/>
        <v>#REF!</v>
      </c>
      <c r="IX247" s="29" t="e">
        <f t="shared" si="49"/>
        <v>#REF!</v>
      </c>
      <c r="IY247" s="29" t="e">
        <f t="shared" si="49"/>
        <v>#REF!</v>
      </c>
      <c r="IZ247" s="29" t="e">
        <f t="shared" si="49"/>
        <v>#REF!</v>
      </c>
      <c r="JA247" s="29" t="e">
        <f t="shared" si="49"/>
        <v>#REF!</v>
      </c>
      <c r="JB247" s="29" t="e">
        <f t="shared" si="49"/>
        <v>#REF!</v>
      </c>
      <c r="JC247" s="29" t="e">
        <f t="shared" si="49"/>
        <v>#REF!</v>
      </c>
      <c r="JD247" s="29" t="e">
        <f t="shared" si="49"/>
        <v>#REF!</v>
      </c>
      <c r="JE247" s="29" t="e">
        <f t="shared" si="49"/>
        <v>#REF!</v>
      </c>
      <c r="JF247" s="29" t="e">
        <f t="shared" si="49"/>
        <v>#REF!</v>
      </c>
      <c r="JG247" s="29" t="e">
        <f t="shared" si="49"/>
        <v>#REF!</v>
      </c>
      <c r="JH247" s="29" t="e">
        <f t="shared" si="49"/>
        <v>#REF!</v>
      </c>
      <c r="JI247" s="29" t="e">
        <f t="shared" si="49"/>
        <v>#REF!</v>
      </c>
      <c r="JJ247" s="29" t="e">
        <f t="shared" si="49"/>
        <v>#REF!</v>
      </c>
      <c r="JK247" s="29" t="e">
        <f t="shared" si="49"/>
        <v>#REF!</v>
      </c>
      <c r="JL247" s="29" t="e">
        <f t="shared" si="49"/>
        <v>#REF!</v>
      </c>
      <c r="JM247" s="29" t="e">
        <f t="shared" ref="JM247:LX247" si="50">JQ247&amp;JR247</f>
        <v>#REF!</v>
      </c>
      <c r="JN247" s="29" t="e">
        <f t="shared" si="50"/>
        <v>#REF!</v>
      </c>
      <c r="JO247" s="29" t="e">
        <f t="shared" si="50"/>
        <v>#REF!</v>
      </c>
      <c r="JP247" s="29" t="e">
        <f t="shared" si="50"/>
        <v>#REF!</v>
      </c>
      <c r="JQ247" s="29" t="e">
        <f t="shared" si="50"/>
        <v>#REF!</v>
      </c>
      <c r="JR247" s="29" t="e">
        <f t="shared" si="50"/>
        <v>#REF!</v>
      </c>
      <c r="JS247" s="29" t="e">
        <f t="shared" si="50"/>
        <v>#REF!</v>
      </c>
      <c r="JT247" s="29" t="e">
        <f t="shared" si="50"/>
        <v>#REF!</v>
      </c>
      <c r="JU247" s="29" t="e">
        <f t="shared" si="50"/>
        <v>#REF!</v>
      </c>
      <c r="JV247" s="29" t="e">
        <f t="shared" si="50"/>
        <v>#REF!</v>
      </c>
      <c r="JW247" s="29" t="e">
        <f t="shared" si="50"/>
        <v>#REF!</v>
      </c>
      <c r="JX247" s="29" t="e">
        <f t="shared" si="50"/>
        <v>#REF!</v>
      </c>
      <c r="JY247" s="29" t="e">
        <f t="shared" si="50"/>
        <v>#REF!</v>
      </c>
      <c r="JZ247" s="29" t="e">
        <f t="shared" si="50"/>
        <v>#REF!</v>
      </c>
      <c r="KA247" s="29" t="e">
        <f t="shared" si="50"/>
        <v>#REF!</v>
      </c>
      <c r="KB247" s="29" t="e">
        <f t="shared" si="50"/>
        <v>#REF!</v>
      </c>
      <c r="KC247" s="29" t="e">
        <f t="shared" si="50"/>
        <v>#REF!</v>
      </c>
      <c r="KD247" s="29" t="e">
        <f t="shared" si="50"/>
        <v>#REF!</v>
      </c>
      <c r="KE247" s="29" t="e">
        <f t="shared" si="50"/>
        <v>#REF!</v>
      </c>
      <c r="KF247" s="29" t="e">
        <f t="shared" si="50"/>
        <v>#REF!</v>
      </c>
      <c r="KG247" s="29" t="e">
        <f t="shared" si="50"/>
        <v>#REF!</v>
      </c>
      <c r="KH247" s="29" t="e">
        <f t="shared" si="50"/>
        <v>#REF!</v>
      </c>
      <c r="KI247" s="29" t="e">
        <f t="shared" si="50"/>
        <v>#REF!</v>
      </c>
      <c r="KJ247" s="29" t="e">
        <f t="shared" si="50"/>
        <v>#REF!</v>
      </c>
      <c r="KK247" s="29" t="e">
        <f t="shared" si="50"/>
        <v>#REF!</v>
      </c>
      <c r="KL247" s="29" t="e">
        <f t="shared" si="50"/>
        <v>#REF!</v>
      </c>
      <c r="KM247" s="29" t="e">
        <f t="shared" si="50"/>
        <v>#REF!</v>
      </c>
      <c r="KN247" s="29" t="e">
        <f t="shared" si="50"/>
        <v>#REF!</v>
      </c>
      <c r="KO247" s="29" t="e">
        <f t="shared" si="50"/>
        <v>#REF!</v>
      </c>
      <c r="KP247" s="29" t="e">
        <f t="shared" si="50"/>
        <v>#REF!</v>
      </c>
      <c r="KQ247" s="29" t="e">
        <f t="shared" si="50"/>
        <v>#REF!</v>
      </c>
      <c r="KR247" s="29" t="e">
        <f t="shared" si="50"/>
        <v>#REF!</v>
      </c>
      <c r="KS247" s="29" t="e">
        <f t="shared" si="50"/>
        <v>#REF!</v>
      </c>
      <c r="KT247" s="29" t="e">
        <f t="shared" si="50"/>
        <v>#REF!</v>
      </c>
      <c r="KU247" s="29" t="e">
        <f t="shared" si="50"/>
        <v>#REF!</v>
      </c>
      <c r="KV247" s="29" t="e">
        <f t="shared" si="50"/>
        <v>#REF!</v>
      </c>
      <c r="KW247" s="29" t="e">
        <f t="shared" si="50"/>
        <v>#REF!</v>
      </c>
      <c r="KX247" s="29" t="e">
        <f t="shared" si="50"/>
        <v>#REF!</v>
      </c>
      <c r="KY247" s="29" t="e">
        <f t="shared" si="50"/>
        <v>#REF!</v>
      </c>
      <c r="KZ247" s="29" t="e">
        <f t="shared" si="50"/>
        <v>#REF!</v>
      </c>
      <c r="LA247" s="29" t="e">
        <f t="shared" si="50"/>
        <v>#REF!</v>
      </c>
      <c r="LB247" s="29" t="e">
        <f t="shared" si="50"/>
        <v>#REF!</v>
      </c>
      <c r="LC247" s="29" t="e">
        <f t="shared" si="50"/>
        <v>#REF!</v>
      </c>
      <c r="LD247" s="29" t="e">
        <f t="shared" si="50"/>
        <v>#REF!</v>
      </c>
      <c r="LE247" s="29" t="e">
        <f t="shared" si="50"/>
        <v>#REF!</v>
      </c>
      <c r="LF247" s="29" t="e">
        <f t="shared" si="50"/>
        <v>#REF!</v>
      </c>
      <c r="LG247" s="29" t="e">
        <f t="shared" si="50"/>
        <v>#REF!</v>
      </c>
      <c r="LH247" s="29" t="e">
        <f t="shared" si="50"/>
        <v>#REF!</v>
      </c>
      <c r="LI247" s="29" t="e">
        <f t="shared" si="50"/>
        <v>#REF!</v>
      </c>
      <c r="LJ247" s="29" t="e">
        <f t="shared" si="50"/>
        <v>#REF!</v>
      </c>
      <c r="LK247" s="29" t="e">
        <f t="shared" si="50"/>
        <v>#REF!</v>
      </c>
      <c r="LL247" s="29" t="e">
        <f t="shared" si="50"/>
        <v>#REF!</v>
      </c>
      <c r="LM247" s="29" t="e">
        <f t="shared" si="50"/>
        <v>#REF!</v>
      </c>
      <c r="LN247" s="29" t="e">
        <f t="shared" si="50"/>
        <v>#REF!</v>
      </c>
      <c r="LO247" s="29" t="e">
        <f t="shared" si="50"/>
        <v>#REF!</v>
      </c>
      <c r="LP247" s="29" t="e">
        <f t="shared" si="50"/>
        <v>#REF!</v>
      </c>
      <c r="LQ247" s="29" t="e">
        <f t="shared" si="50"/>
        <v>#REF!</v>
      </c>
      <c r="LR247" s="29" t="e">
        <f t="shared" si="50"/>
        <v>#REF!</v>
      </c>
      <c r="LS247" s="29" t="e">
        <f t="shared" si="50"/>
        <v>#REF!</v>
      </c>
      <c r="LT247" s="29" t="e">
        <f t="shared" si="50"/>
        <v>#REF!</v>
      </c>
      <c r="LU247" s="29" t="e">
        <f t="shared" si="50"/>
        <v>#REF!</v>
      </c>
      <c r="LV247" s="29" t="e">
        <f t="shared" si="50"/>
        <v>#REF!</v>
      </c>
      <c r="LW247" s="29" t="e">
        <f t="shared" si="50"/>
        <v>#REF!</v>
      </c>
      <c r="LX247" s="29" t="e">
        <f t="shared" si="50"/>
        <v>#REF!</v>
      </c>
      <c r="LY247" s="29" t="e">
        <f t="shared" ref="LY247:OJ247" si="51">MC247&amp;MD247</f>
        <v>#REF!</v>
      </c>
      <c r="LZ247" s="29" t="e">
        <f t="shared" si="51"/>
        <v>#REF!</v>
      </c>
      <c r="MA247" s="29" t="e">
        <f t="shared" si="51"/>
        <v>#REF!</v>
      </c>
      <c r="MB247" s="29" t="e">
        <f t="shared" si="51"/>
        <v>#REF!</v>
      </c>
      <c r="MC247" s="29" t="e">
        <f t="shared" si="51"/>
        <v>#REF!</v>
      </c>
      <c r="MD247" s="29" t="e">
        <f t="shared" si="51"/>
        <v>#REF!</v>
      </c>
      <c r="ME247" s="29" t="e">
        <f t="shared" si="51"/>
        <v>#REF!</v>
      </c>
      <c r="MF247" s="29" t="e">
        <f t="shared" si="51"/>
        <v>#REF!</v>
      </c>
      <c r="MG247" s="29" t="e">
        <f t="shared" si="51"/>
        <v>#REF!</v>
      </c>
      <c r="MH247" s="29" t="e">
        <f t="shared" si="51"/>
        <v>#REF!</v>
      </c>
      <c r="MI247" s="29" t="e">
        <f t="shared" si="51"/>
        <v>#REF!</v>
      </c>
      <c r="MJ247" s="29" t="e">
        <f t="shared" si="51"/>
        <v>#REF!</v>
      </c>
      <c r="MK247" s="29" t="e">
        <f t="shared" si="51"/>
        <v>#REF!</v>
      </c>
      <c r="ML247" s="29" t="e">
        <f t="shared" si="51"/>
        <v>#REF!</v>
      </c>
      <c r="MM247" s="29" t="e">
        <f t="shared" si="51"/>
        <v>#REF!</v>
      </c>
      <c r="MN247" s="29" t="e">
        <f t="shared" si="51"/>
        <v>#REF!</v>
      </c>
      <c r="MO247" s="29" t="e">
        <f t="shared" si="51"/>
        <v>#REF!</v>
      </c>
      <c r="MP247" s="29" t="e">
        <f t="shared" si="51"/>
        <v>#REF!</v>
      </c>
      <c r="MQ247" s="29" t="e">
        <f t="shared" si="51"/>
        <v>#REF!</v>
      </c>
      <c r="MR247" s="29" t="e">
        <f t="shared" si="51"/>
        <v>#REF!</v>
      </c>
      <c r="MS247" s="29" t="e">
        <f t="shared" si="51"/>
        <v>#REF!</v>
      </c>
      <c r="MT247" s="29" t="e">
        <f t="shared" si="51"/>
        <v>#REF!</v>
      </c>
      <c r="MU247" s="29" t="e">
        <f t="shared" si="51"/>
        <v>#REF!</v>
      </c>
      <c r="MV247" s="29" t="e">
        <f t="shared" si="51"/>
        <v>#REF!</v>
      </c>
      <c r="MW247" s="29" t="e">
        <f t="shared" si="51"/>
        <v>#REF!</v>
      </c>
      <c r="MX247" s="29" t="e">
        <f t="shared" si="51"/>
        <v>#REF!</v>
      </c>
      <c r="MY247" s="29" t="e">
        <f t="shared" si="51"/>
        <v>#REF!</v>
      </c>
      <c r="MZ247" s="29" t="e">
        <f t="shared" si="51"/>
        <v>#REF!</v>
      </c>
      <c r="NA247" s="29" t="e">
        <f t="shared" si="51"/>
        <v>#REF!</v>
      </c>
      <c r="NB247" s="29" t="e">
        <f t="shared" si="51"/>
        <v>#REF!</v>
      </c>
      <c r="NC247" s="29" t="e">
        <f t="shared" si="51"/>
        <v>#REF!</v>
      </c>
      <c r="ND247" s="29" t="e">
        <f t="shared" si="51"/>
        <v>#REF!</v>
      </c>
      <c r="NE247" s="29" t="e">
        <f t="shared" si="51"/>
        <v>#REF!</v>
      </c>
      <c r="NF247" s="29" t="e">
        <f t="shared" si="51"/>
        <v>#REF!</v>
      </c>
      <c r="NG247" s="29" t="e">
        <f t="shared" si="51"/>
        <v>#REF!</v>
      </c>
      <c r="NH247" s="29" t="e">
        <f t="shared" si="51"/>
        <v>#REF!</v>
      </c>
      <c r="NI247" s="29" t="e">
        <f t="shared" si="51"/>
        <v>#REF!</v>
      </c>
      <c r="NJ247" s="29" t="e">
        <f t="shared" si="51"/>
        <v>#REF!</v>
      </c>
      <c r="NK247" s="29" t="e">
        <f t="shared" si="51"/>
        <v>#REF!</v>
      </c>
      <c r="NL247" s="29" t="e">
        <f t="shared" si="51"/>
        <v>#REF!</v>
      </c>
      <c r="NM247" s="29" t="e">
        <f t="shared" si="51"/>
        <v>#REF!</v>
      </c>
      <c r="NN247" s="29" t="e">
        <f t="shared" si="51"/>
        <v>#REF!</v>
      </c>
      <c r="NO247" s="29" t="e">
        <f t="shared" si="51"/>
        <v>#REF!</v>
      </c>
      <c r="NP247" s="29" t="e">
        <f t="shared" si="51"/>
        <v>#REF!</v>
      </c>
      <c r="NQ247" s="29" t="e">
        <f t="shared" si="51"/>
        <v>#REF!</v>
      </c>
      <c r="NR247" s="29" t="e">
        <f t="shared" si="51"/>
        <v>#REF!</v>
      </c>
      <c r="NS247" s="29" t="e">
        <f t="shared" si="51"/>
        <v>#REF!</v>
      </c>
      <c r="NT247" s="29" t="e">
        <f t="shared" si="51"/>
        <v>#REF!</v>
      </c>
      <c r="NU247" s="29" t="e">
        <f t="shared" si="51"/>
        <v>#REF!</v>
      </c>
      <c r="NV247" s="29" t="e">
        <f t="shared" si="51"/>
        <v>#REF!</v>
      </c>
      <c r="NW247" s="29" t="e">
        <f t="shared" si="51"/>
        <v>#REF!</v>
      </c>
      <c r="NX247" s="29" t="e">
        <f t="shared" si="51"/>
        <v>#REF!</v>
      </c>
      <c r="NY247" s="29" t="e">
        <f t="shared" si="51"/>
        <v>#REF!</v>
      </c>
      <c r="NZ247" s="29" t="e">
        <f t="shared" si="51"/>
        <v>#REF!</v>
      </c>
      <c r="OA247" s="29" t="e">
        <f t="shared" si="51"/>
        <v>#REF!</v>
      </c>
      <c r="OB247" s="29" t="e">
        <f t="shared" si="51"/>
        <v>#REF!</v>
      </c>
      <c r="OC247" s="29" t="e">
        <f t="shared" si="51"/>
        <v>#REF!</v>
      </c>
      <c r="OD247" s="29" t="e">
        <f t="shared" si="51"/>
        <v>#REF!</v>
      </c>
      <c r="OE247" s="29" t="e">
        <f t="shared" si="51"/>
        <v>#REF!</v>
      </c>
      <c r="OF247" s="29" t="e">
        <f t="shared" si="51"/>
        <v>#REF!</v>
      </c>
      <c r="OG247" s="29" t="e">
        <f t="shared" si="51"/>
        <v>#REF!</v>
      </c>
      <c r="OH247" s="29" t="e">
        <f t="shared" si="51"/>
        <v>#REF!</v>
      </c>
      <c r="OI247" s="29" t="e">
        <f t="shared" si="51"/>
        <v>#REF!</v>
      </c>
      <c r="OJ247" s="29" t="e">
        <f t="shared" si="51"/>
        <v>#REF!</v>
      </c>
      <c r="OK247" s="29" t="e">
        <f t="shared" ref="OK247:QV247" si="52">OO247&amp;OP247</f>
        <v>#REF!</v>
      </c>
      <c r="OL247" s="29" t="e">
        <f t="shared" si="52"/>
        <v>#REF!</v>
      </c>
      <c r="OM247" s="29" t="e">
        <f t="shared" si="52"/>
        <v>#REF!</v>
      </c>
      <c r="ON247" s="29" t="e">
        <f t="shared" si="52"/>
        <v>#REF!</v>
      </c>
      <c r="OO247" s="29" t="e">
        <f t="shared" si="52"/>
        <v>#REF!</v>
      </c>
      <c r="OP247" s="29" t="e">
        <f t="shared" si="52"/>
        <v>#REF!</v>
      </c>
      <c r="OQ247" s="29" t="e">
        <f t="shared" si="52"/>
        <v>#REF!</v>
      </c>
      <c r="OR247" s="29" t="e">
        <f t="shared" si="52"/>
        <v>#REF!</v>
      </c>
      <c r="OS247" s="29" t="e">
        <f t="shared" si="52"/>
        <v>#REF!</v>
      </c>
      <c r="OT247" s="29" t="e">
        <f t="shared" si="52"/>
        <v>#REF!</v>
      </c>
      <c r="OU247" s="29" t="e">
        <f t="shared" si="52"/>
        <v>#REF!</v>
      </c>
      <c r="OV247" s="29" t="e">
        <f t="shared" si="52"/>
        <v>#REF!</v>
      </c>
      <c r="OW247" s="29" t="e">
        <f t="shared" si="52"/>
        <v>#REF!</v>
      </c>
      <c r="OX247" s="29" t="e">
        <f t="shared" si="52"/>
        <v>#REF!</v>
      </c>
      <c r="OY247" s="29" t="e">
        <f t="shared" si="52"/>
        <v>#REF!</v>
      </c>
      <c r="OZ247" s="29" t="e">
        <f t="shared" si="52"/>
        <v>#REF!</v>
      </c>
      <c r="PA247" s="29" t="e">
        <f t="shared" si="52"/>
        <v>#REF!</v>
      </c>
      <c r="PB247" s="29" t="e">
        <f t="shared" si="52"/>
        <v>#REF!</v>
      </c>
      <c r="PC247" s="29" t="e">
        <f t="shared" si="52"/>
        <v>#REF!</v>
      </c>
      <c r="PD247" s="29" t="e">
        <f t="shared" si="52"/>
        <v>#REF!</v>
      </c>
      <c r="PE247" s="29" t="e">
        <f t="shared" si="52"/>
        <v>#REF!</v>
      </c>
      <c r="PF247" s="29" t="e">
        <f t="shared" si="52"/>
        <v>#REF!</v>
      </c>
      <c r="PG247" s="29" t="e">
        <f t="shared" si="52"/>
        <v>#REF!</v>
      </c>
      <c r="PH247" s="29" t="e">
        <f t="shared" si="52"/>
        <v>#REF!</v>
      </c>
      <c r="PI247" s="29" t="e">
        <f t="shared" si="52"/>
        <v>#REF!</v>
      </c>
      <c r="PJ247" s="29" t="e">
        <f t="shared" si="52"/>
        <v>#REF!</v>
      </c>
      <c r="PK247" s="29" t="e">
        <f t="shared" si="52"/>
        <v>#REF!</v>
      </c>
      <c r="PL247" s="29" t="e">
        <f t="shared" si="52"/>
        <v>#REF!</v>
      </c>
      <c r="PM247" s="29" t="e">
        <f t="shared" si="52"/>
        <v>#REF!</v>
      </c>
      <c r="PN247" s="29" t="e">
        <f t="shared" si="52"/>
        <v>#REF!</v>
      </c>
      <c r="PO247" s="29" t="e">
        <f t="shared" si="52"/>
        <v>#REF!</v>
      </c>
      <c r="PP247" s="29" t="e">
        <f t="shared" si="52"/>
        <v>#REF!</v>
      </c>
      <c r="PQ247" s="29" t="e">
        <f t="shared" si="52"/>
        <v>#REF!</v>
      </c>
      <c r="PR247" s="29" t="e">
        <f t="shared" si="52"/>
        <v>#REF!</v>
      </c>
      <c r="PS247" s="29" t="e">
        <f t="shared" si="52"/>
        <v>#REF!</v>
      </c>
      <c r="PT247" s="29" t="e">
        <f t="shared" si="52"/>
        <v>#REF!</v>
      </c>
      <c r="PU247" s="29" t="e">
        <f t="shared" si="52"/>
        <v>#REF!</v>
      </c>
      <c r="PV247" s="29" t="e">
        <f t="shared" si="52"/>
        <v>#REF!</v>
      </c>
      <c r="PW247" s="29" t="e">
        <f t="shared" si="52"/>
        <v>#REF!</v>
      </c>
      <c r="PX247" s="29" t="e">
        <f t="shared" si="52"/>
        <v>#REF!</v>
      </c>
      <c r="PY247" s="29" t="e">
        <f t="shared" si="52"/>
        <v>#REF!</v>
      </c>
      <c r="PZ247" s="29" t="e">
        <f t="shared" si="52"/>
        <v>#REF!</v>
      </c>
      <c r="QA247" s="29" t="e">
        <f t="shared" si="52"/>
        <v>#REF!</v>
      </c>
      <c r="QB247" s="29" t="e">
        <f t="shared" si="52"/>
        <v>#REF!</v>
      </c>
      <c r="QC247" s="29" t="e">
        <f t="shared" si="52"/>
        <v>#REF!</v>
      </c>
      <c r="QD247" s="29" t="e">
        <f t="shared" si="52"/>
        <v>#REF!</v>
      </c>
      <c r="QE247" s="29" t="e">
        <f t="shared" si="52"/>
        <v>#REF!</v>
      </c>
      <c r="QF247" s="29" t="e">
        <f t="shared" si="52"/>
        <v>#REF!</v>
      </c>
      <c r="QG247" s="29" t="e">
        <f t="shared" si="52"/>
        <v>#REF!</v>
      </c>
      <c r="QH247" s="29" t="e">
        <f t="shared" si="52"/>
        <v>#REF!</v>
      </c>
      <c r="QI247" s="29" t="e">
        <f t="shared" si="52"/>
        <v>#REF!</v>
      </c>
      <c r="QJ247" s="29" t="e">
        <f t="shared" si="52"/>
        <v>#REF!</v>
      </c>
      <c r="QK247" s="29" t="e">
        <f t="shared" si="52"/>
        <v>#REF!</v>
      </c>
      <c r="QL247" s="29" t="e">
        <f t="shared" si="52"/>
        <v>#REF!</v>
      </c>
      <c r="QM247" s="29" t="e">
        <f t="shared" si="52"/>
        <v>#REF!</v>
      </c>
      <c r="QN247" s="29" t="e">
        <f t="shared" si="52"/>
        <v>#REF!</v>
      </c>
      <c r="QO247" s="29" t="e">
        <f t="shared" si="52"/>
        <v>#REF!</v>
      </c>
      <c r="QP247" s="29" t="e">
        <f t="shared" si="52"/>
        <v>#REF!</v>
      </c>
      <c r="QQ247" s="29" t="e">
        <f t="shared" si="52"/>
        <v>#REF!</v>
      </c>
      <c r="QR247" s="29" t="e">
        <f t="shared" si="52"/>
        <v>#REF!</v>
      </c>
      <c r="QS247" s="29" t="e">
        <f t="shared" si="52"/>
        <v>#REF!</v>
      </c>
      <c r="QT247" s="29" t="e">
        <f t="shared" si="52"/>
        <v>#REF!</v>
      </c>
      <c r="QU247" s="29" t="e">
        <f t="shared" si="52"/>
        <v>#REF!</v>
      </c>
      <c r="QV247" s="29" t="e">
        <f t="shared" si="52"/>
        <v>#REF!</v>
      </c>
      <c r="QW247" s="29" t="e">
        <f t="shared" ref="QW247:TH247" si="53">RA247&amp;RB247</f>
        <v>#REF!</v>
      </c>
      <c r="QX247" s="29" t="e">
        <f t="shared" si="53"/>
        <v>#REF!</v>
      </c>
      <c r="QY247" s="29" t="e">
        <f t="shared" si="53"/>
        <v>#REF!</v>
      </c>
      <c r="QZ247" s="29" t="e">
        <f t="shared" si="53"/>
        <v>#REF!</v>
      </c>
      <c r="RA247" s="29" t="e">
        <f t="shared" si="53"/>
        <v>#REF!</v>
      </c>
      <c r="RB247" s="29" t="e">
        <f t="shared" si="53"/>
        <v>#REF!</v>
      </c>
      <c r="RC247" s="29" t="e">
        <f t="shared" si="53"/>
        <v>#REF!</v>
      </c>
      <c r="RD247" s="29" t="e">
        <f t="shared" si="53"/>
        <v>#REF!</v>
      </c>
      <c r="RE247" s="29" t="e">
        <f t="shared" si="53"/>
        <v>#REF!</v>
      </c>
      <c r="RF247" s="29" t="e">
        <f t="shared" si="53"/>
        <v>#REF!</v>
      </c>
      <c r="RG247" s="29" t="e">
        <f t="shared" si="53"/>
        <v>#REF!</v>
      </c>
      <c r="RH247" s="29" t="e">
        <f t="shared" si="53"/>
        <v>#REF!</v>
      </c>
      <c r="RI247" s="29" t="e">
        <f t="shared" si="53"/>
        <v>#REF!</v>
      </c>
      <c r="RJ247" s="29" t="e">
        <f t="shared" si="53"/>
        <v>#REF!</v>
      </c>
      <c r="RK247" s="29" t="e">
        <f t="shared" si="53"/>
        <v>#REF!</v>
      </c>
      <c r="RL247" s="29" t="e">
        <f t="shared" si="53"/>
        <v>#REF!</v>
      </c>
      <c r="RM247" s="29" t="e">
        <f t="shared" si="53"/>
        <v>#REF!</v>
      </c>
      <c r="RN247" s="29" t="e">
        <f t="shared" si="53"/>
        <v>#REF!</v>
      </c>
      <c r="RO247" s="29" t="e">
        <f t="shared" si="53"/>
        <v>#REF!</v>
      </c>
      <c r="RP247" s="29" t="e">
        <f t="shared" si="53"/>
        <v>#REF!</v>
      </c>
      <c r="RQ247" s="29" t="e">
        <f t="shared" si="53"/>
        <v>#REF!</v>
      </c>
      <c r="RR247" s="29" t="e">
        <f t="shared" si="53"/>
        <v>#REF!</v>
      </c>
      <c r="RS247" s="29" t="e">
        <f t="shared" si="53"/>
        <v>#REF!</v>
      </c>
      <c r="RT247" s="29" t="e">
        <f t="shared" si="53"/>
        <v>#REF!</v>
      </c>
      <c r="RU247" s="29" t="e">
        <f t="shared" si="53"/>
        <v>#REF!</v>
      </c>
      <c r="RV247" s="29" t="e">
        <f t="shared" si="53"/>
        <v>#REF!</v>
      </c>
      <c r="RW247" s="29" t="e">
        <f t="shared" si="53"/>
        <v>#REF!</v>
      </c>
      <c r="RX247" s="29" t="e">
        <f t="shared" si="53"/>
        <v>#REF!</v>
      </c>
      <c r="RY247" s="29" t="e">
        <f t="shared" si="53"/>
        <v>#REF!</v>
      </c>
      <c r="RZ247" s="29" t="e">
        <f t="shared" si="53"/>
        <v>#REF!</v>
      </c>
      <c r="SA247" s="29" t="e">
        <f t="shared" si="53"/>
        <v>#REF!</v>
      </c>
      <c r="SB247" s="29" t="e">
        <f t="shared" si="53"/>
        <v>#REF!</v>
      </c>
      <c r="SC247" s="29" t="e">
        <f t="shared" si="53"/>
        <v>#REF!</v>
      </c>
      <c r="SD247" s="29" t="e">
        <f t="shared" si="53"/>
        <v>#REF!</v>
      </c>
      <c r="SE247" s="29" t="e">
        <f t="shared" si="53"/>
        <v>#REF!</v>
      </c>
      <c r="SF247" s="29" t="e">
        <f t="shared" si="53"/>
        <v>#REF!</v>
      </c>
      <c r="SG247" s="29" t="e">
        <f t="shared" si="53"/>
        <v>#REF!</v>
      </c>
      <c r="SH247" s="29" t="e">
        <f t="shared" si="53"/>
        <v>#REF!</v>
      </c>
      <c r="SI247" s="29" t="e">
        <f t="shared" si="53"/>
        <v>#REF!</v>
      </c>
      <c r="SJ247" s="29" t="e">
        <f t="shared" si="53"/>
        <v>#REF!</v>
      </c>
      <c r="SK247" s="29" t="e">
        <f t="shared" si="53"/>
        <v>#REF!</v>
      </c>
      <c r="SL247" s="29" t="e">
        <f t="shared" si="53"/>
        <v>#REF!</v>
      </c>
      <c r="SM247" s="29" t="e">
        <f t="shared" si="53"/>
        <v>#REF!</v>
      </c>
      <c r="SN247" s="29" t="e">
        <f t="shared" si="53"/>
        <v>#REF!</v>
      </c>
      <c r="SO247" s="29" t="e">
        <f t="shared" si="53"/>
        <v>#REF!</v>
      </c>
      <c r="SP247" s="29" t="e">
        <f t="shared" si="53"/>
        <v>#REF!</v>
      </c>
      <c r="SQ247" s="29" t="e">
        <f t="shared" si="53"/>
        <v>#REF!</v>
      </c>
      <c r="SR247" s="29" t="e">
        <f t="shared" si="53"/>
        <v>#REF!</v>
      </c>
      <c r="SS247" s="29" t="e">
        <f t="shared" si="53"/>
        <v>#REF!</v>
      </c>
      <c r="ST247" s="29" t="e">
        <f t="shared" si="53"/>
        <v>#REF!</v>
      </c>
      <c r="SU247" s="29" t="e">
        <f t="shared" si="53"/>
        <v>#REF!</v>
      </c>
      <c r="SV247" s="29" t="e">
        <f t="shared" si="53"/>
        <v>#REF!</v>
      </c>
      <c r="SW247" s="29" t="e">
        <f t="shared" si="53"/>
        <v>#REF!</v>
      </c>
      <c r="SX247" s="29" t="e">
        <f t="shared" si="53"/>
        <v>#REF!</v>
      </c>
      <c r="SY247" s="29" t="e">
        <f t="shared" si="53"/>
        <v>#REF!</v>
      </c>
      <c r="SZ247" s="29" t="e">
        <f t="shared" si="53"/>
        <v>#REF!</v>
      </c>
      <c r="TA247" s="29" t="e">
        <f t="shared" si="53"/>
        <v>#REF!</v>
      </c>
      <c r="TB247" s="29" t="e">
        <f t="shared" si="53"/>
        <v>#REF!</v>
      </c>
      <c r="TC247" s="29" t="e">
        <f t="shared" si="53"/>
        <v>#REF!</v>
      </c>
      <c r="TD247" s="29" t="e">
        <f t="shared" si="53"/>
        <v>#REF!</v>
      </c>
      <c r="TE247" s="29" t="e">
        <f t="shared" si="53"/>
        <v>#REF!</v>
      </c>
      <c r="TF247" s="29" t="e">
        <f t="shared" si="53"/>
        <v>#REF!</v>
      </c>
      <c r="TG247" s="29" t="e">
        <f t="shared" si="53"/>
        <v>#REF!</v>
      </c>
      <c r="TH247" s="29" t="e">
        <f t="shared" si="53"/>
        <v>#REF!</v>
      </c>
      <c r="TI247" s="29" t="e">
        <f t="shared" ref="TI247:VT247" si="54">TM247&amp;TN247</f>
        <v>#REF!</v>
      </c>
      <c r="TJ247" s="29" t="e">
        <f t="shared" si="54"/>
        <v>#REF!</v>
      </c>
      <c r="TK247" s="29" t="e">
        <f t="shared" si="54"/>
        <v>#REF!</v>
      </c>
      <c r="TL247" s="29" t="e">
        <f t="shared" si="54"/>
        <v>#REF!</v>
      </c>
      <c r="TM247" s="29" t="e">
        <f t="shared" si="54"/>
        <v>#REF!</v>
      </c>
      <c r="TN247" s="29" t="e">
        <f t="shared" si="54"/>
        <v>#REF!</v>
      </c>
      <c r="TO247" s="29" t="e">
        <f t="shared" si="54"/>
        <v>#REF!</v>
      </c>
      <c r="TP247" s="29" t="e">
        <f t="shared" si="54"/>
        <v>#REF!</v>
      </c>
      <c r="TQ247" s="29" t="e">
        <f t="shared" si="54"/>
        <v>#REF!</v>
      </c>
      <c r="TR247" s="29" t="e">
        <f t="shared" si="54"/>
        <v>#REF!</v>
      </c>
      <c r="TS247" s="29" t="e">
        <f t="shared" si="54"/>
        <v>#REF!</v>
      </c>
      <c r="TT247" s="29" t="e">
        <f t="shared" si="54"/>
        <v>#REF!</v>
      </c>
      <c r="TU247" s="29" t="e">
        <f t="shared" si="54"/>
        <v>#REF!</v>
      </c>
      <c r="TV247" s="29" t="e">
        <f t="shared" si="54"/>
        <v>#REF!</v>
      </c>
      <c r="TW247" s="29" t="e">
        <f t="shared" si="54"/>
        <v>#REF!</v>
      </c>
      <c r="TX247" s="29" t="e">
        <f t="shared" si="54"/>
        <v>#REF!</v>
      </c>
      <c r="TY247" s="29" t="e">
        <f t="shared" si="54"/>
        <v>#REF!</v>
      </c>
      <c r="TZ247" s="29" t="e">
        <f t="shared" si="54"/>
        <v>#REF!</v>
      </c>
      <c r="UA247" s="29" t="e">
        <f t="shared" si="54"/>
        <v>#REF!</v>
      </c>
      <c r="UB247" s="29" t="e">
        <f t="shared" si="54"/>
        <v>#REF!</v>
      </c>
      <c r="UC247" s="29" t="e">
        <f t="shared" si="54"/>
        <v>#REF!</v>
      </c>
      <c r="UD247" s="29" t="e">
        <f t="shared" si="54"/>
        <v>#REF!</v>
      </c>
      <c r="UE247" s="29" t="e">
        <f t="shared" si="54"/>
        <v>#REF!</v>
      </c>
      <c r="UF247" s="29" t="e">
        <f t="shared" si="54"/>
        <v>#REF!</v>
      </c>
      <c r="UG247" s="29" t="e">
        <f t="shared" si="54"/>
        <v>#REF!</v>
      </c>
      <c r="UH247" s="29" t="e">
        <f t="shared" si="54"/>
        <v>#REF!</v>
      </c>
      <c r="UI247" s="29" t="e">
        <f t="shared" si="54"/>
        <v>#REF!</v>
      </c>
      <c r="UJ247" s="29" t="e">
        <f t="shared" si="54"/>
        <v>#REF!</v>
      </c>
      <c r="UK247" s="29" t="e">
        <f t="shared" si="54"/>
        <v>#REF!</v>
      </c>
      <c r="UL247" s="29" t="e">
        <f t="shared" si="54"/>
        <v>#REF!</v>
      </c>
      <c r="UM247" s="29" t="e">
        <f t="shared" si="54"/>
        <v>#REF!</v>
      </c>
      <c r="UN247" s="29" t="e">
        <f t="shared" si="54"/>
        <v>#REF!</v>
      </c>
      <c r="UO247" s="29" t="e">
        <f t="shared" si="54"/>
        <v>#REF!</v>
      </c>
      <c r="UP247" s="29" t="e">
        <f t="shared" si="54"/>
        <v>#REF!</v>
      </c>
      <c r="UQ247" s="29" t="e">
        <f t="shared" si="54"/>
        <v>#REF!</v>
      </c>
      <c r="UR247" s="29" t="e">
        <f t="shared" si="54"/>
        <v>#REF!</v>
      </c>
      <c r="US247" s="29" t="e">
        <f t="shared" si="54"/>
        <v>#REF!</v>
      </c>
      <c r="UT247" s="29" t="e">
        <f t="shared" si="54"/>
        <v>#REF!</v>
      </c>
      <c r="UU247" s="29" t="e">
        <f t="shared" si="54"/>
        <v>#REF!</v>
      </c>
      <c r="UV247" s="29" t="e">
        <f t="shared" si="54"/>
        <v>#REF!</v>
      </c>
      <c r="UW247" s="29" t="e">
        <f t="shared" si="54"/>
        <v>#REF!</v>
      </c>
      <c r="UX247" s="29" t="e">
        <f t="shared" si="54"/>
        <v>#REF!</v>
      </c>
      <c r="UY247" s="29" t="e">
        <f t="shared" si="54"/>
        <v>#REF!</v>
      </c>
      <c r="UZ247" s="29" t="e">
        <f t="shared" si="54"/>
        <v>#REF!</v>
      </c>
      <c r="VA247" s="29" t="e">
        <f t="shared" si="54"/>
        <v>#REF!</v>
      </c>
      <c r="VB247" s="29" t="e">
        <f t="shared" si="54"/>
        <v>#REF!</v>
      </c>
      <c r="VC247" s="29" t="e">
        <f t="shared" si="54"/>
        <v>#REF!</v>
      </c>
      <c r="VD247" s="29" t="e">
        <f t="shared" si="54"/>
        <v>#REF!</v>
      </c>
      <c r="VE247" s="29" t="e">
        <f t="shared" si="54"/>
        <v>#REF!</v>
      </c>
      <c r="VF247" s="29" t="e">
        <f t="shared" si="54"/>
        <v>#REF!</v>
      </c>
      <c r="VG247" s="29" t="e">
        <f t="shared" si="54"/>
        <v>#REF!</v>
      </c>
      <c r="VH247" s="29" t="e">
        <f t="shared" si="54"/>
        <v>#REF!</v>
      </c>
      <c r="VI247" s="29" t="e">
        <f t="shared" si="54"/>
        <v>#REF!</v>
      </c>
      <c r="VJ247" s="29" t="e">
        <f t="shared" si="54"/>
        <v>#REF!</v>
      </c>
      <c r="VK247" s="29" t="e">
        <f t="shared" si="54"/>
        <v>#REF!</v>
      </c>
      <c r="VL247" s="29" t="e">
        <f t="shared" si="54"/>
        <v>#REF!</v>
      </c>
      <c r="VM247" s="29" t="e">
        <f t="shared" si="54"/>
        <v>#REF!</v>
      </c>
      <c r="VN247" s="29" t="e">
        <f t="shared" si="54"/>
        <v>#REF!</v>
      </c>
      <c r="VO247" s="29" t="e">
        <f t="shared" si="54"/>
        <v>#REF!</v>
      </c>
      <c r="VP247" s="29" t="e">
        <f t="shared" si="54"/>
        <v>#REF!</v>
      </c>
      <c r="VQ247" s="29" t="e">
        <f t="shared" si="54"/>
        <v>#REF!</v>
      </c>
      <c r="VR247" s="29" t="e">
        <f t="shared" si="54"/>
        <v>#REF!</v>
      </c>
      <c r="VS247" s="29" t="e">
        <f t="shared" si="54"/>
        <v>#REF!</v>
      </c>
      <c r="VT247" s="29" t="e">
        <f t="shared" si="54"/>
        <v>#REF!</v>
      </c>
      <c r="VU247" s="29" t="e">
        <f t="shared" ref="VU247:YF247" si="55">VY247&amp;VZ247</f>
        <v>#REF!</v>
      </c>
      <c r="VV247" s="29" t="e">
        <f t="shared" si="55"/>
        <v>#REF!</v>
      </c>
      <c r="VW247" s="29" t="e">
        <f t="shared" si="55"/>
        <v>#REF!</v>
      </c>
      <c r="VX247" s="29" t="e">
        <f t="shared" si="55"/>
        <v>#REF!</v>
      </c>
      <c r="VY247" s="29" t="e">
        <f t="shared" si="55"/>
        <v>#REF!</v>
      </c>
      <c r="VZ247" s="29" t="e">
        <f t="shared" si="55"/>
        <v>#REF!</v>
      </c>
      <c r="WA247" s="29" t="e">
        <f t="shared" si="55"/>
        <v>#REF!</v>
      </c>
      <c r="WB247" s="29" t="e">
        <f t="shared" si="55"/>
        <v>#REF!</v>
      </c>
      <c r="WC247" s="29" t="e">
        <f t="shared" si="55"/>
        <v>#REF!</v>
      </c>
      <c r="WD247" s="29" t="e">
        <f t="shared" si="55"/>
        <v>#REF!</v>
      </c>
      <c r="WE247" s="29" t="e">
        <f t="shared" si="55"/>
        <v>#REF!</v>
      </c>
      <c r="WF247" s="29" t="e">
        <f t="shared" si="55"/>
        <v>#REF!</v>
      </c>
      <c r="WG247" s="29" t="e">
        <f t="shared" si="55"/>
        <v>#REF!</v>
      </c>
      <c r="WH247" s="29" t="e">
        <f t="shared" si="55"/>
        <v>#REF!</v>
      </c>
      <c r="WI247" s="29" t="e">
        <f t="shared" si="55"/>
        <v>#REF!</v>
      </c>
      <c r="WJ247" s="29" t="e">
        <f t="shared" si="55"/>
        <v>#REF!</v>
      </c>
      <c r="WK247" s="29" t="e">
        <f t="shared" si="55"/>
        <v>#REF!</v>
      </c>
      <c r="WL247" s="29" t="e">
        <f t="shared" si="55"/>
        <v>#REF!</v>
      </c>
      <c r="WM247" s="29" t="e">
        <f t="shared" si="55"/>
        <v>#REF!</v>
      </c>
      <c r="WN247" s="29" t="e">
        <f t="shared" si="55"/>
        <v>#REF!</v>
      </c>
      <c r="WO247" s="29" t="e">
        <f t="shared" si="55"/>
        <v>#REF!</v>
      </c>
      <c r="WP247" s="29" t="e">
        <f t="shared" si="55"/>
        <v>#REF!</v>
      </c>
      <c r="WQ247" s="29" t="e">
        <f t="shared" si="55"/>
        <v>#REF!</v>
      </c>
      <c r="WR247" s="29" t="e">
        <f t="shared" si="55"/>
        <v>#REF!</v>
      </c>
      <c r="WS247" s="29" t="e">
        <f t="shared" si="55"/>
        <v>#REF!</v>
      </c>
      <c r="WT247" s="29" t="e">
        <f t="shared" si="55"/>
        <v>#REF!</v>
      </c>
      <c r="WU247" s="29" t="e">
        <f t="shared" si="55"/>
        <v>#REF!</v>
      </c>
      <c r="WV247" s="29" t="e">
        <f t="shared" si="55"/>
        <v>#REF!</v>
      </c>
      <c r="WW247" s="29" t="e">
        <f t="shared" si="55"/>
        <v>#REF!</v>
      </c>
      <c r="WX247" s="29" t="e">
        <f t="shared" si="55"/>
        <v>#REF!</v>
      </c>
      <c r="WY247" s="29" t="e">
        <f t="shared" si="55"/>
        <v>#REF!</v>
      </c>
      <c r="WZ247" s="29" t="e">
        <f t="shared" si="55"/>
        <v>#REF!</v>
      </c>
      <c r="XA247" s="29" t="e">
        <f t="shared" si="55"/>
        <v>#REF!</v>
      </c>
      <c r="XB247" s="29" t="e">
        <f t="shared" si="55"/>
        <v>#REF!</v>
      </c>
      <c r="XC247" s="29" t="e">
        <f t="shared" si="55"/>
        <v>#REF!</v>
      </c>
      <c r="XD247" s="29" t="e">
        <f t="shared" si="55"/>
        <v>#REF!</v>
      </c>
      <c r="XE247" s="29" t="e">
        <f t="shared" si="55"/>
        <v>#REF!</v>
      </c>
      <c r="XF247" s="29" t="e">
        <f t="shared" si="55"/>
        <v>#REF!</v>
      </c>
      <c r="XG247" s="29" t="e">
        <f t="shared" si="55"/>
        <v>#REF!</v>
      </c>
      <c r="XH247" s="29" t="e">
        <f t="shared" si="55"/>
        <v>#REF!</v>
      </c>
      <c r="XI247" s="29" t="e">
        <f t="shared" si="55"/>
        <v>#REF!</v>
      </c>
      <c r="XJ247" s="29" t="e">
        <f t="shared" si="55"/>
        <v>#REF!</v>
      </c>
      <c r="XK247" s="29" t="e">
        <f t="shared" si="55"/>
        <v>#REF!</v>
      </c>
      <c r="XL247" s="29" t="e">
        <f t="shared" si="55"/>
        <v>#REF!</v>
      </c>
      <c r="XM247" s="29" t="e">
        <f t="shared" si="55"/>
        <v>#REF!</v>
      </c>
      <c r="XN247" s="29" t="e">
        <f t="shared" si="55"/>
        <v>#REF!</v>
      </c>
      <c r="XO247" s="29" t="e">
        <f t="shared" si="55"/>
        <v>#REF!</v>
      </c>
      <c r="XP247" s="29" t="e">
        <f t="shared" si="55"/>
        <v>#REF!</v>
      </c>
      <c r="XQ247" s="29" t="e">
        <f t="shared" si="55"/>
        <v>#REF!</v>
      </c>
      <c r="XR247" s="29" t="e">
        <f t="shared" si="55"/>
        <v>#REF!</v>
      </c>
      <c r="XS247" s="29" t="e">
        <f t="shared" si="55"/>
        <v>#REF!</v>
      </c>
      <c r="XT247" s="29" t="e">
        <f t="shared" si="55"/>
        <v>#REF!</v>
      </c>
      <c r="XU247" s="29" t="e">
        <f t="shared" si="55"/>
        <v>#REF!</v>
      </c>
      <c r="XV247" s="29" t="e">
        <f t="shared" si="55"/>
        <v>#REF!</v>
      </c>
      <c r="XW247" s="29" t="e">
        <f t="shared" si="55"/>
        <v>#REF!</v>
      </c>
      <c r="XX247" s="29" t="e">
        <f t="shared" si="55"/>
        <v>#REF!</v>
      </c>
      <c r="XY247" s="29" t="e">
        <f t="shared" si="55"/>
        <v>#REF!</v>
      </c>
      <c r="XZ247" s="29" t="e">
        <f t="shared" si="55"/>
        <v>#REF!</v>
      </c>
      <c r="YA247" s="29" t="e">
        <f t="shared" si="55"/>
        <v>#REF!</v>
      </c>
      <c r="YB247" s="29" t="e">
        <f t="shared" si="55"/>
        <v>#REF!</v>
      </c>
      <c r="YC247" s="29" t="e">
        <f t="shared" si="55"/>
        <v>#REF!</v>
      </c>
      <c r="YD247" s="29" t="e">
        <f t="shared" si="55"/>
        <v>#REF!</v>
      </c>
      <c r="YE247" s="29" t="e">
        <f t="shared" si="55"/>
        <v>#REF!</v>
      </c>
      <c r="YF247" s="29" t="e">
        <f t="shared" si="55"/>
        <v>#REF!</v>
      </c>
      <c r="YG247" s="29" t="e">
        <f t="shared" ref="YG247:AAR247" si="56">YK247&amp;YL247</f>
        <v>#REF!</v>
      </c>
      <c r="YH247" s="29" t="e">
        <f t="shared" si="56"/>
        <v>#REF!</v>
      </c>
      <c r="YI247" s="29" t="e">
        <f t="shared" si="56"/>
        <v>#REF!</v>
      </c>
      <c r="YJ247" s="29" t="e">
        <f t="shared" si="56"/>
        <v>#REF!</v>
      </c>
      <c r="YK247" s="29" t="e">
        <f t="shared" si="56"/>
        <v>#REF!</v>
      </c>
      <c r="YL247" s="29" t="e">
        <f t="shared" si="56"/>
        <v>#REF!</v>
      </c>
      <c r="YM247" s="29" t="e">
        <f t="shared" si="56"/>
        <v>#REF!</v>
      </c>
      <c r="YN247" s="29" t="e">
        <f t="shared" si="56"/>
        <v>#REF!</v>
      </c>
      <c r="YO247" s="29" t="e">
        <f t="shared" si="56"/>
        <v>#REF!</v>
      </c>
      <c r="YP247" s="29" t="e">
        <f t="shared" si="56"/>
        <v>#REF!</v>
      </c>
      <c r="YQ247" s="29" t="e">
        <f t="shared" si="56"/>
        <v>#REF!</v>
      </c>
      <c r="YR247" s="29" t="e">
        <f t="shared" si="56"/>
        <v>#REF!</v>
      </c>
      <c r="YS247" s="29" t="e">
        <f t="shared" si="56"/>
        <v>#REF!</v>
      </c>
      <c r="YT247" s="29" t="e">
        <f t="shared" si="56"/>
        <v>#REF!</v>
      </c>
      <c r="YU247" s="29" t="e">
        <f t="shared" si="56"/>
        <v>#REF!</v>
      </c>
      <c r="YV247" s="29" t="e">
        <f t="shared" si="56"/>
        <v>#REF!</v>
      </c>
      <c r="YW247" s="29" t="e">
        <f t="shared" si="56"/>
        <v>#REF!</v>
      </c>
      <c r="YX247" s="29" t="e">
        <f t="shared" si="56"/>
        <v>#REF!</v>
      </c>
      <c r="YY247" s="29" t="e">
        <f t="shared" si="56"/>
        <v>#REF!</v>
      </c>
      <c r="YZ247" s="29" t="e">
        <f t="shared" si="56"/>
        <v>#REF!</v>
      </c>
      <c r="ZA247" s="29" t="e">
        <f t="shared" si="56"/>
        <v>#REF!</v>
      </c>
      <c r="ZB247" s="29" t="e">
        <f t="shared" si="56"/>
        <v>#REF!</v>
      </c>
      <c r="ZC247" s="29" t="e">
        <f t="shared" si="56"/>
        <v>#REF!</v>
      </c>
      <c r="ZD247" s="29" t="e">
        <f t="shared" si="56"/>
        <v>#REF!</v>
      </c>
      <c r="ZE247" s="29" t="e">
        <f t="shared" si="56"/>
        <v>#REF!</v>
      </c>
      <c r="ZF247" s="29" t="e">
        <f t="shared" si="56"/>
        <v>#REF!</v>
      </c>
      <c r="ZG247" s="29" t="e">
        <f t="shared" si="56"/>
        <v>#REF!</v>
      </c>
      <c r="ZH247" s="29" t="e">
        <f t="shared" si="56"/>
        <v>#REF!</v>
      </c>
      <c r="ZI247" s="29" t="e">
        <f t="shared" si="56"/>
        <v>#REF!</v>
      </c>
      <c r="ZJ247" s="29" t="e">
        <f t="shared" si="56"/>
        <v>#REF!</v>
      </c>
      <c r="ZK247" s="29" t="e">
        <f t="shared" si="56"/>
        <v>#REF!</v>
      </c>
      <c r="ZL247" s="29" t="e">
        <f t="shared" si="56"/>
        <v>#REF!</v>
      </c>
      <c r="ZM247" s="29" t="e">
        <f t="shared" si="56"/>
        <v>#REF!</v>
      </c>
      <c r="ZN247" s="29" t="e">
        <f t="shared" si="56"/>
        <v>#REF!</v>
      </c>
      <c r="ZO247" s="29" t="e">
        <f t="shared" si="56"/>
        <v>#REF!</v>
      </c>
      <c r="ZP247" s="29" t="e">
        <f t="shared" si="56"/>
        <v>#REF!</v>
      </c>
      <c r="ZQ247" s="29" t="e">
        <f t="shared" si="56"/>
        <v>#REF!</v>
      </c>
      <c r="ZR247" s="29" t="e">
        <f t="shared" si="56"/>
        <v>#REF!</v>
      </c>
      <c r="ZS247" s="29" t="e">
        <f t="shared" si="56"/>
        <v>#REF!</v>
      </c>
      <c r="ZT247" s="29" t="e">
        <f t="shared" si="56"/>
        <v>#REF!</v>
      </c>
      <c r="ZU247" s="29" t="e">
        <f t="shared" si="56"/>
        <v>#REF!</v>
      </c>
      <c r="ZV247" s="29" t="e">
        <f t="shared" si="56"/>
        <v>#REF!</v>
      </c>
      <c r="ZW247" s="29" t="e">
        <f t="shared" si="56"/>
        <v>#REF!</v>
      </c>
      <c r="ZX247" s="29" t="e">
        <f t="shared" si="56"/>
        <v>#REF!</v>
      </c>
      <c r="ZY247" s="29" t="e">
        <f t="shared" si="56"/>
        <v>#REF!</v>
      </c>
      <c r="ZZ247" s="29" t="e">
        <f t="shared" si="56"/>
        <v>#REF!</v>
      </c>
      <c r="AAA247" s="29" t="e">
        <f t="shared" si="56"/>
        <v>#REF!</v>
      </c>
      <c r="AAB247" s="29" t="e">
        <f t="shared" si="56"/>
        <v>#REF!</v>
      </c>
      <c r="AAC247" s="29" t="e">
        <f t="shared" si="56"/>
        <v>#REF!</v>
      </c>
      <c r="AAD247" s="29" t="e">
        <f t="shared" si="56"/>
        <v>#REF!</v>
      </c>
      <c r="AAE247" s="29" t="e">
        <f t="shared" si="56"/>
        <v>#REF!</v>
      </c>
      <c r="AAF247" s="29" t="e">
        <f t="shared" si="56"/>
        <v>#REF!</v>
      </c>
      <c r="AAG247" s="29" t="e">
        <f t="shared" si="56"/>
        <v>#REF!</v>
      </c>
      <c r="AAH247" s="29" t="e">
        <f t="shared" si="56"/>
        <v>#REF!</v>
      </c>
      <c r="AAI247" s="29" t="e">
        <f t="shared" si="56"/>
        <v>#REF!</v>
      </c>
      <c r="AAJ247" s="29" t="e">
        <f t="shared" si="56"/>
        <v>#REF!</v>
      </c>
      <c r="AAK247" s="29" t="e">
        <f t="shared" si="56"/>
        <v>#REF!</v>
      </c>
      <c r="AAL247" s="29" t="e">
        <f t="shared" si="56"/>
        <v>#REF!</v>
      </c>
      <c r="AAM247" s="29" t="e">
        <f t="shared" si="56"/>
        <v>#REF!</v>
      </c>
      <c r="AAN247" s="29" t="e">
        <f t="shared" si="56"/>
        <v>#REF!</v>
      </c>
      <c r="AAO247" s="29" t="e">
        <f t="shared" si="56"/>
        <v>#REF!</v>
      </c>
      <c r="AAP247" s="29" t="e">
        <f t="shared" si="56"/>
        <v>#REF!</v>
      </c>
      <c r="AAQ247" s="29" t="e">
        <f t="shared" si="56"/>
        <v>#REF!</v>
      </c>
      <c r="AAR247" s="29" t="e">
        <f t="shared" si="56"/>
        <v>#REF!</v>
      </c>
      <c r="AAS247" s="29" t="e">
        <f t="shared" ref="AAS247:ADD247" si="57">AAW247&amp;AAX247</f>
        <v>#REF!</v>
      </c>
      <c r="AAT247" s="29" t="e">
        <f t="shared" si="57"/>
        <v>#REF!</v>
      </c>
      <c r="AAU247" s="29" t="e">
        <f t="shared" si="57"/>
        <v>#REF!</v>
      </c>
      <c r="AAV247" s="29" t="e">
        <f t="shared" si="57"/>
        <v>#REF!</v>
      </c>
      <c r="AAW247" s="29" t="e">
        <f t="shared" si="57"/>
        <v>#REF!</v>
      </c>
      <c r="AAX247" s="29" t="e">
        <f t="shared" si="57"/>
        <v>#REF!</v>
      </c>
      <c r="AAY247" s="29" t="e">
        <f t="shared" si="57"/>
        <v>#REF!</v>
      </c>
      <c r="AAZ247" s="29" t="e">
        <f t="shared" si="57"/>
        <v>#REF!</v>
      </c>
      <c r="ABA247" s="29" t="e">
        <f t="shared" si="57"/>
        <v>#REF!</v>
      </c>
      <c r="ABB247" s="29" t="e">
        <f t="shared" si="57"/>
        <v>#REF!</v>
      </c>
      <c r="ABC247" s="29" t="e">
        <f t="shared" si="57"/>
        <v>#REF!</v>
      </c>
      <c r="ABD247" s="29" t="e">
        <f t="shared" si="57"/>
        <v>#REF!</v>
      </c>
      <c r="ABE247" s="29" t="e">
        <f t="shared" si="57"/>
        <v>#REF!</v>
      </c>
      <c r="ABF247" s="29" t="e">
        <f t="shared" si="57"/>
        <v>#REF!</v>
      </c>
      <c r="ABG247" s="29" t="e">
        <f t="shared" si="57"/>
        <v>#REF!</v>
      </c>
      <c r="ABH247" s="29" t="e">
        <f t="shared" si="57"/>
        <v>#REF!</v>
      </c>
      <c r="ABI247" s="29" t="e">
        <f t="shared" si="57"/>
        <v>#REF!</v>
      </c>
      <c r="ABJ247" s="29" t="e">
        <f t="shared" si="57"/>
        <v>#REF!</v>
      </c>
      <c r="ABK247" s="29" t="e">
        <f t="shared" si="57"/>
        <v>#REF!</v>
      </c>
      <c r="ABL247" s="29" t="e">
        <f t="shared" si="57"/>
        <v>#REF!</v>
      </c>
      <c r="ABM247" s="29" t="e">
        <f t="shared" si="57"/>
        <v>#REF!</v>
      </c>
      <c r="ABN247" s="29" t="e">
        <f t="shared" si="57"/>
        <v>#REF!</v>
      </c>
      <c r="ABO247" s="29" t="e">
        <f t="shared" si="57"/>
        <v>#REF!</v>
      </c>
      <c r="ABP247" s="29" t="e">
        <f t="shared" si="57"/>
        <v>#REF!</v>
      </c>
      <c r="ABQ247" s="29" t="e">
        <f t="shared" si="57"/>
        <v>#REF!</v>
      </c>
      <c r="ABR247" s="29" t="e">
        <f t="shared" si="57"/>
        <v>#REF!</v>
      </c>
      <c r="ABS247" s="29" t="e">
        <f t="shared" si="57"/>
        <v>#REF!</v>
      </c>
      <c r="ABT247" s="29" t="e">
        <f t="shared" si="57"/>
        <v>#REF!</v>
      </c>
      <c r="ABU247" s="29" t="e">
        <f t="shared" si="57"/>
        <v>#REF!</v>
      </c>
      <c r="ABV247" s="29" t="e">
        <f t="shared" si="57"/>
        <v>#REF!</v>
      </c>
      <c r="ABW247" s="29" t="e">
        <f t="shared" si="57"/>
        <v>#REF!</v>
      </c>
      <c r="ABX247" s="29" t="e">
        <f t="shared" si="57"/>
        <v>#REF!</v>
      </c>
      <c r="ABY247" s="29" t="e">
        <f t="shared" si="57"/>
        <v>#REF!</v>
      </c>
      <c r="ABZ247" s="29" t="e">
        <f t="shared" si="57"/>
        <v>#REF!</v>
      </c>
      <c r="ACA247" s="29" t="e">
        <f t="shared" si="57"/>
        <v>#REF!</v>
      </c>
      <c r="ACB247" s="29" t="e">
        <f t="shared" si="57"/>
        <v>#REF!</v>
      </c>
      <c r="ACC247" s="29" t="e">
        <f t="shared" si="57"/>
        <v>#REF!</v>
      </c>
      <c r="ACD247" s="29" t="e">
        <f t="shared" si="57"/>
        <v>#REF!</v>
      </c>
      <c r="ACE247" s="29" t="e">
        <f t="shared" si="57"/>
        <v>#REF!</v>
      </c>
      <c r="ACF247" s="29" t="e">
        <f t="shared" si="57"/>
        <v>#REF!</v>
      </c>
      <c r="ACG247" s="29" t="e">
        <f t="shared" si="57"/>
        <v>#REF!</v>
      </c>
      <c r="ACH247" s="29" t="e">
        <f t="shared" si="57"/>
        <v>#REF!</v>
      </c>
      <c r="ACI247" s="29" t="e">
        <f t="shared" si="57"/>
        <v>#REF!</v>
      </c>
      <c r="ACJ247" s="29" t="e">
        <f t="shared" si="57"/>
        <v>#REF!</v>
      </c>
      <c r="ACK247" s="29" t="e">
        <f t="shared" si="57"/>
        <v>#REF!</v>
      </c>
      <c r="ACL247" s="29" t="e">
        <f t="shared" si="57"/>
        <v>#REF!</v>
      </c>
      <c r="ACM247" s="29" t="e">
        <f t="shared" si="57"/>
        <v>#REF!</v>
      </c>
      <c r="ACN247" s="29" t="e">
        <f t="shared" si="57"/>
        <v>#REF!</v>
      </c>
      <c r="ACO247" s="29" t="e">
        <f t="shared" si="57"/>
        <v>#REF!</v>
      </c>
      <c r="ACP247" s="29" t="e">
        <f t="shared" si="57"/>
        <v>#REF!</v>
      </c>
      <c r="ACQ247" s="29" t="e">
        <f t="shared" si="57"/>
        <v>#REF!</v>
      </c>
      <c r="ACR247" s="29" t="e">
        <f t="shared" si="57"/>
        <v>#REF!</v>
      </c>
      <c r="ACS247" s="29" t="e">
        <f t="shared" si="57"/>
        <v>#REF!</v>
      </c>
      <c r="ACT247" s="29" t="e">
        <f t="shared" si="57"/>
        <v>#REF!</v>
      </c>
      <c r="ACU247" s="29" t="e">
        <f t="shared" si="57"/>
        <v>#REF!</v>
      </c>
      <c r="ACV247" s="29" t="e">
        <f t="shared" si="57"/>
        <v>#REF!</v>
      </c>
      <c r="ACW247" s="29" t="e">
        <f t="shared" si="57"/>
        <v>#REF!</v>
      </c>
      <c r="ACX247" s="29" t="e">
        <f t="shared" si="57"/>
        <v>#REF!</v>
      </c>
      <c r="ACY247" s="29" t="e">
        <f t="shared" si="57"/>
        <v>#REF!</v>
      </c>
      <c r="ACZ247" s="29" t="e">
        <f t="shared" si="57"/>
        <v>#REF!</v>
      </c>
      <c r="ADA247" s="29" t="e">
        <f t="shared" si="57"/>
        <v>#REF!</v>
      </c>
      <c r="ADB247" s="29" t="e">
        <f t="shared" si="57"/>
        <v>#REF!</v>
      </c>
      <c r="ADC247" s="29" t="e">
        <f t="shared" si="57"/>
        <v>#REF!</v>
      </c>
      <c r="ADD247" s="29" t="e">
        <f t="shared" si="57"/>
        <v>#REF!</v>
      </c>
      <c r="ADE247" s="29" t="e">
        <f t="shared" ref="ADE247:AFP247" si="58">ADI247&amp;ADJ247</f>
        <v>#REF!</v>
      </c>
      <c r="ADF247" s="29" t="e">
        <f t="shared" si="58"/>
        <v>#REF!</v>
      </c>
      <c r="ADG247" s="29" t="e">
        <f t="shared" si="58"/>
        <v>#REF!</v>
      </c>
      <c r="ADH247" s="29" t="e">
        <f t="shared" si="58"/>
        <v>#REF!</v>
      </c>
      <c r="ADI247" s="29" t="e">
        <f t="shared" si="58"/>
        <v>#REF!</v>
      </c>
      <c r="ADJ247" s="29" t="e">
        <f t="shared" si="58"/>
        <v>#REF!</v>
      </c>
      <c r="ADK247" s="29" t="e">
        <f t="shared" si="58"/>
        <v>#REF!</v>
      </c>
      <c r="ADL247" s="29" t="e">
        <f t="shared" si="58"/>
        <v>#REF!</v>
      </c>
      <c r="ADM247" s="29" t="e">
        <f t="shared" si="58"/>
        <v>#REF!</v>
      </c>
      <c r="ADN247" s="29" t="e">
        <f t="shared" si="58"/>
        <v>#REF!</v>
      </c>
      <c r="ADO247" s="29" t="e">
        <f t="shared" si="58"/>
        <v>#REF!</v>
      </c>
      <c r="ADP247" s="29" t="e">
        <f t="shared" si="58"/>
        <v>#REF!</v>
      </c>
      <c r="ADQ247" s="29" t="e">
        <f t="shared" si="58"/>
        <v>#REF!</v>
      </c>
      <c r="ADR247" s="29" t="e">
        <f t="shared" si="58"/>
        <v>#REF!</v>
      </c>
      <c r="ADS247" s="29" t="e">
        <f t="shared" si="58"/>
        <v>#REF!</v>
      </c>
      <c r="ADT247" s="29" t="e">
        <f t="shared" si="58"/>
        <v>#REF!</v>
      </c>
      <c r="ADU247" s="29" t="e">
        <f t="shared" si="58"/>
        <v>#REF!</v>
      </c>
      <c r="ADV247" s="29" t="e">
        <f t="shared" si="58"/>
        <v>#REF!</v>
      </c>
      <c r="ADW247" s="29" t="e">
        <f t="shared" si="58"/>
        <v>#REF!</v>
      </c>
      <c r="ADX247" s="29" t="e">
        <f t="shared" si="58"/>
        <v>#REF!</v>
      </c>
      <c r="ADY247" s="29" t="e">
        <f t="shared" si="58"/>
        <v>#REF!</v>
      </c>
      <c r="ADZ247" s="29" t="e">
        <f t="shared" si="58"/>
        <v>#REF!</v>
      </c>
      <c r="AEA247" s="29" t="e">
        <f t="shared" si="58"/>
        <v>#REF!</v>
      </c>
      <c r="AEB247" s="29" t="e">
        <f t="shared" si="58"/>
        <v>#REF!</v>
      </c>
      <c r="AEC247" s="29" t="e">
        <f t="shared" si="58"/>
        <v>#REF!</v>
      </c>
      <c r="AED247" s="29" t="e">
        <f t="shared" si="58"/>
        <v>#REF!</v>
      </c>
      <c r="AEE247" s="29" t="e">
        <f t="shared" si="58"/>
        <v>#REF!</v>
      </c>
      <c r="AEF247" s="29" t="e">
        <f t="shared" si="58"/>
        <v>#REF!</v>
      </c>
      <c r="AEG247" s="29" t="e">
        <f t="shared" si="58"/>
        <v>#REF!</v>
      </c>
      <c r="AEH247" s="29" t="e">
        <f t="shared" si="58"/>
        <v>#REF!</v>
      </c>
      <c r="AEI247" s="29" t="e">
        <f t="shared" si="58"/>
        <v>#REF!</v>
      </c>
      <c r="AEJ247" s="29" t="e">
        <f t="shared" si="58"/>
        <v>#REF!</v>
      </c>
      <c r="AEK247" s="29" t="e">
        <f t="shared" si="58"/>
        <v>#REF!</v>
      </c>
      <c r="AEL247" s="29" t="e">
        <f t="shared" si="58"/>
        <v>#REF!</v>
      </c>
      <c r="AEM247" s="29" t="e">
        <f t="shared" si="58"/>
        <v>#REF!</v>
      </c>
      <c r="AEN247" s="29" t="e">
        <f t="shared" si="58"/>
        <v>#REF!</v>
      </c>
      <c r="AEO247" s="29" t="e">
        <f t="shared" si="58"/>
        <v>#REF!</v>
      </c>
      <c r="AEP247" s="29" t="e">
        <f t="shared" si="58"/>
        <v>#REF!</v>
      </c>
      <c r="AEQ247" s="29" t="e">
        <f t="shared" si="58"/>
        <v>#REF!</v>
      </c>
      <c r="AER247" s="29" t="e">
        <f t="shared" si="58"/>
        <v>#REF!</v>
      </c>
      <c r="AES247" s="29" t="e">
        <f t="shared" si="58"/>
        <v>#REF!</v>
      </c>
      <c r="AET247" s="29" t="e">
        <f t="shared" si="58"/>
        <v>#REF!</v>
      </c>
      <c r="AEU247" s="29" t="e">
        <f t="shared" si="58"/>
        <v>#REF!</v>
      </c>
      <c r="AEV247" s="29" t="e">
        <f t="shared" si="58"/>
        <v>#REF!</v>
      </c>
      <c r="AEW247" s="29" t="e">
        <f t="shared" si="58"/>
        <v>#REF!</v>
      </c>
      <c r="AEX247" s="29" t="e">
        <f t="shared" si="58"/>
        <v>#REF!</v>
      </c>
      <c r="AEY247" s="29" t="e">
        <f t="shared" si="58"/>
        <v>#REF!</v>
      </c>
      <c r="AEZ247" s="29" t="e">
        <f t="shared" si="58"/>
        <v>#REF!</v>
      </c>
      <c r="AFA247" s="29" t="e">
        <f t="shared" si="58"/>
        <v>#REF!</v>
      </c>
      <c r="AFB247" s="29" t="e">
        <f t="shared" si="58"/>
        <v>#REF!</v>
      </c>
      <c r="AFC247" s="29" t="e">
        <f t="shared" si="58"/>
        <v>#REF!</v>
      </c>
      <c r="AFD247" s="29" t="e">
        <f t="shared" si="58"/>
        <v>#REF!</v>
      </c>
      <c r="AFE247" s="29" t="e">
        <f t="shared" si="58"/>
        <v>#REF!</v>
      </c>
      <c r="AFF247" s="29" t="e">
        <f t="shared" si="58"/>
        <v>#REF!</v>
      </c>
      <c r="AFG247" s="29" t="e">
        <f t="shared" si="58"/>
        <v>#REF!</v>
      </c>
      <c r="AFH247" s="29" t="e">
        <f t="shared" si="58"/>
        <v>#REF!</v>
      </c>
      <c r="AFI247" s="29" t="e">
        <f t="shared" si="58"/>
        <v>#REF!</v>
      </c>
      <c r="AFJ247" s="29" t="e">
        <f t="shared" si="58"/>
        <v>#REF!</v>
      </c>
      <c r="AFK247" s="29" t="e">
        <f t="shared" si="58"/>
        <v>#REF!</v>
      </c>
      <c r="AFL247" s="29" t="e">
        <f t="shared" si="58"/>
        <v>#REF!</v>
      </c>
      <c r="AFM247" s="29" t="e">
        <f t="shared" si="58"/>
        <v>#REF!</v>
      </c>
      <c r="AFN247" s="29" t="e">
        <f t="shared" si="58"/>
        <v>#REF!</v>
      </c>
      <c r="AFO247" s="29" t="e">
        <f t="shared" si="58"/>
        <v>#REF!</v>
      </c>
      <c r="AFP247" s="29" t="e">
        <f t="shared" si="58"/>
        <v>#REF!</v>
      </c>
      <c r="AFQ247" s="29" t="e">
        <f t="shared" ref="AFQ247:AIB247" si="59">AFU247&amp;AFV247</f>
        <v>#REF!</v>
      </c>
      <c r="AFR247" s="29" t="e">
        <f t="shared" si="59"/>
        <v>#REF!</v>
      </c>
      <c r="AFS247" s="29" t="e">
        <f t="shared" si="59"/>
        <v>#REF!</v>
      </c>
      <c r="AFT247" s="29" t="e">
        <f t="shared" si="59"/>
        <v>#REF!</v>
      </c>
      <c r="AFU247" s="29" t="e">
        <f t="shared" si="59"/>
        <v>#REF!</v>
      </c>
      <c r="AFV247" s="29" t="e">
        <f t="shared" si="59"/>
        <v>#REF!</v>
      </c>
      <c r="AFW247" s="29" t="e">
        <f t="shared" si="59"/>
        <v>#REF!</v>
      </c>
      <c r="AFX247" s="29" t="e">
        <f t="shared" si="59"/>
        <v>#REF!</v>
      </c>
      <c r="AFY247" s="29" t="e">
        <f t="shared" si="59"/>
        <v>#REF!</v>
      </c>
      <c r="AFZ247" s="29" t="e">
        <f t="shared" si="59"/>
        <v>#REF!</v>
      </c>
      <c r="AGA247" s="29" t="e">
        <f t="shared" si="59"/>
        <v>#REF!</v>
      </c>
      <c r="AGB247" s="29" t="e">
        <f t="shared" si="59"/>
        <v>#REF!</v>
      </c>
      <c r="AGC247" s="29" t="e">
        <f t="shared" si="59"/>
        <v>#REF!</v>
      </c>
      <c r="AGD247" s="29" t="e">
        <f t="shared" si="59"/>
        <v>#REF!</v>
      </c>
      <c r="AGE247" s="29" t="e">
        <f t="shared" si="59"/>
        <v>#REF!</v>
      </c>
      <c r="AGF247" s="29" t="e">
        <f t="shared" si="59"/>
        <v>#REF!</v>
      </c>
      <c r="AGG247" s="29" t="e">
        <f t="shared" si="59"/>
        <v>#REF!</v>
      </c>
      <c r="AGH247" s="29" t="e">
        <f t="shared" si="59"/>
        <v>#REF!</v>
      </c>
      <c r="AGI247" s="29" t="e">
        <f t="shared" si="59"/>
        <v>#REF!</v>
      </c>
      <c r="AGJ247" s="29" t="e">
        <f t="shared" si="59"/>
        <v>#REF!</v>
      </c>
      <c r="AGK247" s="29" t="e">
        <f t="shared" si="59"/>
        <v>#REF!</v>
      </c>
      <c r="AGL247" s="29" t="e">
        <f t="shared" si="59"/>
        <v>#REF!</v>
      </c>
      <c r="AGM247" s="29" t="e">
        <f t="shared" si="59"/>
        <v>#REF!</v>
      </c>
      <c r="AGN247" s="29" t="e">
        <f t="shared" si="59"/>
        <v>#REF!</v>
      </c>
      <c r="AGO247" s="29" t="e">
        <f t="shared" si="59"/>
        <v>#REF!</v>
      </c>
      <c r="AGP247" s="29" t="e">
        <f t="shared" si="59"/>
        <v>#REF!</v>
      </c>
      <c r="AGQ247" s="29" t="e">
        <f t="shared" si="59"/>
        <v>#REF!</v>
      </c>
      <c r="AGR247" s="29" t="e">
        <f t="shared" si="59"/>
        <v>#REF!</v>
      </c>
      <c r="AGS247" s="29" t="e">
        <f t="shared" si="59"/>
        <v>#REF!</v>
      </c>
      <c r="AGT247" s="29" t="e">
        <f t="shared" si="59"/>
        <v>#REF!</v>
      </c>
      <c r="AGU247" s="29" t="e">
        <f t="shared" si="59"/>
        <v>#REF!</v>
      </c>
      <c r="AGV247" s="29" t="e">
        <f t="shared" si="59"/>
        <v>#REF!</v>
      </c>
      <c r="AGW247" s="29" t="e">
        <f t="shared" si="59"/>
        <v>#REF!</v>
      </c>
      <c r="AGX247" s="29" t="e">
        <f t="shared" si="59"/>
        <v>#REF!</v>
      </c>
      <c r="AGY247" s="29" t="e">
        <f t="shared" si="59"/>
        <v>#REF!</v>
      </c>
      <c r="AGZ247" s="29" t="e">
        <f t="shared" si="59"/>
        <v>#REF!</v>
      </c>
      <c r="AHA247" s="29" t="e">
        <f t="shared" si="59"/>
        <v>#REF!</v>
      </c>
      <c r="AHB247" s="29" t="e">
        <f t="shared" si="59"/>
        <v>#REF!</v>
      </c>
      <c r="AHC247" s="29" t="e">
        <f t="shared" si="59"/>
        <v>#REF!</v>
      </c>
      <c r="AHD247" s="29" t="e">
        <f t="shared" si="59"/>
        <v>#REF!</v>
      </c>
      <c r="AHE247" s="29" t="e">
        <f t="shared" si="59"/>
        <v>#REF!</v>
      </c>
      <c r="AHF247" s="29" t="e">
        <f t="shared" si="59"/>
        <v>#REF!</v>
      </c>
      <c r="AHG247" s="29" t="e">
        <f t="shared" si="59"/>
        <v>#REF!</v>
      </c>
      <c r="AHH247" s="29" t="e">
        <f t="shared" si="59"/>
        <v>#REF!</v>
      </c>
      <c r="AHI247" s="29" t="e">
        <f t="shared" si="59"/>
        <v>#REF!</v>
      </c>
      <c r="AHJ247" s="29" t="e">
        <f t="shared" si="59"/>
        <v>#REF!</v>
      </c>
      <c r="AHK247" s="29" t="e">
        <f t="shared" si="59"/>
        <v>#REF!</v>
      </c>
      <c r="AHL247" s="29" t="e">
        <f t="shared" si="59"/>
        <v>#REF!</v>
      </c>
      <c r="AHM247" s="29" t="e">
        <f t="shared" si="59"/>
        <v>#REF!</v>
      </c>
      <c r="AHN247" s="29" t="e">
        <f t="shared" si="59"/>
        <v>#REF!</v>
      </c>
      <c r="AHO247" s="29" t="e">
        <f t="shared" si="59"/>
        <v>#REF!</v>
      </c>
      <c r="AHP247" s="29" t="e">
        <f t="shared" si="59"/>
        <v>#REF!</v>
      </c>
      <c r="AHQ247" s="29" t="e">
        <f t="shared" si="59"/>
        <v>#REF!</v>
      </c>
      <c r="AHR247" s="29" t="e">
        <f t="shared" si="59"/>
        <v>#REF!</v>
      </c>
      <c r="AHS247" s="29" t="e">
        <f t="shared" si="59"/>
        <v>#REF!</v>
      </c>
      <c r="AHT247" s="29" t="e">
        <f t="shared" si="59"/>
        <v>#REF!</v>
      </c>
      <c r="AHU247" s="29" t="e">
        <f t="shared" si="59"/>
        <v>#REF!</v>
      </c>
      <c r="AHV247" s="29" t="e">
        <f t="shared" si="59"/>
        <v>#REF!</v>
      </c>
      <c r="AHW247" s="29" t="e">
        <f t="shared" si="59"/>
        <v>#REF!</v>
      </c>
      <c r="AHX247" s="29" t="e">
        <f t="shared" si="59"/>
        <v>#REF!</v>
      </c>
      <c r="AHY247" s="29" t="e">
        <f t="shared" si="59"/>
        <v>#REF!</v>
      </c>
      <c r="AHZ247" s="29" t="e">
        <f t="shared" si="59"/>
        <v>#REF!</v>
      </c>
      <c r="AIA247" s="29" t="e">
        <f t="shared" si="59"/>
        <v>#REF!</v>
      </c>
      <c r="AIB247" s="29" t="e">
        <f t="shared" si="59"/>
        <v>#REF!</v>
      </c>
      <c r="AIC247" s="29" t="e">
        <f t="shared" ref="AIC247:AKN247" si="60">AIG247&amp;AIH247</f>
        <v>#REF!</v>
      </c>
      <c r="AID247" s="29" t="e">
        <f t="shared" si="60"/>
        <v>#REF!</v>
      </c>
      <c r="AIE247" s="29" t="e">
        <f t="shared" si="60"/>
        <v>#REF!</v>
      </c>
      <c r="AIF247" s="29" t="e">
        <f t="shared" si="60"/>
        <v>#REF!</v>
      </c>
      <c r="AIG247" s="29" t="e">
        <f t="shared" si="60"/>
        <v>#REF!</v>
      </c>
      <c r="AIH247" s="29" t="e">
        <f t="shared" si="60"/>
        <v>#REF!</v>
      </c>
      <c r="AII247" s="29" t="e">
        <f t="shared" si="60"/>
        <v>#REF!</v>
      </c>
      <c r="AIJ247" s="29" t="e">
        <f t="shared" si="60"/>
        <v>#REF!</v>
      </c>
      <c r="AIK247" s="29" t="e">
        <f t="shared" si="60"/>
        <v>#REF!</v>
      </c>
      <c r="AIL247" s="29" t="e">
        <f t="shared" si="60"/>
        <v>#REF!</v>
      </c>
      <c r="AIM247" s="29" t="e">
        <f t="shared" si="60"/>
        <v>#REF!</v>
      </c>
      <c r="AIN247" s="29" t="e">
        <f t="shared" si="60"/>
        <v>#REF!</v>
      </c>
      <c r="AIO247" s="29" t="e">
        <f t="shared" si="60"/>
        <v>#REF!</v>
      </c>
      <c r="AIP247" s="29" t="e">
        <f t="shared" si="60"/>
        <v>#REF!</v>
      </c>
      <c r="AIQ247" s="29" t="e">
        <f t="shared" si="60"/>
        <v>#REF!</v>
      </c>
      <c r="AIR247" s="29" t="e">
        <f t="shared" si="60"/>
        <v>#REF!</v>
      </c>
      <c r="AIS247" s="29" t="e">
        <f t="shared" si="60"/>
        <v>#REF!</v>
      </c>
      <c r="AIT247" s="29" t="e">
        <f t="shared" si="60"/>
        <v>#REF!</v>
      </c>
      <c r="AIU247" s="29" t="e">
        <f t="shared" si="60"/>
        <v>#REF!</v>
      </c>
      <c r="AIV247" s="29" t="e">
        <f t="shared" si="60"/>
        <v>#REF!</v>
      </c>
      <c r="AIW247" s="29" t="e">
        <f t="shared" si="60"/>
        <v>#REF!</v>
      </c>
      <c r="AIX247" s="29" t="e">
        <f t="shared" si="60"/>
        <v>#REF!</v>
      </c>
      <c r="AIY247" s="29" t="e">
        <f t="shared" si="60"/>
        <v>#REF!</v>
      </c>
      <c r="AIZ247" s="29" t="e">
        <f t="shared" si="60"/>
        <v>#REF!</v>
      </c>
      <c r="AJA247" s="29" t="e">
        <f t="shared" si="60"/>
        <v>#REF!</v>
      </c>
      <c r="AJB247" s="29" t="e">
        <f t="shared" si="60"/>
        <v>#REF!</v>
      </c>
      <c r="AJC247" s="29" t="e">
        <f t="shared" si="60"/>
        <v>#REF!</v>
      </c>
      <c r="AJD247" s="29" t="e">
        <f t="shared" si="60"/>
        <v>#REF!</v>
      </c>
      <c r="AJE247" s="29" t="e">
        <f t="shared" si="60"/>
        <v>#REF!</v>
      </c>
      <c r="AJF247" s="29" t="e">
        <f t="shared" si="60"/>
        <v>#REF!</v>
      </c>
      <c r="AJG247" s="29" t="e">
        <f t="shared" si="60"/>
        <v>#REF!</v>
      </c>
      <c r="AJH247" s="29" t="e">
        <f t="shared" si="60"/>
        <v>#REF!</v>
      </c>
      <c r="AJI247" s="29" t="e">
        <f t="shared" si="60"/>
        <v>#REF!</v>
      </c>
      <c r="AJJ247" s="29" t="e">
        <f t="shared" si="60"/>
        <v>#REF!</v>
      </c>
      <c r="AJK247" s="29" t="e">
        <f t="shared" si="60"/>
        <v>#REF!</v>
      </c>
      <c r="AJL247" s="29" t="e">
        <f t="shared" si="60"/>
        <v>#REF!</v>
      </c>
      <c r="AJM247" s="29" t="e">
        <f t="shared" si="60"/>
        <v>#REF!</v>
      </c>
      <c r="AJN247" s="29" t="e">
        <f t="shared" si="60"/>
        <v>#REF!</v>
      </c>
      <c r="AJO247" s="29" t="e">
        <f t="shared" si="60"/>
        <v>#REF!</v>
      </c>
      <c r="AJP247" s="29" t="e">
        <f t="shared" si="60"/>
        <v>#REF!</v>
      </c>
      <c r="AJQ247" s="29" t="e">
        <f t="shared" si="60"/>
        <v>#REF!</v>
      </c>
      <c r="AJR247" s="29" t="e">
        <f t="shared" si="60"/>
        <v>#REF!</v>
      </c>
      <c r="AJS247" s="29" t="e">
        <f t="shared" si="60"/>
        <v>#REF!</v>
      </c>
      <c r="AJT247" s="29" t="e">
        <f t="shared" si="60"/>
        <v>#REF!</v>
      </c>
      <c r="AJU247" s="29" t="e">
        <f t="shared" si="60"/>
        <v>#REF!</v>
      </c>
      <c r="AJV247" s="29" t="e">
        <f t="shared" si="60"/>
        <v>#REF!</v>
      </c>
      <c r="AJW247" s="29" t="e">
        <f t="shared" si="60"/>
        <v>#REF!</v>
      </c>
      <c r="AJX247" s="29" t="e">
        <f t="shared" si="60"/>
        <v>#REF!</v>
      </c>
      <c r="AJY247" s="29" t="e">
        <f t="shared" si="60"/>
        <v>#REF!</v>
      </c>
      <c r="AJZ247" s="29" t="e">
        <f t="shared" si="60"/>
        <v>#REF!</v>
      </c>
      <c r="AKA247" s="29" t="e">
        <f t="shared" si="60"/>
        <v>#REF!</v>
      </c>
      <c r="AKB247" s="29" t="e">
        <f t="shared" si="60"/>
        <v>#REF!</v>
      </c>
      <c r="AKC247" s="29" t="e">
        <f t="shared" si="60"/>
        <v>#REF!</v>
      </c>
      <c r="AKD247" s="29" t="e">
        <f t="shared" si="60"/>
        <v>#REF!</v>
      </c>
      <c r="AKE247" s="29" t="e">
        <f t="shared" si="60"/>
        <v>#REF!</v>
      </c>
      <c r="AKF247" s="29" t="e">
        <f t="shared" si="60"/>
        <v>#REF!</v>
      </c>
      <c r="AKG247" s="29" t="e">
        <f t="shared" si="60"/>
        <v>#REF!</v>
      </c>
      <c r="AKH247" s="29" t="e">
        <f t="shared" si="60"/>
        <v>#REF!</v>
      </c>
      <c r="AKI247" s="29" t="e">
        <f t="shared" si="60"/>
        <v>#REF!</v>
      </c>
      <c r="AKJ247" s="29" t="e">
        <f t="shared" si="60"/>
        <v>#REF!</v>
      </c>
      <c r="AKK247" s="29" t="e">
        <f t="shared" si="60"/>
        <v>#REF!</v>
      </c>
      <c r="AKL247" s="29" t="e">
        <f t="shared" si="60"/>
        <v>#REF!</v>
      </c>
      <c r="AKM247" s="29" t="e">
        <f t="shared" si="60"/>
        <v>#REF!</v>
      </c>
      <c r="AKN247" s="29" t="e">
        <f t="shared" si="60"/>
        <v>#REF!</v>
      </c>
      <c r="AKO247" s="29" t="e">
        <f t="shared" ref="AKO247:AMZ247" si="61">AKS247&amp;AKT247</f>
        <v>#REF!</v>
      </c>
      <c r="AKP247" s="29" t="e">
        <f t="shared" si="61"/>
        <v>#REF!</v>
      </c>
      <c r="AKQ247" s="29" t="e">
        <f t="shared" si="61"/>
        <v>#REF!</v>
      </c>
      <c r="AKR247" s="29" t="e">
        <f t="shared" si="61"/>
        <v>#REF!</v>
      </c>
      <c r="AKS247" s="29" t="e">
        <f t="shared" si="61"/>
        <v>#REF!</v>
      </c>
      <c r="AKT247" s="29" t="e">
        <f t="shared" si="61"/>
        <v>#REF!</v>
      </c>
      <c r="AKU247" s="29" t="e">
        <f t="shared" si="61"/>
        <v>#REF!</v>
      </c>
      <c r="AKV247" s="29" t="e">
        <f t="shared" si="61"/>
        <v>#REF!</v>
      </c>
      <c r="AKW247" s="29" t="e">
        <f t="shared" si="61"/>
        <v>#REF!</v>
      </c>
      <c r="AKX247" s="29" t="e">
        <f t="shared" si="61"/>
        <v>#REF!</v>
      </c>
      <c r="AKY247" s="29" t="e">
        <f t="shared" si="61"/>
        <v>#REF!</v>
      </c>
      <c r="AKZ247" s="29" t="e">
        <f t="shared" si="61"/>
        <v>#REF!</v>
      </c>
      <c r="ALA247" s="29" t="e">
        <f t="shared" si="61"/>
        <v>#REF!</v>
      </c>
      <c r="ALB247" s="29" t="e">
        <f t="shared" si="61"/>
        <v>#REF!</v>
      </c>
      <c r="ALC247" s="29" t="e">
        <f t="shared" si="61"/>
        <v>#REF!</v>
      </c>
      <c r="ALD247" s="29" t="e">
        <f t="shared" si="61"/>
        <v>#REF!</v>
      </c>
      <c r="ALE247" s="29" t="e">
        <f t="shared" si="61"/>
        <v>#REF!</v>
      </c>
      <c r="ALF247" s="29" t="e">
        <f t="shared" si="61"/>
        <v>#REF!</v>
      </c>
      <c r="ALG247" s="29" t="e">
        <f t="shared" si="61"/>
        <v>#REF!</v>
      </c>
      <c r="ALH247" s="29" t="e">
        <f t="shared" si="61"/>
        <v>#REF!</v>
      </c>
      <c r="ALI247" s="29" t="e">
        <f t="shared" si="61"/>
        <v>#REF!</v>
      </c>
      <c r="ALJ247" s="29" t="e">
        <f t="shared" si="61"/>
        <v>#REF!</v>
      </c>
      <c r="ALK247" s="29" t="e">
        <f t="shared" si="61"/>
        <v>#REF!</v>
      </c>
      <c r="ALL247" s="29" t="e">
        <f t="shared" si="61"/>
        <v>#REF!</v>
      </c>
      <c r="ALM247" s="29" t="e">
        <f t="shared" si="61"/>
        <v>#REF!</v>
      </c>
      <c r="ALN247" s="29" t="e">
        <f t="shared" si="61"/>
        <v>#REF!</v>
      </c>
      <c r="ALO247" s="29" t="e">
        <f t="shared" si="61"/>
        <v>#REF!</v>
      </c>
      <c r="ALP247" s="29" t="e">
        <f t="shared" si="61"/>
        <v>#REF!</v>
      </c>
      <c r="ALQ247" s="29" t="e">
        <f t="shared" si="61"/>
        <v>#REF!</v>
      </c>
      <c r="ALR247" s="29" t="e">
        <f t="shared" si="61"/>
        <v>#REF!</v>
      </c>
      <c r="ALS247" s="29" t="e">
        <f t="shared" si="61"/>
        <v>#REF!</v>
      </c>
      <c r="ALT247" s="29" t="e">
        <f t="shared" si="61"/>
        <v>#REF!</v>
      </c>
      <c r="ALU247" s="29" t="e">
        <f t="shared" si="61"/>
        <v>#REF!</v>
      </c>
      <c r="ALV247" s="29" t="e">
        <f t="shared" si="61"/>
        <v>#REF!</v>
      </c>
      <c r="ALW247" s="29" t="e">
        <f t="shared" si="61"/>
        <v>#REF!</v>
      </c>
      <c r="ALX247" s="29" t="e">
        <f t="shared" si="61"/>
        <v>#REF!</v>
      </c>
      <c r="ALY247" s="29" t="e">
        <f t="shared" si="61"/>
        <v>#REF!</v>
      </c>
      <c r="ALZ247" s="29" t="e">
        <f t="shared" si="61"/>
        <v>#REF!</v>
      </c>
      <c r="AMA247" s="29" t="e">
        <f t="shared" si="61"/>
        <v>#REF!</v>
      </c>
      <c r="AMB247" s="29" t="e">
        <f t="shared" si="61"/>
        <v>#REF!</v>
      </c>
      <c r="AMC247" s="29" t="e">
        <f t="shared" si="61"/>
        <v>#REF!</v>
      </c>
      <c r="AMD247" s="29" t="e">
        <f t="shared" si="61"/>
        <v>#REF!</v>
      </c>
      <c r="AME247" s="29" t="e">
        <f t="shared" si="61"/>
        <v>#REF!</v>
      </c>
      <c r="AMF247" s="29" t="e">
        <f t="shared" si="61"/>
        <v>#REF!</v>
      </c>
      <c r="AMG247" s="29" t="e">
        <f t="shared" si="61"/>
        <v>#REF!</v>
      </c>
      <c r="AMH247" s="29" t="e">
        <f t="shared" si="61"/>
        <v>#REF!</v>
      </c>
      <c r="AMI247" s="29" t="e">
        <f t="shared" si="61"/>
        <v>#REF!</v>
      </c>
      <c r="AMJ247" s="29" t="e">
        <f t="shared" si="61"/>
        <v>#REF!</v>
      </c>
      <c r="AMK247" s="29" t="e">
        <f t="shared" si="61"/>
        <v>#REF!</v>
      </c>
      <c r="AML247" s="29" t="e">
        <f t="shared" si="61"/>
        <v>#REF!</v>
      </c>
      <c r="AMM247" s="29" t="e">
        <f t="shared" si="61"/>
        <v>#REF!</v>
      </c>
      <c r="AMN247" s="29" t="e">
        <f t="shared" si="61"/>
        <v>#REF!</v>
      </c>
      <c r="AMO247" s="29" t="e">
        <f t="shared" si="61"/>
        <v>#REF!</v>
      </c>
      <c r="AMP247" s="29" t="e">
        <f t="shared" si="61"/>
        <v>#REF!</v>
      </c>
      <c r="AMQ247" s="29" t="e">
        <f t="shared" si="61"/>
        <v>#REF!</v>
      </c>
      <c r="AMR247" s="29" t="e">
        <f t="shared" si="61"/>
        <v>#REF!</v>
      </c>
      <c r="AMS247" s="29" t="e">
        <f t="shared" si="61"/>
        <v>#REF!</v>
      </c>
      <c r="AMT247" s="29" t="e">
        <f t="shared" si="61"/>
        <v>#REF!</v>
      </c>
      <c r="AMU247" s="29" t="e">
        <f t="shared" si="61"/>
        <v>#REF!</v>
      </c>
      <c r="AMV247" s="29" t="e">
        <f t="shared" si="61"/>
        <v>#REF!</v>
      </c>
      <c r="AMW247" s="29" t="e">
        <f t="shared" si="61"/>
        <v>#REF!</v>
      </c>
      <c r="AMX247" s="29" t="e">
        <f t="shared" si="61"/>
        <v>#REF!</v>
      </c>
      <c r="AMY247" s="29" t="e">
        <f t="shared" si="61"/>
        <v>#REF!</v>
      </c>
      <c r="AMZ247" s="29" t="e">
        <f t="shared" si="61"/>
        <v>#REF!</v>
      </c>
      <c r="ANA247" s="29" t="e">
        <f t="shared" ref="ANA247:APL247" si="62">ANE247&amp;ANF247</f>
        <v>#REF!</v>
      </c>
      <c r="ANB247" s="29" t="e">
        <f t="shared" si="62"/>
        <v>#REF!</v>
      </c>
      <c r="ANC247" s="29" t="e">
        <f t="shared" si="62"/>
        <v>#REF!</v>
      </c>
      <c r="AND247" s="29" t="e">
        <f t="shared" si="62"/>
        <v>#REF!</v>
      </c>
      <c r="ANE247" s="29" t="e">
        <f t="shared" si="62"/>
        <v>#REF!</v>
      </c>
      <c r="ANF247" s="29" t="e">
        <f t="shared" si="62"/>
        <v>#REF!</v>
      </c>
      <c r="ANG247" s="29" t="e">
        <f t="shared" si="62"/>
        <v>#REF!</v>
      </c>
      <c r="ANH247" s="29" t="e">
        <f t="shared" si="62"/>
        <v>#REF!</v>
      </c>
      <c r="ANI247" s="29" t="e">
        <f t="shared" si="62"/>
        <v>#REF!</v>
      </c>
      <c r="ANJ247" s="29" t="e">
        <f t="shared" si="62"/>
        <v>#REF!</v>
      </c>
      <c r="ANK247" s="29" t="e">
        <f t="shared" si="62"/>
        <v>#REF!</v>
      </c>
      <c r="ANL247" s="29" t="e">
        <f t="shared" si="62"/>
        <v>#REF!</v>
      </c>
      <c r="ANM247" s="29" t="e">
        <f t="shared" si="62"/>
        <v>#REF!</v>
      </c>
      <c r="ANN247" s="29" t="e">
        <f t="shared" si="62"/>
        <v>#REF!</v>
      </c>
      <c r="ANO247" s="29" t="e">
        <f t="shared" si="62"/>
        <v>#REF!</v>
      </c>
      <c r="ANP247" s="29" t="e">
        <f t="shared" si="62"/>
        <v>#REF!</v>
      </c>
      <c r="ANQ247" s="29" t="e">
        <f t="shared" si="62"/>
        <v>#REF!</v>
      </c>
      <c r="ANR247" s="29" t="e">
        <f t="shared" si="62"/>
        <v>#REF!</v>
      </c>
      <c r="ANS247" s="29" t="e">
        <f t="shared" si="62"/>
        <v>#REF!</v>
      </c>
      <c r="ANT247" s="29" t="e">
        <f t="shared" si="62"/>
        <v>#REF!</v>
      </c>
      <c r="ANU247" s="29" t="e">
        <f t="shared" si="62"/>
        <v>#REF!</v>
      </c>
      <c r="ANV247" s="29" t="e">
        <f t="shared" si="62"/>
        <v>#REF!</v>
      </c>
      <c r="ANW247" s="29" t="e">
        <f t="shared" si="62"/>
        <v>#REF!</v>
      </c>
      <c r="ANX247" s="29" t="e">
        <f t="shared" si="62"/>
        <v>#REF!</v>
      </c>
      <c r="ANY247" s="29" t="e">
        <f t="shared" si="62"/>
        <v>#REF!</v>
      </c>
      <c r="ANZ247" s="29" t="e">
        <f t="shared" si="62"/>
        <v>#REF!</v>
      </c>
      <c r="AOA247" s="29" t="e">
        <f t="shared" si="62"/>
        <v>#REF!</v>
      </c>
      <c r="AOB247" s="29" t="e">
        <f t="shared" si="62"/>
        <v>#REF!</v>
      </c>
      <c r="AOC247" s="29" t="e">
        <f t="shared" si="62"/>
        <v>#REF!</v>
      </c>
      <c r="AOD247" s="29" t="e">
        <f t="shared" si="62"/>
        <v>#REF!</v>
      </c>
      <c r="AOE247" s="29" t="e">
        <f t="shared" si="62"/>
        <v>#REF!</v>
      </c>
      <c r="AOF247" s="29" t="e">
        <f t="shared" si="62"/>
        <v>#REF!</v>
      </c>
      <c r="AOG247" s="29" t="e">
        <f t="shared" si="62"/>
        <v>#REF!</v>
      </c>
      <c r="AOH247" s="29" t="e">
        <f t="shared" si="62"/>
        <v>#REF!</v>
      </c>
      <c r="AOI247" s="29" t="e">
        <f t="shared" si="62"/>
        <v>#REF!</v>
      </c>
      <c r="AOJ247" s="29" t="e">
        <f t="shared" si="62"/>
        <v>#REF!</v>
      </c>
      <c r="AOK247" s="29" t="e">
        <f t="shared" si="62"/>
        <v>#REF!</v>
      </c>
      <c r="AOL247" s="29" t="e">
        <f t="shared" si="62"/>
        <v>#REF!</v>
      </c>
      <c r="AOM247" s="29" t="e">
        <f t="shared" si="62"/>
        <v>#REF!</v>
      </c>
      <c r="AON247" s="29" t="e">
        <f t="shared" si="62"/>
        <v>#REF!</v>
      </c>
      <c r="AOO247" s="29" t="e">
        <f t="shared" si="62"/>
        <v>#REF!</v>
      </c>
      <c r="AOP247" s="29" t="e">
        <f t="shared" si="62"/>
        <v>#REF!</v>
      </c>
      <c r="AOQ247" s="29" t="e">
        <f t="shared" si="62"/>
        <v>#REF!</v>
      </c>
      <c r="AOR247" s="29" t="e">
        <f t="shared" si="62"/>
        <v>#REF!</v>
      </c>
      <c r="AOS247" s="29" t="e">
        <f t="shared" si="62"/>
        <v>#REF!</v>
      </c>
      <c r="AOT247" s="29" t="e">
        <f t="shared" si="62"/>
        <v>#REF!</v>
      </c>
      <c r="AOU247" s="29" t="e">
        <f t="shared" si="62"/>
        <v>#REF!</v>
      </c>
      <c r="AOV247" s="29" t="e">
        <f t="shared" si="62"/>
        <v>#REF!</v>
      </c>
      <c r="AOW247" s="29" t="e">
        <f t="shared" si="62"/>
        <v>#REF!</v>
      </c>
      <c r="AOX247" s="29" t="e">
        <f t="shared" si="62"/>
        <v>#REF!</v>
      </c>
      <c r="AOY247" s="29" t="e">
        <f t="shared" si="62"/>
        <v>#REF!</v>
      </c>
      <c r="AOZ247" s="29" t="e">
        <f t="shared" si="62"/>
        <v>#REF!</v>
      </c>
      <c r="APA247" s="29" t="e">
        <f t="shared" si="62"/>
        <v>#REF!</v>
      </c>
      <c r="APB247" s="29" t="e">
        <f t="shared" si="62"/>
        <v>#REF!</v>
      </c>
      <c r="APC247" s="29" t="e">
        <f t="shared" si="62"/>
        <v>#REF!</v>
      </c>
      <c r="APD247" s="29" t="e">
        <f t="shared" si="62"/>
        <v>#REF!</v>
      </c>
      <c r="APE247" s="29" t="e">
        <f t="shared" si="62"/>
        <v>#REF!</v>
      </c>
      <c r="APF247" s="29" t="e">
        <f t="shared" si="62"/>
        <v>#REF!</v>
      </c>
      <c r="APG247" s="29" t="e">
        <f t="shared" si="62"/>
        <v>#REF!</v>
      </c>
      <c r="APH247" s="29" t="e">
        <f t="shared" si="62"/>
        <v>#REF!</v>
      </c>
      <c r="API247" s="29" t="e">
        <f t="shared" si="62"/>
        <v>#REF!</v>
      </c>
      <c r="APJ247" s="29" t="e">
        <f t="shared" si="62"/>
        <v>#REF!</v>
      </c>
      <c r="APK247" s="29" t="e">
        <f t="shared" si="62"/>
        <v>#REF!</v>
      </c>
      <c r="APL247" s="29" t="e">
        <f t="shared" si="62"/>
        <v>#REF!</v>
      </c>
      <c r="APM247" s="29" t="e">
        <f t="shared" ref="APM247:ARX247" si="63">APQ247&amp;APR247</f>
        <v>#REF!</v>
      </c>
      <c r="APN247" s="29" t="e">
        <f t="shared" si="63"/>
        <v>#REF!</v>
      </c>
      <c r="APO247" s="29" t="e">
        <f t="shared" si="63"/>
        <v>#REF!</v>
      </c>
      <c r="APP247" s="29" t="e">
        <f t="shared" si="63"/>
        <v>#REF!</v>
      </c>
      <c r="APQ247" s="29" t="e">
        <f t="shared" si="63"/>
        <v>#REF!</v>
      </c>
      <c r="APR247" s="29" t="e">
        <f t="shared" si="63"/>
        <v>#REF!</v>
      </c>
      <c r="APS247" s="29" t="e">
        <f t="shared" si="63"/>
        <v>#REF!</v>
      </c>
      <c r="APT247" s="29" t="e">
        <f t="shared" si="63"/>
        <v>#REF!</v>
      </c>
      <c r="APU247" s="29" t="e">
        <f t="shared" si="63"/>
        <v>#REF!</v>
      </c>
      <c r="APV247" s="29" t="e">
        <f t="shared" si="63"/>
        <v>#REF!</v>
      </c>
      <c r="APW247" s="29" t="e">
        <f t="shared" si="63"/>
        <v>#REF!</v>
      </c>
      <c r="APX247" s="29" t="e">
        <f t="shared" si="63"/>
        <v>#REF!</v>
      </c>
      <c r="APY247" s="29" t="e">
        <f t="shared" si="63"/>
        <v>#REF!</v>
      </c>
      <c r="APZ247" s="29" t="e">
        <f t="shared" si="63"/>
        <v>#REF!</v>
      </c>
      <c r="AQA247" s="29" t="e">
        <f t="shared" si="63"/>
        <v>#REF!</v>
      </c>
      <c r="AQB247" s="29" t="e">
        <f t="shared" si="63"/>
        <v>#REF!</v>
      </c>
      <c r="AQC247" s="29" t="e">
        <f t="shared" si="63"/>
        <v>#REF!</v>
      </c>
      <c r="AQD247" s="29" t="e">
        <f t="shared" si="63"/>
        <v>#REF!</v>
      </c>
      <c r="AQE247" s="29" t="e">
        <f t="shared" si="63"/>
        <v>#REF!</v>
      </c>
      <c r="AQF247" s="29" t="e">
        <f t="shared" si="63"/>
        <v>#REF!</v>
      </c>
      <c r="AQG247" s="29" t="e">
        <f t="shared" si="63"/>
        <v>#REF!</v>
      </c>
      <c r="AQH247" s="29" t="e">
        <f t="shared" si="63"/>
        <v>#REF!</v>
      </c>
      <c r="AQI247" s="29" t="e">
        <f t="shared" si="63"/>
        <v>#REF!</v>
      </c>
      <c r="AQJ247" s="29" t="e">
        <f t="shared" si="63"/>
        <v>#REF!</v>
      </c>
      <c r="AQK247" s="29" t="e">
        <f t="shared" si="63"/>
        <v>#REF!</v>
      </c>
      <c r="AQL247" s="29" t="e">
        <f t="shared" si="63"/>
        <v>#REF!</v>
      </c>
      <c r="AQM247" s="29" t="e">
        <f t="shared" si="63"/>
        <v>#REF!</v>
      </c>
      <c r="AQN247" s="29" t="e">
        <f t="shared" si="63"/>
        <v>#REF!</v>
      </c>
      <c r="AQO247" s="29" t="e">
        <f t="shared" si="63"/>
        <v>#REF!</v>
      </c>
      <c r="AQP247" s="29" t="e">
        <f t="shared" si="63"/>
        <v>#REF!</v>
      </c>
      <c r="AQQ247" s="29" t="e">
        <f t="shared" si="63"/>
        <v>#REF!</v>
      </c>
      <c r="AQR247" s="29" t="e">
        <f t="shared" si="63"/>
        <v>#REF!</v>
      </c>
      <c r="AQS247" s="29" t="e">
        <f t="shared" si="63"/>
        <v>#REF!</v>
      </c>
      <c r="AQT247" s="29" t="e">
        <f t="shared" si="63"/>
        <v>#REF!</v>
      </c>
      <c r="AQU247" s="29" t="e">
        <f t="shared" si="63"/>
        <v>#REF!</v>
      </c>
      <c r="AQV247" s="29" t="e">
        <f t="shared" si="63"/>
        <v>#REF!</v>
      </c>
      <c r="AQW247" s="29" t="e">
        <f t="shared" si="63"/>
        <v>#REF!</v>
      </c>
      <c r="AQX247" s="29" t="e">
        <f t="shared" si="63"/>
        <v>#REF!</v>
      </c>
      <c r="AQY247" s="29" t="e">
        <f t="shared" si="63"/>
        <v>#REF!</v>
      </c>
      <c r="AQZ247" s="29" t="e">
        <f t="shared" si="63"/>
        <v>#REF!</v>
      </c>
      <c r="ARA247" s="29" t="e">
        <f t="shared" si="63"/>
        <v>#REF!</v>
      </c>
      <c r="ARB247" s="29" t="e">
        <f t="shared" si="63"/>
        <v>#REF!</v>
      </c>
      <c r="ARC247" s="29" t="e">
        <f t="shared" si="63"/>
        <v>#REF!</v>
      </c>
      <c r="ARD247" s="29" t="e">
        <f t="shared" si="63"/>
        <v>#REF!</v>
      </c>
      <c r="ARE247" s="29" t="e">
        <f t="shared" si="63"/>
        <v>#REF!</v>
      </c>
      <c r="ARF247" s="29" t="e">
        <f t="shared" si="63"/>
        <v>#REF!</v>
      </c>
      <c r="ARG247" s="29" t="e">
        <f t="shared" si="63"/>
        <v>#REF!</v>
      </c>
      <c r="ARH247" s="29" t="e">
        <f t="shared" si="63"/>
        <v>#REF!</v>
      </c>
      <c r="ARI247" s="29" t="e">
        <f t="shared" si="63"/>
        <v>#REF!</v>
      </c>
      <c r="ARJ247" s="29" t="e">
        <f t="shared" si="63"/>
        <v>#REF!</v>
      </c>
      <c r="ARK247" s="29" t="e">
        <f t="shared" si="63"/>
        <v>#REF!</v>
      </c>
      <c r="ARL247" s="29" t="e">
        <f t="shared" si="63"/>
        <v>#REF!</v>
      </c>
      <c r="ARM247" s="29" t="e">
        <f t="shared" si="63"/>
        <v>#REF!</v>
      </c>
      <c r="ARN247" s="29" t="e">
        <f t="shared" si="63"/>
        <v>#REF!</v>
      </c>
      <c r="ARO247" s="29" t="e">
        <f t="shared" si="63"/>
        <v>#REF!</v>
      </c>
      <c r="ARP247" s="29" t="e">
        <f t="shared" si="63"/>
        <v>#REF!</v>
      </c>
      <c r="ARQ247" s="29" t="e">
        <f t="shared" si="63"/>
        <v>#REF!</v>
      </c>
      <c r="ARR247" s="29" t="e">
        <f t="shared" si="63"/>
        <v>#REF!</v>
      </c>
      <c r="ARS247" s="29" t="e">
        <f t="shared" si="63"/>
        <v>#REF!</v>
      </c>
      <c r="ART247" s="29" t="e">
        <f t="shared" si="63"/>
        <v>#REF!</v>
      </c>
      <c r="ARU247" s="29" t="e">
        <f t="shared" si="63"/>
        <v>#REF!</v>
      </c>
      <c r="ARV247" s="29" t="e">
        <f t="shared" si="63"/>
        <v>#REF!</v>
      </c>
      <c r="ARW247" s="29" t="e">
        <f t="shared" si="63"/>
        <v>#REF!</v>
      </c>
      <c r="ARX247" s="29" t="e">
        <f t="shared" si="63"/>
        <v>#REF!</v>
      </c>
      <c r="ARY247" s="29" t="e">
        <f t="shared" ref="ARY247:AUJ247" si="64">ASC247&amp;ASD247</f>
        <v>#REF!</v>
      </c>
      <c r="ARZ247" s="29" t="e">
        <f t="shared" si="64"/>
        <v>#REF!</v>
      </c>
      <c r="ASA247" s="29" t="e">
        <f t="shared" si="64"/>
        <v>#REF!</v>
      </c>
      <c r="ASB247" s="29" t="e">
        <f t="shared" si="64"/>
        <v>#REF!</v>
      </c>
      <c r="ASC247" s="29" t="e">
        <f t="shared" si="64"/>
        <v>#REF!</v>
      </c>
      <c r="ASD247" s="29" t="e">
        <f t="shared" si="64"/>
        <v>#REF!</v>
      </c>
      <c r="ASE247" s="29" t="e">
        <f t="shared" si="64"/>
        <v>#REF!</v>
      </c>
      <c r="ASF247" s="29" t="e">
        <f t="shared" si="64"/>
        <v>#REF!</v>
      </c>
      <c r="ASG247" s="29" t="e">
        <f t="shared" si="64"/>
        <v>#REF!</v>
      </c>
      <c r="ASH247" s="29" t="e">
        <f t="shared" si="64"/>
        <v>#REF!</v>
      </c>
      <c r="ASI247" s="29" t="e">
        <f t="shared" si="64"/>
        <v>#REF!</v>
      </c>
      <c r="ASJ247" s="29" t="e">
        <f t="shared" si="64"/>
        <v>#REF!</v>
      </c>
      <c r="ASK247" s="29" t="e">
        <f t="shared" si="64"/>
        <v>#REF!</v>
      </c>
      <c r="ASL247" s="29" t="e">
        <f t="shared" si="64"/>
        <v>#REF!</v>
      </c>
      <c r="ASM247" s="29" t="e">
        <f t="shared" si="64"/>
        <v>#REF!</v>
      </c>
      <c r="ASN247" s="29" t="e">
        <f t="shared" si="64"/>
        <v>#REF!</v>
      </c>
      <c r="ASO247" s="29" t="e">
        <f t="shared" si="64"/>
        <v>#REF!</v>
      </c>
      <c r="ASP247" s="29" t="e">
        <f t="shared" si="64"/>
        <v>#REF!</v>
      </c>
      <c r="ASQ247" s="29" t="e">
        <f t="shared" si="64"/>
        <v>#REF!</v>
      </c>
      <c r="ASR247" s="29" t="e">
        <f t="shared" si="64"/>
        <v>#REF!</v>
      </c>
      <c r="ASS247" s="29" t="e">
        <f t="shared" si="64"/>
        <v>#REF!</v>
      </c>
      <c r="AST247" s="29" t="e">
        <f t="shared" si="64"/>
        <v>#REF!</v>
      </c>
      <c r="ASU247" s="29" t="e">
        <f t="shared" si="64"/>
        <v>#REF!</v>
      </c>
      <c r="ASV247" s="29" t="e">
        <f t="shared" si="64"/>
        <v>#REF!</v>
      </c>
      <c r="ASW247" s="29" t="e">
        <f t="shared" si="64"/>
        <v>#REF!</v>
      </c>
      <c r="ASX247" s="29" t="e">
        <f t="shared" si="64"/>
        <v>#REF!</v>
      </c>
      <c r="ASY247" s="29" t="e">
        <f t="shared" si="64"/>
        <v>#REF!</v>
      </c>
      <c r="ASZ247" s="29" t="e">
        <f t="shared" si="64"/>
        <v>#REF!</v>
      </c>
      <c r="ATA247" s="29" t="e">
        <f t="shared" si="64"/>
        <v>#REF!</v>
      </c>
      <c r="ATB247" s="29" t="e">
        <f t="shared" si="64"/>
        <v>#REF!</v>
      </c>
      <c r="ATC247" s="29" t="e">
        <f t="shared" si="64"/>
        <v>#REF!</v>
      </c>
      <c r="ATD247" s="29" t="e">
        <f t="shared" si="64"/>
        <v>#REF!</v>
      </c>
      <c r="ATE247" s="29" t="e">
        <f t="shared" si="64"/>
        <v>#REF!</v>
      </c>
      <c r="ATF247" s="29" t="e">
        <f t="shared" si="64"/>
        <v>#REF!</v>
      </c>
      <c r="ATG247" s="29" t="e">
        <f t="shared" si="64"/>
        <v>#REF!</v>
      </c>
      <c r="ATH247" s="29" t="e">
        <f t="shared" si="64"/>
        <v>#REF!</v>
      </c>
      <c r="ATI247" s="29" t="e">
        <f t="shared" si="64"/>
        <v>#REF!</v>
      </c>
      <c r="ATJ247" s="29" t="e">
        <f t="shared" si="64"/>
        <v>#REF!</v>
      </c>
      <c r="ATK247" s="29" t="e">
        <f t="shared" si="64"/>
        <v>#REF!</v>
      </c>
      <c r="ATL247" s="29" t="e">
        <f t="shared" si="64"/>
        <v>#REF!</v>
      </c>
      <c r="ATM247" s="29" t="e">
        <f t="shared" si="64"/>
        <v>#REF!</v>
      </c>
      <c r="ATN247" s="29" t="e">
        <f t="shared" si="64"/>
        <v>#REF!</v>
      </c>
      <c r="ATO247" s="29" t="e">
        <f t="shared" si="64"/>
        <v>#REF!</v>
      </c>
      <c r="ATP247" s="29" t="e">
        <f t="shared" si="64"/>
        <v>#REF!</v>
      </c>
      <c r="ATQ247" s="29" t="e">
        <f t="shared" si="64"/>
        <v>#REF!</v>
      </c>
      <c r="ATR247" s="29" t="e">
        <f t="shared" si="64"/>
        <v>#REF!</v>
      </c>
      <c r="ATS247" s="29" t="e">
        <f t="shared" si="64"/>
        <v>#REF!</v>
      </c>
      <c r="ATT247" s="29" t="e">
        <f t="shared" si="64"/>
        <v>#REF!</v>
      </c>
      <c r="ATU247" s="29" t="e">
        <f t="shared" si="64"/>
        <v>#REF!</v>
      </c>
      <c r="ATV247" s="29" t="e">
        <f t="shared" si="64"/>
        <v>#REF!</v>
      </c>
      <c r="ATW247" s="29" t="e">
        <f t="shared" si="64"/>
        <v>#REF!</v>
      </c>
      <c r="ATX247" s="29" t="e">
        <f t="shared" si="64"/>
        <v>#REF!</v>
      </c>
      <c r="ATY247" s="29" t="e">
        <f t="shared" si="64"/>
        <v>#REF!</v>
      </c>
      <c r="ATZ247" s="29" t="e">
        <f t="shared" si="64"/>
        <v>#REF!</v>
      </c>
      <c r="AUA247" s="29" t="e">
        <f t="shared" si="64"/>
        <v>#REF!</v>
      </c>
      <c r="AUB247" s="29" t="e">
        <f t="shared" si="64"/>
        <v>#REF!</v>
      </c>
      <c r="AUC247" s="29" t="e">
        <f t="shared" si="64"/>
        <v>#REF!</v>
      </c>
      <c r="AUD247" s="29" t="e">
        <f t="shared" si="64"/>
        <v>#REF!</v>
      </c>
      <c r="AUE247" s="29" t="e">
        <f t="shared" si="64"/>
        <v>#REF!</v>
      </c>
      <c r="AUF247" s="29" t="e">
        <f t="shared" si="64"/>
        <v>#REF!</v>
      </c>
      <c r="AUG247" s="29" t="e">
        <f t="shared" si="64"/>
        <v>#REF!</v>
      </c>
      <c r="AUH247" s="29" t="e">
        <f t="shared" si="64"/>
        <v>#REF!</v>
      </c>
      <c r="AUI247" s="29" t="e">
        <f t="shared" si="64"/>
        <v>#REF!</v>
      </c>
      <c r="AUJ247" s="29" t="e">
        <f t="shared" si="64"/>
        <v>#REF!</v>
      </c>
      <c r="AUK247" s="29" t="e">
        <f t="shared" ref="AUK247:AWV247" si="65">AUO247&amp;AUP247</f>
        <v>#REF!</v>
      </c>
      <c r="AUL247" s="29" t="e">
        <f t="shared" si="65"/>
        <v>#REF!</v>
      </c>
      <c r="AUM247" s="29" t="e">
        <f t="shared" si="65"/>
        <v>#REF!</v>
      </c>
      <c r="AUN247" s="29" t="e">
        <f t="shared" si="65"/>
        <v>#REF!</v>
      </c>
      <c r="AUO247" s="29" t="e">
        <f t="shared" si="65"/>
        <v>#REF!</v>
      </c>
      <c r="AUP247" s="29" t="e">
        <f t="shared" si="65"/>
        <v>#REF!</v>
      </c>
      <c r="AUQ247" s="29" t="e">
        <f t="shared" si="65"/>
        <v>#REF!</v>
      </c>
      <c r="AUR247" s="29" t="e">
        <f t="shared" si="65"/>
        <v>#REF!</v>
      </c>
      <c r="AUS247" s="29" t="e">
        <f t="shared" si="65"/>
        <v>#REF!</v>
      </c>
      <c r="AUT247" s="29" t="e">
        <f t="shared" si="65"/>
        <v>#REF!</v>
      </c>
      <c r="AUU247" s="29" t="e">
        <f t="shared" si="65"/>
        <v>#REF!</v>
      </c>
      <c r="AUV247" s="29" t="e">
        <f t="shared" si="65"/>
        <v>#REF!</v>
      </c>
      <c r="AUW247" s="29" t="e">
        <f t="shared" si="65"/>
        <v>#REF!</v>
      </c>
      <c r="AUX247" s="29" t="e">
        <f t="shared" si="65"/>
        <v>#REF!</v>
      </c>
      <c r="AUY247" s="29" t="e">
        <f t="shared" si="65"/>
        <v>#REF!</v>
      </c>
      <c r="AUZ247" s="29" t="e">
        <f t="shared" si="65"/>
        <v>#REF!</v>
      </c>
      <c r="AVA247" s="29" t="e">
        <f t="shared" si="65"/>
        <v>#REF!</v>
      </c>
      <c r="AVB247" s="29" t="e">
        <f t="shared" si="65"/>
        <v>#REF!</v>
      </c>
      <c r="AVC247" s="29" t="e">
        <f t="shared" si="65"/>
        <v>#REF!</v>
      </c>
      <c r="AVD247" s="29" t="e">
        <f t="shared" si="65"/>
        <v>#REF!</v>
      </c>
      <c r="AVE247" s="29" t="e">
        <f t="shared" si="65"/>
        <v>#REF!</v>
      </c>
      <c r="AVF247" s="29" t="e">
        <f t="shared" si="65"/>
        <v>#REF!</v>
      </c>
      <c r="AVG247" s="29" t="e">
        <f t="shared" si="65"/>
        <v>#REF!</v>
      </c>
      <c r="AVH247" s="29" t="e">
        <f t="shared" si="65"/>
        <v>#REF!</v>
      </c>
      <c r="AVI247" s="29" t="e">
        <f t="shared" si="65"/>
        <v>#REF!</v>
      </c>
      <c r="AVJ247" s="29" t="e">
        <f t="shared" si="65"/>
        <v>#REF!</v>
      </c>
      <c r="AVK247" s="29" t="e">
        <f t="shared" si="65"/>
        <v>#REF!</v>
      </c>
      <c r="AVL247" s="29" t="e">
        <f t="shared" si="65"/>
        <v>#REF!</v>
      </c>
      <c r="AVM247" s="29" t="e">
        <f t="shared" si="65"/>
        <v>#REF!</v>
      </c>
      <c r="AVN247" s="29" t="e">
        <f t="shared" si="65"/>
        <v>#REF!</v>
      </c>
      <c r="AVO247" s="29" t="e">
        <f t="shared" si="65"/>
        <v>#REF!</v>
      </c>
      <c r="AVP247" s="29" t="e">
        <f t="shared" si="65"/>
        <v>#REF!</v>
      </c>
      <c r="AVQ247" s="29" t="e">
        <f t="shared" si="65"/>
        <v>#REF!</v>
      </c>
      <c r="AVR247" s="29" t="e">
        <f t="shared" si="65"/>
        <v>#REF!</v>
      </c>
      <c r="AVS247" s="29" t="e">
        <f t="shared" si="65"/>
        <v>#REF!</v>
      </c>
      <c r="AVT247" s="29" t="e">
        <f t="shared" si="65"/>
        <v>#REF!</v>
      </c>
      <c r="AVU247" s="29" t="e">
        <f t="shared" si="65"/>
        <v>#REF!</v>
      </c>
      <c r="AVV247" s="29" t="e">
        <f t="shared" si="65"/>
        <v>#REF!</v>
      </c>
      <c r="AVW247" s="29" t="e">
        <f t="shared" si="65"/>
        <v>#REF!</v>
      </c>
      <c r="AVX247" s="29" t="e">
        <f t="shared" si="65"/>
        <v>#REF!</v>
      </c>
      <c r="AVY247" s="29" t="e">
        <f t="shared" si="65"/>
        <v>#REF!</v>
      </c>
      <c r="AVZ247" s="29" t="e">
        <f t="shared" si="65"/>
        <v>#REF!</v>
      </c>
      <c r="AWA247" s="29" t="e">
        <f t="shared" si="65"/>
        <v>#REF!</v>
      </c>
      <c r="AWB247" s="29" t="e">
        <f t="shared" si="65"/>
        <v>#REF!</v>
      </c>
      <c r="AWC247" s="29" t="e">
        <f t="shared" si="65"/>
        <v>#REF!</v>
      </c>
      <c r="AWD247" s="29" t="e">
        <f t="shared" si="65"/>
        <v>#REF!</v>
      </c>
      <c r="AWE247" s="29" t="e">
        <f t="shared" si="65"/>
        <v>#REF!</v>
      </c>
      <c r="AWF247" s="29" t="e">
        <f t="shared" si="65"/>
        <v>#REF!</v>
      </c>
      <c r="AWG247" s="29" t="e">
        <f t="shared" si="65"/>
        <v>#REF!</v>
      </c>
      <c r="AWH247" s="29" t="e">
        <f t="shared" si="65"/>
        <v>#REF!</v>
      </c>
      <c r="AWI247" s="29" t="e">
        <f t="shared" si="65"/>
        <v>#REF!</v>
      </c>
      <c r="AWJ247" s="29" t="e">
        <f t="shared" si="65"/>
        <v>#REF!</v>
      </c>
      <c r="AWK247" s="29" t="e">
        <f t="shared" si="65"/>
        <v>#REF!</v>
      </c>
      <c r="AWL247" s="29" t="e">
        <f t="shared" si="65"/>
        <v>#REF!</v>
      </c>
      <c r="AWM247" s="29" t="e">
        <f t="shared" si="65"/>
        <v>#REF!</v>
      </c>
      <c r="AWN247" s="29" t="e">
        <f t="shared" si="65"/>
        <v>#REF!</v>
      </c>
      <c r="AWO247" s="29" t="e">
        <f t="shared" si="65"/>
        <v>#REF!</v>
      </c>
      <c r="AWP247" s="29" t="e">
        <f t="shared" si="65"/>
        <v>#REF!</v>
      </c>
      <c r="AWQ247" s="29" t="e">
        <f t="shared" si="65"/>
        <v>#REF!</v>
      </c>
      <c r="AWR247" s="29" t="e">
        <f t="shared" si="65"/>
        <v>#REF!</v>
      </c>
      <c r="AWS247" s="29" t="e">
        <f t="shared" si="65"/>
        <v>#REF!</v>
      </c>
      <c r="AWT247" s="29" t="e">
        <f t="shared" si="65"/>
        <v>#REF!</v>
      </c>
      <c r="AWU247" s="29" t="e">
        <f t="shared" si="65"/>
        <v>#REF!</v>
      </c>
      <c r="AWV247" s="29" t="e">
        <f t="shared" si="65"/>
        <v>#REF!</v>
      </c>
      <c r="AWW247" s="29" t="e">
        <f t="shared" ref="AWW247:AZH247" si="66">AXA247&amp;AXB247</f>
        <v>#REF!</v>
      </c>
      <c r="AWX247" s="29" t="e">
        <f t="shared" si="66"/>
        <v>#REF!</v>
      </c>
      <c r="AWY247" s="29" t="e">
        <f t="shared" si="66"/>
        <v>#REF!</v>
      </c>
      <c r="AWZ247" s="29" t="e">
        <f t="shared" si="66"/>
        <v>#REF!</v>
      </c>
      <c r="AXA247" s="29" t="e">
        <f t="shared" si="66"/>
        <v>#REF!</v>
      </c>
      <c r="AXB247" s="29" t="e">
        <f t="shared" si="66"/>
        <v>#REF!</v>
      </c>
      <c r="AXC247" s="29" t="e">
        <f t="shared" si="66"/>
        <v>#REF!</v>
      </c>
      <c r="AXD247" s="29" t="e">
        <f t="shared" si="66"/>
        <v>#REF!</v>
      </c>
      <c r="AXE247" s="29" t="e">
        <f t="shared" si="66"/>
        <v>#REF!</v>
      </c>
      <c r="AXF247" s="29" t="e">
        <f t="shared" si="66"/>
        <v>#REF!</v>
      </c>
      <c r="AXG247" s="29" t="e">
        <f t="shared" si="66"/>
        <v>#REF!</v>
      </c>
      <c r="AXH247" s="29" t="e">
        <f t="shared" si="66"/>
        <v>#REF!</v>
      </c>
      <c r="AXI247" s="29" t="e">
        <f t="shared" si="66"/>
        <v>#REF!</v>
      </c>
      <c r="AXJ247" s="29" t="e">
        <f t="shared" si="66"/>
        <v>#REF!</v>
      </c>
      <c r="AXK247" s="29" t="e">
        <f t="shared" si="66"/>
        <v>#REF!</v>
      </c>
      <c r="AXL247" s="29" t="e">
        <f t="shared" si="66"/>
        <v>#REF!</v>
      </c>
      <c r="AXM247" s="29" t="e">
        <f t="shared" si="66"/>
        <v>#REF!</v>
      </c>
      <c r="AXN247" s="29" t="e">
        <f t="shared" si="66"/>
        <v>#REF!</v>
      </c>
      <c r="AXO247" s="29" t="e">
        <f t="shared" si="66"/>
        <v>#REF!</v>
      </c>
      <c r="AXP247" s="29" t="e">
        <f t="shared" si="66"/>
        <v>#REF!</v>
      </c>
      <c r="AXQ247" s="29" t="e">
        <f t="shared" si="66"/>
        <v>#REF!</v>
      </c>
      <c r="AXR247" s="29" t="e">
        <f t="shared" si="66"/>
        <v>#REF!</v>
      </c>
      <c r="AXS247" s="29" t="e">
        <f t="shared" si="66"/>
        <v>#REF!</v>
      </c>
      <c r="AXT247" s="29" t="e">
        <f t="shared" si="66"/>
        <v>#REF!</v>
      </c>
      <c r="AXU247" s="29" t="e">
        <f t="shared" si="66"/>
        <v>#REF!</v>
      </c>
      <c r="AXV247" s="29" t="e">
        <f t="shared" si="66"/>
        <v>#REF!</v>
      </c>
      <c r="AXW247" s="29" t="e">
        <f t="shared" si="66"/>
        <v>#REF!</v>
      </c>
      <c r="AXX247" s="29" t="e">
        <f t="shared" si="66"/>
        <v>#REF!</v>
      </c>
      <c r="AXY247" s="29" t="e">
        <f t="shared" si="66"/>
        <v>#REF!</v>
      </c>
      <c r="AXZ247" s="29" t="e">
        <f t="shared" si="66"/>
        <v>#REF!</v>
      </c>
      <c r="AYA247" s="29" t="e">
        <f t="shared" si="66"/>
        <v>#REF!</v>
      </c>
      <c r="AYB247" s="29" t="e">
        <f t="shared" si="66"/>
        <v>#REF!</v>
      </c>
      <c r="AYC247" s="29" t="e">
        <f t="shared" si="66"/>
        <v>#REF!</v>
      </c>
      <c r="AYD247" s="29" t="e">
        <f t="shared" si="66"/>
        <v>#REF!</v>
      </c>
      <c r="AYE247" s="29" t="e">
        <f t="shared" si="66"/>
        <v>#REF!</v>
      </c>
      <c r="AYF247" s="29" t="e">
        <f t="shared" si="66"/>
        <v>#REF!</v>
      </c>
      <c r="AYG247" s="29" t="e">
        <f t="shared" si="66"/>
        <v>#REF!</v>
      </c>
      <c r="AYH247" s="29" t="e">
        <f t="shared" si="66"/>
        <v>#REF!</v>
      </c>
      <c r="AYI247" s="29" t="e">
        <f t="shared" si="66"/>
        <v>#REF!</v>
      </c>
      <c r="AYJ247" s="29" t="e">
        <f t="shared" si="66"/>
        <v>#REF!</v>
      </c>
      <c r="AYK247" s="29" t="e">
        <f t="shared" si="66"/>
        <v>#REF!</v>
      </c>
      <c r="AYL247" s="29" t="e">
        <f t="shared" si="66"/>
        <v>#REF!</v>
      </c>
      <c r="AYM247" s="29" t="e">
        <f t="shared" si="66"/>
        <v>#REF!</v>
      </c>
      <c r="AYN247" s="29" t="e">
        <f t="shared" si="66"/>
        <v>#REF!</v>
      </c>
      <c r="AYO247" s="29" t="e">
        <f t="shared" si="66"/>
        <v>#REF!</v>
      </c>
      <c r="AYP247" s="29" t="e">
        <f t="shared" si="66"/>
        <v>#REF!</v>
      </c>
      <c r="AYQ247" s="29" t="e">
        <f t="shared" si="66"/>
        <v>#REF!</v>
      </c>
      <c r="AYR247" s="29" t="e">
        <f t="shared" si="66"/>
        <v>#REF!</v>
      </c>
      <c r="AYS247" s="29" t="e">
        <f t="shared" si="66"/>
        <v>#REF!</v>
      </c>
      <c r="AYT247" s="29" t="e">
        <f t="shared" si="66"/>
        <v>#REF!</v>
      </c>
      <c r="AYU247" s="29" t="e">
        <f t="shared" si="66"/>
        <v>#REF!</v>
      </c>
      <c r="AYV247" s="29" t="e">
        <f t="shared" si="66"/>
        <v>#REF!</v>
      </c>
      <c r="AYW247" s="29" t="e">
        <f t="shared" si="66"/>
        <v>#REF!</v>
      </c>
      <c r="AYX247" s="29" t="e">
        <f t="shared" si="66"/>
        <v>#REF!</v>
      </c>
      <c r="AYY247" s="29" t="e">
        <f t="shared" si="66"/>
        <v>#REF!</v>
      </c>
      <c r="AYZ247" s="29" t="e">
        <f t="shared" si="66"/>
        <v>#REF!</v>
      </c>
      <c r="AZA247" s="29" t="e">
        <f t="shared" si="66"/>
        <v>#REF!</v>
      </c>
      <c r="AZB247" s="29" t="e">
        <f t="shared" si="66"/>
        <v>#REF!</v>
      </c>
      <c r="AZC247" s="29" t="e">
        <f t="shared" si="66"/>
        <v>#REF!</v>
      </c>
      <c r="AZD247" s="29" t="e">
        <f t="shared" si="66"/>
        <v>#REF!</v>
      </c>
      <c r="AZE247" s="29" t="e">
        <f t="shared" si="66"/>
        <v>#REF!</v>
      </c>
      <c r="AZF247" s="29" t="e">
        <f t="shared" si="66"/>
        <v>#REF!</v>
      </c>
      <c r="AZG247" s="29" t="e">
        <f t="shared" si="66"/>
        <v>#REF!</v>
      </c>
      <c r="AZH247" s="29" t="e">
        <f t="shared" si="66"/>
        <v>#REF!</v>
      </c>
      <c r="AZI247" s="29" t="e">
        <f t="shared" ref="AZI247:BBT247" si="67">AZM247&amp;AZN247</f>
        <v>#REF!</v>
      </c>
      <c r="AZJ247" s="29" t="e">
        <f t="shared" si="67"/>
        <v>#REF!</v>
      </c>
      <c r="AZK247" s="29" t="e">
        <f t="shared" si="67"/>
        <v>#REF!</v>
      </c>
      <c r="AZL247" s="29" t="e">
        <f t="shared" si="67"/>
        <v>#REF!</v>
      </c>
      <c r="AZM247" s="29" t="e">
        <f t="shared" si="67"/>
        <v>#REF!</v>
      </c>
      <c r="AZN247" s="29" t="e">
        <f t="shared" si="67"/>
        <v>#REF!</v>
      </c>
      <c r="AZO247" s="29" t="e">
        <f t="shared" si="67"/>
        <v>#REF!</v>
      </c>
      <c r="AZP247" s="29" t="e">
        <f t="shared" si="67"/>
        <v>#REF!</v>
      </c>
      <c r="AZQ247" s="29" t="e">
        <f t="shared" si="67"/>
        <v>#REF!</v>
      </c>
      <c r="AZR247" s="29" t="e">
        <f t="shared" si="67"/>
        <v>#REF!</v>
      </c>
      <c r="AZS247" s="29" t="e">
        <f t="shared" si="67"/>
        <v>#REF!</v>
      </c>
      <c r="AZT247" s="29" t="e">
        <f t="shared" si="67"/>
        <v>#REF!</v>
      </c>
      <c r="AZU247" s="29" t="e">
        <f t="shared" si="67"/>
        <v>#REF!</v>
      </c>
      <c r="AZV247" s="29" t="e">
        <f t="shared" si="67"/>
        <v>#REF!</v>
      </c>
      <c r="AZW247" s="29" t="e">
        <f t="shared" si="67"/>
        <v>#REF!</v>
      </c>
      <c r="AZX247" s="29" t="e">
        <f t="shared" si="67"/>
        <v>#REF!</v>
      </c>
      <c r="AZY247" s="29" t="e">
        <f t="shared" si="67"/>
        <v>#REF!</v>
      </c>
      <c r="AZZ247" s="29" t="e">
        <f t="shared" si="67"/>
        <v>#REF!</v>
      </c>
      <c r="BAA247" s="29" t="e">
        <f t="shared" si="67"/>
        <v>#REF!</v>
      </c>
      <c r="BAB247" s="29" t="e">
        <f t="shared" si="67"/>
        <v>#REF!</v>
      </c>
      <c r="BAC247" s="29" t="e">
        <f t="shared" si="67"/>
        <v>#REF!</v>
      </c>
      <c r="BAD247" s="29" t="e">
        <f t="shared" si="67"/>
        <v>#REF!</v>
      </c>
      <c r="BAE247" s="29" t="e">
        <f t="shared" si="67"/>
        <v>#REF!</v>
      </c>
      <c r="BAF247" s="29" t="e">
        <f t="shared" si="67"/>
        <v>#REF!</v>
      </c>
      <c r="BAG247" s="29" t="e">
        <f t="shared" si="67"/>
        <v>#REF!</v>
      </c>
      <c r="BAH247" s="29" t="e">
        <f t="shared" si="67"/>
        <v>#REF!</v>
      </c>
      <c r="BAI247" s="29" t="e">
        <f t="shared" si="67"/>
        <v>#REF!</v>
      </c>
      <c r="BAJ247" s="29" t="e">
        <f t="shared" si="67"/>
        <v>#REF!</v>
      </c>
      <c r="BAK247" s="29" t="e">
        <f t="shared" si="67"/>
        <v>#REF!</v>
      </c>
      <c r="BAL247" s="29" t="e">
        <f t="shared" si="67"/>
        <v>#REF!</v>
      </c>
      <c r="BAM247" s="29" t="e">
        <f t="shared" si="67"/>
        <v>#REF!</v>
      </c>
      <c r="BAN247" s="29" t="e">
        <f t="shared" si="67"/>
        <v>#REF!</v>
      </c>
      <c r="BAO247" s="29" t="e">
        <f t="shared" si="67"/>
        <v>#REF!</v>
      </c>
      <c r="BAP247" s="29" t="e">
        <f t="shared" si="67"/>
        <v>#REF!</v>
      </c>
      <c r="BAQ247" s="29" t="e">
        <f t="shared" si="67"/>
        <v>#REF!</v>
      </c>
      <c r="BAR247" s="29" t="e">
        <f t="shared" si="67"/>
        <v>#REF!</v>
      </c>
      <c r="BAS247" s="29" t="e">
        <f t="shared" si="67"/>
        <v>#REF!</v>
      </c>
      <c r="BAT247" s="29" t="e">
        <f t="shared" si="67"/>
        <v>#REF!</v>
      </c>
      <c r="BAU247" s="29" t="e">
        <f t="shared" si="67"/>
        <v>#REF!</v>
      </c>
      <c r="BAV247" s="29" t="e">
        <f t="shared" si="67"/>
        <v>#REF!</v>
      </c>
      <c r="BAW247" s="29" t="e">
        <f t="shared" si="67"/>
        <v>#REF!</v>
      </c>
      <c r="BAX247" s="29" t="e">
        <f t="shared" si="67"/>
        <v>#REF!</v>
      </c>
      <c r="BAY247" s="29" t="e">
        <f t="shared" si="67"/>
        <v>#REF!</v>
      </c>
      <c r="BAZ247" s="29" t="e">
        <f t="shared" si="67"/>
        <v>#REF!</v>
      </c>
      <c r="BBA247" s="29" t="e">
        <f t="shared" si="67"/>
        <v>#REF!</v>
      </c>
      <c r="BBB247" s="29" t="e">
        <f t="shared" si="67"/>
        <v>#REF!</v>
      </c>
      <c r="BBC247" s="29" t="e">
        <f t="shared" si="67"/>
        <v>#REF!</v>
      </c>
      <c r="BBD247" s="29" t="e">
        <f t="shared" si="67"/>
        <v>#REF!</v>
      </c>
      <c r="BBE247" s="29" t="e">
        <f t="shared" si="67"/>
        <v>#REF!</v>
      </c>
      <c r="BBF247" s="29" t="e">
        <f t="shared" si="67"/>
        <v>#REF!</v>
      </c>
      <c r="BBG247" s="29" t="e">
        <f t="shared" si="67"/>
        <v>#REF!</v>
      </c>
      <c r="BBH247" s="29" t="e">
        <f t="shared" si="67"/>
        <v>#REF!</v>
      </c>
      <c r="BBI247" s="29" t="e">
        <f t="shared" si="67"/>
        <v>#REF!</v>
      </c>
      <c r="BBJ247" s="29" t="e">
        <f t="shared" si="67"/>
        <v>#REF!</v>
      </c>
      <c r="BBK247" s="29" t="e">
        <f t="shared" si="67"/>
        <v>#REF!</v>
      </c>
      <c r="BBL247" s="29" t="e">
        <f t="shared" si="67"/>
        <v>#REF!</v>
      </c>
      <c r="BBM247" s="29" t="e">
        <f t="shared" si="67"/>
        <v>#REF!</v>
      </c>
      <c r="BBN247" s="29" t="e">
        <f t="shared" si="67"/>
        <v>#REF!</v>
      </c>
      <c r="BBO247" s="29" t="e">
        <f t="shared" si="67"/>
        <v>#REF!</v>
      </c>
      <c r="BBP247" s="29" t="e">
        <f t="shared" si="67"/>
        <v>#REF!</v>
      </c>
      <c r="BBQ247" s="29" t="e">
        <f t="shared" si="67"/>
        <v>#REF!</v>
      </c>
      <c r="BBR247" s="29" t="e">
        <f t="shared" si="67"/>
        <v>#REF!</v>
      </c>
      <c r="BBS247" s="29" t="e">
        <f t="shared" si="67"/>
        <v>#REF!</v>
      </c>
      <c r="BBT247" s="29" t="e">
        <f t="shared" si="67"/>
        <v>#REF!</v>
      </c>
      <c r="BBU247" s="29" t="e">
        <f t="shared" ref="BBU247:BEF247" si="68">BBY247&amp;BBZ247</f>
        <v>#REF!</v>
      </c>
      <c r="BBV247" s="29" t="e">
        <f t="shared" si="68"/>
        <v>#REF!</v>
      </c>
      <c r="BBW247" s="29" t="e">
        <f t="shared" si="68"/>
        <v>#REF!</v>
      </c>
      <c r="BBX247" s="29" t="e">
        <f t="shared" si="68"/>
        <v>#REF!</v>
      </c>
      <c r="BBY247" s="29" t="e">
        <f t="shared" si="68"/>
        <v>#REF!</v>
      </c>
      <c r="BBZ247" s="29" t="e">
        <f t="shared" si="68"/>
        <v>#REF!</v>
      </c>
      <c r="BCA247" s="29" t="e">
        <f t="shared" si="68"/>
        <v>#REF!</v>
      </c>
      <c r="BCB247" s="29" t="e">
        <f t="shared" si="68"/>
        <v>#REF!</v>
      </c>
      <c r="BCC247" s="29" t="e">
        <f t="shared" si="68"/>
        <v>#REF!</v>
      </c>
      <c r="BCD247" s="29" t="e">
        <f t="shared" si="68"/>
        <v>#REF!</v>
      </c>
      <c r="BCE247" s="29" t="e">
        <f t="shared" si="68"/>
        <v>#REF!</v>
      </c>
      <c r="BCF247" s="29" t="e">
        <f t="shared" si="68"/>
        <v>#REF!</v>
      </c>
      <c r="BCG247" s="29" t="e">
        <f t="shared" si="68"/>
        <v>#REF!</v>
      </c>
      <c r="BCH247" s="29" t="e">
        <f t="shared" si="68"/>
        <v>#REF!</v>
      </c>
      <c r="BCI247" s="29" t="e">
        <f t="shared" si="68"/>
        <v>#REF!</v>
      </c>
      <c r="BCJ247" s="29" t="e">
        <f t="shared" si="68"/>
        <v>#REF!</v>
      </c>
      <c r="BCK247" s="29" t="e">
        <f t="shared" si="68"/>
        <v>#REF!</v>
      </c>
      <c r="BCL247" s="29" t="e">
        <f t="shared" si="68"/>
        <v>#REF!</v>
      </c>
      <c r="BCM247" s="29" t="e">
        <f t="shared" si="68"/>
        <v>#REF!</v>
      </c>
      <c r="BCN247" s="29" t="e">
        <f t="shared" si="68"/>
        <v>#REF!</v>
      </c>
      <c r="BCO247" s="29" t="e">
        <f t="shared" si="68"/>
        <v>#REF!</v>
      </c>
      <c r="BCP247" s="29" t="e">
        <f t="shared" si="68"/>
        <v>#REF!</v>
      </c>
      <c r="BCQ247" s="29" t="e">
        <f t="shared" si="68"/>
        <v>#REF!</v>
      </c>
      <c r="BCR247" s="29" t="e">
        <f t="shared" si="68"/>
        <v>#REF!</v>
      </c>
      <c r="BCS247" s="29" t="e">
        <f t="shared" si="68"/>
        <v>#REF!</v>
      </c>
      <c r="BCT247" s="29" t="e">
        <f t="shared" si="68"/>
        <v>#REF!</v>
      </c>
      <c r="BCU247" s="29" t="e">
        <f t="shared" si="68"/>
        <v>#REF!</v>
      </c>
      <c r="BCV247" s="29" t="e">
        <f t="shared" si="68"/>
        <v>#REF!</v>
      </c>
      <c r="BCW247" s="29" t="e">
        <f t="shared" si="68"/>
        <v>#REF!</v>
      </c>
      <c r="BCX247" s="29" t="e">
        <f t="shared" si="68"/>
        <v>#REF!</v>
      </c>
      <c r="BCY247" s="29" t="e">
        <f t="shared" si="68"/>
        <v>#REF!</v>
      </c>
      <c r="BCZ247" s="29" t="e">
        <f t="shared" si="68"/>
        <v>#REF!</v>
      </c>
      <c r="BDA247" s="29" t="e">
        <f t="shared" si="68"/>
        <v>#REF!</v>
      </c>
      <c r="BDB247" s="29" t="e">
        <f t="shared" si="68"/>
        <v>#REF!</v>
      </c>
      <c r="BDC247" s="29" t="e">
        <f t="shared" si="68"/>
        <v>#REF!</v>
      </c>
      <c r="BDD247" s="29" t="e">
        <f t="shared" si="68"/>
        <v>#REF!</v>
      </c>
      <c r="BDE247" s="29" t="e">
        <f t="shared" si="68"/>
        <v>#REF!</v>
      </c>
      <c r="BDF247" s="29" t="e">
        <f t="shared" si="68"/>
        <v>#REF!</v>
      </c>
      <c r="BDG247" s="29" t="e">
        <f t="shared" si="68"/>
        <v>#REF!</v>
      </c>
      <c r="BDH247" s="29" t="e">
        <f t="shared" si="68"/>
        <v>#REF!</v>
      </c>
      <c r="BDI247" s="29" t="e">
        <f t="shared" si="68"/>
        <v>#REF!</v>
      </c>
      <c r="BDJ247" s="29" t="e">
        <f t="shared" si="68"/>
        <v>#REF!</v>
      </c>
      <c r="BDK247" s="29" t="e">
        <f t="shared" si="68"/>
        <v>#REF!</v>
      </c>
      <c r="BDL247" s="29" t="e">
        <f t="shared" si="68"/>
        <v>#REF!</v>
      </c>
      <c r="BDM247" s="29" t="e">
        <f t="shared" si="68"/>
        <v>#REF!</v>
      </c>
      <c r="BDN247" s="29" t="e">
        <f t="shared" si="68"/>
        <v>#REF!</v>
      </c>
      <c r="BDO247" s="29" t="e">
        <f t="shared" si="68"/>
        <v>#REF!</v>
      </c>
      <c r="BDP247" s="29" t="e">
        <f t="shared" si="68"/>
        <v>#REF!</v>
      </c>
      <c r="BDQ247" s="29" t="e">
        <f t="shared" si="68"/>
        <v>#REF!</v>
      </c>
      <c r="BDR247" s="29" t="e">
        <f t="shared" si="68"/>
        <v>#REF!</v>
      </c>
      <c r="BDS247" s="29" t="e">
        <f t="shared" si="68"/>
        <v>#REF!</v>
      </c>
      <c r="BDT247" s="29" t="e">
        <f t="shared" si="68"/>
        <v>#REF!</v>
      </c>
      <c r="BDU247" s="29" t="e">
        <f t="shared" si="68"/>
        <v>#REF!</v>
      </c>
      <c r="BDV247" s="29" t="e">
        <f t="shared" si="68"/>
        <v>#REF!</v>
      </c>
      <c r="BDW247" s="29" t="e">
        <f t="shared" si="68"/>
        <v>#REF!</v>
      </c>
      <c r="BDX247" s="29" t="e">
        <f t="shared" si="68"/>
        <v>#REF!</v>
      </c>
      <c r="BDY247" s="29" t="e">
        <f t="shared" si="68"/>
        <v>#REF!</v>
      </c>
      <c r="BDZ247" s="29" t="e">
        <f t="shared" si="68"/>
        <v>#REF!</v>
      </c>
      <c r="BEA247" s="29" t="e">
        <f t="shared" si="68"/>
        <v>#REF!</v>
      </c>
      <c r="BEB247" s="29" t="e">
        <f t="shared" si="68"/>
        <v>#REF!</v>
      </c>
      <c r="BEC247" s="29" t="e">
        <f t="shared" si="68"/>
        <v>#REF!</v>
      </c>
      <c r="BED247" s="29" t="e">
        <f t="shared" si="68"/>
        <v>#REF!</v>
      </c>
      <c r="BEE247" s="29" t="e">
        <f t="shared" si="68"/>
        <v>#REF!</v>
      </c>
      <c r="BEF247" s="29" t="e">
        <f t="shared" si="68"/>
        <v>#REF!</v>
      </c>
      <c r="BEG247" s="29" t="e">
        <f t="shared" ref="BEG247:BGR247" si="69">BEK247&amp;BEL247</f>
        <v>#REF!</v>
      </c>
      <c r="BEH247" s="29" t="e">
        <f t="shared" si="69"/>
        <v>#REF!</v>
      </c>
      <c r="BEI247" s="29" t="e">
        <f t="shared" si="69"/>
        <v>#REF!</v>
      </c>
      <c r="BEJ247" s="29" t="e">
        <f t="shared" si="69"/>
        <v>#REF!</v>
      </c>
      <c r="BEK247" s="29" t="e">
        <f t="shared" si="69"/>
        <v>#REF!</v>
      </c>
      <c r="BEL247" s="29" t="e">
        <f t="shared" si="69"/>
        <v>#REF!</v>
      </c>
      <c r="BEM247" s="29" t="e">
        <f t="shared" si="69"/>
        <v>#REF!</v>
      </c>
      <c r="BEN247" s="29" t="e">
        <f t="shared" si="69"/>
        <v>#REF!</v>
      </c>
      <c r="BEO247" s="29" t="e">
        <f t="shared" si="69"/>
        <v>#REF!</v>
      </c>
      <c r="BEP247" s="29" t="e">
        <f t="shared" si="69"/>
        <v>#REF!</v>
      </c>
      <c r="BEQ247" s="29" t="e">
        <f t="shared" si="69"/>
        <v>#REF!</v>
      </c>
      <c r="BER247" s="29" t="e">
        <f t="shared" si="69"/>
        <v>#REF!</v>
      </c>
      <c r="BES247" s="29" t="e">
        <f t="shared" si="69"/>
        <v>#REF!</v>
      </c>
      <c r="BET247" s="29" t="e">
        <f t="shared" si="69"/>
        <v>#REF!</v>
      </c>
      <c r="BEU247" s="29" t="e">
        <f t="shared" si="69"/>
        <v>#REF!</v>
      </c>
      <c r="BEV247" s="29" t="e">
        <f t="shared" si="69"/>
        <v>#REF!</v>
      </c>
      <c r="BEW247" s="29" t="e">
        <f t="shared" si="69"/>
        <v>#REF!</v>
      </c>
      <c r="BEX247" s="29" t="e">
        <f t="shared" si="69"/>
        <v>#REF!</v>
      </c>
      <c r="BEY247" s="29" t="e">
        <f t="shared" si="69"/>
        <v>#REF!</v>
      </c>
      <c r="BEZ247" s="29" t="e">
        <f t="shared" si="69"/>
        <v>#REF!</v>
      </c>
      <c r="BFA247" s="29" t="e">
        <f t="shared" si="69"/>
        <v>#REF!</v>
      </c>
      <c r="BFB247" s="29" t="e">
        <f t="shared" si="69"/>
        <v>#REF!</v>
      </c>
      <c r="BFC247" s="29" t="e">
        <f t="shared" si="69"/>
        <v>#REF!</v>
      </c>
      <c r="BFD247" s="29" t="e">
        <f t="shared" si="69"/>
        <v>#REF!</v>
      </c>
      <c r="BFE247" s="29" t="e">
        <f t="shared" si="69"/>
        <v>#REF!</v>
      </c>
      <c r="BFF247" s="29" t="e">
        <f t="shared" si="69"/>
        <v>#REF!</v>
      </c>
      <c r="BFG247" s="29" t="e">
        <f t="shared" si="69"/>
        <v>#REF!</v>
      </c>
      <c r="BFH247" s="29" t="e">
        <f t="shared" si="69"/>
        <v>#REF!</v>
      </c>
      <c r="BFI247" s="29" t="e">
        <f t="shared" si="69"/>
        <v>#REF!</v>
      </c>
      <c r="BFJ247" s="29" t="e">
        <f t="shared" si="69"/>
        <v>#REF!</v>
      </c>
      <c r="BFK247" s="29" t="e">
        <f t="shared" si="69"/>
        <v>#REF!</v>
      </c>
      <c r="BFL247" s="29" t="e">
        <f t="shared" si="69"/>
        <v>#REF!</v>
      </c>
      <c r="BFM247" s="29" t="e">
        <f t="shared" si="69"/>
        <v>#REF!</v>
      </c>
      <c r="BFN247" s="29" t="e">
        <f t="shared" si="69"/>
        <v>#REF!</v>
      </c>
      <c r="BFO247" s="29" t="e">
        <f t="shared" si="69"/>
        <v>#REF!</v>
      </c>
      <c r="BFP247" s="29" t="e">
        <f t="shared" si="69"/>
        <v>#REF!</v>
      </c>
      <c r="BFQ247" s="29" t="e">
        <f t="shared" si="69"/>
        <v>#REF!</v>
      </c>
      <c r="BFR247" s="29" t="e">
        <f t="shared" si="69"/>
        <v>#REF!</v>
      </c>
      <c r="BFS247" s="29" t="e">
        <f t="shared" si="69"/>
        <v>#REF!</v>
      </c>
      <c r="BFT247" s="29" t="e">
        <f t="shared" si="69"/>
        <v>#REF!</v>
      </c>
      <c r="BFU247" s="29" t="e">
        <f t="shared" si="69"/>
        <v>#REF!</v>
      </c>
      <c r="BFV247" s="29" t="e">
        <f t="shared" si="69"/>
        <v>#REF!</v>
      </c>
      <c r="BFW247" s="29" t="e">
        <f t="shared" si="69"/>
        <v>#REF!</v>
      </c>
      <c r="BFX247" s="29" t="e">
        <f t="shared" si="69"/>
        <v>#REF!</v>
      </c>
      <c r="BFY247" s="29" t="e">
        <f t="shared" si="69"/>
        <v>#REF!</v>
      </c>
      <c r="BFZ247" s="29" t="e">
        <f t="shared" si="69"/>
        <v>#REF!</v>
      </c>
      <c r="BGA247" s="29" t="e">
        <f t="shared" si="69"/>
        <v>#REF!</v>
      </c>
      <c r="BGB247" s="29" t="e">
        <f t="shared" si="69"/>
        <v>#REF!</v>
      </c>
      <c r="BGC247" s="29" t="e">
        <f t="shared" si="69"/>
        <v>#REF!</v>
      </c>
      <c r="BGD247" s="29" t="e">
        <f t="shared" si="69"/>
        <v>#REF!</v>
      </c>
      <c r="BGE247" s="29" t="e">
        <f t="shared" si="69"/>
        <v>#REF!</v>
      </c>
      <c r="BGF247" s="29" t="e">
        <f t="shared" si="69"/>
        <v>#REF!</v>
      </c>
      <c r="BGG247" s="29" t="e">
        <f t="shared" si="69"/>
        <v>#REF!</v>
      </c>
      <c r="BGH247" s="29" t="e">
        <f t="shared" si="69"/>
        <v>#REF!</v>
      </c>
      <c r="BGI247" s="29" t="e">
        <f t="shared" si="69"/>
        <v>#REF!</v>
      </c>
      <c r="BGJ247" s="29" t="e">
        <f t="shared" si="69"/>
        <v>#REF!</v>
      </c>
      <c r="BGK247" s="29" t="e">
        <f t="shared" si="69"/>
        <v>#REF!</v>
      </c>
      <c r="BGL247" s="29" t="e">
        <f t="shared" si="69"/>
        <v>#REF!</v>
      </c>
      <c r="BGM247" s="29" t="e">
        <f t="shared" si="69"/>
        <v>#REF!</v>
      </c>
      <c r="BGN247" s="29" t="e">
        <f t="shared" si="69"/>
        <v>#REF!</v>
      </c>
      <c r="BGO247" s="29" t="e">
        <f t="shared" si="69"/>
        <v>#REF!</v>
      </c>
      <c r="BGP247" s="29" t="e">
        <f t="shared" si="69"/>
        <v>#REF!</v>
      </c>
      <c r="BGQ247" s="29" t="e">
        <f t="shared" si="69"/>
        <v>#REF!</v>
      </c>
      <c r="BGR247" s="29" t="e">
        <f t="shared" si="69"/>
        <v>#REF!</v>
      </c>
      <c r="BGS247" s="29" t="e">
        <f t="shared" ref="BGS247:BJD247" si="70">BGW247&amp;BGX247</f>
        <v>#REF!</v>
      </c>
      <c r="BGT247" s="29" t="e">
        <f t="shared" si="70"/>
        <v>#REF!</v>
      </c>
      <c r="BGU247" s="29" t="e">
        <f t="shared" si="70"/>
        <v>#REF!</v>
      </c>
      <c r="BGV247" s="29" t="e">
        <f t="shared" si="70"/>
        <v>#REF!</v>
      </c>
      <c r="BGW247" s="29" t="e">
        <f t="shared" si="70"/>
        <v>#REF!</v>
      </c>
      <c r="BGX247" s="29" t="e">
        <f t="shared" si="70"/>
        <v>#REF!</v>
      </c>
      <c r="BGY247" s="29" t="e">
        <f t="shared" si="70"/>
        <v>#REF!</v>
      </c>
      <c r="BGZ247" s="29" t="e">
        <f t="shared" si="70"/>
        <v>#REF!</v>
      </c>
      <c r="BHA247" s="29" t="e">
        <f t="shared" si="70"/>
        <v>#REF!</v>
      </c>
      <c r="BHB247" s="29" t="e">
        <f t="shared" si="70"/>
        <v>#REF!</v>
      </c>
      <c r="BHC247" s="29" t="e">
        <f t="shared" si="70"/>
        <v>#REF!</v>
      </c>
      <c r="BHD247" s="29" t="e">
        <f t="shared" si="70"/>
        <v>#REF!</v>
      </c>
      <c r="BHE247" s="29" t="e">
        <f t="shared" si="70"/>
        <v>#REF!</v>
      </c>
      <c r="BHF247" s="29" t="e">
        <f t="shared" si="70"/>
        <v>#REF!</v>
      </c>
      <c r="BHG247" s="29" t="e">
        <f t="shared" si="70"/>
        <v>#REF!</v>
      </c>
      <c r="BHH247" s="29" t="e">
        <f t="shared" si="70"/>
        <v>#REF!</v>
      </c>
      <c r="BHI247" s="29" t="e">
        <f t="shared" si="70"/>
        <v>#REF!</v>
      </c>
      <c r="BHJ247" s="29" t="e">
        <f t="shared" si="70"/>
        <v>#REF!</v>
      </c>
      <c r="BHK247" s="29" t="e">
        <f t="shared" si="70"/>
        <v>#REF!</v>
      </c>
      <c r="BHL247" s="29" t="e">
        <f t="shared" si="70"/>
        <v>#REF!</v>
      </c>
      <c r="BHM247" s="29" t="e">
        <f t="shared" si="70"/>
        <v>#REF!</v>
      </c>
      <c r="BHN247" s="29" t="e">
        <f t="shared" si="70"/>
        <v>#REF!</v>
      </c>
      <c r="BHO247" s="29" t="e">
        <f t="shared" si="70"/>
        <v>#REF!</v>
      </c>
      <c r="BHP247" s="29" t="e">
        <f t="shared" si="70"/>
        <v>#REF!</v>
      </c>
      <c r="BHQ247" s="29" t="e">
        <f t="shared" si="70"/>
        <v>#REF!</v>
      </c>
      <c r="BHR247" s="29" t="e">
        <f t="shared" si="70"/>
        <v>#REF!</v>
      </c>
      <c r="BHS247" s="29" t="e">
        <f t="shared" si="70"/>
        <v>#REF!</v>
      </c>
      <c r="BHT247" s="29" t="e">
        <f t="shared" si="70"/>
        <v>#REF!</v>
      </c>
      <c r="BHU247" s="29" t="e">
        <f t="shared" si="70"/>
        <v>#REF!</v>
      </c>
      <c r="BHV247" s="29" t="e">
        <f t="shared" si="70"/>
        <v>#REF!</v>
      </c>
      <c r="BHW247" s="29" t="e">
        <f t="shared" si="70"/>
        <v>#REF!</v>
      </c>
      <c r="BHX247" s="29" t="e">
        <f t="shared" si="70"/>
        <v>#REF!</v>
      </c>
      <c r="BHY247" s="29" t="e">
        <f t="shared" si="70"/>
        <v>#REF!</v>
      </c>
      <c r="BHZ247" s="29" t="e">
        <f t="shared" si="70"/>
        <v>#REF!</v>
      </c>
      <c r="BIA247" s="29" t="e">
        <f t="shared" si="70"/>
        <v>#REF!</v>
      </c>
      <c r="BIB247" s="29" t="e">
        <f t="shared" si="70"/>
        <v>#REF!</v>
      </c>
      <c r="BIC247" s="29" t="e">
        <f t="shared" si="70"/>
        <v>#REF!</v>
      </c>
      <c r="BID247" s="29" t="e">
        <f t="shared" si="70"/>
        <v>#REF!</v>
      </c>
      <c r="BIE247" s="29" t="e">
        <f t="shared" si="70"/>
        <v>#REF!</v>
      </c>
      <c r="BIF247" s="29" t="e">
        <f t="shared" si="70"/>
        <v>#REF!</v>
      </c>
      <c r="BIG247" s="29" t="e">
        <f t="shared" si="70"/>
        <v>#REF!</v>
      </c>
      <c r="BIH247" s="29" t="e">
        <f t="shared" si="70"/>
        <v>#REF!</v>
      </c>
      <c r="BII247" s="29" t="e">
        <f t="shared" si="70"/>
        <v>#REF!</v>
      </c>
      <c r="BIJ247" s="29" t="e">
        <f t="shared" si="70"/>
        <v>#REF!</v>
      </c>
      <c r="BIK247" s="29" t="e">
        <f t="shared" si="70"/>
        <v>#REF!</v>
      </c>
      <c r="BIL247" s="29" t="e">
        <f t="shared" si="70"/>
        <v>#REF!</v>
      </c>
      <c r="BIM247" s="29" t="e">
        <f t="shared" si="70"/>
        <v>#REF!</v>
      </c>
      <c r="BIN247" s="29" t="e">
        <f t="shared" si="70"/>
        <v>#REF!</v>
      </c>
      <c r="BIO247" s="29" t="e">
        <f t="shared" si="70"/>
        <v>#REF!</v>
      </c>
      <c r="BIP247" s="29" t="e">
        <f t="shared" si="70"/>
        <v>#REF!</v>
      </c>
      <c r="BIQ247" s="29" t="e">
        <f t="shared" si="70"/>
        <v>#REF!</v>
      </c>
      <c r="BIR247" s="29" t="e">
        <f t="shared" si="70"/>
        <v>#REF!</v>
      </c>
      <c r="BIS247" s="29" t="e">
        <f t="shared" si="70"/>
        <v>#REF!</v>
      </c>
      <c r="BIT247" s="29" t="e">
        <f t="shared" si="70"/>
        <v>#REF!</v>
      </c>
      <c r="BIU247" s="29" t="e">
        <f t="shared" si="70"/>
        <v>#REF!</v>
      </c>
      <c r="BIV247" s="29" t="e">
        <f t="shared" si="70"/>
        <v>#REF!</v>
      </c>
      <c r="BIW247" s="29" t="e">
        <f t="shared" si="70"/>
        <v>#REF!</v>
      </c>
      <c r="BIX247" s="29" t="e">
        <f t="shared" si="70"/>
        <v>#REF!</v>
      </c>
      <c r="BIY247" s="29" t="e">
        <f t="shared" si="70"/>
        <v>#REF!</v>
      </c>
      <c r="BIZ247" s="29" t="e">
        <f t="shared" si="70"/>
        <v>#REF!</v>
      </c>
      <c r="BJA247" s="29" t="e">
        <f t="shared" si="70"/>
        <v>#REF!</v>
      </c>
      <c r="BJB247" s="29" t="e">
        <f t="shared" si="70"/>
        <v>#REF!</v>
      </c>
      <c r="BJC247" s="29" t="e">
        <f t="shared" si="70"/>
        <v>#REF!</v>
      </c>
      <c r="BJD247" s="29" t="e">
        <f t="shared" si="70"/>
        <v>#REF!</v>
      </c>
      <c r="BJE247" s="29" t="e">
        <f t="shared" ref="BJE247:BLP247" si="71">BJI247&amp;BJJ247</f>
        <v>#REF!</v>
      </c>
      <c r="BJF247" s="29" t="e">
        <f t="shared" si="71"/>
        <v>#REF!</v>
      </c>
      <c r="BJG247" s="29" t="e">
        <f t="shared" si="71"/>
        <v>#REF!</v>
      </c>
      <c r="BJH247" s="29" t="e">
        <f t="shared" si="71"/>
        <v>#REF!</v>
      </c>
      <c r="BJI247" s="29" t="e">
        <f t="shared" si="71"/>
        <v>#REF!</v>
      </c>
      <c r="BJJ247" s="29" t="e">
        <f t="shared" si="71"/>
        <v>#REF!</v>
      </c>
      <c r="BJK247" s="29" t="e">
        <f t="shared" si="71"/>
        <v>#REF!</v>
      </c>
      <c r="BJL247" s="29" t="e">
        <f t="shared" si="71"/>
        <v>#REF!</v>
      </c>
      <c r="BJM247" s="29" t="e">
        <f t="shared" si="71"/>
        <v>#REF!</v>
      </c>
      <c r="BJN247" s="29" t="e">
        <f t="shared" si="71"/>
        <v>#REF!</v>
      </c>
      <c r="BJO247" s="29" t="e">
        <f t="shared" si="71"/>
        <v>#REF!</v>
      </c>
      <c r="BJP247" s="29" t="e">
        <f t="shared" si="71"/>
        <v>#REF!</v>
      </c>
      <c r="BJQ247" s="29" t="e">
        <f t="shared" si="71"/>
        <v>#REF!</v>
      </c>
      <c r="BJR247" s="29" t="e">
        <f t="shared" si="71"/>
        <v>#REF!</v>
      </c>
      <c r="BJS247" s="29" t="e">
        <f t="shared" si="71"/>
        <v>#REF!</v>
      </c>
      <c r="BJT247" s="29" t="e">
        <f t="shared" si="71"/>
        <v>#REF!</v>
      </c>
      <c r="BJU247" s="29" t="e">
        <f t="shared" si="71"/>
        <v>#REF!</v>
      </c>
      <c r="BJV247" s="29" t="e">
        <f t="shared" si="71"/>
        <v>#REF!</v>
      </c>
      <c r="BJW247" s="29" t="e">
        <f t="shared" si="71"/>
        <v>#REF!</v>
      </c>
      <c r="BJX247" s="29" t="e">
        <f t="shared" si="71"/>
        <v>#REF!</v>
      </c>
      <c r="BJY247" s="29" t="e">
        <f t="shared" si="71"/>
        <v>#REF!</v>
      </c>
      <c r="BJZ247" s="29" t="e">
        <f t="shared" si="71"/>
        <v>#REF!</v>
      </c>
      <c r="BKA247" s="29" t="e">
        <f t="shared" si="71"/>
        <v>#REF!</v>
      </c>
      <c r="BKB247" s="29" t="e">
        <f t="shared" si="71"/>
        <v>#REF!</v>
      </c>
      <c r="BKC247" s="29" t="e">
        <f t="shared" si="71"/>
        <v>#REF!</v>
      </c>
      <c r="BKD247" s="29" t="e">
        <f t="shared" si="71"/>
        <v>#REF!</v>
      </c>
      <c r="BKE247" s="29" t="e">
        <f t="shared" si="71"/>
        <v>#REF!</v>
      </c>
      <c r="BKF247" s="29" t="e">
        <f t="shared" si="71"/>
        <v>#REF!</v>
      </c>
      <c r="BKG247" s="29" t="e">
        <f t="shared" si="71"/>
        <v>#REF!</v>
      </c>
      <c r="BKH247" s="29" t="e">
        <f t="shared" si="71"/>
        <v>#REF!</v>
      </c>
      <c r="BKI247" s="29" t="e">
        <f t="shared" si="71"/>
        <v>#REF!</v>
      </c>
      <c r="BKJ247" s="29" t="e">
        <f t="shared" si="71"/>
        <v>#REF!</v>
      </c>
      <c r="BKK247" s="29" t="e">
        <f t="shared" si="71"/>
        <v>#REF!</v>
      </c>
      <c r="BKL247" s="29" t="e">
        <f t="shared" si="71"/>
        <v>#REF!</v>
      </c>
      <c r="BKM247" s="29" t="e">
        <f t="shared" si="71"/>
        <v>#REF!</v>
      </c>
      <c r="BKN247" s="29" t="e">
        <f t="shared" si="71"/>
        <v>#REF!</v>
      </c>
      <c r="BKO247" s="29" t="e">
        <f t="shared" si="71"/>
        <v>#REF!</v>
      </c>
      <c r="BKP247" s="29" t="e">
        <f t="shared" si="71"/>
        <v>#REF!</v>
      </c>
      <c r="BKQ247" s="29" t="e">
        <f t="shared" si="71"/>
        <v>#REF!</v>
      </c>
      <c r="BKR247" s="29" t="e">
        <f t="shared" si="71"/>
        <v>#REF!</v>
      </c>
      <c r="BKS247" s="29" t="e">
        <f t="shared" si="71"/>
        <v>#REF!</v>
      </c>
      <c r="BKT247" s="29" t="e">
        <f t="shared" si="71"/>
        <v>#REF!</v>
      </c>
      <c r="BKU247" s="29" t="e">
        <f t="shared" si="71"/>
        <v>#REF!</v>
      </c>
      <c r="BKV247" s="29" t="e">
        <f t="shared" si="71"/>
        <v>#REF!</v>
      </c>
      <c r="BKW247" s="29" t="e">
        <f t="shared" si="71"/>
        <v>#REF!</v>
      </c>
      <c r="BKX247" s="29" t="e">
        <f t="shared" si="71"/>
        <v>#REF!</v>
      </c>
      <c r="BKY247" s="29" t="e">
        <f t="shared" si="71"/>
        <v>#REF!</v>
      </c>
      <c r="BKZ247" s="29" t="e">
        <f t="shared" si="71"/>
        <v>#REF!</v>
      </c>
      <c r="BLA247" s="29" t="e">
        <f t="shared" si="71"/>
        <v>#REF!</v>
      </c>
      <c r="BLB247" s="29" t="e">
        <f t="shared" si="71"/>
        <v>#REF!</v>
      </c>
      <c r="BLC247" s="29" t="e">
        <f t="shared" si="71"/>
        <v>#REF!</v>
      </c>
      <c r="BLD247" s="29" t="e">
        <f t="shared" si="71"/>
        <v>#REF!</v>
      </c>
      <c r="BLE247" s="29" t="e">
        <f t="shared" si="71"/>
        <v>#REF!</v>
      </c>
      <c r="BLF247" s="29" t="e">
        <f t="shared" si="71"/>
        <v>#REF!</v>
      </c>
      <c r="BLG247" s="29" t="e">
        <f t="shared" si="71"/>
        <v>#REF!</v>
      </c>
      <c r="BLH247" s="29" t="e">
        <f t="shared" si="71"/>
        <v>#REF!</v>
      </c>
      <c r="BLI247" s="29" t="e">
        <f t="shared" si="71"/>
        <v>#REF!</v>
      </c>
      <c r="BLJ247" s="29" t="e">
        <f t="shared" si="71"/>
        <v>#REF!</v>
      </c>
      <c r="BLK247" s="29" t="e">
        <f t="shared" si="71"/>
        <v>#REF!</v>
      </c>
      <c r="BLL247" s="29" t="e">
        <f t="shared" si="71"/>
        <v>#REF!</v>
      </c>
      <c r="BLM247" s="29" t="e">
        <f t="shared" si="71"/>
        <v>#REF!</v>
      </c>
      <c r="BLN247" s="29" t="e">
        <f t="shared" si="71"/>
        <v>#REF!</v>
      </c>
      <c r="BLO247" s="29" t="e">
        <f t="shared" si="71"/>
        <v>#REF!</v>
      </c>
      <c r="BLP247" s="29" t="e">
        <f t="shared" si="71"/>
        <v>#REF!</v>
      </c>
      <c r="BLQ247" s="29" t="e">
        <f t="shared" ref="BLQ247:BOB247" si="72">BLU247&amp;BLV247</f>
        <v>#REF!</v>
      </c>
      <c r="BLR247" s="29" t="e">
        <f t="shared" si="72"/>
        <v>#REF!</v>
      </c>
      <c r="BLS247" s="29" t="e">
        <f t="shared" si="72"/>
        <v>#REF!</v>
      </c>
      <c r="BLT247" s="29" t="e">
        <f t="shared" si="72"/>
        <v>#REF!</v>
      </c>
      <c r="BLU247" s="29" t="e">
        <f t="shared" si="72"/>
        <v>#REF!</v>
      </c>
      <c r="BLV247" s="29" t="e">
        <f t="shared" si="72"/>
        <v>#REF!</v>
      </c>
      <c r="BLW247" s="29" t="e">
        <f t="shared" si="72"/>
        <v>#REF!</v>
      </c>
      <c r="BLX247" s="29" t="e">
        <f t="shared" si="72"/>
        <v>#REF!</v>
      </c>
      <c r="BLY247" s="29" t="e">
        <f t="shared" si="72"/>
        <v>#REF!</v>
      </c>
      <c r="BLZ247" s="29" t="e">
        <f t="shared" si="72"/>
        <v>#REF!</v>
      </c>
      <c r="BMA247" s="29" t="e">
        <f t="shared" si="72"/>
        <v>#REF!</v>
      </c>
      <c r="BMB247" s="29" t="e">
        <f t="shared" si="72"/>
        <v>#REF!</v>
      </c>
      <c r="BMC247" s="29" t="e">
        <f t="shared" si="72"/>
        <v>#REF!</v>
      </c>
      <c r="BMD247" s="29" t="e">
        <f t="shared" si="72"/>
        <v>#REF!</v>
      </c>
      <c r="BME247" s="29" t="e">
        <f t="shared" si="72"/>
        <v>#REF!</v>
      </c>
      <c r="BMF247" s="29" t="e">
        <f t="shared" si="72"/>
        <v>#REF!</v>
      </c>
      <c r="BMG247" s="29" t="e">
        <f t="shared" si="72"/>
        <v>#REF!</v>
      </c>
      <c r="BMH247" s="29" t="e">
        <f t="shared" si="72"/>
        <v>#REF!</v>
      </c>
      <c r="BMI247" s="29" t="e">
        <f t="shared" si="72"/>
        <v>#REF!</v>
      </c>
      <c r="BMJ247" s="29" t="e">
        <f t="shared" si="72"/>
        <v>#REF!</v>
      </c>
      <c r="BMK247" s="29" t="e">
        <f t="shared" si="72"/>
        <v>#REF!</v>
      </c>
      <c r="BML247" s="29" t="e">
        <f t="shared" si="72"/>
        <v>#REF!</v>
      </c>
      <c r="BMM247" s="29" t="e">
        <f t="shared" si="72"/>
        <v>#REF!</v>
      </c>
      <c r="BMN247" s="29" t="e">
        <f t="shared" si="72"/>
        <v>#REF!</v>
      </c>
      <c r="BMO247" s="29" t="e">
        <f t="shared" si="72"/>
        <v>#REF!</v>
      </c>
      <c r="BMP247" s="29" t="e">
        <f t="shared" si="72"/>
        <v>#REF!</v>
      </c>
      <c r="BMQ247" s="29" t="e">
        <f t="shared" si="72"/>
        <v>#REF!</v>
      </c>
      <c r="BMR247" s="29" t="e">
        <f t="shared" si="72"/>
        <v>#REF!</v>
      </c>
      <c r="BMS247" s="29" t="e">
        <f t="shared" si="72"/>
        <v>#REF!</v>
      </c>
      <c r="BMT247" s="29" t="e">
        <f t="shared" si="72"/>
        <v>#REF!</v>
      </c>
      <c r="BMU247" s="29" t="e">
        <f t="shared" si="72"/>
        <v>#REF!</v>
      </c>
      <c r="BMV247" s="29" t="e">
        <f t="shared" si="72"/>
        <v>#REF!</v>
      </c>
      <c r="BMW247" s="29" t="e">
        <f t="shared" si="72"/>
        <v>#REF!</v>
      </c>
      <c r="BMX247" s="29" t="e">
        <f t="shared" si="72"/>
        <v>#REF!</v>
      </c>
      <c r="BMY247" s="29" t="e">
        <f t="shared" si="72"/>
        <v>#REF!</v>
      </c>
      <c r="BMZ247" s="29" t="e">
        <f t="shared" si="72"/>
        <v>#REF!</v>
      </c>
      <c r="BNA247" s="29" t="e">
        <f t="shared" si="72"/>
        <v>#REF!</v>
      </c>
      <c r="BNB247" s="29" t="e">
        <f t="shared" si="72"/>
        <v>#REF!</v>
      </c>
      <c r="BNC247" s="29" t="e">
        <f t="shared" si="72"/>
        <v>#REF!</v>
      </c>
      <c r="BND247" s="29" t="e">
        <f t="shared" si="72"/>
        <v>#REF!</v>
      </c>
      <c r="BNE247" s="29" t="e">
        <f t="shared" si="72"/>
        <v>#REF!</v>
      </c>
      <c r="BNF247" s="29" t="e">
        <f t="shared" si="72"/>
        <v>#REF!</v>
      </c>
      <c r="BNG247" s="29" t="e">
        <f t="shared" si="72"/>
        <v>#REF!</v>
      </c>
      <c r="BNH247" s="29" t="e">
        <f t="shared" si="72"/>
        <v>#REF!</v>
      </c>
      <c r="BNI247" s="29" t="e">
        <f t="shared" si="72"/>
        <v>#REF!</v>
      </c>
      <c r="BNJ247" s="29" t="e">
        <f t="shared" si="72"/>
        <v>#REF!</v>
      </c>
      <c r="BNK247" s="29" t="e">
        <f t="shared" si="72"/>
        <v>#REF!</v>
      </c>
      <c r="BNL247" s="29" t="e">
        <f t="shared" si="72"/>
        <v>#REF!</v>
      </c>
      <c r="BNM247" s="29" t="e">
        <f t="shared" si="72"/>
        <v>#REF!</v>
      </c>
      <c r="BNN247" s="29" t="e">
        <f t="shared" si="72"/>
        <v>#REF!</v>
      </c>
      <c r="BNO247" s="29" t="e">
        <f t="shared" si="72"/>
        <v>#REF!</v>
      </c>
      <c r="BNP247" s="29" t="e">
        <f t="shared" si="72"/>
        <v>#REF!</v>
      </c>
      <c r="BNQ247" s="29" t="e">
        <f t="shared" si="72"/>
        <v>#REF!</v>
      </c>
      <c r="BNR247" s="29" t="e">
        <f t="shared" si="72"/>
        <v>#REF!</v>
      </c>
      <c r="BNS247" s="29" t="e">
        <f t="shared" si="72"/>
        <v>#REF!</v>
      </c>
      <c r="BNT247" s="29" t="e">
        <f t="shared" si="72"/>
        <v>#REF!</v>
      </c>
      <c r="BNU247" s="29" t="e">
        <f t="shared" si="72"/>
        <v>#REF!</v>
      </c>
      <c r="BNV247" s="29" t="e">
        <f t="shared" si="72"/>
        <v>#REF!</v>
      </c>
      <c r="BNW247" s="29" t="e">
        <f t="shared" si="72"/>
        <v>#REF!</v>
      </c>
      <c r="BNX247" s="29" t="e">
        <f t="shared" si="72"/>
        <v>#REF!</v>
      </c>
      <c r="BNY247" s="29" t="e">
        <f t="shared" si="72"/>
        <v>#REF!</v>
      </c>
      <c r="BNZ247" s="29" t="e">
        <f t="shared" si="72"/>
        <v>#REF!</v>
      </c>
      <c r="BOA247" s="29" t="e">
        <f t="shared" si="72"/>
        <v>#REF!</v>
      </c>
      <c r="BOB247" s="29" t="e">
        <f t="shared" si="72"/>
        <v>#REF!</v>
      </c>
      <c r="BOC247" s="29" t="e">
        <f t="shared" ref="BOC247:BQN247" si="73">BOG247&amp;BOH247</f>
        <v>#REF!</v>
      </c>
      <c r="BOD247" s="29" t="e">
        <f t="shared" si="73"/>
        <v>#REF!</v>
      </c>
      <c r="BOE247" s="29" t="e">
        <f t="shared" si="73"/>
        <v>#REF!</v>
      </c>
      <c r="BOF247" s="29" t="e">
        <f t="shared" si="73"/>
        <v>#REF!</v>
      </c>
      <c r="BOG247" s="29" t="e">
        <f t="shared" si="73"/>
        <v>#REF!</v>
      </c>
      <c r="BOH247" s="29" t="e">
        <f t="shared" si="73"/>
        <v>#REF!</v>
      </c>
      <c r="BOI247" s="29" t="e">
        <f t="shared" si="73"/>
        <v>#REF!</v>
      </c>
      <c r="BOJ247" s="29" t="e">
        <f t="shared" si="73"/>
        <v>#REF!</v>
      </c>
      <c r="BOK247" s="29" t="e">
        <f t="shared" si="73"/>
        <v>#REF!</v>
      </c>
      <c r="BOL247" s="29" t="e">
        <f t="shared" si="73"/>
        <v>#REF!</v>
      </c>
      <c r="BOM247" s="29" t="e">
        <f t="shared" si="73"/>
        <v>#REF!</v>
      </c>
      <c r="BON247" s="29" t="e">
        <f t="shared" si="73"/>
        <v>#REF!</v>
      </c>
      <c r="BOO247" s="29" t="e">
        <f t="shared" si="73"/>
        <v>#REF!</v>
      </c>
      <c r="BOP247" s="29" t="e">
        <f t="shared" si="73"/>
        <v>#REF!</v>
      </c>
      <c r="BOQ247" s="29" t="e">
        <f t="shared" si="73"/>
        <v>#REF!</v>
      </c>
      <c r="BOR247" s="29" t="e">
        <f t="shared" si="73"/>
        <v>#REF!</v>
      </c>
      <c r="BOS247" s="29" t="e">
        <f t="shared" si="73"/>
        <v>#REF!</v>
      </c>
      <c r="BOT247" s="29" t="e">
        <f t="shared" si="73"/>
        <v>#REF!</v>
      </c>
      <c r="BOU247" s="29" t="e">
        <f t="shared" si="73"/>
        <v>#REF!</v>
      </c>
      <c r="BOV247" s="29" t="e">
        <f t="shared" si="73"/>
        <v>#REF!</v>
      </c>
      <c r="BOW247" s="29" t="e">
        <f t="shared" si="73"/>
        <v>#REF!</v>
      </c>
      <c r="BOX247" s="29" t="e">
        <f t="shared" si="73"/>
        <v>#REF!</v>
      </c>
      <c r="BOY247" s="29" t="e">
        <f t="shared" si="73"/>
        <v>#REF!</v>
      </c>
      <c r="BOZ247" s="29" t="e">
        <f t="shared" si="73"/>
        <v>#REF!</v>
      </c>
      <c r="BPA247" s="29" t="e">
        <f t="shared" si="73"/>
        <v>#REF!</v>
      </c>
      <c r="BPB247" s="29" t="e">
        <f t="shared" si="73"/>
        <v>#REF!</v>
      </c>
      <c r="BPC247" s="29" t="e">
        <f t="shared" si="73"/>
        <v>#REF!</v>
      </c>
      <c r="BPD247" s="29" t="e">
        <f t="shared" si="73"/>
        <v>#REF!</v>
      </c>
      <c r="BPE247" s="29" t="e">
        <f t="shared" si="73"/>
        <v>#REF!</v>
      </c>
      <c r="BPF247" s="29" t="e">
        <f t="shared" si="73"/>
        <v>#REF!</v>
      </c>
      <c r="BPG247" s="29" t="e">
        <f t="shared" si="73"/>
        <v>#REF!</v>
      </c>
      <c r="BPH247" s="29" t="e">
        <f t="shared" si="73"/>
        <v>#REF!</v>
      </c>
      <c r="BPI247" s="29" t="e">
        <f t="shared" si="73"/>
        <v>#REF!</v>
      </c>
      <c r="BPJ247" s="29" t="e">
        <f t="shared" si="73"/>
        <v>#REF!</v>
      </c>
      <c r="BPK247" s="29" t="e">
        <f t="shared" si="73"/>
        <v>#REF!</v>
      </c>
      <c r="BPL247" s="29" t="e">
        <f t="shared" si="73"/>
        <v>#REF!</v>
      </c>
      <c r="BPM247" s="29" t="e">
        <f t="shared" si="73"/>
        <v>#REF!</v>
      </c>
      <c r="BPN247" s="29" t="e">
        <f t="shared" si="73"/>
        <v>#REF!</v>
      </c>
      <c r="BPO247" s="29" t="e">
        <f t="shared" si="73"/>
        <v>#REF!</v>
      </c>
      <c r="BPP247" s="29" t="e">
        <f t="shared" si="73"/>
        <v>#REF!</v>
      </c>
      <c r="BPQ247" s="29" t="e">
        <f t="shared" si="73"/>
        <v>#REF!</v>
      </c>
      <c r="BPR247" s="29" t="e">
        <f t="shared" si="73"/>
        <v>#REF!</v>
      </c>
      <c r="BPS247" s="29" t="e">
        <f t="shared" si="73"/>
        <v>#REF!</v>
      </c>
      <c r="BPT247" s="29" t="e">
        <f t="shared" si="73"/>
        <v>#REF!</v>
      </c>
      <c r="BPU247" s="29" t="e">
        <f t="shared" si="73"/>
        <v>#REF!</v>
      </c>
      <c r="BPV247" s="29" t="e">
        <f t="shared" si="73"/>
        <v>#REF!</v>
      </c>
      <c r="BPW247" s="29" t="e">
        <f t="shared" si="73"/>
        <v>#REF!</v>
      </c>
      <c r="BPX247" s="29" t="e">
        <f t="shared" si="73"/>
        <v>#REF!</v>
      </c>
      <c r="BPY247" s="29" t="e">
        <f t="shared" si="73"/>
        <v>#REF!</v>
      </c>
      <c r="BPZ247" s="29" t="e">
        <f t="shared" si="73"/>
        <v>#REF!</v>
      </c>
      <c r="BQA247" s="29" t="e">
        <f t="shared" si="73"/>
        <v>#REF!</v>
      </c>
      <c r="BQB247" s="29" t="e">
        <f t="shared" si="73"/>
        <v>#REF!</v>
      </c>
      <c r="BQC247" s="29" t="e">
        <f t="shared" si="73"/>
        <v>#REF!</v>
      </c>
      <c r="BQD247" s="29" t="e">
        <f t="shared" si="73"/>
        <v>#REF!</v>
      </c>
      <c r="BQE247" s="29" t="e">
        <f t="shared" si="73"/>
        <v>#REF!</v>
      </c>
      <c r="BQF247" s="29" t="e">
        <f t="shared" si="73"/>
        <v>#REF!</v>
      </c>
      <c r="BQG247" s="29" t="e">
        <f t="shared" si="73"/>
        <v>#REF!</v>
      </c>
      <c r="BQH247" s="29" t="e">
        <f t="shared" si="73"/>
        <v>#REF!</v>
      </c>
      <c r="BQI247" s="29" t="e">
        <f t="shared" si="73"/>
        <v>#REF!</v>
      </c>
      <c r="BQJ247" s="29" t="e">
        <f t="shared" si="73"/>
        <v>#REF!</v>
      </c>
      <c r="BQK247" s="29" t="e">
        <f t="shared" si="73"/>
        <v>#REF!</v>
      </c>
      <c r="BQL247" s="29" t="e">
        <f t="shared" si="73"/>
        <v>#REF!</v>
      </c>
      <c r="BQM247" s="29" t="e">
        <f t="shared" si="73"/>
        <v>#REF!</v>
      </c>
      <c r="BQN247" s="29" t="e">
        <f t="shared" si="73"/>
        <v>#REF!</v>
      </c>
      <c r="BQO247" s="29" t="e">
        <f t="shared" ref="BQO247:BSZ247" si="74">BQS247&amp;BQT247</f>
        <v>#REF!</v>
      </c>
      <c r="BQP247" s="29" t="e">
        <f t="shared" si="74"/>
        <v>#REF!</v>
      </c>
      <c r="BQQ247" s="29" t="e">
        <f t="shared" si="74"/>
        <v>#REF!</v>
      </c>
      <c r="BQR247" s="29" t="e">
        <f t="shared" si="74"/>
        <v>#REF!</v>
      </c>
      <c r="BQS247" s="29" t="e">
        <f t="shared" si="74"/>
        <v>#REF!</v>
      </c>
      <c r="BQT247" s="29" t="e">
        <f t="shared" si="74"/>
        <v>#REF!</v>
      </c>
      <c r="BQU247" s="29" t="e">
        <f t="shared" si="74"/>
        <v>#REF!</v>
      </c>
      <c r="BQV247" s="29" t="e">
        <f t="shared" si="74"/>
        <v>#REF!</v>
      </c>
      <c r="BQW247" s="29" t="e">
        <f t="shared" si="74"/>
        <v>#REF!</v>
      </c>
      <c r="BQX247" s="29" t="e">
        <f t="shared" si="74"/>
        <v>#REF!</v>
      </c>
      <c r="BQY247" s="29" t="e">
        <f t="shared" si="74"/>
        <v>#REF!</v>
      </c>
      <c r="BQZ247" s="29" t="e">
        <f t="shared" si="74"/>
        <v>#REF!</v>
      </c>
      <c r="BRA247" s="29" t="e">
        <f t="shared" si="74"/>
        <v>#REF!</v>
      </c>
      <c r="BRB247" s="29" t="e">
        <f t="shared" si="74"/>
        <v>#REF!</v>
      </c>
      <c r="BRC247" s="29" t="e">
        <f t="shared" si="74"/>
        <v>#REF!</v>
      </c>
      <c r="BRD247" s="29" t="e">
        <f t="shared" si="74"/>
        <v>#REF!</v>
      </c>
      <c r="BRE247" s="29" t="e">
        <f t="shared" si="74"/>
        <v>#REF!</v>
      </c>
      <c r="BRF247" s="29" t="e">
        <f t="shared" si="74"/>
        <v>#REF!</v>
      </c>
      <c r="BRG247" s="29" t="e">
        <f t="shared" si="74"/>
        <v>#REF!</v>
      </c>
      <c r="BRH247" s="29" t="e">
        <f t="shared" si="74"/>
        <v>#REF!</v>
      </c>
      <c r="BRI247" s="29" t="e">
        <f t="shared" si="74"/>
        <v>#REF!</v>
      </c>
      <c r="BRJ247" s="29" t="e">
        <f t="shared" si="74"/>
        <v>#REF!</v>
      </c>
      <c r="BRK247" s="29" t="e">
        <f t="shared" si="74"/>
        <v>#REF!</v>
      </c>
      <c r="BRL247" s="29" t="e">
        <f t="shared" si="74"/>
        <v>#REF!</v>
      </c>
      <c r="BRM247" s="29" t="e">
        <f t="shared" si="74"/>
        <v>#REF!</v>
      </c>
      <c r="BRN247" s="29" t="e">
        <f t="shared" si="74"/>
        <v>#REF!</v>
      </c>
      <c r="BRO247" s="29" t="e">
        <f t="shared" si="74"/>
        <v>#REF!</v>
      </c>
      <c r="BRP247" s="29" t="e">
        <f t="shared" si="74"/>
        <v>#REF!</v>
      </c>
      <c r="BRQ247" s="29" t="e">
        <f t="shared" si="74"/>
        <v>#REF!</v>
      </c>
      <c r="BRR247" s="29" t="e">
        <f t="shared" si="74"/>
        <v>#REF!</v>
      </c>
      <c r="BRS247" s="29" t="e">
        <f t="shared" si="74"/>
        <v>#REF!</v>
      </c>
      <c r="BRT247" s="29" t="e">
        <f t="shared" si="74"/>
        <v>#REF!</v>
      </c>
      <c r="BRU247" s="29" t="e">
        <f t="shared" si="74"/>
        <v>#REF!</v>
      </c>
      <c r="BRV247" s="29" t="e">
        <f t="shared" si="74"/>
        <v>#REF!</v>
      </c>
      <c r="BRW247" s="29" t="e">
        <f t="shared" si="74"/>
        <v>#REF!</v>
      </c>
      <c r="BRX247" s="29" t="e">
        <f t="shared" si="74"/>
        <v>#REF!</v>
      </c>
      <c r="BRY247" s="29" t="e">
        <f t="shared" si="74"/>
        <v>#REF!</v>
      </c>
      <c r="BRZ247" s="29" t="e">
        <f t="shared" si="74"/>
        <v>#REF!</v>
      </c>
      <c r="BSA247" s="29" t="e">
        <f t="shared" si="74"/>
        <v>#REF!</v>
      </c>
      <c r="BSB247" s="29" t="e">
        <f t="shared" si="74"/>
        <v>#REF!</v>
      </c>
      <c r="BSC247" s="29" t="e">
        <f t="shared" si="74"/>
        <v>#REF!</v>
      </c>
      <c r="BSD247" s="29" t="e">
        <f t="shared" si="74"/>
        <v>#REF!</v>
      </c>
      <c r="BSE247" s="29" t="e">
        <f t="shared" si="74"/>
        <v>#REF!</v>
      </c>
      <c r="BSF247" s="29" t="e">
        <f t="shared" si="74"/>
        <v>#REF!</v>
      </c>
      <c r="BSG247" s="29" t="e">
        <f t="shared" si="74"/>
        <v>#REF!</v>
      </c>
      <c r="BSH247" s="29" t="e">
        <f t="shared" si="74"/>
        <v>#REF!</v>
      </c>
      <c r="BSI247" s="29" t="e">
        <f t="shared" si="74"/>
        <v>#REF!</v>
      </c>
      <c r="BSJ247" s="29" t="e">
        <f t="shared" si="74"/>
        <v>#REF!</v>
      </c>
      <c r="BSK247" s="29" t="e">
        <f t="shared" si="74"/>
        <v>#REF!</v>
      </c>
      <c r="BSL247" s="29" t="e">
        <f t="shared" si="74"/>
        <v>#REF!</v>
      </c>
      <c r="BSM247" s="29" t="e">
        <f t="shared" si="74"/>
        <v>#REF!</v>
      </c>
      <c r="BSN247" s="29" t="e">
        <f t="shared" si="74"/>
        <v>#REF!</v>
      </c>
      <c r="BSO247" s="29" t="e">
        <f t="shared" si="74"/>
        <v>#REF!</v>
      </c>
      <c r="BSP247" s="29" t="e">
        <f t="shared" si="74"/>
        <v>#REF!</v>
      </c>
      <c r="BSQ247" s="29" t="e">
        <f t="shared" si="74"/>
        <v>#REF!</v>
      </c>
      <c r="BSR247" s="29" t="e">
        <f t="shared" si="74"/>
        <v>#REF!</v>
      </c>
      <c r="BSS247" s="29" t="e">
        <f t="shared" si="74"/>
        <v>#REF!</v>
      </c>
      <c r="BST247" s="29" t="e">
        <f t="shared" si="74"/>
        <v>#REF!</v>
      </c>
      <c r="BSU247" s="29" t="e">
        <f t="shared" si="74"/>
        <v>#REF!</v>
      </c>
      <c r="BSV247" s="29" t="e">
        <f t="shared" si="74"/>
        <v>#REF!</v>
      </c>
      <c r="BSW247" s="29" t="e">
        <f t="shared" si="74"/>
        <v>#REF!</v>
      </c>
      <c r="BSX247" s="29" t="e">
        <f t="shared" si="74"/>
        <v>#REF!</v>
      </c>
      <c r="BSY247" s="29" t="e">
        <f t="shared" si="74"/>
        <v>#REF!</v>
      </c>
      <c r="BSZ247" s="29" t="e">
        <f t="shared" si="74"/>
        <v>#REF!</v>
      </c>
      <c r="BTA247" s="29" t="e">
        <f t="shared" ref="BTA247:BVL247" si="75">BTE247&amp;BTF247</f>
        <v>#REF!</v>
      </c>
      <c r="BTB247" s="29" t="e">
        <f t="shared" si="75"/>
        <v>#REF!</v>
      </c>
      <c r="BTC247" s="29" t="e">
        <f t="shared" si="75"/>
        <v>#REF!</v>
      </c>
      <c r="BTD247" s="29" t="e">
        <f t="shared" si="75"/>
        <v>#REF!</v>
      </c>
      <c r="BTE247" s="29" t="e">
        <f t="shared" si="75"/>
        <v>#REF!</v>
      </c>
      <c r="BTF247" s="29" t="e">
        <f t="shared" si="75"/>
        <v>#REF!</v>
      </c>
      <c r="BTG247" s="29" t="e">
        <f t="shared" si="75"/>
        <v>#REF!</v>
      </c>
      <c r="BTH247" s="29" t="e">
        <f t="shared" si="75"/>
        <v>#REF!</v>
      </c>
      <c r="BTI247" s="29" t="e">
        <f t="shared" si="75"/>
        <v>#REF!</v>
      </c>
      <c r="BTJ247" s="29" t="e">
        <f t="shared" si="75"/>
        <v>#REF!</v>
      </c>
      <c r="BTK247" s="29" t="e">
        <f t="shared" si="75"/>
        <v>#REF!</v>
      </c>
      <c r="BTL247" s="29" t="e">
        <f t="shared" si="75"/>
        <v>#REF!</v>
      </c>
      <c r="BTM247" s="29" t="e">
        <f t="shared" si="75"/>
        <v>#REF!</v>
      </c>
      <c r="BTN247" s="29" t="e">
        <f t="shared" si="75"/>
        <v>#REF!</v>
      </c>
      <c r="BTO247" s="29" t="e">
        <f t="shared" si="75"/>
        <v>#REF!</v>
      </c>
      <c r="BTP247" s="29" t="e">
        <f t="shared" si="75"/>
        <v>#REF!</v>
      </c>
      <c r="BTQ247" s="29" t="e">
        <f t="shared" si="75"/>
        <v>#REF!</v>
      </c>
      <c r="BTR247" s="29" t="e">
        <f t="shared" si="75"/>
        <v>#REF!</v>
      </c>
      <c r="BTS247" s="29" t="e">
        <f t="shared" si="75"/>
        <v>#REF!</v>
      </c>
      <c r="BTT247" s="29" t="e">
        <f t="shared" si="75"/>
        <v>#REF!</v>
      </c>
      <c r="BTU247" s="29" t="e">
        <f t="shared" si="75"/>
        <v>#REF!</v>
      </c>
      <c r="BTV247" s="29" t="e">
        <f t="shared" si="75"/>
        <v>#REF!</v>
      </c>
      <c r="BTW247" s="29" t="e">
        <f t="shared" si="75"/>
        <v>#REF!</v>
      </c>
      <c r="BTX247" s="29" t="e">
        <f t="shared" si="75"/>
        <v>#REF!</v>
      </c>
      <c r="BTY247" s="29" t="e">
        <f t="shared" si="75"/>
        <v>#REF!</v>
      </c>
      <c r="BTZ247" s="29" t="e">
        <f t="shared" si="75"/>
        <v>#REF!</v>
      </c>
      <c r="BUA247" s="29" t="e">
        <f t="shared" si="75"/>
        <v>#REF!</v>
      </c>
      <c r="BUB247" s="29" t="e">
        <f t="shared" si="75"/>
        <v>#REF!</v>
      </c>
      <c r="BUC247" s="29" t="e">
        <f t="shared" si="75"/>
        <v>#REF!</v>
      </c>
      <c r="BUD247" s="29" t="e">
        <f t="shared" si="75"/>
        <v>#REF!</v>
      </c>
      <c r="BUE247" s="29" t="e">
        <f t="shared" si="75"/>
        <v>#REF!</v>
      </c>
      <c r="BUF247" s="29" t="e">
        <f t="shared" si="75"/>
        <v>#REF!</v>
      </c>
      <c r="BUG247" s="29" t="e">
        <f t="shared" si="75"/>
        <v>#REF!</v>
      </c>
      <c r="BUH247" s="29" t="e">
        <f t="shared" si="75"/>
        <v>#REF!</v>
      </c>
      <c r="BUI247" s="29" t="e">
        <f t="shared" si="75"/>
        <v>#REF!</v>
      </c>
      <c r="BUJ247" s="29" t="e">
        <f t="shared" si="75"/>
        <v>#REF!</v>
      </c>
      <c r="BUK247" s="29" t="e">
        <f t="shared" si="75"/>
        <v>#REF!</v>
      </c>
      <c r="BUL247" s="29" t="e">
        <f t="shared" si="75"/>
        <v>#REF!</v>
      </c>
      <c r="BUM247" s="29" t="e">
        <f t="shared" si="75"/>
        <v>#REF!</v>
      </c>
      <c r="BUN247" s="29" t="e">
        <f t="shared" si="75"/>
        <v>#REF!</v>
      </c>
      <c r="BUO247" s="29" t="e">
        <f t="shared" si="75"/>
        <v>#REF!</v>
      </c>
      <c r="BUP247" s="29" t="e">
        <f t="shared" si="75"/>
        <v>#REF!</v>
      </c>
      <c r="BUQ247" s="29" t="e">
        <f t="shared" si="75"/>
        <v>#REF!</v>
      </c>
      <c r="BUR247" s="29" t="e">
        <f t="shared" si="75"/>
        <v>#REF!</v>
      </c>
      <c r="BUS247" s="29" t="e">
        <f t="shared" si="75"/>
        <v>#REF!</v>
      </c>
      <c r="BUT247" s="29" t="e">
        <f t="shared" si="75"/>
        <v>#REF!</v>
      </c>
      <c r="BUU247" s="29" t="e">
        <f t="shared" si="75"/>
        <v>#REF!</v>
      </c>
      <c r="BUV247" s="29" t="e">
        <f t="shared" si="75"/>
        <v>#REF!</v>
      </c>
      <c r="BUW247" s="29" t="e">
        <f t="shared" si="75"/>
        <v>#REF!</v>
      </c>
      <c r="BUX247" s="29" t="e">
        <f t="shared" si="75"/>
        <v>#REF!</v>
      </c>
      <c r="BUY247" s="29" t="e">
        <f t="shared" si="75"/>
        <v>#REF!</v>
      </c>
      <c r="BUZ247" s="29" t="e">
        <f t="shared" si="75"/>
        <v>#REF!</v>
      </c>
      <c r="BVA247" s="29" t="e">
        <f t="shared" si="75"/>
        <v>#REF!</v>
      </c>
      <c r="BVB247" s="29" t="e">
        <f t="shared" si="75"/>
        <v>#REF!</v>
      </c>
      <c r="BVC247" s="29" t="e">
        <f t="shared" si="75"/>
        <v>#REF!</v>
      </c>
      <c r="BVD247" s="29" t="e">
        <f t="shared" si="75"/>
        <v>#REF!</v>
      </c>
      <c r="BVE247" s="29" t="e">
        <f t="shared" si="75"/>
        <v>#REF!</v>
      </c>
      <c r="BVF247" s="29" t="e">
        <f t="shared" si="75"/>
        <v>#REF!</v>
      </c>
      <c r="BVG247" s="29" t="e">
        <f t="shared" si="75"/>
        <v>#REF!</v>
      </c>
      <c r="BVH247" s="29" t="e">
        <f t="shared" si="75"/>
        <v>#REF!</v>
      </c>
      <c r="BVI247" s="29" t="e">
        <f t="shared" si="75"/>
        <v>#REF!</v>
      </c>
      <c r="BVJ247" s="29" t="e">
        <f t="shared" si="75"/>
        <v>#REF!</v>
      </c>
      <c r="BVK247" s="29" t="e">
        <f t="shared" si="75"/>
        <v>#REF!</v>
      </c>
      <c r="BVL247" s="29" t="e">
        <f t="shared" si="75"/>
        <v>#REF!</v>
      </c>
      <c r="BVM247" s="29" t="e">
        <f t="shared" ref="BVM247:BXX247" si="76">BVQ247&amp;BVR247</f>
        <v>#REF!</v>
      </c>
      <c r="BVN247" s="29" t="e">
        <f t="shared" si="76"/>
        <v>#REF!</v>
      </c>
      <c r="BVO247" s="29" t="e">
        <f t="shared" si="76"/>
        <v>#REF!</v>
      </c>
      <c r="BVP247" s="29" t="e">
        <f t="shared" si="76"/>
        <v>#REF!</v>
      </c>
      <c r="BVQ247" s="29" t="e">
        <f t="shared" si="76"/>
        <v>#REF!</v>
      </c>
      <c r="BVR247" s="29" t="e">
        <f t="shared" si="76"/>
        <v>#REF!</v>
      </c>
      <c r="BVS247" s="29" t="e">
        <f t="shared" si="76"/>
        <v>#REF!</v>
      </c>
      <c r="BVT247" s="29" t="e">
        <f t="shared" si="76"/>
        <v>#REF!</v>
      </c>
      <c r="BVU247" s="29" t="e">
        <f t="shared" si="76"/>
        <v>#REF!</v>
      </c>
      <c r="BVV247" s="29" t="e">
        <f t="shared" si="76"/>
        <v>#REF!</v>
      </c>
      <c r="BVW247" s="29" t="e">
        <f t="shared" si="76"/>
        <v>#REF!</v>
      </c>
      <c r="BVX247" s="29" t="e">
        <f t="shared" si="76"/>
        <v>#REF!</v>
      </c>
      <c r="BVY247" s="29" t="e">
        <f t="shared" si="76"/>
        <v>#REF!</v>
      </c>
      <c r="BVZ247" s="29" t="e">
        <f t="shared" si="76"/>
        <v>#REF!</v>
      </c>
      <c r="BWA247" s="29" t="e">
        <f t="shared" si="76"/>
        <v>#REF!</v>
      </c>
      <c r="BWB247" s="29" t="e">
        <f t="shared" si="76"/>
        <v>#REF!</v>
      </c>
      <c r="BWC247" s="29" t="e">
        <f t="shared" si="76"/>
        <v>#REF!</v>
      </c>
      <c r="BWD247" s="29" t="e">
        <f t="shared" si="76"/>
        <v>#REF!</v>
      </c>
      <c r="BWE247" s="29" t="e">
        <f t="shared" si="76"/>
        <v>#REF!</v>
      </c>
      <c r="BWF247" s="29" t="e">
        <f t="shared" si="76"/>
        <v>#REF!</v>
      </c>
      <c r="BWG247" s="29" t="e">
        <f t="shared" si="76"/>
        <v>#REF!</v>
      </c>
      <c r="BWH247" s="29" t="e">
        <f t="shared" si="76"/>
        <v>#REF!</v>
      </c>
      <c r="BWI247" s="29" t="e">
        <f t="shared" si="76"/>
        <v>#REF!</v>
      </c>
      <c r="BWJ247" s="29" t="e">
        <f t="shared" si="76"/>
        <v>#REF!</v>
      </c>
      <c r="BWK247" s="29" t="e">
        <f t="shared" si="76"/>
        <v>#REF!</v>
      </c>
      <c r="BWL247" s="29" t="e">
        <f t="shared" si="76"/>
        <v>#REF!</v>
      </c>
      <c r="BWM247" s="29" t="e">
        <f t="shared" si="76"/>
        <v>#REF!</v>
      </c>
      <c r="BWN247" s="29" t="e">
        <f t="shared" si="76"/>
        <v>#REF!</v>
      </c>
      <c r="BWO247" s="29" t="e">
        <f t="shared" si="76"/>
        <v>#REF!</v>
      </c>
      <c r="BWP247" s="29" t="e">
        <f t="shared" si="76"/>
        <v>#REF!</v>
      </c>
      <c r="BWQ247" s="29" t="e">
        <f t="shared" si="76"/>
        <v>#REF!</v>
      </c>
      <c r="BWR247" s="29" t="e">
        <f t="shared" si="76"/>
        <v>#REF!</v>
      </c>
      <c r="BWS247" s="29" t="e">
        <f t="shared" si="76"/>
        <v>#REF!</v>
      </c>
      <c r="BWT247" s="29" t="e">
        <f t="shared" si="76"/>
        <v>#REF!</v>
      </c>
      <c r="BWU247" s="29" t="e">
        <f t="shared" si="76"/>
        <v>#REF!</v>
      </c>
      <c r="BWV247" s="29" t="e">
        <f t="shared" si="76"/>
        <v>#REF!</v>
      </c>
      <c r="BWW247" s="29" t="e">
        <f t="shared" si="76"/>
        <v>#REF!</v>
      </c>
      <c r="BWX247" s="29" t="e">
        <f t="shared" si="76"/>
        <v>#REF!</v>
      </c>
      <c r="BWY247" s="29" t="e">
        <f t="shared" si="76"/>
        <v>#REF!</v>
      </c>
      <c r="BWZ247" s="29" t="e">
        <f t="shared" si="76"/>
        <v>#REF!</v>
      </c>
      <c r="BXA247" s="29" t="e">
        <f t="shared" si="76"/>
        <v>#REF!</v>
      </c>
      <c r="BXB247" s="29" t="e">
        <f t="shared" si="76"/>
        <v>#REF!</v>
      </c>
      <c r="BXC247" s="29" t="e">
        <f t="shared" si="76"/>
        <v>#REF!</v>
      </c>
      <c r="BXD247" s="29" t="e">
        <f t="shared" si="76"/>
        <v>#REF!</v>
      </c>
      <c r="BXE247" s="29" t="e">
        <f t="shared" si="76"/>
        <v>#REF!</v>
      </c>
      <c r="BXF247" s="29" t="e">
        <f t="shared" si="76"/>
        <v>#REF!</v>
      </c>
      <c r="BXG247" s="29" t="e">
        <f t="shared" si="76"/>
        <v>#REF!</v>
      </c>
      <c r="BXH247" s="29" t="e">
        <f t="shared" si="76"/>
        <v>#REF!</v>
      </c>
      <c r="BXI247" s="29" t="e">
        <f t="shared" si="76"/>
        <v>#REF!</v>
      </c>
      <c r="BXJ247" s="29" t="e">
        <f t="shared" si="76"/>
        <v>#REF!</v>
      </c>
      <c r="BXK247" s="29" t="e">
        <f t="shared" si="76"/>
        <v>#REF!</v>
      </c>
      <c r="BXL247" s="29" t="e">
        <f t="shared" si="76"/>
        <v>#REF!</v>
      </c>
      <c r="BXM247" s="29" t="e">
        <f t="shared" si="76"/>
        <v>#REF!</v>
      </c>
      <c r="BXN247" s="29" t="e">
        <f t="shared" si="76"/>
        <v>#REF!</v>
      </c>
      <c r="BXO247" s="29" t="e">
        <f t="shared" si="76"/>
        <v>#REF!</v>
      </c>
      <c r="BXP247" s="29" t="e">
        <f t="shared" si="76"/>
        <v>#REF!</v>
      </c>
      <c r="BXQ247" s="29" t="e">
        <f t="shared" si="76"/>
        <v>#REF!</v>
      </c>
      <c r="BXR247" s="29" t="e">
        <f t="shared" si="76"/>
        <v>#REF!</v>
      </c>
      <c r="BXS247" s="29" t="e">
        <f t="shared" si="76"/>
        <v>#REF!</v>
      </c>
      <c r="BXT247" s="29" t="e">
        <f t="shared" si="76"/>
        <v>#REF!</v>
      </c>
      <c r="BXU247" s="29" t="e">
        <f t="shared" si="76"/>
        <v>#REF!</v>
      </c>
      <c r="BXV247" s="29" t="e">
        <f t="shared" si="76"/>
        <v>#REF!</v>
      </c>
      <c r="BXW247" s="29" t="e">
        <f t="shared" si="76"/>
        <v>#REF!</v>
      </c>
      <c r="BXX247" s="29" t="e">
        <f t="shared" si="76"/>
        <v>#REF!</v>
      </c>
      <c r="BXY247" s="29" t="e">
        <f t="shared" ref="BXY247:CAJ247" si="77">BYC247&amp;BYD247</f>
        <v>#REF!</v>
      </c>
      <c r="BXZ247" s="29" t="e">
        <f t="shared" si="77"/>
        <v>#REF!</v>
      </c>
      <c r="BYA247" s="29" t="e">
        <f t="shared" si="77"/>
        <v>#REF!</v>
      </c>
      <c r="BYB247" s="29" t="e">
        <f t="shared" si="77"/>
        <v>#REF!</v>
      </c>
      <c r="BYC247" s="29" t="e">
        <f t="shared" si="77"/>
        <v>#REF!</v>
      </c>
      <c r="BYD247" s="29" t="e">
        <f t="shared" si="77"/>
        <v>#REF!</v>
      </c>
      <c r="BYE247" s="29" t="e">
        <f t="shared" si="77"/>
        <v>#REF!</v>
      </c>
      <c r="BYF247" s="29" t="e">
        <f t="shared" si="77"/>
        <v>#REF!</v>
      </c>
      <c r="BYG247" s="29" t="e">
        <f t="shared" si="77"/>
        <v>#REF!</v>
      </c>
      <c r="BYH247" s="29" t="e">
        <f t="shared" si="77"/>
        <v>#REF!</v>
      </c>
      <c r="BYI247" s="29" t="e">
        <f t="shared" si="77"/>
        <v>#REF!</v>
      </c>
      <c r="BYJ247" s="29" t="e">
        <f t="shared" si="77"/>
        <v>#REF!</v>
      </c>
      <c r="BYK247" s="29" t="e">
        <f t="shared" si="77"/>
        <v>#REF!</v>
      </c>
      <c r="BYL247" s="29" t="e">
        <f t="shared" si="77"/>
        <v>#REF!</v>
      </c>
      <c r="BYM247" s="29" t="e">
        <f t="shared" si="77"/>
        <v>#REF!</v>
      </c>
      <c r="BYN247" s="29" t="e">
        <f t="shared" si="77"/>
        <v>#REF!</v>
      </c>
      <c r="BYO247" s="29" t="e">
        <f t="shared" si="77"/>
        <v>#REF!</v>
      </c>
      <c r="BYP247" s="29" t="e">
        <f t="shared" si="77"/>
        <v>#REF!</v>
      </c>
      <c r="BYQ247" s="29" t="e">
        <f t="shared" si="77"/>
        <v>#REF!</v>
      </c>
      <c r="BYR247" s="29" t="e">
        <f t="shared" si="77"/>
        <v>#REF!</v>
      </c>
      <c r="BYS247" s="29" t="e">
        <f t="shared" si="77"/>
        <v>#REF!</v>
      </c>
      <c r="BYT247" s="29" t="e">
        <f t="shared" si="77"/>
        <v>#REF!</v>
      </c>
      <c r="BYU247" s="29" t="e">
        <f t="shared" si="77"/>
        <v>#REF!</v>
      </c>
      <c r="BYV247" s="29" t="e">
        <f t="shared" si="77"/>
        <v>#REF!</v>
      </c>
      <c r="BYW247" s="29" t="e">
        <f t="shared" si="77"/>
        <v>#REF!</v>
      </c>
      <c r="BYX247" s="29" t="e">
        <f t="shared" si="77"/>
        <v>#REF!</v>
      </c>
      <c r="BYY247" s="29" t="e">
        <f t="shared" si="77"/>
        <v>#REF!</v>
      </c>
      <c r="BYZ247" s="29" t="e">
        <f t="shared" si="77"/>
        <v>#REF!</v>
      </c>
      <c r="BZA247" s="29" t="e">
        <f t="shared" si="77"/>
        <v>#REF!</v>
      </c>
      <c r="BZB247" s="29" t="e">
        <f t="shared" si="77"/>
        <v>#REF!</v>
      </c>
      <c r="BZC247" s="29" t="e">
        <f t="shared" si="77"/>
        <v>#REF!</v>
      </c>
      <c r="BZD247" s="29" t="e">
        <f t="shared" si="77"/>
        <v>#REF!</v>
      </c>
      <c r="BZE247" s="29" t="e">
        <f t="shared" si="77"/>
        <v>#REF!</v>
      </c>
      <c r="BZF247" s="29" t="e">
        <f t="shared" si="77"/>
        <v>#REF!</v>
      </c>
      <c r="BZG247" s="29" t="e">
        <f t="shared" si="77"/>
        <v>#REF!</v>
      </c>
      <c r="BZH247" s="29" t="e">
        <f t="shared" si="77"/>
        <v>#REF!</v>
      </c>
      <c r="BZI247" s="29" t="e">
        <f t="shared" si="77"/>
        <v>#REF!</v>
      </c>
      <c r="BZJ247" s="29" t="e">
        <f t="shared" si="77"/>
        <v>#REF!</v>
      </c>
      <c r="BZK247" s="29" t="e">
        <f t="shared" si="77"/>
        <v>#REF!</v>
      </c>
      <c r="BZL247" s="29" t="e">
        <f t="shared" si="77"/>
        <v>#REF!</v>
      </c>
      <c r="BZM247" s="29" t="e">
        <f t="shared" si="77"/>
        <v>#REF!</v>
      </c>
      <c r="BZN247" s="29" t="e">
        <f t="shared" si="77"/>
        <v>#REF!</v>
      </c>
      <c r="BZO247" s="29" t="e">
        <f t="shared" si="77"/>
        <v>#REF!</v>
      </c>
      <c r="BZP247" s="29" t="e">
        <f t="shared" si="77"/>
        <v>#REF!</v>
      </c>
      <c r="BZQ247" s="29" t="e">
        <f t="shared" si="77"/>
        <v>#REF!</v>
      </c>
      <c r="BZR247" s="29" t="e">
        <f t="shared" si="77"/>
        <v>#REF!</v>
      </c>
      <c r="BZS247" s="29" t="e">
        <f t="shared" si="77"/>
        <v>#REF!</v>
      </c>
      <c r="BZT247" s="29" t="e">
        <f t="shared" si="77"/>
        <v>#REF!</v>
      </c>
      <c r="BZU247" s="29" t="e">
        <f t="shared" si="77"/>
        <v>#REF!</v>
      </c>
      <c r="BZV247" s="29" t="e">
        <f t="shared" si="77"/>
        <v>#REF!</v>
      </c>
      <c r="BZW247" s="29" t="e">
        <f t="shared" si="77"/>
        <v>#REF!</v>
      </c>
      <c r="BZX247" s="29" t="e">
        <f t="shared" si="77"/>
        <v>#REF!</v>
      </c>
      <c r="BZY247" s="29" t="e">
        <f t="shared" si="77"/>
        <v>#REF!</v>
      </c>
      <c r="BZZ247" s="29" t="e">
        <f t="shared" si="77"/>
        <v>#REF!</v>
      </c>
      <c r="CAA247" s="29" t="e">
        <f t="shared" si="77"/>
        <v>#REF!</v>
      </c>
      <c r="CAB247" s="29" t="e">
        <f t="shared" si="77"/>
        <v>#REF!</v>
      </c>
      <c r="CAC247" s="29" t="e">
        <f t="shared" si="77"/>
        <v>#REF!</v>
      </c>
      <c r="CAD247" s="29" t="e">
        <f t="shared" si="77"/>
        <v>#REF!</v>
      </c>
      <c r="CAE247" s="29" t="e">
        <f t="shared" si="77"/>
        <v>#REF!</v>
      </c>
      <c r="CAF247" s="29" t="e">
        <f t="shared" si="77"/>
        <v>#REF!</v>
      </c>
      <c r="CAG247" s="29" t="e">
        <f t="shared" si="77"/>
        <v>#REF!</v>
      </c>
      <c r="CAH247" s="29" t="e">
        <f t="shared" si="77"/>
        <v>#REF!</v>
      </c>
      <c r="CAI247" s="29" t="e">
        <f t="shared" si="77"/>
        <v>#REF!</v>
      </c>
      <c r="CAJ247" s="29" t="e">
        <f t="shared" si="77"/>
        <v>#REF!</v>
      </c>
      <c r="CAK247" s="29" t="e">
        <f t="shared" ref="CAK247:CCV247" si="78">CAO247&amp;CAP247</f>
        <v>#REF!</v>
      </c>
      <c r="CAL247" s="29" t="e">
        <f t="shared" si="78"/>
        <v>#REF!</v>
      </c>
      <c r="CAM247" s="29" t="e">
        <f t="shared" si="78"/>
        <v>#REF!</v>
      </c>
      <c r="CAN247" s="29" t="e">
        <f t="shared" si="78"/>
        <v>#REF!</v>
      </c>
      <c r="CAO247" s="29" t="e">
        <f t="shared" si="78"/>
        <v>#REF!</v>
      </c>
      <c r="CAP247" s="29" t="e">
        <f t="shared" si="78"/>
        <v>#REF!</v>
      </c>
      <c r="CAQ247" s="29" t="e">
        <f t="shared" si="78"/>
        <v>#REF!</v>
      </c>
      <c r="CAR247" s="29" t="e">
        <f t="shared" si="78"/>
        <v>#REF!</v>
      </c>
      <c r="CAS247" s="29" t="e">
        <f t="shared" si="78"/>
        <v>#REF!</v>
      </c>
      <c r="CAT247" s="29" t="e">
        <f t="shared" si="78"/>
        <v>#REF!</v>
      </c>
      <c r="CAU247" s="29" t="e">
        <f t="shared" si="78"/>
        <v>#REF!</v>
      </c>
      <c r="CAV247" s="29" t="e">
        <f t="shared" si="78"/>
        <v>#REF!</v>
      </c>
      <c r="CAW247" s="29" t="e">
        <f t="shared" si="78"/>
        <v>#REF!</v>
      </c>
      <c r="CAX247" s="29" t="e">
        <f t="shared" si="78"/>
        <v>#REF!</v>
      </c>
      <c r="CAY247" s="29" t="e">
        <f t="shared" si="78"/>
        <v>#REF!</v>
      </c>
      <c r="CAZ247" s="29" t="e">
        <f t="shared" si="78"/>
        <v>#REF!</v>
      </c>
      <c r="CBA247" s="29" t="e">
        <f t="shared" si="78"/>
        <v>#REF!</v>
      </c>
      <c r="CBB247" s="29" t="e">
        <f t="shared" si="78"/>
        <v>#REF!</v>
      </c>
      <c r="CBC247" s="29" t="e">
        <f t="shared" si="78"/>
        <v>#REF!</v>
      </c>
      <c r="CBD247" s="29" t="e">
        <f t="shared" si="78"/>
        <v>#REF!</v>
      </c>
      <c r="CBE247" s="29" t="e">
        <f t="shared" si="78"/>
        <v>#REF!</v>
      </c>
      <c r="CBF247" s="29" t="e">
        <f t="shared" si="78"/>
        <v>#REF!</v>
      </c>
      <c r="CBG247" s="29" t="e">
        <f t="shared" si="78"/>
        <v>#REF!</v>
      </c>
      <c r="CBH247" s="29" t="e">
        <f t="shared" si="78"/>
        <v>#REF!</v>
      </c>
      <c r="CBI247" s="29" t="e">
        <f t="shared" si="78"/>
        <v>#REF!</v>
      </c>
      <c r="CBJ247" s="29" t="e">
        <f t="shared" si="78"/>
        <v>#REF!</v>
      </c>
      <c r="CBK247" s="29" t="e">
        <f t="shared" si="78"/>
        <v>#REF!</v>
      </c>
      <c r="CBL247" s="29" t="e">
        <f t="shared" si="78"/>
        <v>#REF!</v>
      </c>
      <c r="CBM247" s="29" t="e">
        <f t="shared" si="78"/>
        <v>#REF!</v>
      </c>
      <c r="CBN247" s="29" t="e">
        <f t="shared" si="78"/>
        <v>#REF!</v>
      </c>
      <c r="CBO247" s="29" t="e">
        <f t="shared" si="78"/>
        <v>#REF!</v>
      </c>
      <c r="CBP247" s="29" t="e">
        <f t="shared" si="78"/>
        <v>#REF!</v>
      </c>
      <c r="CBQ247" s="29" t="e">
        <f t="shared" si="78"/>
        <v>#REF!</v>
      </c>
      <c r="CBR247" s="29" t="e">
        <f t="shared" si="78"/>
        <v>#REF!</v>
      </c>
      <c r="CBS247" s="29" t="e">
        <f t="shared" si="78"/>
        <v>#REF!</v>
      </c>
      <c r="CBT247" s="29" t="e">
        <f t="shared" si="78"/>
        <v>#REF!</v>
      </c>
      <c r="CBU247" s="29" t="e">
        <f t="shared" si="78"/>
        <v>#REF!</v>
      </c>
      <c r="CBV247" s="29" t="e">
        <f t="shared" si="78"/>
        <v>#REF!</v>
      </c>
      <c r="CBW247" s="29" t="e">
        <f t="shared" si="78"/>
        <v>#REF!</v>
      </c>
      <c r="CBX247" s="29" t="e">
        <f t="shared" si="78"/>
        <v>#REF!</v>
      </c>
      <c r="CBY247" s="29" t="e">
        <f t="shared" si="78"/>
        <v>#REF!</v>
      </c>
      <c r="CBZ247" s="29" t="e">
        <f t="shared" si="78"/>
        <v>#REF!</v>
      </c>
      <c r="CCA247" s="29" t="e">
        <f t="shared" si="78"/>
        <v>#REF!</v>
      </c>
      <c r="CCB247" s="29" t="e">
        <f t="shared" si="78"/>
        <v>#REF!</v>
      </c>
      <c r="CCC247" s="29" t="e">
        <f t="shared" si="78"/>
        <v>#REF!</v>
      </c>
      <c r="CCD247" s="29" t="e">
        <f t="shared" si="78"/>
        <v>#REF!</v>
      </c>
      <c r="CCE247" s="29" t="e">
        <f t="shared" si="78"/>
        <v>#REF!</v>
      </c>
      <c r="CCF247" s="29" t="e">
        <f t="shared" si="78"/>
        <v>#REF!</v>
      </c>
      <c r="CCG247" s="29" t="e">
        <f t="shared" si="78"/>
        <v>#REF!</v>
      </c>
      <c r="CCH247" s="29" t="e">
        <f t="shared" si="78"/>
        <v>#REF!</v>
      </c>
      <c r="CCI247" s="29" t="e">
        <f t="shared" si="78"/>
        <v>#REF!</v>
      </c>
      <c r="CCJ247" s="29" t="e">
        <f t="shared" si="78"/>
        <v>#REF!</v>
      </c>
      <c r="CCK247" s="29" t="e">
        <f t="shared" si="78"/>
        <v>#REF!</v>
      </c>
      <c r="CCL247" s="29" t="e">
        <f t="shared" si="78"/>
        <v>#REF!</v>
      </c>
      <c r="CCM247" s="29" t="e">
        <f t="shared" si="78"/>
        <v>#REF!</v>
      </c>
      <c r="CCN247" s="29" t="e">
        <f t="shared" si="78"/>
        <v>#REF!</v>
      </c>
      <c r="CCO247" s="29" t="e">
        <f t="shared" si="78"/>
        <v>#REF!</v>
      </c>
      <c r="CCP247" s="29" t="e">
        <f t="shared" si="78"/>
        <v>#REF!</v>
      </c>
      <c r="CCQ247" s="29" t="e">
        <f t="shared" si="78"/>
        <v>#REF!</v>
      </c>
      <c r="CCR247" s="29" t="e">
        <f t="shared" si="78"/>
        <v>#REF!</v>
      </c>
      <c r="CCS247" s="29" t="e">
        <f t="shared" si="78"/>
        <v>#REF!</v>
      </c>
      <c r="CCT247" s="29" t="e">
        <f t="shared" si="78"/>
        <v>#REF!</v>
      </c>
      <c r="CCU247" s="29" t="e">
        <f t="shared" si="78"/>
        <v>#REF!</v>
      </c>
      <c r="CCV247" s="29" t="e">
        <f t="shared" si="78"/>
        <v>#REF!</v>
      </c>
      <c r="CCW247" s="29" t="e">
        <f t="shared" ref="CCW247:CFH247" si="79">CDA247&amp;CDB247</f>
        <v>#REF!</v>
      </c>
      <c r="CCX247" s="29" t="e">
        <f t="shared" si="79"/>
        <v>#REF!</v>
      </c>
      <c r="CCY247" s="29" t="e">
        <f t="shared" si="79"/>
        <v>#REF!</v>
      </c>
      <c r="CCZ247" s="29" t="e">
        <f t="shared" si="79"/>
        <v>#REF!</v>
      </c>
      <c r="CDA247" s="29" t="e">
        <f t="shared" si="79"/>
        <v>#REF!</v>
      </c>
      <c r="CDB247" s="29" t="e">
        <f t="shared" si="79"/>
        <v>#REF!</v>
      </c>
      <c r="CDC247" s="29" t="e">
        <f t="shared" si="79"/>
        <v>#REF!</v>
      </c>
      <c r="CDD247" s="29" t="e">
        <f t="shared" si="79"/>
        <v>#REF!</v>
      </c>
      <c r="CDE247" s="29" t="e">
        <f t="shared" si="79"/>
        <v>#REF!</v>
      </c>
      <c r="CDF247" s="29" t="e">
        <f t="shared" si="79"/>
        <v>#REF!</v>
      </c>
      <c r="CDG247" s="29" t="e">
        <f t="shared" si="79"/>
        <v>#REF!</v>
      </c>
      <c r="CDH247" s="29" t="e">
        <f t="shared" si="79"/>
        <v>#REF!</v>
      </c>
      <c r="CDI247" s="29" t="e">
        <f t="shared" si="79"/>
        <v>#REF!</v>
      </c>
      <c r="CDJ247" s="29" t="e">
        <f t="shared" si="79"/>
        <v>#REF!</v>
      </c>
      <c r="CDK247" s="29" t="e">
        <f t="shared" si="79"/>
        <v>#REF!</v>
      </c>
      <c r="CDL247" s="29" t="e">
        <f t="shared" si="79"/>
        <v>#REF!</v>
      </c>
      <c r="CDM247" s="29" t="e">
        <f t="shared" si="79"/>
        <v>#REF!</v>
      </c>
      <c r="CDN247" s="29" t="e">
        <f t="shared" si="79"/>
        <v>#REF!</v>
      </c>
      <c r="CDO247" s="29" t="e">
        <f t="shared" si="79"/>
        <v>#REF!</v>
      </c>
      <c r="CDP247" s="29" t="e">
        <f t="shared" si="79"/>
        <v>#REF!</v>
      </c>
      <c r="CDQ247" s="29" t="e">
        <f t="shared" si="79"/>
        <v>#REF!</v>
      </c>
      <c r="CDR247" s="29" t="e">
        <f t="shared" si="79"/>
        <v>#REF!</v>
      </c>
      <c r="CDS247" s="29" t="e">
        <f t="shared" si="79"/>
        <v>#REF!</v>
      </c>
      <c r="CDT247" s="29" t="e">
        <f t="shared" si="79"/>
        <v>#REF!</v>
      </c>
      <c r="CDU247" s="29" t="e">
        <f t="shared" si="79"/>
        <v>#REF!</v>
      </c>
      <c r="CDV247" s="29" t="e">
        <f t="shared" si="79"/>
        <v>#REF!</v>
      </c>
      <c r="CDW247" s="29" t="e">
        <f t="shared" si="79"/>
        <v>#REF!</v>
      </c>
      <c r="CDX247" s="29" t="e">
        <f t="shared" si="79"/>
        <v>#REF!</v>
      </c>
      <c r="CDY247" s="29" t="e">
        <f t="shared" si="79"/>
        <v>#REF!</v>
      </c>
      <c r="CDZ247" s="29" t="e">
        <f t="shared" si="79"/>
        <v>#REF!</v>
      </c>
      <c r="CEA247" s="29" t="e">
        <f t="shared" si="79"/>
        <v>#REF!</v>
      </c>
      <c r="CEB247" s="29" t="e">
        <f t="shared" si="79"/>
        <v>#REF!</v>
      </c>
      <c r="CEC247" s="29" t="e">
        <f t="shared" si="79"/>
        <v>#REF!</v>
      </c>
      <c r="CED247" s="29" t="e">
        <f t="shared" si="79"/>
        <v>#REF!</v>
      </c>
      <c r="CEE247" s="29" t="e">
        <f t="shared" si="79"/>
        <v>#REF!</v>
      </c>
      <c r="CEF247" s="29" t="e">
        <f t="shared" si="79"/>
        <v>#REF!</v>
      </c>
      <c r="CEG247" s="29" t="e">
        <f t="shared" si="79"/>
        <v>#REF!</v>
      </c>
      <c r="CEH247" s="29" t="e">
        <f t="shared" si="79"/>
        <v>#REF!</v>
      </c>
      <c r="CEI247" s="29" t="e">
        <f t="shared" si="79"/>
        <v>#REF!</v>
      </c>
      <c r="CEJ247" s="29" t="e">
        <f t="shared" si="79"/>
        <v>#REF!</v>
      </c>
      <c r="CEK247" s="29" t="e">
        <f t="shared" si="79"/>
        <v>#REF!</v>
      </c>
      <c r="CEL247" s="29" t="e">
        <f t="shared" si="79"/>
        <v>#REF!</v>
      </c>
      <c r="CEM247" s="29" t="e">
        <f t="shared" si="79"/>
        <v>#REF!</v>
      </c>
      <c r="CEN247" s="29" t="e">
        <f t="shared" si="79"/>
        <v>#REF!</v>
      </c>
      <c r="CEO247" s="29" t="e">
        <f t="shared" si="79"/>
        <v>#REF!</v>
      </c>
      <c r="CEP247" s="29" t="e">
        <f t="shared" si="79"/>
        <v>#REF!</v>
      </c>
      <c r="CEQ247" s="29" t="e">
        <f t="shared" si="79"/>
        <v>#REF!</v>
      </c>
      <c r="CER247" s="29" t="e">
        <f t="shared" si="79"/>
        <v>#REF!</v>
      </c>
      <c r="CES247" s="29" t="e">
        <f t="shared" si="79"/>
        <v>#REF!</v>
      </c>
      <c r="CET247" s="29" t="e">
        <f t="shared" si="79"/>
        <v>#REF!</v>
      </c>
      <c r="CEU247" s="29" t="e">
        <f t="shared" si="79"/>
        <v>#REF!</v>
      </c>
      <c r="CEV247" s="29" t="e">
        <f t="shared" si="79"/>
        <v>#REF!</v>
      </c>
      <c r="CEW247" s="29" t="e">
        <f t="shared" si="79"/>
        <v>#REF!</v>
      </c>
      <c r="CEX247" s="29" t="e">
        <f t="shared" si="79"/>
        <v>#REF!</v>
      </c>
      <c r="CEY247" s="29" t="e">
        <f t="shared" si="79"/>
        <v>#REF!</v>
      </c>
      <c r="CEZ247" s="29" t="e">
        <f t="shared" si="79"/>
        <v>#REF!</v>
      </c>
      <c r="CFA247" s="29" t="e">
        <f t="shared" si="79"/>
        <v>#REF!</v>
      </c>
      <c r="CFB247" s="29" t="e">
        <f t="shared" si="79"/>
        <v>#REF!</v>
      </c>
      <c r="CFC247" s="29" t="e">
        <f t="shared" si="79"/>
        <v>#REF!</v>
      </c>
      <c r="CFD247" s="29" t="e">
        <f t="shared" si="79"/>
        <v>#REF!</v>
      </c>
      <c r="CFE247" s="29" t="e">
        <f t="shared" si="79"/>
        <v>#REF!</v>
      </c>
      <c r="CFF247" s="29" t="e">
        <f t="shared" si="79"/>
        <v>#REF!</v>
      </c>
      <c r="CFG247" s="29" t="e">
        <f t="shared" si="79"/>
        <v>#REF!</v>
      </c>
      <c r="CFH247" s="29" t="e">
        <f t="shared" si="79"/>
        <v>#REF!</v>
      </c>
      <c r="CFI247" s="29" t="e">
        <f t="shared" ref="CFI247:CHT247" si="80">CFM247&amp;CFN247</f>
        <v>#REF!</v>
      </c>
      <c r="CFJ247" s="29" t="e">
        <f t="shared" si="80"/>
        <v>#REF!</v>
      </c>
      <c r="CFK247" s="29" t="e">
        <f t="shared" si="80"/>
        <v>#REF!</v>
      </c>
      <c r="CFL247" s="29" t="e">
        <f t="shared" si="80"/>
        <v>#REF!</v>
      </c>
      <c r="CFM247" s="29" t="e">
        <f t="shared" si="80"/>
        <v>#REF!</v>
      </c>
      <c r="CFN247" s="29" t="e">
        <f t="shared" si="80"/>
        <v>#REF!</v>
      </c>
      <c r="CFO247" s="29" t="e">
        <f t="shared" si="80"/>
        <v>#REF!</v>
      </c>
      <c r="CFP247" s="29" t="e">
        <f t="shared" si="80"/>
        <v>#REF!</v>
      </c>
      <c r="CFQ247" s="29" t="e">
        <f t="shared" si="80"/>
        <v>#REF!</v>
      </c>
      <c r="CFR247" s="29" t="e">
        <f t="shared" si="80"/>
        <v>#REF!</v>
      </c>
      <c r="CFS247" s="29" t="e">
        <f t="shared" si="80"/>
        <v>#REF!</v>
      </c>
      <c r="CFT247" s="29" t="e">
        <f t="shared" si="80"/>
        <v>#REF!</v>
      </c>
      <c r="CFU247" s="29" t="e">
        <f t="shared" si="80"/>
        <v>#REF!</v>
      </c>
      <c r="CFV247" s="29" t="e">
        <f t="shared" si="80"/>
        <v>#REF!</v>
      </c>
      <c r="CFW247" s="29" t="e">
        <f t="shared" si="80"/>
        <v>#REF!</v>
      </c>
      <c r="CFX247" s="29" t="e">
        <f t="shared" si="80"/>
        <v>#REF!</v>
      </c>
      <c r="CFY247" s="29" t="e">
        <f t="shared" si="80"/>
        <v>#REF!</v>
      </c>
      <c r="CFZ247" s="29" t="e">
        <f t="shared" si="80"/>
        <v>#REF!</v>
      </c>
      <c r="CGA247" s="29" t="e">
        <f t="shared" si="80"/>
        <v>#REF!</v>
      </c>
      <c r="CGB247" s="29" t="e">
        <f t="shared" si="80"/>
        <v>#REF!</v>
      </c>
      <c r="CGC247" s="29" t="e">
        <f t="shared" si="80"/>
        <v>#REF!</v>
      </c>
      <c r="CGD247" s="29" t="e">
        <f t="shared" si="80"/>
        <v>#REF!</v>
      </c>
      <c r="CGE247" s="29" t="e">
        <f t="shared" si="80"/>
        <v>#REF!</v>
      </c>
      <c r="CGF247" s="29" t="e">
        <f t="shared" si="80"/>
        <v>#REF!</v>
      </c>
      <c r="CGG247" s="29" t="e">
        <f t="shared" si="80"/>
        <v>#REF!</v>
      </c>
      <c r="CGH247" s="29" t="e">
        <f t="shared" si="80"/>
        <v>#REF!</v>
      </c>
      <c r="CGI247" s="29" t="e">
        <f t="shared" si="80"/>
        <v>#REF!</v>
      </c>
      <c r="CGJ247" s="29" t="e">
        <f t="shared" si="80"/>
        <v>#REF!</v>
      </c>
      <c r="CGK247" s="29" t="e">
        <f t="shared" si="80"/>
        <v>#REF!</v>
      </c>
      <c r="CGL247" s="29" t="e">
        <f t="shared" si="80"/>
        <v>#REF!</v>
      </c>
      <c r="CGM247" s="29" t="e">
        <f t="shared" si="80"/>
        <v>#REF!</v>
      </c>
      <c r="CGN247" s="29" t="e">
        <f t="shared" si="80"/>
        <v>#REF!</v>
      </c>
      <c r="CGO247" s="29" t="e">
        <f t="shared" si="80"/>
        <v>#REF!</v>
      </c>
      <c r="CGP247" s="29" t="e">
        <f t="shared" si="80"/>
        <v>#REF!</v>
      </c>
      <c r="CGQ247" s="29" t="e">
        <f t="shared" si="80"/>
        <v>#REF!</v>
      </c>
      <c r="CGR247" s="29" t="e">
        <f t="shared" si="80"/>
        <v>#REF!</v>
      </c>
      <c r="CGS247" s="29" t="e">
        <f t="shared" si="80"/>
        <v>#REF!</v>
      </c>
      <c r="CGT247" s="29" t="e">
        <f t="shared" si="80"/>
        <v>#REF!</v>
      </c>
      <c r="CGU247" s="29" t="e">
        <f t="shared" si="80"/>
        <v>#REF!</v>
      </c>
      <c r="CGV247" s="29" t="e">
        <f t="shared" si="80"/>
        <v>#REF!</v>
      </c>
      <c r="CGW247" s="29" t="e">
        <f t="shared" si="80"/>
        <v>#REF!</v>
      </c>
      <c r="CGX247" s="29" t="e">
        <f t="shared" si="80"/>
        <v>#REF!</v>
      </c>
      <c r="CGY247" s="29" t="e">
        <f t="shared" si="80"/>
        <v>#REF!</v>
      </c>
      <c r="CGZ247" s="29" t="e">
        <f t="shared" si="80"/>
        <v>#REF!</v>
      </c>
      <c r="CHA247" s="29" t="e">
        <f t="shared" si="80"/>
        <v>#REF!</v>
      </c>
      <c r="CHB247" s="29" t="e">
        <f t="shared" si="80"/>
        <v>#REF!</v>
      </c>
      <c r="CHC247" s="29" t="e">
        <f t="shared" si="80"/>
        <v>#REF!</v>
      </c>
      <c r="CHD247" s="29" t="e">
        <f t="shared" si="80"/>
        <v>#REF!</v>
      </c>
      <c r="CHE247" s="29" t="e">
        <f t="shared" si="80"/>
        <v>#REF!</v>
      </c>
      <c r="CHF247" s="29" t="e">
        <f t="shared" si="80"/>
        <v>#REF!</v>
      </c>
      <c r="CHG247" s="29" t="e">
        <f t="shared" si="80"/>
        <v>#REF!</v>
      </c>
      <c r="CHH247" s="29" t="e">
        <f t="shared" si="80"/>
        <v>#REF!</v>
      </c>
      <c r="CHI247" s="29" t="e">
        <f t="shared" si="80"/>
        <v>#REF!</v>
      </c>
      <c r="CHJ247" s="29" t="e">
        <f t="shared" si="80"/>
        <v>#REF!</v>
      </c>
      <c r="CHK247" s="29" t="e">
        <f t="shared" si="80"/>
        <v>#REF!</v>
      </c>
      <c r="CHL247" s="29" t="e">
        <f t="shared" si="80"/>
        <v>#REF!</v>
      </c>
      <c r="CHM247" s="29" t="e">
        <f t="shared" si="80"/>
        <v>#REF!</v>
      </c>
      <c r="CHN247" s="29" t="e">
        <f t="shared" si="80"/>
        <v>#REF!</v>
      </c>
      <c r="CHO247" s="29" t="e">
        <f t="shared" si="80"/>
        <v>#REF!</v>
      </c>
      <c r="CHP247" s="29" t="e">
        <f t="shared" si="80"/>
        <v>#REF!</v>
      </c>
      <c r="CHQ247" s="29" t="e">
        <f t="shared" si="80"/>
        <v>#REF!</v>
      </c>
      <c r="CHR247" s="29" t="e">
        <f t="shared" si="80"/>
        <v>#REF!</v>
      </c>
      <c r="CHS247" s="29" t="e">
        <f t="shared" si="80"/>
        <v>#REF!</v>
      </c>
      <c r="CHT247" s="29" t="e">
        <f t="shared" si="80"/>
        <v>#REF!</v>
      </c>
      <c r="CHU247" s="29" t="e">
        <f t="shared" ref="CHU247:CKF247" si="81">CHY247&amp;CHZ247</f>
        <v>#REF!</v>
      </c>
      <c r="CHV247" s="29" t="e">
        <f t="shared" si="81"/>
        <v>#REF!</v>
      </c>
      <c r="CHW247" s="29" t="e">
        <f t="shared" si="81"/>
        <v>#REF!</v>
      </c>
      <c r="CHX247" s="29" t="e">
        <f t="shared" si="81"/>
        <v>#REF!</v>
      </c>
      <c r="CHY247" s="29" t="e">
        <f t="shared" si="81"/>
        <v>#REF!</v>
      </c>
      <c r="CHZ247" s="29" t="e">
        <f t="shared" si="81"/>
        <v>#REF!</v>
      </c>
      <c r="CIA247" s="29" t="e">
        <f t="shared" si="81"/>
        <v>#REF!</v>
      </c>
      <c r="CIB247" s="29" t="e">
        <f t="shared" si="81"/>
        <v>#REF!</v>
      </c>
      <c r="CIC247" s="29" t="e">
        <f t="shared" si="81"/>
        <v>#REF!</v>
      </c>
      <c r="CID247" s="29" t="e">
        <f t="shared" si="81"/>
        <v>#REF!</v>
      </c>
      <c r="CIE247" s="29" t="e">
        <f t="shared" si="81"/>
        <v>#REF!</v>
      </c>
      <c r="CIF247" s="29" t="e">
        <f t="shared" si="81"/>
        <v>#REF!</v>
      </c>
      <c r="CIG247" s="29" t="e">
        <f t="shared" si="81"/>
        <v>#REF!</v>
      </c>
      <c r="CIH247" s="29" t="e">
        <f t="shared" si="81"/>
        <v>#REF!</v>
      </c>
      <c r="CII247" s="29" t="e">
        <f t="shared" si="81"/>
        <v>#REF!</v>
      </c>
      <c r="CIJ247" s="29" t="e">
        <f t="shared" si="81"/>
        <v>#REF!</v>
      </c>
      <c r="CIK247" s="29" t="e">
        <f t="shared" si="81"/>
        <v>#REF!</v>
      </c>
      <c r="CIL247" s="29" t="e">
        <f t="shared" si="81"/>
        <v>#REF!</v>
      </c>
      <c r="CIM247" s="29" t="e">
        <f t="shared" si="81"/>
        <v>#REF!</v>
      </c>
      <c r="CIN247" s="29" t="e">
        <f t="shared" si="81"/>
        <v>#REF!</v>
      </c>
      <c r="CIO247" s="29" t="e">
        <f t="shared" si="81"/>
        <v>#REF!</v>
      </c>
      <c r="CIP247" s="29" t="e">
        <f t="shared" si="81"/>
        <v>#REF!</v>
      </c>
      <c r="CIQ247" s="29" t="e">
        <f t="shared" si="81"/>
        <v>#REF!</v>
      </c>
      <c r="CIR247" s="29" t="e">
        <f t="shared" si="81"/>
        <v>#REF!</v>
      </c>
      <c r="CIS247" s="29" t="e">
        <f t="shared" si="81"/>
        <v>#REF!</v>
      </c>
      <c r="CIT247" s="29" t="e">
        <f t="shared" si="81"/>
        <v>#REF!</v>
      </c>
      <c r="CIU247" s="29" t="e">
        <f t="shared" si="81"/>
        <v>#REF!</v>
      </c>
      <c r="CIV247" s="29" t="e">
        <f t="shared" si="81"/>
        <v>#REF!</v>
      </c>
      <c r="CIW247" s="29" t="e">
        <f t="shared" si="81"/>
        <v>#REF!</v>
      </c>
      <c r="CIX247" s="29" t="e">
        <f t="shared" si="81"/>
        <v>#REF!</v>
      </c>
      <c r="CIY247" s="29" t="e">
        <f t="shared" si="81"/>
        <v>#REF!</v>
      </c>
      <c r="CIZ247" s="29" t="e">
        <f t="shared" si="81"/>
        <v>#REF!</v>
      </c>
      <c r="CJA247" s="29" t="e">
        <f t="shared" si="81"/>
        <v>#REF!</v>
      </c>
      <c r="CJB247" s="29" t="e">
        <f t="shared" si="81"/>
        <v>#REF!</v>
      </c>
      <c r="CJC247" s="29" t="e">
        <f t="shared" si="81"/>
        <v>#REF!</v>
      </c>
      <c r="CJD247" s="29" t="e">
        <f t="shared" si="81"/>
        <v>#REF!</v>
      </c>
      <c r="CJE247" s="29" t="e">
        <f t="shared" si="81"/>
        <v>#REF!</v>
      </c>
      <c r="CJF247" s="29" t="e">
        <f t="shared" si="81"/>
        <v>#REF!</v>
      </c>
      <c r="CJG247" s="29" t="e">
        <f t="shared" si="81"/>
        <v>#REF!</v>
      </c>
      <c r="CJH247" s="29" t="e">
        <f t="shared" si="81"/>
        <v>#REF!</v>
      </c>
      <c r="CJI247" s="29" t="e">
        <f t="shared" si="81"/>
        <v>#REF!</v>
      </c>
      <c r="CJJ247" s="29" t="e">
        <f t="shared" si="81"/>
        <v>#REF!</v>
      </c>
      <c r="CJK247" s="29" t="e">
        <f t="shared" si="81"/>
        <v>#REF!</v>
      </c>
      <c r="CJL247" s="29" t="e">
        <f t="shared" si="81"/>
        <v>#REF!</v>
      </c>
      <c r="CJM247" s="29" t="e">
        <f t="shared" si="81"/>
        <v>#REF!</v>
      </c>
      <c r="CJN247" s="29" t="e">
        <f t="shared" si="81"/>
        <v>#REF!</v>
      </c>
      <c r="CJO247" s="29" t="e">
        <f t="shared" si="81"/>
        <v>#REF!</v>
      </c>
      <c r="CJP247" s="29" t="e">
        <f t="shared" si="81"/>
        <v>#REF!</v>
      </c>
      <c r="CJQ247" s="29" t="e">
        <f t="shared" si="81"/>
        <v>#REF!</v>
      </c>
      <c r="CJR247" s="29" t="e">
        <f t="shared" si="81"/>
        <v>#REF!</v>
      </c>
      <c r="CJS247" s="29" t="e">
        <f t="shared" si="81"/>
        <v>#REF!</v>
      </c>
      <c r="CJT247" s="29" t="e">
        <f t="shared" si="81"/>
        <v>#REF!</v>
      </c>
      <c r="CJU247" s="29" t="e">
        <f t="shared" si="81"/>
        <v>#REF!</v>
      </c>
      <c r="CJV247" s="29" t="e">
        <f t="shared" si="81"/>
        <v>#REF!</v>
      </c>
      <c r="CJW247" s="29" t="e">
        <f t="shared" si="81"/>
        <v>#REF!</v>
      </c>
      <c r="CJX247" s="29" t="e">
        <f t="shared" si="81"/>
        <v>#REF!</v>
      </c>
      <c r="CJY247" s="29" t="e">
        <f t="shared" si="81"/>
        <v>#REF!</v>
      </c>
      <c r="CJZ247" s="29" t="e">
        <f t="shared" si="81"/>
        <v>#REF!</v>
      </c>
      <c r="CKA247" s="29" t="e">
        <f t="shared" si="81"/>
        <v>#REF!</v>
      </c>
      <c r="CKB247" s="29" t="e">
        <f t="shared" si="81"/>
        <v>#REF!</v>
      </c>
      <c r="CKC247" s="29" t="e">
        <f t="shared" si="81"/>
        <v>#REF!</v>
      </c>
      <c r="CKD247" s="29" t="e">
        <f t="shared" si="81"/>
        <v>#REF!</v>
      </c>
      <c r="CKE247" s="29" t="e">
        <f t="shared" si="81"/>
        <v>#REF!</v>
      </c>
      <c r="CKF247" s="29" t="e">
        <f t="shared" si="81"/>
        <v>#REF!</v>
      </c>
      <c r="CKG247" s="29" t="e">
        <f t="shared" ref="CKG247:CMR247" si="82">CKK247&amp;CKL247</f>
        <v>#REF!</v>
      </c>
      <c r="CKH247" s="29" t="e">
        <f t="shared" si="82"/>
        <v>#REF!</v>
      </c>
      <c r="CKI247" s="29" t="e">
        <f t="shared" si="82"/>
        <v>#REF!</v>
      </c>
      <c r="CKJ247" s="29" t="e">
        <f t="shared" si="82"/>
        <v>#REF!</v>
      </c>
      <c r="CKK247" s="29" t="e">
        <f t="shared" si="82"/>
        <v>#REF!</v>
      </c>
      <c r="CKL247" s="29" t="e">
        <f t="shared" si="82"/>
        <v>#REF!</v>
      </c>
      <c r="CKM247" s="29" t="e">
        <f t="shared" si="82"/>
        <v>#REF!</v>
      </c>
      <c r="CKN247" s="29" t="e">
        <f t="shared" si="82"/>
        <v>#REF!</v>
      </c>
      <c r="CKO247" s="29" t="e">
        <f t="shared" si="82"/>
        <v>#REF!</v>
      </c>
      <c r="CKP247" s="29" t="e">
        <f t="shared" si="82"/>
        <v>#REF!</v>
      </c>
      <c r="CKQ247" s="29" t="e">
        <f t="shared" si="82"/>
        <v>#REF!</v>
      </c>
      <c r="CKR247" s="29" t="e">
        <f t="shared" si="82"/>
        <v>#REF!</v>
      </c>
      <c r="CKS247" s="29" t="e">
        <f t="shared" si="82"/>
        <v>#REF!</v>
      </c>
      <c r="CKT247" s="29" t="e">
        <f t="shared" si="82"/>
        <v>#REF!</v>
      </c>
      <c r="CKU247" s="29" t="e">
        <f t="shared" si="82"/>
        <v>#REF!</v>
      </c>
      <c r="CKV247" s="29" t="e">
        <f t="shared" si="82"/>
        <v>#REF!</v>
      </c>
      <c r="CKW247" s="29" t="e">
        <f t="shared" si="82"/>
        <v>#REF!</v>
      </c>
      <c r="CKX247" s="29" t="e">
        <f t="shared" si="82"/>
        <v>#REF!</v>
      </c>
      <c r="CKY247" s="29" t="e">
        <f t="shared" si="82"/>
        <v>#REF!</v>
      </c>
      <c r="CKZ247" s="29" t="e">
        <f t="shared" si="82"/>
        <v>#REF!</v>
      </c>
      <c r="CLA247" s="29" t="e">
        <f t="shared" si="82"/>
        <v>#REF!</v>
      </c>
      <c r="CLB247" s="29" t="e">
        <f t="shared" si="82"/>
        <v>#REF!</v>
      </c>
      <c r="CLC247" s="29" t="e">
        <f t="shared" si="82"/>
        <v>#REF!</v>
      </c>
      <c r="CLD247" s="29" t="e">
        <f t="shared" si="82"/>
        <v>#REF!</v>
      </c>
      <c r="CLE247" s="29" t="e">
        <f t="shared" si="82"/>
        <v>#REF!</v>
      </c>
      <c r="CLF247" s="29" t="e">
        <f t="shared" si="82"/>
        <v>#REF!</v>
      </c>
      <c r="CLG247" s="29" t="e">
        <f t="shared" si="82"/>
        <v>#REF!</v>
      </c>
      <c r="CLH247" s="29" t="e">
        <f t="shared" si="82"/>
        <v>#REF!</v>
      </c>
      <c r="CLI247" s="29" t="e">
        <f t="shared" si="82"/>
        <v>#REF!</v>
      </c>
      <c r="CLJ247" s="29" t="e">
        <f t="shared" si="82"/>
        <v>#REF!</v>
      </c>
      <c r="CLK247" s="29" t="e">
        <f t="shared" si="82"/>
        <v>#REF!</v>
      </c>
      <c r="CLL247" s="29" t="e">
        <f t="shared" si="82"/>
        <v>#REF!</v>
      </c>
      <c r="CLM247" s="29" t="e">
        <f t="shared" si="82"/>
        <v>#REF!</v>
      </c>
      <c r="CLN247" s="29" t="e">
        <f t="shared" si="82"/>
        <v>#REF!</v>
      </c>
      <c r="CLO247" s="29" t="e">
        <f t="shared" si="82"/>
        <v>#REF!</v>
      </c>
      <c r="CLP247" s="29" t="e">
        <f t="shared" si="82"/>
        <v>#REF!</v>
      </c>
      <c r="CLQ247" s="29" t="e">
        <f t="shared" si="82"/>
        <v>#REF!</v>
      </c>
      <c r="CLR247" s="29" t="e">
        <f t="shared" si="82"/>
        <v>#REF!</v>
      </c>
      <c r="CLS247" s="29" t="e">
        <f t="shared" si="82"/>
        <v>#REF!</v>
      </c>
      <c r="CLT247" s="29" t="e">
        <f t="shared" si="82"/>
        <v>#REF!</v>
      </c>
      <c r="CLU247" s="29" t="e">
        <f t="shared" si="82"/>
        <v>#REF!</v>
      </c>
      <c r="CLV247" s="29" t="e">
        <f t="shared" si="82"/>
        <v>#REF!</v>
      </c>
      <c r="CLW247" s="29" t="e">
        <f t="shared" si="82"/>
        <v>#REF!</v>
      </c>
      <c r="CLX247" s="29" t="e">
        <f t="shared" si="82"/>
        <v>#REF!</v>
      </c>
      <c r="CLY247" s="29" t="e">
        <f t="shared" si="82"/>
        <v>#REF!</v>
      </c>
      <c r="CLZ247" s="29" t="e">
        <f t="shared" si="82"/>
        <v>#REF!</v>
      </c>
      <c r="CMA247" s="29" t="e">
        <f t="shared" si="82"/>
        <v>#REF!</v>
      </c>
      <c r="CMB247" s="29" t="e">
        <f t="shared" si="82"/>
        <v>#REF!</v>
      </c>
      <c r="CMC247" s="29" t="e">
        <f t="shared" si="82"/>
        <v>#REF!</v>
      </c>
      <c r="CMD247" s="29" t="e">
        <f t="shared" si="82"/>
        <v>#REF!</v>
      </c>
      <c r="CME247" s="29" t="e">
        <f t="shared" si="82"/>
        <v>#REF!</v>
      </c>
      <c r="CMF247" s="29" t="e">
        <f t="shared" si="82"/>
        <v>#REF!</v>
      </c>
      <c r="CMG247" s="29" t="e">
        <f t="shared" si="82"/>
        <v>#REF!</v>
      </c>
      <c r="CMH247" s="29" t="e">
        <f t="shared" si="82"/>
        <v>#REF!</v>
      </c>
      <c r="CMI247" s="29" t="e">
        <f t="shared" si="82"/>
        <v>#REF!</v>
      </c>
      <c r="CMJ247" s="29" t="e">
        <f t="shared" si="82"/>
        <v>#REF!</v>
      </c>
      <c r="CMK247" s="29" t="e">
        <f t="shared" si="82"/>
        <v>#REF!</v>
      </c>
      <c r="CML247" s="29" t="e">
        <f t="shared" si="82"/>
        <v>#REF!</v>
      </c>
      <c r="CMM247" s="29" t="e">
        <f t="shared" si="82"/>
        <v>#REF!</v>
      </c>
      <c r="CMN247" s="29" t="e">
        <f t="shared" si="82"/>
        <v>#REF!</v>
      </c>
      <c r="CMO247" s="29" t="e">
        <f t="shared" si="82"/>
        <v>#REF!</v>
      </c>
      <c r="CMP247" s="29" t="e">
        <f t="shared" si="82"/>
        <v>#REF!</v>
      </c>
      <c r="CMQ247" s="29" t="e">
        <f t="shared" si="82"/>
        <v>#REF!</v>
      </c>
      <c r="CMR247" s="29" t="e">
        <f t="shared" si="82"/>
        <v>#REF!</v>
      </c>
      <c r="CMS247" s="29" t="e">
        <f t="shared" ref="CMS247:CPD247" si="83">CMW247&amp;CMX247</f>
        <v>#REF!</v>
      </c>
      <c r="CMT247" s="29" t="e">
        <f t="shared" si="83"/>
        <v>#REF!</v>
      </c>
      <c r="CMU247" s="29" t="e">
        <f t="shared" si="83"/>
        <v>#REF!</v>
      </c>
      <c r="CMV247" s="29" t="e">
        <f t="shared" si="83"/>
        <v>#REF!</v>
      </c>
      <c r="CMW247" s="29" t="e">
        <f t="shared" si="83"/>
        <v>#REF!</v>
      </c>
      <c r="CMX247" s="29" t="e">
        <f t="shared" si="83"/>
        <v>#REF!</v>
      </c>
      <c r="CMY247" s="29" t="e">
        <f t="shared" si="83"/>
        <v>#REF!</v>
      </c>
      <c r="CMZ247" s="29" t="e">
        <f t="shared" si="83"/>
        <v>#REF!</v>
      </c>
      <c r="CNA247" s="29" t="e">
        <f t="shared" si="83"/>
        <v>#REF!</v>
      </c>
      <c r="CNB247" s="29" t="e">
        <f t="shared" si="83"/>
        <v>#REF!</v>
      </c>
      <c r="CNC247" s="29" t="e">
        <f t="shared" si="83"/>
        <v>#REF!</v>
      </c>
      <c r="CND247" s="29" t="e">
        <f t="shared" si="83"/>
        <v>#REF!</v>
      </c>
      <c r="CNE247" s="29" t="e">
        <f t="shared" si="83"/>
        <v>#REF!</v>
      </c>
      <c r="CNF247" s="29" t="e">
        <f t="shared" si="83"/>
        <v>#REF!</v>
      </c>
      <c r="CNG247" s="29" t="e">
        <f t="shared" si="83"/>
        <v>#REF!</v>
      </c>
      <c r="CNH247" s="29" t="e">
        <f t="shared" si="83"/>
        <v>#REF!</v>
      </c>
      <c r="CNI247" s="29" t="e">
        <f t="shared" si="83"/>
        <v>#REF!</v>
      </c>
      <c r="CNJ247" s="29" t="e">
        <f t="shared" si="83"/>
        <v>#REF!</v>
      </c>
      <c r="CNK247" s="29" t="e">
        <f t="shared" si="83"/>
        <v>#REF!</v>
      </c>
      <c r="CNL247" s="29" t="e">
        <f t="shared" si="83"/>
        <v>#REF!</v>
      </c>
      <c r="CNM247" s="29" t="e">
        <f t="shared" si="83"/>
        <v>#REF!</v>
      </c>
      <c r="CNN247" s="29" t="e">
        <f t="shared" si="83"/>
        <v>#REF!</v>
      </c>
      <c r="CNO247" s="29" t="e">
        <f t="shared" si="83"/>
        <v>#REF!</v>
      </c>
      <c r="CNP247" s="29" t="e">
        <f t="shared" si="83"/>
        <v>#REF!</v>
      </c>
      <c r="CNQ247" s="29" t="e">
        <f t="shared" si="83"/>
        <v>#REF!</v>
      </c>
      <c r="CNR247" s="29" t="e">
        <f t="shared" si="83"/>
        <v>#REF!</v>
      </c>
      <c r="CNS247" s="29" t="e">
        <f t="shared" si="83"/>
        <v>#REF!</v>
      </c>
      <c r="CNT247" s="29" t="e">
        <f t="shared" si="83"/>
        <v>#REF!</v>
      </c>
      <c r="CNU247" s="29" t="e">
        <f t="shared" si="83"/>
        <v>#REF!</v>
      </c>
      <c r="CNV247" s="29" t="e">
        <f t="shared" si="83"/>
        <v>#REF!</v>
      </c>
      <c r="CNW247" s="29" t="e">
        <f t="shared" si="83"/>
        <v>#REF!</v>
      </c>
      <c r="CNX247" s="29" t="e">
        <f t="shared" si="83"/>
        <v>#REF!</v>
      </c>
      <c r="CNY247" s="29" t="e">
        <f t="shared" si="83"/>
        <v>#REF!</v>
      </c>
      <c r="CNZ247" s="29" t="e">
        <f t="shared" si="83"/>
        <v>#REF!</v>
      </c>
      <c r="COA247" s="29" t="e">
        <f t="shared" si="83"/>
        <v>#REF!</v>
      </c>
      <c r="COB247" s="29" t="e">
        <f t="shared" si="83"/>
        <v>#REF!</v>
      </c>
      <c r="COC247" s="29" t="e">
        <f t="shared" si="83"/>
        <v>#REF!</v>
      </c>
      <c r="COD247" s="29" t="e">
        <f t="shared" si="83"/>
        <v>#REF!</v>
      </c>
      <c r="COE247" s="29" t="e">
        <f t="shared" si="83"/>
        <v>#REF!</v>
      </c>
      <c r="COF247" s="29" t="e">
        <f t="shared" si="83"/>
        <v>#REF!</v>
      </c>
      <c r="COG247" s="29" t="e">
        <f t="shared" si="83"/>
        <v>#REF!</v>
      </c>
      <c r="COH247" s="29" t="e">
        <f t="shared" si="83"/>
        <v>#REF!</v>
      </c>
      <c r="COI247" s="29" t="e">
        <f t="shared" si="83"/>
        <v>#REF!</v>
      </c>
      <c r="COJ247" s="29" t="e">
        <f t="shared" si="83"/>
        <v>#REF!</v>
      </c>
      <c r="COK247" s="29" t="e">
        <f t="shared" si="83"/>
        <v>#REF!</v>
      </c>
      <c r="COL247" s="29" t="e">
        <f t="shared" si="83"/>
        <v>#REF!</v>
      </c>
      <c r="COM247" s="29" t="e">
        <f t="shared" si="83"/>
        <v>#REF!</v>
      </c>
      <c r="CON247" s="29" t="e">
        <f t="shared" si="83"/>
        <v>#REF!</v>
      </c>
      <c r="COO247" s="29" t="e">
        <f t="shared" si="83"/>
        <v>#REF!</v>
      </c>
      <c r="COP247" s="29" t="e">
        <f t="shared" si="83"/>
        <v>#REF!</v>
      </c>
      <c r="COQ247" s="29" t="e">
        <f t="shared" si="83"/>
        <v>#REF!</v>
      </c>
      <c r="COR247" s="29" t="e">
        <f t="shared" si="83"/>
        <v>#REF!</v>
      </c>
      <c r="COS247" s="29" t="e">
        <f t="shared" si="83"/>
        <v>#REF!</v>
      </c>
      <c r="COT247" s="29" t="e">
        <f t="shared" si="83"/>
        <v>#REF!</v>
      </c>
      <c r="COU247" s="29" t="e">
        <f t="shared" si="83"/>
        <v>#REF!</v>
      </c>
      <c r="COV247" s="29" t="e">
        <f t="shared" si="83"/>
        <v>#REF!</v>
      </c>
      <c r="COW247" s="29" t="e">
        <f t="shared" si="83"/>
        <v>#REF!</v>
      </c>
      <c r="COX247" s="29" t="e">
        <f t="shared" si="83"/>
        <v>#REF!</v>
      </c>
      <c r="COY247" s="29" t="e">
        <f t="shared" si="83"/>
        <v>#REF!</v>
      </c>
      <c r="COZ247" s="29" t="e">
        <f t="shared" si="83"/>
        <v>#REF!</v>
      </c>
      <c r="CPA247" s="29" t="e">
        <f t="shared" si="83"/>
        <v>#REF!</v>
      </c>
      <c r="CPB247" s="29" t="e">
        <f t="shared" si="83"/>
        <v>#REF!</v>
      </c>
      <c r="CPC247" s="29" t="e">
        <f t="shared" si="83"/>
        <v>#REF!</v>
      </c>
      <c r="CPD247" s="29" t="e">
        <f t="shared" si="83"/>
        <v>#REF!</v>
      </c>
      <c r="CPE247" s="29" t="e">
        <f t="shared" ref="CPE247:CRP247" si="84">CPI247&amp;CPJ247</f>
        <v>#REF!</v>
      </c>
      <c r="CPF247" s="29" t="e">
        <f t="shared" si="84"/>
        <v>#REF!</v>
      </c>
      <c r="CPG247" s="29" t="e">
        <f t="shared" si="84"/>
        <v>#REF!</v>
      </c>
      <c r="CPH247" s="29" t="e">
        <f t="shared" si="84"/>
        <v>#REF!</v>
      </c>
      <c r="CPI247" s="29" t="e">
        <f t="shared" si="84"/>
        <v>#REF!</v>
      </c>
      <c r="CPJ247" s="29" t="e">
        <f t="shared" si="84"/>
        <v>#REF!</v>
      </c>
      <c r="CPK247" s="29" t="e">
        <f t="shared" si="84"/>
        <v>#REF!</v>
      </c>
      <c r="CPL247" s="29" t="e">
        <f t="shared" si="84"/>
        <v>#REF!</v>
      </c>
      <c r="CPM247" s="29" t="e">
        <f t="shared" si="84"/>
        <v>#REF!</v>
      </c>
      <c r="CPN247" s="29" t="e">
        <f t="shared" si="84"/>
        <v>#REF!</v>
      </c>
      <c r="CPO247" s="29" t="e">
        <f t="shared" si="84"/>
        <v>#REF!</v>
      </c>
      <c r="CPP247" s="29" t="e">
        <f t="shared" si="84"/>
        <v>#REF!</v>
      </c>
      <c r="CPQ247" s="29" t="e">
        <f t="shared" si="84"/>
        <v>#REF!</v>
      </c>
      <c r="CPR247" s="29" t="e">
        <f t="shared" si="84"/>
        <v>#REF!</v>
      </c>
      <c r="CPS247" s="29" t="e">
        <f t="shared" si="84"/>
        <v>#REF!</v>
      </c>
      <c r="CPT247" s="29" t="e">
        <f t="shared" si="84"/>
        <v>#REF!</v>
      </c>
      <c r="CPU247" s="29" t="e">
        <f t="shared" si="84"/>
        <v>#REF!</v>
      </c>
      <c r="CPV247" s="29" t="e">
        <f t="shared" si="84"/>
        <v>#REF!</v>
      </c>
      <c r="CPW247" s="29" t="e">
        <f t="shared" si="84"/>
        <v>#REF!</v>
      </c>
      <c r="CPX247" s="29" t="e">
        <f t="shared" si="84"/>
        <v>#REF!</v>
      </c>
      <c r="CPY247" s="29" t="e">
        <f t="shared" si="84"/>
        <v>#REF!</v>
      </c>
      <c r="CPZ247" s="29" t="e">
        <f t="shared" si="84"/>
        <v>#REF!</v>
      </c>
      <c r="CQA247" s="29" t="e">
        <f t="shared" si="84"/>
        <v>#REF!</v>
      </c>
      <c r="CQB247" s="29" t="e">
        <f t="shared" si="84"/>
        <v>#REF!</v>
      </c>
      <c r="CQC247" s="29" t="e">
        <f t="shared" si="84"/>
        <v>#REF!</v>
      </c>
      <c r="CQD247" s="29" t="e">
        <f t="shared" si="84"/>
        <v>#REF!</v>
      </c>
      <c r="CQE247" s="29" t="e">
        <f t="shared" si="84"/>
        <v>#REF!</v>
      </c>
      <c r="CQF247" s="29" t="e">
        <f t="shared" si="84"/>
        <v>#REF!</v>
      </c>
      <c r="CQG247" s="29" t="e">
        <f t="shared" si="84"/>
        <v>#REF!</v>
      </c>
      <c r="CQH247" s="29" t="e">
        <f t="shared" si="84"/>
        <v>#REF!</v>
      </c>
      <c r="CQI247" s="29" t="e">
        <f t="shared" si="84"/>
        <v>#REF!</v>
      </c>
      <c r="CQJ247" s="29" t="e">
        <f t="shared" si="84"/>
        <v>#REF!</v>
      </c>
      <c r="CQK247" s="29" t="e">
        <f t="shared" si="84"/>
        <v>#REF!</v>
      </c>
      <c r="CQL247" s="29" t="e">
        <f t="shared" si="84"/>
        <v>#REF!</v>
      </c>
      <c r="CQM247" s="29" t="e">
        <f t="shared" si="84"/>
        <v>#REF!</v>
      </c>
      <c r="CQN247" s="29" t="e">
        <f t="shared" si="84"/>
        <v>#REF!</v>
      </c>
      <c r="CQO247" s="29" t="e">
        <f t="shared" si="84"/>
        <v>#REF!</v>
      </c>
      <c r="CQP247" s="29" t="e">
        <f t="shared" si="84"/>
        <v>#REF!</v>
      </c>
      <c r="CQQ247" s="29" t="e">
        <f t="shared" si="84"/>
        <v>#REF!</v>
      </c>
      <c r="CQR247" s="29" t="e">
        <f t="shared" si="84"/>
        <v>#REF!</v>
      </c>
      <c r="CQS247" s="29" t="e">
        <f t="shared" si="84"/>
        <v>#REF!</v>
      </c>
      <c r="CQT247" s="29" t="e">
        <f t="shared" si="84"/>
        <v>#REF!</v>
      </c>
      <c r="CQU247" s="29" t="e">
        <f t="shared" si="84"/>
        <v>#REF!</v>
      </c>
      <c r="CQV247" s="29" t="e">
        <f t="shared" si="84"/>
        <v>#REF!</v>
      </c>
      <c r="CQW247" s="29" t="e">
        <f t="shared" si="84"/>
        <v>#REF!</v>
      </c>
      <c r="CQX247" s="29" t="e">
        <f t="shared" si="84"/>
        <v>#REF!</v>
      </c>
      <c r="CQY247" s="29" t="e">
        <f t="shared" si="84"/>
        <v>#REF!</v>
      </c>
      <c r="CQZ247" s="29" t="e">
        <f t="shared" si="84"/>
        <v>#REF!</v>
      </c>
      <c r="CRA247" s="29" t="e">
        <f t="shared" si="84"/>
        <v>#REF!</v>
      </c>
      <c r="CRB247" s="29" t="e">
        <f t="shared" si="84"/>
        <v>#REF!</v>
      </c>
      <c r="CRC247" s="29" t="e">
        <f t="shared" si="84"/>
        <v>#REF!</v>
      </c>
      <c r="CRD247" s="29" t="e">
        <f t="shared" si="84"/>
        <v>#REF!</v>
      </c>
      <c r="CRE247" s="29" t="e">
        <f t="shared" si="84"/>
        <v>#REF!</v>
      </c>
      <c r="CRF247" s="29" t="e">
        <f t="shared" si="84"/>
        <v>#REF!</v>
      </c>
      <c r="CRG247" s="29" t="e">
        <f t="shared" si="84"/>
        <v>#REF!</v>
      </c>
      <c r="CRH247" s="29" t="e">
        <f t="shared" si="84"/>
        <v>#REF!</v>
      </c>
      <c r="CRI247" s="29" t="e">
        <f t="shared" si="84"/>
        <v>#REF!</v>
      </c>
      <c r="CRJ247" s="29" t="e">
        <f t="shared" si="84"/>
        <v>#REF!</v>
      </c>
      <c r="CRK247" s="29" t="e">
        <f t="shared" si="84"/>
        <v>#REF!</v>
      </c>
      <c r="CRL247" s="29" t="e">
        <f t="shared" si="84"/>
        <v>#REF!</v>
      </c>
      <c r="CRM247" s="29" t="e">
        <f t="shared" si="84"/>
        <v>#REF!</v>
      </c>
      <c r="CRN247" s="29" t="e">
        <f t="shared" si="84"/>
        <v>#REF!</v>
      </c>
      <c r="CRO247" s="29" t="e">
        <f t="shared" si="84"/>
        <v>#REF!</v>
      </c>
      <c r="CRP247" s="29" t="e">
        <f t="shared" si="84"/>
        <v>#REF!</v>
      </c>
      <c r="CRQ247" s="29" t="e">
        <f t="shared" ref="CRQ247:CUB247" si="85">CRU247&amp;CRV247</f>
        <v>#REF!</v>
      </c>
      <c r="CRR247" s="29" t="e">
        <f t="shared" si="85"/>
        <v>#REF!</v>
      </c>
      <c r="CRS247" s="29" t="e">
        <f t="shared" si="85"/>
        <v>#REF!</v>
      </c>
      <c r="CRT247" s="29" t="e">
        <f t="shared" si="85"/>
        <v>#REF!</v>
      </c>
      <c r="CRU247" s="29" t="e">
        <f t="shared" si="85"/>
        <v>#REF!</v>
      </c>
      <c r="CRV247" s="29" t="e">
        <f t="shared" si="85"/>
        <v>#REF!</v>
      </c>
      <c r="CRW247" s="29" t="e">
        <f t="shared" si="85"/>
        <v>#REF!</v>
      </c>
      <c r="CRX247" s="29" t="e">
        <f t="shared" si="85"/>
        <v>#REF!</v>
      </c>
      <c r="CRY247" s="29" t="e">
        <f t="shared" si="85"/>
        <v>#REF!</v>
      </c>
      <c r="CRZ247" s="29" t="e">
        <f t="shared" si="85"/>
        <v>#REF!</v>
      </c>
      <c r="CSA247" s="29" t="e">
        <f t="shared" si="85"/>
        <v>#REF!</v>
      </c>
      <c r="CSB247" s="29" t="e">
        <f t="shared" si="85"/>
        <v>#REF!</v>
      </c>
      <c r="CSC247" s="29" t="e">
        <f t="shared" si="85"/>
        <v>#REF!</v>
      </c>
      <c r="CSD247" s="29" t="e">
        <f t="shared" si="85"/>
        <v>#REF!</v>
      </c>
      <c r="CSE247" s="29" t="e">
        <f t="shared" si="85"/>
        <v>#REF!</v>
      </c>
      <c r="CSF247" s="29" t="e">
        <f t="shared" si="85"/>
        <v>#REF!</v>
      </c>
      <c r="CSG247" s="29" t="e">
        <f t="shared" si="85"/>
        <v>#REF!</v>
      </c>
      <c r="CSH247" s="29" t="e">
        <f t="shared" si="85"/>
        <v>#REF!</v>
      </c>
      <c r="CSI247" s="29" t="e">
        <f t="shared" si="85"/>
        <v>#REF!</v>
      </c>
      <c r="CSJ247" s="29" t="e">
        <f t="shared" si="85"/>
        <v>#REF!</v>
      </c>
      <c r="CSK247" s="29" t="e">
        <f t="shared" si="85"/>
        <v>#REF!</v>
      </c>
      <c r="CSL247" s="29" t="e">
        <f t="shared" si="85"/>
        <v>#REF!</v>
      </c>
      <c r="CSM247" s="29" t="e">
        <f t="shared" si="85"/>
        <v>#REF!</v>
      </c>
      <c r="CSN247" s="29" t="e">
        <f t="shared" si="85"/>
        <v>#REF!</v>
      </c>
      <c r="CSO247" s="29" t="e">
        <f t="shared" si="85"/>
        <v>#REF!</v>
      </c>
      <c r="CSP247" s="29" t="e">
        <f t="shared" si="85"/>
        <v>#REF!</v>
      </c>
      <c r="CSQ247" s="29" t="e">
        <f t="shared" si="85"/>
        <v>#REF!</v>
      </c>
      <c r="CSR247" s="29" t="e">
        <f t="shared" si="85"/>
        <v>#REF!</v>
      </c>
      <c r="CSS247" s="29" t="e">
        <f t="shared" si="85"/>
        <v>#REF!</v>
      </c>
      <c r="CST247" s="29" t="e">
        <f t="shared" si="85"/>
        <v>#REF!</v>
      </c>
      <c r="CSU247" s="29" t="e">
        <f t="shared" si="85"/>
        <v>#REF!</v>
      </c>
      <c r="CSV247" s="29" t="e">
        <f t="shared" si="85"/>
        <v>#REF!</v>
      </c>
      <c r="CSW247" s="29" t="e">
        <f t="shared" si="85"/>
        <v>#REF!</v>
      </c>
      <c r="CSX247" s="29" t="e">
        <f t="shared" si="85"/>
        <v>#REF!</v>
      </c>
      <c r="CSY247" s="29" t="e">
        <f t="shared" si="85"/>
        <v>#REF!</v>
      </c>
      <c r="CSZ247" s="29" t="e">
        <f t="shared" si="85"/>
        <v>#REF!</v>
      </c>
      <c r="CTA247" s="29" t="e">
        <f t="shared" si="85"/>
        <v>#REF!</v>
      </c>
      <c r="CTB247" s="29" t="e">
        <f t="shared" si="85"/>
        <v>#REF!</v>
      </c>
      <c r="CTC247" s="29" t="e">
        <f t="shared" si="85"/>
        <v>#REF!</v>
      </c>
      <c r="CTD247" s="29" t="e">
        <f t="shared" si="85"/>
        <v>#REF!</v>
      </c>
      <c r="CTE247" s="29" t="e">
        <f t="shared" si="85"/>
        <v>#REF!</v>
      </c>
      <c r="CTF247" s="29" t="e">
        <f t="shared" si="85"/>
        <v>#REF!</v>
      </c>
      <c r="CTG247" s="29" t="e">
        <f t="shared" si="85"/>
        <v>#REF!</v>
      </c>
      <c r="CTH247" s="29" t="e">
        <f t="shared" si="85"/>
        <v>#REF!</v>
      </c>
      <c r="CTI247" s="29" t="e">
        <f t="shared" si="85"/>
        <v>#REF!</v>
      </c>
      <c r="CTJ247" s="29" t="e">
        <f t="shared" si="85"/>
        <v>#REF!</v>
      </c>
      <c r="CTK247" s="29" t="e">
        <f t="shared" si="85"/>
        <v>#REF!</v>
      </c>
      <c r="CTL247" s="29" t="e">
        <f t="shared" si="85"/>
        <v>#REF!</v>
      </c>
      <c r="CTM247" s="29" t="e">
        <f t="shared" si="85"/>
        <v>#REF!</v>
      </c>
      <c r="CTN247" s="29" t="e">
        <f t="shared" si="85"/>
        <v>#REF!</v>
      </c>
      <c r="CTO247" s="29" t="e">
        <f t="shared" si="85"/>
        <v>#REF!</v>
      </c>
      <c r="CTP247" s="29" t="e">
        <f t="shared" si="85"/>
        <v>#REF!</v>
      </c>
      <c r="CTQ247" s="29" t="e">
        <f t="shared" si="85"/>
        <v>#REF!</v>
      </c>
      <c r="CTR247" s="29" t="e">
        <f t="shared" si="85"/>
        <v>#REF!</v>
      </c>
      <c r="CTS247" s="29" t="e">
        <f t="shared" si="85"/>
        <v>#REF!</v>
      </c>
      <c r="CTT247" s="29" t="e">
        <f t="shared" si="85"/>
        <v>#REF!</v>
      </c>
      <c r="CTU247" s="29" t="e">
        <f t="shared" si="85"/>
        <v>#REF!</v>
      </c>
      <c r="CTV247" s="29" t="e">
        <f t="shared" si="85"/>
        <v>#REF!</v>
      </c>
      <c r="CTW247" s="29" t="e">
        <f t="shared" si="85"/>
        <v>#REF!</v>
      </c>
      <c r="CTX247" s="29" t="e">
        <f t="shared" si="85"/>
        <v>#REF!</v>
      </c>
      <c r="CTY247" s="29" t="e">
        <f t="shared" si="85"/>
        <v>#REF!</v>
      </c>
      <c r="CTZ247" s="29" t="e">
        <f t="shared" si="85"/>
        <v>#REF!</v>
      </c>
      <c r="CUA247" s="29" t="e">
        <f t="shared" si="85"/>
        <v>#REF!</v>
      </c>
      <c r="CUB247" s="29" t="e">
        <f t="shared" si="85"/>
        <v>#REF!</v>
      </c>
      <c r="CUC247" s="29" t="e">
        <f t="shared" ref="CUC247:CWN247" si="86">CUG247&amp;CUH247</f>
        <v>#REF!</v>
      </c>
      <c r="CUD247" s="29" t="e">
        <f t="shared" si="86"/>
        <v>#REF!</v>
      </c>
      <c r="CUE247" s="29" t="e">
        <f t="shared" si="86"/>
        <v>#REF!</v>
      </c>
      <c r="CUF247" s="29" t="e">
        <f t="shared" si="86"/>
        <v>#REF!</v>
      </c>
      <c r="CUG247" s="29" t="e">
        <f t="shared" si="86"/>
        <v>#REF!</v>
      </c>
      <c r="CUH247" s="29" t="e">
        <f t="shared" si="86"/>
        <v>#REF!</v>
      </c>
      <c r="CUI247" s="29" t="e">
        <f t="shared" si="86"/>
        <v>#REF!</v>
      </c>
      <c r="CUJ247" s="29" t="e">
        <f t="shared" si="86"/>
        <v>#REF!</v>
      </c>
      <c r="CUK247" s="29" t="e">
        <f t="shared" si="86"/>
        <v>#REF!</v>
      </c>
      <c r="CUL247" s="29" t="e">
        <f t="shared" si="86"/>
        <v>#REF!</v>
      </c>
      <c r="CUM247" s="29" t="e">
        <f t="shared" si="86"/>
        <v>#REF!</v>
      </c>
      <c r="CUN247" s="29" t="e">
        <f t="shared" si="86"/>
        <v>#REF!</v>
      </c>
      <c r="CUO247" s="29" t="e">
        <f t="shared" si="86"/>
        <v>#REF!</v>
      </c>
      <c r="CUP247" s="29" t="e">
        <f t="shared" si="86"/>
        <v>#REF!</v>
      </c>
      <c r="CUQ247" s="29" t="e">
        <f t="shared" si="86"/>
        <v>#REF!</v>
      </c>
      <c r="CUR247" s="29" t="e">
        <f t="shared" si="86"/>
        <v>#REF!</v>
      </c>
      <c r="CUS247" s="29" t="e">
        <f t="shared" si="86"/>
        <v>#REF!</v>
      </c>
      <c r="CUT247" s="29" t="e">
        <f t="shared" si="86"/>
        <v>#REF!</v>
      </c>
      <c r="CUU247" s="29" t="e">
        <f t="shared" si="86"/>
        <v>#REF!</v>
      </c>
      <c r="CUV247" s="29" t="e">
        <f t="shared" si="86"/>
        <v>#REF!</v>
      </c>
      <c r="CUW247" s="29" t="e">
        <f t="shared" si="86"/>
        <v>#REF!</v>
      </c>
      <c r="CUX247" s="29" t="e">
        <f t="shared" si="86"/>
        <v>#REF!</v>
      </c>
      <c r="CUY247" s="29" t="e">
        <f t="shared" si="86"/>
        <v>#REF!</v>
      </c>
      <c r="CUZ247" s="29" t="e">
        <f t="shared" si="86"/>
        <v>#REF!</v>
      </c>
      <c r="CVA247" s="29" t="e">
        <f t="shared" si="86"/>
        <v>#REF!</v>
      </c>
      <c r="CVB247" s="29" t="e">
        <f t="shared" si="86"/>
        <v>#REF!</v>
      </c>
      <c r="CVC247" s="29" t="e">
        <f t="shared" si="86"/>
        <v>#REF!</v>
      </c>
      <c r="CVD247" s="29" t="e">
        <f t="shared" si="86"/>
        <v>#REF!</v>
      </c>
      <c r="CVE247" s="29" t="e">
        <f t="shared" si="86"/>
        <v>#REF!</v>
      </c>
      <c r="CVF247" s="29" t="e">
        <f t="shared" si="86"/>
        <v>#REF!</v>
      </c>
      <c r="CVG247" s="29" t="e">
        <f t="shared" si="86"/>
        <v>#REF!</v>
      </c>
      <c r="CVH247" s="29" t="e">
        <f t="shared" si="86"/>
        <v>#REF!</v>
      </c>
      <c r="CVI247" s="29" t="e">
        <f t="shared" si="86"/>
        <v>#REF!</v>
      </c>
      <c r="CVJ247" s="29" t="e">
        <f t="shared" si="86"/>
        <v>#REF!</v>
      </c>
      <c r="CVK247" s="29" t="e">
        <f t="shared" si="86"/>
        <v>#REF!</v>
      </c>
      <c r="CVL247" s="29" t="e">
        <f t="shared" si="86"/>
        <v>#REF!</v>
      </c>
      <c r="CVM247" s="29" t="e">
        <f t="shared" si="86"/>
        <v>#REF!</v>
      </c>
      <c r="CVN247" s="29" t="e">
        <f t="shared" si="86"/>
        <v>#REF!</v>
      </c>
      <c r="CVO247" s="29" t="e">
        <f t="shared" si="86"/>
        <v>#REF!</v>
      </c>
      <c r="CVP247" s="29" t="e">
        <f t="shared" si="86"/>
        <v>#REF!</v>
      </c>
      <c r="CVQ247" s="29" t="e">
        <f t="shared" si="86"/>
        <v>#REF!</v>
      </c>
      <c r="CVR247" s="29" t="e">
        <f t="shared" si="86"/>
        <v>#REF!</v>
      </c>
      <c r="CVS247" s="29" t="e">
        <f t="shared" si="86"/>
        <v>#REF!</v>
      </c>
      <c r="CVT247" s="29" t="e">
        <f t="shared" si="86"/>
        <v>#REF!</v>
      </c>
      <c r="CVU247" s="29" t="e">
        <f t="shared" si="86"/>
        <v>#REF!</v>
      </c>
      <c r="CVV247" s="29" t="e">
        <f t="shared" si="86"/>
        <v>#REF!</v>
      </c>
      <c r="CVW247" s="29" t="e">
        <f t="shared" si="86"/>
        <v>#REF!</v>
      </c>
      <c r="CVX247" s="29" t="e">
        <f t="shared" si="86"/>
        <v>#REF!</v>
      </c>
      <c r="CVY247" s="29" t="e">
        <f t="shared" si="86"/>
        <v>#REF!</v>
      </c>
      <c r="CVZ247" s="29" t="e">
        <f t="shared" si="86"/>
        <v>#REF!</v>
      </c>
      <c r="CWA247" s="29" t="e">
        <f t="shared" si="86"/>
        <v>#REF!</v>
      </c>
      <c r="CWB247" s="29" t="e">
        <f t="shared" si="86"/>
        <v>#REF!</v>
      </c>
      <c r="CWC247" s="29" t="e">
        <f t="shared" si="86"/>
        <v>#REF!</v>
      </c>
      <c r="CWD247" s="29" t="e">
        <f t="shared" si="86"/>
        <v>#REF!</v>
      </c>
      <c r="CWE247" s="29" t="e">
        <f t="shared" si="86"/>
        <v>#REF!</v>
      </c>
      <c r="CWF247" s="29" t="e">
        <f t="shared" si="86"/>
        <v>#REF!</v>
      </c>
      <c r="CWG247" s="29" t="e">
        <f t="shared" si="86"/>
        <v>#REF!</v>
      </c>
      <c r="CWH247" s="29" t="e">
        <f t="shared" si="86"/>
        <v>#REF!</v>
      </c>
      <c r="CWI247" s="29" t="e">
        <f t="shared" si="86"/>
        <v>#REF!</v>
      </c>
      <c r="CWJ247" s="29" t="e">
        <f t="shared" si="86"/>
        <v>#REF!</v>
      </c>
      <c r="CWK247" s="29" t="e">
        <f t="shared" si="86"/>
        <v>#REF!</v>
      </c>
      <c r="CWL247" s="29" t="e">
        <f t="shared" si="86"/>
        <v>#REF!</v>
      </c>
      <c r="CWM247" s="29" t="e">
        <f t="shared" si="86"/>
        <v>#REF!</v>
      </c>
      <c r="CWN247" s="29" t="e">
        <f t="shared" si="86"/>
        <v>#REF!</v>
      </c>
      <c r="CWO247" s="29" t="e">
        <f t="shared" ref="CWO247:CYZ247" si="87">CWS247&amp;CWT247</f>
        <v>#REF!</v>
      </c>
      <c r="CWP247" s="29" t="e">
        <f t="shared" si="87"/>
        <v>#REF!</v>
      </c>
      <c r="CWQ247" s="29" t="e">
        <f t="shared" si="87"/>
        <v>#REF!</v>
      </c>
      <c r="CWR247" s="29" t="e">
        <f t="shared" si="87"/>
        <v>#REF!</v>
      </c>
      <c r="CWS247" s="29" t="e">
        <f t="shared" si="87"/>
        <v>#REF!</v>
      </c>
      <c r="CWT247" s="29" t="e">
        <f t="shared" si="87"/>
        <v>#REF!</v>
      </c>
      <c r="CWU247" s="29" t="e">
        <f t="shared" si="87"/>
        <v>#REF!</v>
      </c>
      <c r="CWV247" s="29" t="e">
        <f t="shared" si="87"/>
        <v>#REF!</v>
      </c>
      <c r="CWW247" s="29" t="e">
        <f t="shared" si="87"/>
        <v>#REF!</v>
      </c>
      <c r="CWX247" s="29" t="e">
        <f t="shared" si="87"/>
        <v>#REF!</v>
      </c>
      <c r="CWY247" s="29" t="e">
        <f t="shared" si="87"/>
        <v>#REF!</v>
      </c>
      <c r="CWZ247" s="29" t="e">
        <f t="shared" si="87"/>
        <v>#REF!</v>
      </c>
      <c r="CXA247" s="29" t="e">
        <f t="shared" si="87"/>
        <v>#REF!</v>
      </c>
      <c r="CXB247" s="29" t="e">
        <f t="shared" si="87"/>
        <v>#REF!</v>
      </c>
      <c r="CXC247" s="29" t="e">
        <f t="shared" si="87"/>
        <v>#REF!</v>
      </c>
      <c r="CXD247" s="29" t="e">
        <f t="shared" si="87"/>
        <v>#REF!</v>
      </c>
      <c r="CXE247" s="29" t="e">
        <f t="shared" si="87"/>
        <v>#REF!</v>
      </c>
      <c r="CXF247" s="29" t="e">
        <f t="shared" si="87"/>
        <v>#REF!</v>
      </c>
      <c r="CXG247" s="29" t="e">
        <f t="shared" si="87"/>
        <v>#REF!</v>
      </c>
      <c r="CXH247" s="29" t="e">
        <f t="shared" si="87"/>
        <v>#REF!</v>
      </c>
      <c r="CXI247" s="29" t="e">
        <f t="shared" si="87"/>
        <v>#REF!</v>
      </c>
      <c r="CXJ247" s="29" t="e">
        <f t="shared" si="87"/>
        <v>#REF!</v>
      </c>
      <c r="CXK247" s="29" t="e">
        <f t="shared" si="87"/>
        <v>#REF!</v>
      </c>
      <c r="CXL247" s="29" t="e">
        <f t="shared" si="87"/>
        <v>#REF!</v>
      </c>
      <c r="CXM247" s="29" t="e">
        <f t="shared" si="87"/>
        <v>#REF!</v>
      </c>
      <c r="CXN247" s="29" t="e">
        <f t="shared" si="87"/>
        <v>#REF!</v>
      </c>
      <c r="CXO247" s="29" t="e">
        <f t="shared" si="87"/>
        <v>#REF!</v>
      </c>
      <c r="CXP247" s="29" t="e">
        <f t="shared" si="87"/>
        <v>#REF!</v>
      </c>
      <c r="CXQ247" s="29" t="e">
        <f t="shared" si="87"/>
        <v>#REF!</v>
      </c>
      <c r="CXR247" s="29" t="e">
        <f t="shared" si="87"/>
        <v>#REF!</v>
      </c>
      <c r="CXS247" s="29" t="e">
        <f t="shared" si="87"/>
        <v>#REF!</v>
      </c>
      <c r="CXT247" s="29" t="e">
        <f t="shared" si="87"/>
        <v>#REF!</v>
      </c>
      <c r="CXU247" s="29" t="e">
        <f t="shared" si="87"/>
        <v>#REF!</v>
      </c>
      <c r="CXV247" s="29" t="e">
        <f t="shared" si="87"/>
        <v>#REF!</v>
      </c>
      <c r="CXW247" s="29" t="e">
        <f t="shared" si="87"/>
        <v>#REF!</v>
      </c>
      <c r="CXX247" s="29" t="e">
        <f t="shared" si="87"/>
        <v>#REF!</v>
      </c>
      <c r="CXY247" s="29" t="e">
        <f t="shared" si="87"/>
        <v>#REF!</v>
      </c>
      <c r="CXZ247" s="29" t="e">
        <f t="shared" si="87"/>
        <v>#REF!</v>
      </c>
      <c r="CYA247" s="29" t="e">
        <f t="shared" si="87"/>
        <v>#REF!</v>
      </c>
      <c r="CYB247" s="29" t="e">
        <f t="shared" si="87"/>
        <v>#REF!</v>
      </c>
      <c r="CYC247" s="29" t="e">
        <f t="shared" si="87"/>
        <v>#REF!</v>
      </c>
      <c r="CYD247" s="29" t="e">
        <f t="shared" si="87"/>
        <v>#REF!</v>
      </c>
      <c r="CYE247" s="29" t="e">
        <f t="shared" si="87"/>
        <v>#REF!</v>
      </c>
      <c r="CYF247" s="29" t="e">
        <f t="shared" si="87"/>
        <v>#REF!</v>
      </c>
      <c r="CYG247" s="29" t="e">
        <f t="shared" si="87"/>
        <v>#REF!</v>
      </c>
      <c r="CYH247" s="29" t="e">
        <f t="shared" si="87"/>
        <v>#REF!</v>
      </c>
      <c r="CYI247" s="29" t="e">
        <f t="shared" si="87"/>
        <v>#REF!</v>
      </c>
      <c r="CYJ247" s="29" t="e">
        <f t="shared" si="87"/>
        <v>#REF!</v>
      </c>
      <c r="CYK247" s="29" t="e">
        <f t="shared" si="87"/>
        <v>#REF!</v>
      </c>
      <c r="CYL247" s="29" t="e">
        <f t="shared" si="87"/>
        <v>#REF!</v>
      </c>
      <c r="CYM247" s="29" t="e">
        <f t="shared" si="87"/>
        <v>#REF!</v>
      </c>
      <c r="CYN247" s="29" t="e">
        <f t="shared" si="87"/>
        <v>#REF!</v>
      </c>
      <c r="CYO247" s="29" t="e">
        <f t="shared" si="87"/>
        <v>#REF!</v>
      </c>
      <c r="CYP247" s="29" t="e">
        <f t="shared" si="87"/>
        <v>#REF!</v>
      </c>
      <c r="CYQ247" s="29" t="e">
        <f t="shared" si="87"/>
        <v>#REF!</v>
      </c>
      <c r="CYR247" s="29" t="e">
        <f t="shared" si="87"/>
        <v>#REF!</v>
      </c>
      <c r="CYS247" s="29" t="e">
        <f t="shared" si="87"/>
        <v>#REF!</v>
      </c>
      <c r="CYT247" s="29" t="e">
        <f t="shared" si="87"/>
        <v>#REF!</v>
      </c>
      <c r="CYU247" s="29" t="e">
        <f t="shared" si="87"/>
        <v>#REF!</v>
      </c>
      <c r="CYV247" s="29" t="e">
        <f t="shared" si="87"/>
        <v>#REF!</v>
      </c>
      <c r="CYW247" s="29" t="e">
        <f t="shared" si="87"/>
        <v>#REF!</v>
      </c>
      <c r="CYX247" s="29" t="e">
        <f t="shared" si="87"/>
        <v>#REF!</v>
      </c>
      <c r="CYY247" s="29" t="e">
        <f t="shared" si="87"/>
        <v>#REF!</v>
      </c>
      <c r="CYZ247" s="29" t="e">
        <f t="shared" si="87"/>
        <v>#REF!</v>
      </c>
      <c r="CZA247" s="29" t="e">
        <f t="shared" ref="CZA247:DBL247" si="88">CZE247&amp;CZF247</f>
        <v>#REF!</v>
      </c>
      <c r="CZB247" s="29" t="e">
        <f t="shared" si="88"/>
        <v>#REF!</v>
      </c>
      <c r="CZC247" s="29" t="e">
        <f t="shared" si="88"/>
        <v>#REF!</v>
      </c>
      <c r="CZD247" s="29" t="e">
        <f t="shared" si="88"/>
        <v>#REF!</v>
      </c>
      <c r="CZE247" s="29" t="e">
        <f t="shared" si="88"/>
        <v>#REF!</v>
      </c>
      <c r="CZF247" s="29" t="e">
        <f t="shared" si="88"/>
        <v>#REF!</v>
      </c>
      <c r="CZG247" s="29" t="e">
        <f t="shared" si="88"/>
        <v>#REF!</v>
      </c>
      <c r="CZH247" s="29" t="e">
        <f t="shared" si="88"/>
        <v>#REF!</v>
      </c>
      <c r="CZI247" s="29" t="e">
        <f t="shared" si="88"/>
        <v>#REF!</v>
      </c>
      <c r="CZJ247" s="29" t="e">
        <f t="shared" si="88"/>
        <v>#REF!</v>
      </c>
      <c r="CZK247" s="29" t="e">
        <f t="shared" si="88"/>
        <v>#REF!</v>
      </c>
      <c r="CZL247" s="29" t="e">
        <f t="shared" si="88"/>
        <v>#REF!</v>
      </c>
      <c r="CZM247" s="29" t="e">
        <f t="shared" si="88"/>
        <v>#REF!</v>
      </c>
      <c r="CZN247" s="29" t="e">
        <f t="shared" si="88"/>
        <v>#REF!</v>
      </c>
      <c r="CZO247" s="29" t="e">
        <f t="shared" si="88"/>
        <v>#REF!</v>
      </c>
      <c r="CZP247" s="29" t="e">
        <f t="shared" si="88"/>
        <v>#REF!</v>
      </c>
      <c r="CZQ247" s="29" t="e">
        <f t="shared" si="88"/>
        <v>#REF!</v>
      </c>
      <c r="CZR247" s="29" t="e">
        <f t="shared" si="88"/>
        <v>#REF!</v>
      </c>
      <c r="CZS247" s="29" t="e">
        <f t="shared" si="88"/>
        <v>#REF!</v>
      </c>
      <c r="CZT247" s="29" t="e">
        <f t="shared" si="88"/>
        <v>#REF!</v>
      </c>
      <c r="CZU247" s="29" t="e">
        <f t="shared" si="88"/>
        <v>#REF!</v>
      </c>
      <c r="CZV247" s="29" t="e">
        <f t="shared" si="88"/>
        <v>#REF!</v>
      </c>
      <c r="CZW247" s="29" t="e">
        <f t="shared" si="88"/>
        <v>#REF!</v>
      </c>
      <c r="CZX247" s="29" t="e">
        <f t="shared" si="88"/>
        <v>#REF!</v>
      </c>
      <c r="CZY247" s="29" t="e">
        <f t="shared" si="88"/>
        <v>#REF!</v>
      </c>
      <c r="CZZ247" s="29" t="e">
        <f t="shared" si="88"/>
        <v>#REF!</v>
      </c>
      <c r="DAA247" s="29" t="e">
        <f t="shared" si="88"/>
        <v>#REF!</v>
      </c>
      <c r="DAB247" s="29" t="e">
        <f t="shared" si="88"/>
        <v>#REF!</v>
      </c>
      <c r="DAC247" s="29" t="e">
        <f t="shared" si="88"/>
        <v>#REF!</v>
      </c>
      <c r="DAD247" s="29" t="e">
        <f t="shared" si="88"/>
        <v>#REF!</v>
      </c>
      <c r="DAE247" s="29" t="e">
        <f t="shared" si="88"/>
        <v>#REF!</v>
      </c>
      <c r="DAF247" s="29" t="e">
        <f t="shared" si="88"/>
        <v>#REF!</v>
      </c>
      <c r="DAG247" s="29" t="e">
        <f t="shared" si="88"/>
        <v>#REF!</v>
      </c>
      <c r="DAH247" s="29" t="e">
        <f t="shared" si="88"/>
        <v>#REF!</v>
      </c>
      <c r="DAI247" s="29" t="e">
        <f t="shared" si="88"/>
        <v>#REF!</v>
      </c>
      <c r="DAJ247" s="29" t="e">
        <f t="shared" si="88"/>
        <v>#REF!</v>
      </c>
      <c r="DAK247" s="29" t="e">
        <f t="shared" si="88"/>
        <v>#REF!</v>
      </c>
      <c r="DAL247" s="29" t="e">
        <f t="shared" si="88"/>
        <v>#REF!</v>
      </c>
      <c r="DAM247" s="29" t="e">
        <f t="shared" si="88"/>
        <v>#REF!</v>
      </c>
      <c r="DAN247" s="29" t="e">
        <f t="shared" si="88"/>
        <v>#REF!</v>
      </c>
      <c r="DAO247" s="29" t="e">
        <f t="shared" si="88"/>
        <v>#REF!</v>
      </c>
      <c r="DAP247" s="29" t="e">
        <f t="shared" si="88"/>
        <v>#REF!</v>
      </c>
      <c r="DAQ247" s="29" t="e">
        <f t="shared" si="88"/>
        <v>#REF!</v>
      </c>
      <c r="DAR247" s="29" t="e">
        <f t="shared" si="88"/>
        <v>#REF!</v>
      </c>
      <c r="DAS247" s="29" t="e">
        <f t="shared" si="88"/>
        <v>#REF!</v>
      </c>
      <c r="DAT247" s="29" t="e">
        <f t="shared" si="88"/>
        <v>#REF!</v>
      </c>
      <c r="DAU247" s="29" t="e">
        <f t="shared" si="88"/>
        <v>#REF!</v>
      </c>
      <c r="DAV247" s="29" t="e">
        <f t="shared" si="88"/>
        <v>#REF!</v>
      </c>
      <c r="DAW247" s="29" t="e">
        <f t="shared" si="88"/>
        <v>#REF!</v>
      </c>
      <c r="DAX247" s="29" t="e">
        <f t="shared" si="88"/>
        <v>#REF!</v>
      </c>
      <c r="DAY247" s="29" t="e">
        <f t="shared" si="88"/>
        <v>#REF!</v>
      </c>
      <c r="DAZ247" s="29" t="e">
        <f t="shared" si="88"/>
        <v>#REF!</v>
      </c>
      <c r="DBA247" s="29" t="e">
        <f t="shared" si="88"/>
        <v>#REF!</v>
      </c>
      <c r="DBB247" s="29" t="e">
        <f t="shared" si="88"/>
        <v>#REF!</v>
      </c>
      <c r="DBC247" s="29" t="e">
        <f t="shared" si="88"/>
        <v>#REF!</v>
      </c>
      <c r="DBD247" s="29" t="e">
        <f t="shared" si="88"/>
        <v>#REF!</v>
      </c>
      <c r="DBE247" s="29" t="e">
        <f t="shared" si="88"/>
        <v>#REF!</v>
      </c>
      <c r="DBF247" s="29" t="e">
        <f t="shared" si="88"/>
        <v>#REF!</v>
      </c>
      <c r="DBG247" s="29" t="e">
        <f t="shared" si="88"/>
        <v>#REF!</v>
      </c>
      <c r="DBH247" s="29" t="e">
        <f t="shared" si="88"/>
        <v>#REF!</v>
      </c>
      <c r="DBI247" s="29" t="e">
        <f t="shared" si="88"/>
        <v>#REF!</v>
      </c>
      <c r="DBJ247" s="29" t="e">
        <f t="shared" si="88"/>
        <v>#REF!</v>
      </c>
      <c r="DBK247" s="29" t="e">
        <f t="shared" si="88"/>
        <v>#REF!</v>
      </c>
      <c r="DBL247" s="29" t="e">
        <f t="shared" si="88"/>
        <v>#REF!</v>
      </c>
      <c r="DBM247" s="29" t="e">
        <f t="shared" ref="DBM247:DDX247" si="89">DBQ247&amp;DBR247</f>
        <v>#REF!</v>
      </c>
      <c r="DBN247" s="29" t="e">
        <f t="shared" si="89"/>
        <v>#REF!</v>
      </c>
      <c r="DBO247" s="29" t="e">
        <f t="shared" si="89"/>
        <v>#REF!</v>
      </c>
      <c r="DBP247" s="29" t="e">
        <f t="shared" si="89"/>
        <v>#REF!</v>
      </c>
      <c r="DBQ247" s="29" t="e">
        <f t="shared" si="89"/>
        <v>#REF!</v>
      </c>
      <c r="DBR247" s="29" t="e">
        <f t="shared" si="89"/>
        <v>#REF!</v>
      </c>
      <c r="DBS247" s="29" t="e">
        <f t="shared" si="89"/>
        <v>#REF!</v>
      </c>
      <c r="DBT247" s="29" t="e">
        <f t="shared" si="89"/>
        <v>#REF!</v>
      </c>
      <c r="DBU247" s="29" t="e">
        <f t="shared" si="89"/>
        <v>#REF!</v>
      </c>
      <c r="DBV247" s="29" t="e">
        <f t="shared" si="89"/>
        <v>#REF!</v>
      </c>
      <c r="DBW247" s="29" t="e">
        <f t="shared" si="89"/>
        <v>#REF!</v>
      </c>
      <c r="DBX247" s="29" t="e">
        <f t="shared" si="89"/>
        <v>#REF!</v>
      </c>
      <c r="DBY247" s="29" t="e">
        <f t="shared" si="89"/>
        <v>#REF!</v>
      </c>
      <c r="DBZ247" s="29" t="e">
        <f t="shared" si="89"/>
        <v>#REF!</v>
      </c>
      <c r="DCA247" s="29" t="e">
        <f t="shared" si="89"/>
        <v>#REF!</v>
      </c>
      <c r="DCB247" s="29" t="e">
        <f t="shared" si="89"/>
        <v>#REF!</v>
      </c>
      <c r="DCC247" s="29" t="e">
        <f t="shared" si="89"/>
        <v>#REF!</v>
      </c>
      <c r="DCD247" s="29" t="e">
        <f t="shared" si="89"/>
        <v>#REF!</v>
      </c>
      <c r="DCE247" s="29" t="e">
        <f t="shared" si="89"/>
        <v>#REF!</v>
      </c>
      <c r="DCF247" s="29" t="e">
        <f t="shared" si="89"/>
        <v>#REF!</v>
      </c>
      <c r="DCG247" s="29" t="e">
        <f t="shared" si="89"/>
        <v>#REF!</v>
      </c>
      <c r="DCH247" s="29" t="e">
        <f t="shared" si="89"/>
        <v>#REF!</v>
      </c>
      <c r="DCI247" s="29" t="e">
        <f t="shared" si="89"/>
        <v>#REF!</v>
      </c>
      <c r="DCJ247" s="29" t="e">
        <f t="shared" si="89"/>
        <v>#REF!</v>
      </c>
      <c r="DCK247" s="29" t="e">
        <f t="shared" si="89"/>
        <v>#REF!</v>
      </c>
      <c r="DCL247" s="29" t="e">
        <f t="shared" si="89"/>
        <v>#REF!</v>
      </c>
      <c r="DCM247" s="29" t="e">
        <f t="shared" si="89"/>
        <v>#REF!</v>
      </c>
      <c r="DCN247" s="29" t="e">
        <f t="shared" si="89"/>
        <v>#REF!</v>
      </c>
      <c r="DCO247" s="29" t="e">
        <f t="shared" si="89"/>
        <v>#REF!</v>
      </c>
      <c r="DCP247" s="29" t="e">
        <f t="shared" si="89"/>
        <v>#REF!</v>
      </c>
      <c r="DCQ247" s="29" t="e">
        <f t="shared" si="89"/>
        <v>#REF!</v>
      </c>
      <c r="DCR247" s="29" t="e">
        <f t="shared" si="89"/>
        <v>#REF!</v>
      </c>
      <c r="DCS247" s="29" t="e">
        <f t="shared" si="89"/>
        <v>#REF!</v>
      </c>
      <c r="DCT247" s="29" t="e">
        <f t="shared" si="89"/>
        <v>#REF!</v>
      </c>
      <c r="DCU247" s="29" t="e">
        <f t="shared" si="89"/>
        <v>#REF!</v>
      </c>
      <c r="DCV247" s="29" t="e">
        <f t="shared" si="89"/>
        <v>#REF!</v>
      </c>
      <c r="DCW247" s="29" t="e">
        <f t="shared" si="89"/>
        <v>#REF!</v>
      </c>
      <c r="DCX247" s="29" t="e">
        <f t="shared" si="89"/>
        <v>#REF!</v>
      </c>
      <c r="DCY247" s="29" t="e">
        <f t="shared" si="89"/>
        <v>#REF!</v>
      </c>
      <c r="DCZ247" s="29" t="e">
        <f t="shared" si="89"/>
        <v>#REF!</v>
      </c>
      <c r="DDA247" s="29" t="e">
        <f t="shared" si="89"/>
        <v>#REF!</v>
      </c>
      <c r="DDB247" s="29" t="e">
        <f t="shared" si="89"/>
        <v>#REF!</v>
      </c>
      <c r="DDC247" s="29" t="e">
        <f t="shared" si="89"/>
        <v>#REF!</v>
      </c>
      <c r="DDD247" s="29" t="e">
        <f t="shared" si="89"/>
        <v>#REF!</v>
      </c>
      <c r="DDE247" s="29" t="e">
        <f t="shared" si="89"/>
        <v>#REF!</v>
      </c>
      <c r="DDF247" s="29" t="e">
        <f t="shared" si="89"/>
        <v>#REF!</v>
      </c>
      <c r="DDG247" s="29" t="e">
        <f t="shared" si="89"/>
        <v>#REF!</v>
      </c>
      <c r="DDH247" s="29" t="e">
        <f t="shared" si="89"/>
        <v>#REF!</v>
      </c>
      <c r="DDI247" s="29" t="e">
        <f t="shared" si="89"/>
        <v>#REF!</v>
      </c>
      <c r="DDJ247" s="29" t="e">
        <f t="shared" si="89"/>
        <v>#REF!</v>
      </c>
      <c r="DDK247" s="29" t="e">
        <f t="shared" si="89"/>
        <v>#REF!</v>
      </c>
      <c r="DDL247" s="29" t="e">
        <f t="shared" si="89"/>
        <v>#REF!</v>
      </c>
      <c r="DDM247" s="29" t="e">
        <f t="shared" si="89"/>
        <v>#REF!</v>
      </c>
      <c r="DDN247" s="29" t="e">
        <f t="shared" si="89"/>
        <v>#REF!</v>
      </c>
      <c r="DDO247" s="29" t="e">
        <f t="shared" si="89"/>
        <v>#REF!</v>
      </c>
      <c r="DDP247" s="29" t="e">
        <f t="shared" si="89"/>
        <v>#REF!</v>
      </c>
      <c r="DDQ247" s="29" t="e">
        <f t="shared" si="89"/>
        <v>#REF!</v>
      </c>
      <c r="DDR247" s="29" t="e">
        <f t="shared" si="89"/>
        <v>#REF!</v>
      </c>
      <c r="DDS247" s="29" t="e">
        <f t="shared" si="89"/>
        <v>#REF!</v>
      </c>
      <c r="DDT247" s="29" t="e">
        <f t="shared" si="89"/>
        <v>#REF!</v>
      </c>
      <c r="DDU247" s="29" t="e">
        <f t="shared" si="89"/>
        <v>#REF!</v>
      </c>
      <c r="DDV247" s="29" t="e">
        <f t="shared" si="89"/>
        <v>#REF!</v>
      </c>
      <c r="DDW247" s="29" t="e">
        <f t="shared" si="89"/>
        <v>#REF!</v>
      </c>
      <c r="DDX247" s="29" t="e">
        <f t="shared" si="89"/>
        <v>#REF!</v>
      </c>
      <c r="DDY247" s="29" t="e">
        <f t="shared" ref="DDY247:DGJ247" si="90">DEC247&amp;DED247</f>
        <v>#REF!</v>
      </c>
      <c r="DDZ247" s="29" t="e">
        <f t="shared" si="90"/>
        <v>#REF!</v>
      </c>
      <c r="DEA247" s="29" t="e">
        <f t="shared" si="90"/>
        <v>#REF!</v>
      </c>
      <c r="DEB247" s="29" t="e">
        <f t="shared" si="90"/>
        <v>#REF!</v>
      </c>
      <c r="DEC247" s="29" t="e">
        <f t="shared" si="90"/>
        <v>#REF!</v>
      </c>
      <c r="DED247" s="29" t="e">
        <f t="shared" si="90"/>
        <v>#REF!</v>
      </c>
      <c r="DEE247" s="29" t="e">
        <f t="shared" si="90"/>
        <v>#REF!</v>
      </c>
      <c r="DEF247" s="29" t="e">
        <f t="shared" si="90"/>
        <v>#REF!</v>
      </c>
      <c r="DEG247" s="29" t="e">
        <f t="shared" si="90"/>
        <v>#REF!</v>
      </c>
      <c r="DEH247" s="29" t="e">
        <f t="shared" si="90"/>
        <v>#REF!</v>
      </c>
      <c r="DEI247" s="29" t="e">
        <f t="shared" si="90"/>
        <v>#REF!</v>
      </c>
      <c r="DEJ247" s="29" t="e">
        <f t="shared" si="90"/>
        <v>#REF!</v>
      </c>
      <c r="DEK247" s="29" t="e">
        <f t="shared" si="90"/>
        <v>#REF!</v>
      </c>
      <c r="DEL247" s="29" t="e">
        <f t="shared" si="90"/>
        <v>#REF!</v>
      </c>
      <c r="DEM247" s="29" t="e">
        <f t="shared" si="90"/>
        <v>#REF!</v>
      </c>
      <c r="DEN247" s="29" t="e">
        <f t="shared" si="90"/>
        <v>#REF!</v>
      </c>
      <c r="DEO247" s="29" t="e">
        <f t="shared" si="90"/>
        <v>#REF!</v>
      </c>
      <c r="DEP247" s="29" t="e">
        <f t="shared" si="90"/>
        <v>#REF!</v>
      </c>
      <c r="DEQ247" s="29" t="e">
        <f t="shared" si="90"/>
        <v>#REF!</v>
      </c>
      <c r="DER247" s="29" t="e">
        <f t="shared" si="90"/>
        <v>#REF!</v>
      </c>
      <c r="DES247" s="29" t="e">
        <f t="shared" si="90"/>
        <v>#REF!</v>
      </c>
      <c r="DET247" s="29" t="e">
        <f t="shared" si="90"/>
        <v>#REF!</v>
      </c>
      <c r="DEU247" s="29" t="e">
        <f t="shared" si="90"/>
        <v>#REF!</v>
      </c>
      <c r="DEV247" s="29" t="e">
        <f t="shared" si="90"/>
        <v>#REF!</v>
      </c>
      <c r="DEW247" s="29" t="e">
        <f t="shared" si="90"/>
        <v>#REF!</v>
      </c>
      <c r="DEX247" s="29" t="e">
        <f t="shared" si="90"/>
        <v>#REF!</v>
      </c>
      <c r="DEY247" s="29" t="e">
        <f t="shared" si="90"/>
        <v>#REF!</v>
      </c>
      <c r="DEZ247" s="29" t="e">
        <f t="shared" si="90"/>
        <v>#REF!</v>
      </c>
      <c r="DFA247" s="29" t="e">
        <f t="shared" si="90"/>
        <v>#REF!</v>
      </c>
      <c r="DFB247" s="29" t="e">
        <f t="shared" si="90"/>
        <v>#REF!</v>
      </c>
      <c r="DFC247" s="29" t="e">
        <f t="shared" si="90"/>
        <v>#REF!</v>
      </c>
      <c r="DFD247" s="29" t="e">
        <f t="shared" si="90"/>
        <v>#REF!</v>
      </c>
      <c r="DFE247" s="29" t="e">
        <f t="shared" si="90"/>
        <v>#REF!</v>
      </c>
      <c r="DFF247" s="29" t="e">
        <f t="shared" si="90"/>
        <v>#REF!</v>
      </c>
      <c r="DFG247" s="29" t="e">
        <f t="shared" si="90"/>
        <v>#REF!</v>
      </c>
      <c r="DFH247" s="29" t="e">
        <f t="shared" si="90"/>
        <v>#REF!</v>
      </c>
      <c r="DFI247" s="29" t="e">
        <f t="shared" si="90"/>
        <v>#REF!</v>
      </c>
      <c r="DFJ247" s="29" t="e">
        <f t="shared" si="90"/>
        <v>#REF!</v>
      </c>
      <c r="DFK247" s="29" t="e">
        <f t="shared" si="90"/>
        <v>#REF!</v>
      </c>
      <c r="DFL247" s="29" t="e">
        <f t="shared" si="90"/>
        <v>#REF!</v>
      </c>
      <c r="DFM247" s="29" t="e">
        <f t="shared" si="90"/>
        <v>#REF!</v>
      </c>
      <c r="DFN247" s="29" t="e">
        <f t="shared" si="90"/>
        <v>#REF!</v>
      </c>
      <c r="DFO247" s="29" t="e">
        <f t="shared" si="90"/>
        <v>#REF!</v>
      </c>
      <c r="DFP247" s="29" t="e">
        <f t="shared" si="90"/>
        <v>#REF!</v>
      </c>
      <c r="DFQ247" s="29" t="e">
        <f t="shared" si="90"/>
        <v>#REF!</v>
      </c>
      <c r="DFR247" s="29" t="e">
        <f t="shared" si="90"/>
        <v>#REF!</v>
      </c>
      <c r="DFS247" s="29" t="e">
        <f t="shared" si="90"/>
        <v>#REF!</v>
      </c>
      <c r="DFT247" s="29" t="e">
        <f t="shared" si="90"/>
        <v>#REF!</v>
      </c>
      <c r="DFU247" s="29" t="e">
        <f t="shared" si="90"/>
        <v>#REF!</v>
      </c>
      <c r="DFV247" s="29" t="e">
        <f t="shared" si="90"/>
        <v>#REF!</v>
      </c>
      <c r="DFW247" s="29" t="e">
        <f t="shared" si="90"/>
        <v>#REF!</v>
      </c>
      <c r="DFX247" s="29" t="e">
        <f t="shared" si="90"/>
        <v>#REF!</v>
      </c>
      <c r="DFY247" s="29" t="e">
        <f t="shared" si="90"/>
        <v>#REF!</v>
      </c>
      <c r="DFZ247" s="29" t="e">
        <f t="shared" si="90"/>
        <v>#REF!</v>
      </c>
      <c r="DGA247" s="29" t="e">
        <f t="shared" si="90"/>
        <v>#REF!</v>
      </c>
      <c r="DGB247" s="29" t="e">
        <f t="shared" si="90"/>
        <v>#REF!</v>
      </c>
      <c r="DGC247" s="29" t="e">
        <f t="shared" si="90"/>
        <v>#REF!</v>
      </c>
      <c r="DGD247" s="29" t="e">
        <f t="shared" si="90"/>
        <v>#REF!</v>
      </c>
      <c r="DGE247" s="29" t="e">
        <f t="shared" si="90"/>
        <v>#REF!</v>
      </c>
      <c r="DGF247" s="29" t="e">
        <f t="shared" si="90"/>
        <v>#REF!</v>
      </c>
      <c r="DGG247" s="29" t="e">
        <f t="shared" si="90"/>
        <v>#REF!</v>
      </c>
      <c r="DGH247" s="29" t="e">
        <f t="shared" si="90"/>
        <v>#REF!</v>
      </c>
      <c r="DGI247" s="29" t="e">
        <f t="shared" si="90"/>
        <v>#REF!</v>
      </c>
      <c r="DGJ247" s="29" t="e">
        <f t="shared" si="90"/>
        <v>#REF!</v>
      </c>
      <c r="DGK247" s="29" t="e">
        <f t="shared" ref="DGK247:DIV247" si="91">DGO247&amp;DGP247</f>
        <v>#REF!</v>
      </c>
      <c r="DGL247" s="29" t="e">
        <f t="shared" si="91"/>
        <v>#REF!</v>
      </c>
      <c r="DGM247" s="29" t="e">
        <f t="shared" si="91"/>
        <v>#REF!</v>
      </c>
      <c r="DGN247" s="29" t="e">
        <f t="shared" si="91"/>
        <v>#REF!</v>
      </c>
      <c r="DGO247" s="29" t="e">
        <f t="shared" si="91"/>
        <v>#REF!</v>
      </c>
      <c r="DGP247" s="29" t="e">
        <f t="shared" si="91"/>
        <v>#REF!</v>
      </c>
      <c r="DGQ247" s="29" t="e">
        <f t="shared" si="91"/>
        <v>#REF!</v>
      </c>
      <c r="DGR247" s="29" t="e">
        <f t="shared" si="91"/>
        <v>#REF!</v>
      </c>
      <c r="DGS247" s="29" t="e">
        <f t="shared" si="91"/>
        <v>#REF!</v>
      </c>
      <c r="DGT247" s="29" t="e">
        <f t="shared" si="91"/>
        <v>#REF!</v>
      </c>
      <c r="DGU247" s="29" t="e">
        <f t="shared" si="91"/>
        <v>#REF!</v>
      </c>
      <c r="DGV247" s="29" t="e">
        <f t="shared" si="91"/>
        <v>#REF!</v>
      </c>
      <c r="DGW247" s="29" t="e">
        <f t="shared" si="91"/>
        <v>#REF!</v>
      </c>
      <c r="DGX247" s="29" t="e">
        <f t="shared" si="91"/>
        <v>#REF!</v>
      </c>
      <c r="DGY247" s="29" t="e">
        <f t="shared" si="91"/>
        <v>#REF!</v>
      </c>
      <c r="DGZ247" s="29" t="e">
        <f t="shared" si="91"/>
        <v>#REF!</v>
      </c>
      <c r="DHA247" s="29" t="e">
        <f t="shared" si="91"/>
        <v>#REF!</v>
      </c>
      <c r="DHB247" s="29" t="e">
        <f t="shared" si="91"/>
        <v>#REF!</v>
      </c>
      <c r="DHC247" s="29" t="e">
        <f t="shared" si="91"/>
        <v>#REF!</v>
      </c>
      <c r="DHD247" s="29" t="e">
        <f t="shared" si="91"/>
        <v>#REF!</v>
      </c>
      <c r="DHE247" s="29" t="e">
        <f t="shared" si="91"/>
        <v>#REF!</v>
      </c>
      <c r="DHF247" s="29" t="e">
        <f t="shared" si="91"/>
        <v>#REF!</v>
      </c>
      <c r="DHG247" s="29" t="e">
        <f t="shared" si="91"/>
        <v>#REF!</v>
      </c>
      <c r="DHH247" s="29" t="e">
        <f t="shared" si="91"/>
        <v>#REF!</v>
      </c>
      <c r="DHI247" s="29" t="e">
        <f t="shared" si="91"/>
        <v>#REF!</v>
      </c>
      <c r="DHJ247" s="29" t="e">
        <f t="shared" si="91"/>
        <v>#REF!</v>
      </c>
      <c r="DHK247" s="29" t="e">
        <f t="shared" si="91"/>
        <v>#REF!</v>
      </c>
      <c r="DHL247" s="29" t="e">
        <f t="shared" si="91"/>
        <v>#REF!</v>
      </c>
      <c r="DHM247" s="29" t="e">
        <f t="shared" si="91"/>
        <v>#REF!</v>
      </c>
      <c r="DHN247" s="29" t="e">
        <f t="shared" si="91"/>
        <v>#REF!</v>
      </c>
      <c r="DHO247" s="29" t="e">
        <f t="shared" si="91"/>
        <v>#REF!</v>
      </c>
      <c r="DHP247" s="29" t="e">
        <f t="shared" si="91"/>
        <v>#REF!</v>
      </c>
      <c r="DHQ247" s="29" t="e">
        <f t="shared" si="91"/>
        <v>#REF!</v>
      </c>
      <c r="DHR247" s="29" t="e">
        <f t="shared" si="91"/>
        <v>#REF!</v>
      </c>
      <c r="DHS247" s="29" t="e">
        <f t="shared" si="91"/>
        <v>#REF!</v>
      </c>
      <c r="DHT247" s="29" t="e">
        <f t="shared" si="91"/>
        <v>#REF!</v>
      </c>
      <c r="DHU247" s="29" t="e">
        <f t="shared" si="91"/>
        <v>#REF!</v>
      </c>
      <c r="DHV247" s="29" t="e">
        <f t="shared" si="91"/>
        <v>#REF!</v>
      </c>
      <c r="DHW247" s="29" t="e">
        <f t="shared" si="91"/>
        <v>#REF!</v>
      </c>
      <c r="DHX247" s="29" t="e">
        <f t="shared" si="91"/>
        <v>#REF!</v>
      </c>
      <c r="DHY247" s="29" t="e">
        <f t="shared" si="91"/>
        <v>#REF!</v>
      </c>
      <c r="DHZ247" s="29" t="e">
        <f t="shared" si="91"/>
        <v>#REF!</v>
      </c>
      <c r="DIA247" s="29" t="e">
        <f t="shared" si="91"/>
        <v>#REF!</v>
      </c>
      <c r="DIB247" s="29" t="e">
        <f t="shared" si="91"/>
        <v>#REF!</v>
      </c>
      <c r="DIC247" s="29" t="e">
        <f t="shared" si="91"/>
        <v>#REF!</v>
      </c>
      <c r="DID247" s="29" t="e">
        <f t="shared" si="91"/>
        <v>#REF!</v>
      </c>
      <c r="DIE247" s="29" t="e">
        <f t="shared" si="91"/>
        <v>#REF!</v>
      </c>
      <c r="DIF247" s="29" t="e">
        <f t="shared" si="91"/>
        <v>#REF!</v>
      </c>
      <c r="DIG247" s="29" t="e">
        <f t="shared" si="91"/>
        <v>#REF!</v>
      </c>
      <c r="DIH247" s="29" t="e">
        <f t="shared" si="91"/>
        <v>#REF!</v>
      </c>
      <c r="DII247" s="29" t="e">
        <f t="shared" si="91"/>
        <v>#REF!</v>
      </c>
      <c r="DIJ247" s="29" t="e">
        <f t="shared" si="91"/>
        <v>#REF!</v>
      </c>
      <c r="DIK247" s="29" t="e">
        <f t="shared" si="91"/>
        <v>#REF!</v>
      </c>
      <c r="DIL247" s="29" t="e">
        <f t="shared" si="91"/>
        <v>#REF!</v>
      </c>
      <c r="DIM247" s="29" t="e">
        <f t="shared" si="91"/>
        <v>#REF!</v>
      </c>
      <c r="DIN247" s="29" t="e">
        <f t="shared" si="91"/>
        <v>#REF!</v>
      </c>
      <c r="DIO247" s="29" t="e">
        <f t="shared" si="91"/>
        <v>#REF!</v>
      </c>
      <c r="DIP247" s="29" t="e">
        <f t="shared" si="91"/>
        <v>#REF!</v>
      </c>
      <c r="DIQ247" s="29" t="e">
        <f t="shared" si="91"/>
        <v>#REF!</v>
      </c>
      <c r="DIR247" s="29" t="e">
        <f t="shared" si="91"/>
        <v>#REF!</v>
      </c>
      <c r="DIS247" s="29" t="e">
        <f t="shared" si="91"/>
        <v>#REF!</v>
      </c>
      <c r="DIT247" s="29" t="e">
        <f t="shared" si="91"/>
        <v>#REF!</v>
      </c>
      <c r="DIU247" s="29" t="e">
        <f t="shared" si="91"/>
        <v>#REF!</v>
      </c>
      <c r="DIV247" s="29" t="e">
        <f t="shared" si="91"/>
        <v>#REF!</v>
      </c>
      <c r="DIW247" s="29" t="e">
        <f t="shared" ref="DIW247:DLH247" si="92">DJA247&amp;DJB247</f>
        <v>#REF!</v>
      </c>
      <c r="DIX247" s="29" t="e">
        <f t="shared" si="92"/>
        <v>#REF!</v>
      </c>
      <c r="DIY247" s="29" t="e">
        <f t="shared" si="92"/>
        <v>#REF!</v>
      </c>
      <c r="DIZ247" s="29" t="e">
        <f t="shared" si="92"/>
        <v>#REF!</v>
      </c>
      <c r="DJA247" s="29" t="e">
        <f t="shared" si="92"/>
        <v>#REF!</v>
      </c>
      <c r="DJB247" s="29" t="e">
        <f t="shared" si="92"/>
        <v>#REF!</v>
      </c>
      <c r="DJC247" s="29" t="e">
        <f t="shared" si="92"/>
        <v>#REF!</v>
      </c>
      <c r="DJD247" s="29" t="e">
        <f t="shared" si="92"/>
        <v>#REF!</v>
      </c>
      <c r="DJE247" s="29" t="e">
        <f t="shared" si="92"/>
        <v>#REF!</v>
      </c>
      <c r="DJF247" s="29" t="e">
        <f t="shared" si="92"/>
        <v>#REF!</v>
      </c>
      <c r="DJG247" s="29" t="e">
        <f t="shared" si="92"/>
        <v>#REF!</v>
      </c>
      <c r="DJH247" s="29" t="e">
        <f t="shared" si="92"/>
        <v>#REF!</v>
      </c>
      <c r="DJI247" s="29" t="e">
        <f t="shared" si="92"/>
        <v>#REF!</v>
      </c>
      <c r="DJJ247" s="29" t="e">
        <f t="shared" si="92"/>
        <v>#REF!</v>
      </c>
      <c r="DJK247" s="29" t="e">
        <f t="shared" si="92"/>
        <v>#REF!</v>
      </c>
      <c r="DJL247" s="29" t="e">
        <f t="shared" si="92"/>
        <v>#REF!</v>
      </c>
      <c r="DJM247" s="29" t="e">
        <f t="shared" si="92"/>
        <v>#REF!</v>
      </c>
      <c r="DJN247" s="29" t="e">
        <f t="shared" si="92"/>
        <v>#REF!</v>
      </c>
      <c r="DJO247" s="29" t="e">
        <f t="shared" si="92"/>
        <v>#REF!</v>
      </c>
      <c r="DJP247" s="29" t="e">
        <f t="shared" si="92"/>
        <v>#REF!</v>
      </c>
      <c r="DJQ247" s="29" t="e">
        <f t="shared" si="92"/>
        <v>#REF!</v>
      </c>
      <c r="DJR247" s="29" t="e">
        <f t="shared" si="92"/>
        <v>#REF!</v>
      </c>
      <c r="DJS247" s="29" t="e">
        <f t="shared" si="92"/>
        <v>#REF!</v>
      </c>
      <c r="DJT247" s="29" t="e">
        <f t="shared" si="92"/>
        <v>#REF!</v>
      </c>
      <c r="DJU247" s="29" t="e">
        <f t="shared" si="92"/>
        <v>#REF!</v>
      </c>
      <c r="DJV247" s="29" t="e">
        <f t="shared" si="92"/>
        <v>#REF!</v>
      </c>
      <c r="DJW247" s="29" t="e">
        <f t="shared" si="92"/>
        <v>#REF!</v>
      </c>
      <c r="DJX247" s="29" t="e">
        <f t="shared" si="92"/>
        <v>#REF!</v>
      </c>
      <c r="DJY247" s="29" t="e">
        <f t="shared" si="92"/>
        <v>#REF!</v>
      </c>
      <c r="DJZ247" s="29" t="e">
        <f t="shared" si="92"/>
        <v>#REF!</v>
      </c>
      <c r="DKA247" s="29" t="e">
        <f t="shared" si="92"/>
        <v>#REF!</v>
      </c>
      <c r="DKB247" s="29" t="e">
        <f t="shared" si="92"/>
        <v>#REF!</v>
      </c>
      <c r="DKC247" s="29" t="e">
        <f t="shared" si="92"/>
        <v>#REF!</v>
      </c>
      <c r="DKD247" s="29" t="e">
        <f t="shared" si="92"/>
        <v>#REF!</v>
      </c>
      <c r="DKE247" s="29" t="e">
        <f t="shared" si="92"/>
        <v>#REF!</v>
      </c>
      <c r="DKF247" s="29" t="e">
        <f t="shared" si="92"/>
        <v>#REF!</v>
      </c>
      <c r="DKG247" s="29" t="e">
        <f t="shared" si="92"/>
        <v>#REF!</v>
      </c>
      <c r="DKH247" s="29" t="e">
        <f t="shared" si="92"/>
        <v>#REF!</v>
      </c>
      <c r="DKI247" s="29" t="e">
        <f t="shared" si="92"/>
        <v>#REF!</v>
      </c>
      <c r="DKJ247" s="29" t="e">
        <f t="shared" si="92"/>
        <v>#REF!</v>
      </c>
      <c r="DKK247" s="29" t="e">
        <f t="shared" si="92"/>
        <v>#REF!</v>
      </c>
      <c r="DKL247" s="29" t="e">
        <f t="shared" si="92"/>
        <v>#REF!</v>
      </c>
      <c r="DKM247" s="29" t="e">
        <f t="shared" si="92"/>
        <v>#REF!</v>
      </c>
      <c r="DKN247" s="29" t="e">
        <f t="shared" si="92"/>
        <v>#REF!</v>
      </c>
      <c r="DKO247" s="29" t="e">
        <f t="shared" si="92"/>
        <v>#REF!</v>
      </c>
      <c r="DKP247" s="29" t="e">
        <f t="shared" si="92"/>
        <v>#REF!</v>
      </c>
      <c r="DKQ247" s="29" t="e">
        <f t="shared" si="92"/>
        <v>#REF!</v>
      </c>
      <c r="DKR247" s="29" t="e">
        <f t="shared" si="92"/>
        <v>#REF!</v>
      </c>
      <c r="DKS247" s="29" t="e">
        <f t="shared" si="92"/>
        <v>#REF!</v>
      </c>
      <c r="DKT247" s="29" t="e">
        <f t="shared" si="92"/>
        <v>#REF!</v>
      </c>
      <c r="DKU247" s="29" t="e">
        <f t="shared" si="92"/>
        <v>#REF!</v>
      </c>
      <c r="DKV247" s="29" t="e">
        <f t="shared" si="92"/>
        <v>#REF!</v>
      </c>
      <c r="DKW247" s="29" t="e">
        <f t="shared" si="92"/>
        <v>#REF!</v>
      </c>
      <c r="DKX247" s="29" t="e">
        <f t="shared" si="92"/>
        <v>#REF!</v>
      </c>
      <c r="DKY247" s="29" t="e">
        <f t="shared" si="92"/>
        <v>#REF!</v>
      </c>
      <c r="DKZ247" s="29" t="e">
        <f t="shared" si="92"/>
        <v>#REF!</v>
      </c>
      <c r="DLA247" s="29" t="e">
        <f t="shared" si="92"/>
        <v>#REF!</v>
      </c>
      <c r="DLB247" s="29" t="e">
        <f t="shared" si="92"/>
        <v>#REF!</v>
      </c>
      <c r="DLC247" s="29" t="e">
        <f t="shared" si="92"/>
        <v>#REF!</v>
      </c>
      <c r="DLD247" s="29" t="e">
        <f t="shared" si="92"/>
        <v>#REF!</v>
      </c>
      <c r="DLE247" s="29" t="e">
        <f t="shared" si="92"/>
        <v>#REF!</v>
      </c>
      <c r="DLF247" s="29" t="e">
        <f t="shared" si="92"/>
        <v>#REF!</v>
      </c>
      <c r="DLG247" s="29" t="e">
        <f t="shared" si="92"/>
        <v>#REF!</v>
      </c>
      <c r="DLH247" s="29" t="e">
        <f t="shared" si="92"/>
        <v>#REF!</v>
      </c>
      <c r="DLI247" s="29" t="e">
        <f t="shared" ref="DLI247:DNT247" si="93">DLM247&amp;DLN247</f>
        <v>#REF!</v>
      </c>
      <c r="DLJ247" s="29" t="e">
        <f t="shared" si="93"/>
        <v>#REF!</v>
      </c>
      <c r="DLK247" s="29" t="e">
        <f t="shared" si="93"/>
        <v>#REF!</v>
      </c>
      <c r="DLL247" s="29" t="e">
        <f t="shared" si="93"/>
        <v>#REF!</v>
      </c>
      <c r="DLM247" s="29" t="e">
        <f t="shared" si="93"/>
        <v>#REF!</v>
      </c>
      <c r="DLN247" s="29" t="e">
        <f t="shared" si="93"/>
        <v>#REF!</v>
      </c>
      <c r="DLO247" s="29" t="e">
        <f t="shared" si="93"/>
        <v>#REF!</v>
      </c>
      <c r="DLP247" s="29" t="e">
        <f t="shared" si="93"/>
        <v>#REF!</v>
      </c>
      <c r="DLQ247" s="29" t="e">
        <f t="shared" si="93"/>
        <v>#REF!</v>
      </c>
      <c r="DLR247" s="29" t="e">
        <f t="shared" si="93"/>
        <v>#REF!</v>
      </c>
      <c r="DLS247" s="29" t="e">
        <f t="shared" si="93"/>
        <v>#REF!</v>
      </c>
      <c r="DLT247" s="29" t="e">
        <f t="shared" si="93"/>
        <v>#REF!</v>
      </c>
      <c r="DLU247" s="29" t="e">
        <f t="shared" si="93"/>
        <v>#REF!</v>
      </c>
      <c r="DLV247" s="29" t="e">
        <f t="shared" si="93"/>
        <v>#REF!</v>
      </c>
      <c r="DLW247" s="29" t="e">
        <f t="shared" si="93"/>
        <v>#REF!</v>
      </c>
      <c r="DLX247" s="29" t="e">
        <f t="shared" si="93"/>
        <v>#REF!</v>
      </c>
      <c r="DLY247" s="29" t="e">
        <f t="shared" si="93"/>
        <v>#REF!</v>
      </c>
      <c r="DLZ247" s="29" t="e">
        <f t="shared" si="93"/>
        <v>#REF!</v>
      </c>
      <c r="DMA247" s="29" t="e">
        <f t="shared" si="93"/>
        <v>#REF!</v>
      </c>
      <c r="DMB247" s="29" t="e">
        <f t="shared" si="93"/>
        <v>#REF!</v>
      </c>
      <c r="DMC247" s="29" t="e">
        <f t="shared" si="93"/>
        <v>#REF!</v>
      </c>
      <c r="DMD247" s="29" t="e">
        <f t="shared" si="93"/>
        <v>#REF!</v>
      </c>
      <c r="DME247" s="29" t="e">
        <f t="shared" si="93"/>
        <v>#REF!</v>
      </c>
      <c r="DMF247" s="29" t="e">
        <f t="shared" si="93"/>
        <v>#REF!</v>
      </c>
      <c r="DMG247" s="29" t="e">
        <f t="shared" si="93"/>
        <v>#REF!</v>
      </c>
      <c r="DMH247" s="29" t="e">
        <f t="shared" si="93"/>
        <v>#REF!</v>
      </c>
      <c r="DMI247" s="29" t="e">
        <f t="shared" si="93"/>
        <v>#REF!</v>
      </c>
      <c r="DMJ247" s="29" t="e">
        <f t="shared" si="93"/>
        <v>#REF!</v>
      </c>
      <c r="DMK247" s="29" t="e">
        <f t="shared" si="93"/>
        <v>#REF!</v>
      </c>
      <c r="DML247" s="29" t="e">
        <f t="shared" si="93"/>
        <v>#REF!</v>
      </c>
      <c r="DMM247" s="29" t="e">
        <f t="shared" si="93"/>
        <v>#REF!</v>
      </c>
      <c r="DMN247" s="29" t="e">
        <f t="shared" si="93"/>
        <v>#REF!</v>
      </c>
      <c r="DMO247" s="29" t="e">
        <f t="shared" si="93"/>
        <v>#REF!</v>
      </c>
      <c r="DMP247" s="29" t="e">
        <f t="shared" si="93"/>
        <v>#REF!</v>
      </c>
      <c r="DMQ247" s="29" t="e">
        <f t="shared" si="93"/>
        <v>#REF!</v>
      </c>
      <c r="DMR247" s="29" t="e">
        <f t="shared" si="93"/>
        <v>#REF!</v>
      </c>
      <c r="DMS247" s="29" t="e">
        <f t="shared" si="93"/>
        <v>#REF!</v>
      </c>
      <c r="DMT247" s="29" t="e">
        <f t="shared" si="93"/>
        <v>#REF!</v>
      </c>
      <c r="DMU247" s="29" t="e">
        <f t="shared" si="93"/>
        <v>#REF!</v>
      </c>
      <c r="DMV247" s="29" t="e">
        <f t="shared" si="93"/>
        <v>#REF!</v>
      </c>
      <c r="DMW247" s="29" t="e">
        <f t="shared" si="93"/>
        <v>#REF!</v>
      </c>
      <c r="DMX247" s="29" t="e">
        <f t="shared" si="93"/>
        <v>#REF!</v>
      </c>
      <c r="DMY247" s="29" t="e">
        <f t="shared" si="93"/>
        <v>#REF!</v>
      </c>
      <c r="DMZ247" s="29" t="e">
        <f t="shared" si="93"/>
        <v>#REF!</v>
      </c>
      <c r="DNA247" s="29" t="e">
        <f t="shared" si="93"/>
        <v>#REF!</v>
      </c>
      <c r="DNB247" s="29" t="e">
        <f t="shared" si="93"/>
        <v>#REF!</v>
      </c>
      <c r="DNC247" s="29" t="e">
        <f t="shared" si="93"/>
        <v>#REF!</v>
      </c>
      <c r="DND247" s="29" t="e">
        <f t="shared" si="93"/>
        <v>#REF!</v>
      </c>
      <c r="DNE247" s="29" t="e">
        <f t="shared" si="93"/>
        <v>#REF!</v>
      </c>
      <c r="DNF247" s="29" t="e">
        <f t="shared" si="93"/>
        <v>#REF!</v>
      </c>
      <c r="DNG247" s="29" t="e">
        <f t="shared" si="93"/>
        <v>#REF!</v>
      </c>
      <c r="DNH247" s="29" t="e">
        <f t="shared" si="93"/>
        <v>#REF!</v>
      </c>
      <c r="DNI247" s="29" t="e">
        <f t="shared" si="93"/>
        <v>#REF!</v>
      </c>
      <c r="DNJ247" s="29" t="e">
        <f t="shared" si="93"/>
        <v>#REF!</v>
      </c>
      <c r="DNK247" s="29" t="e">
        <f t="shared" si="93"/>
        <v>#REF!</v>
      </c>
      <c r="DNL247" s="29" t="e">
        <f t="shared" si="93"/>
        <v>#REF!</v>
      </c>
      <c r="DNM247" s="29" t="e">
        <f t="shared" si="93"/>
        <v>#REF!</v>
      </c>
      <c r="DNN247" s="29" t="e">
        <f t="shared" si="93"/>
        <v>#REF!</v>
      </c>
      <c r="DNO247" s="29" t="e">
        <f t="shared" si="93"/>
        <v>#REF!</v>
      </c>
      <c r="DNP247" s="29" t="e">
        <f t="shared" si="93"/>
        <v>#REF!</v>
      </c>
      <c r="DNQ247" s="29" t="e">
        <f t="shared" si="93"/>
        <v>#REF!</v>
      </c>
      <c r="DNR247" s="29" t="e">
        <f t="shared" si="93"/>
        <v>#REF!</v>
      </c>
      <c r="DNS247" s="29" t="e">
        <f t="shared" si="93"/>
        <v>#REF!</v>
      </c>
      <c r="DNT247" s="29" t="e">
        <f t="shared" si="93"/>
        <v>#REF!</v>
      </c>
      <c r="DNU247" s="29" t="e">
        <f t="shared" ref="DNU247:DQF247" si="94">DNY247&amp;DNZ247</f>
        <v>#REF!</v>
      </c>
      <c r="DNV247" s="29" t="e">
        <f t="shared" si="94"/>
        <v>#REF!</v>
      </c>
      <c r="DNW247" s="29" t="e">
        <f t="shared" si="94"/>
        <v>#REF!</v>
      </c>
      <c r="DNX247" s="29" t="e">
        <f t="shared" si="94"/>
        <v>#REF!</v>
      </c>
      <c r="DNY247" s="29" t="e">
        <f t="shared" si="94"/>
        <v>#REF!</v>
      </c>
      <c r="DNZ247" s="29" t="e">
        <f t="shared" si="94"/>
        <v>#REF!</v>
      </c>
      <c r="DOA247" s="29" t="e">
        <f t="shared" si="94"/>
        <v>#REF!</v>
      </c>
      <c r="DOB247" s="29" t="e">
        <f t="shared" si="94"/>
        <v>#REF!</v>
      </c>
      <c r="DOC247" s="29" t="e">
        <f t="shared" si="94"/>
        <v>#REF!</v>
      </c>
      <c r="DOD247" s="29" t="e">
        <f t="shared" si="94"/>
        <v>#REF!</v>
      </c>
      <c r="DOE247" s="29" t="e">
        <f t="shared" si="94"/>
        <v>#REF!</v>
      </c>
      <c r="DOF247" s="29" t="e">
        <f t="shared" si="94"/>
        <v>#REF!</v>
      </c>
      <c r="DOG247" s="29" t="e">
        <f t="shared" si="94"/>
        <v>#REF!</v>
      </c>
      <c r="DOH247" s="29" t="e">
        <f t="shared" si="94"/>
        <v>#REF!</v>
      </c>
      <c r="DOI247" s="29" t="e">
        <f t="shared" si="94"/>
        <v>#REF!</v>
      </c>
      <c r="DOJ247" s="29" t="e">
        <f t="shared" si="94"/>
        <v>#REF!</v>
      </c>
      <c r="DOK247" s="29" t="e">
        <f t="shared" si="94"/>
        <v>#REF!</v>
      </c>
      <c r="DOL247" s="29" t="e">
        <f t="shared" si="94"/>
        <v>#REF!</v>
      </c>
      <c r="DOM247" s="29" t="e">
        <f t="shared" si="94"/>
        <v>#REF!</v>
      </c>
      <c r="DON247" s="29" t="e">
        <f t="shared" si="94"/>
        <v>#REF!</v>
      </c>
      <c r="DOO247" s="29" t="e">
        <f t="shared" si="94"/>
        <v>#REF!</v>
      </c>
      <c r="DOP247" s="29" t="e">
        <f t="shared" si="94"/>
        <v>#REF!</v>
      </c>
      <c r="DOQ247" s="29" t="e">
        <f t="shared" si="94"/>
        <v>#REF!</v>
      </c>
      <c r="DOR247" s="29" t="e">
        <f t="shared" si="94"/>
        <v>#REF!</v>
      </c>
      <c r="DOS247" s="29" t="e">
        <f t="shared" si="94"/>
        <v>#REF!</v>
      </c>
      <c r="DOT247" s="29" t="e">
        <f t="shared" si="94"/>
        <v>#REF!</v>
      </c>
      <c r="DOU247" s="29" t="e">
        <f t="shared" si="94"/>
        <v>#REF!</v>
      </c>
      <c r="DOV247" s="29" t="e">
        <f t="shared" si="94"/>
        <v>#REF!</v>
      </c>
      <c r="DOW247" s="29" t="e">
        <f t="shared" si="94"/>
        <v>#REF!</v>
      </c>
      <c r="DOX247" s="29" t="e">
        <f t="shared" si="94"/>
        <v>#REF!</v>
      </c>
      <c r="DOY247" s="29" t="e">
        <f t="shared" si="94"/>
        <v>#REF!</v>
      </c>
      <c r="DOZ247" s="29" t="e">
        <f t="shared" si="94"/>
        <v>#REF!</v>
      </c>
      <c r="DPA247" s="29" t="e">
        <f t="shared" si="94"/>
        <v>#REF!</v>
      </c>
      <c r="DPB247" s="29" t="e">
        <f t="shared" si="94"/>
        <v>#REF!</v>
      </c>
      <c r="DPC247" s="29" t="e">
        <f t="shared" si="94"/>
        <v>#REF!</v>
      </c>
      <c r="DPD247" s="29" t="e">
        <f t="shared" si="94"/>
        <v>#REF!</v>
      </c>
      <c r="DPE247" s="29" t="e">
        <f t="shared" si="94"/>
        <v>#REF!</v>
      </c>
      <c r="DPF247" s="29" t="e">
        <f t="shared" si="94"/>
        <v>#REF!</v>
      </c>
      <c r="DPG247" s="29" t="e">
        <f t="shared" si="94"/>
        <v>#REF!</v>
      </c>
      <c r="DPH247" s="29" t="e">
        <f t="shared" si="94"/>
        <v>#REF!</v>
      </c>
      <c r="DPI247" s="29" t="e">
        <f t="shared" si="94"/>
        <v>#REF!</v>
      </c>
      <c r="DPJ247" s="29" t="e">
        <f t="shared" si="94"/>
        <v>#REF!</v>
      </c>
      <c r="DPK247" s="29" t="e">
        <f t="shared" si="94"/>
        <v>#REF!</v>
      </c>
      <c r="DPL247" s="29" t="e">
        <f t="shared" si="94"/>
        <v>#REF!</v>
      </c>
      <c r="DPM247" s="29" t="e">
        <f t="shared" si="94"/>
        <v>#REF!</v>
      </c>
      <c r="DPN247" s="29" t="e">
        <f t="shared" si="94"/>
        <v>#REF!</v>
      </c>
      <c r="DPO247" s="29" t="e">
        <f t="shared" si="94"/>
        <v>#REF!</v>
      </c>
      <c r="DPP247" s="29" t="e">
        <f t="shared" si="94"/>
        <v>#REF!</v>
      </c>
      <c r="DPQ247" s="29" t="e">
        <f t="shared" si="94"/>
        <v>#REF!</v>
      </c>
      <c r="DPR247" s="29" t="e">
        <f t="shared" si="94"/>
        <v>#REF!</v>
      </c>
      <c r="DPS247" s="29" t="e">
        <f t="shared" si="94"/>
        <v>#REF!</v>
      </c>
      <c r="DPT247" s="29" t="e">
        <f t="shared" si="94"/>
        <v>#REF!</v>
      </c>
      <c r="DPU247" s="29" t="e">
        <f t="shared" si="94"/>
        <v>#REF!</v>
      </c>
      <c r="DPV247" s="29" t="e">
        <f t="shared" si="94"/>
        <v>#REF!</v>
      </c>
      <c r="DPW247" s="29" t="e">
        <f t="shared" si="94"/>
        <v>#REF!</v>
      </c>
      <c r="DPX247" s="29" t="e">
        <f t="shared" si="94"/>
        <v>#REF!</v>
      </c>
      <c r="DPY247" s="29" t="e">
        <f t="shared" si="94"/>
        <v>#REF!</v>
      </c>
      <c r="DPZ247" s="29" t="e">
        <f t="shared" si="94"/>
        <v>#REF!</v>
      </c>
      <c r="DQA247" s="29" t="e">
        <f t="shared" si="94"/>
        <v>#REF!</v>
      </c>
      <c r="DQB247" s="29" t="e">
        <f t="shared" si="94"/>
        <v>#REF!</v>
      </c>
      <c r="DQC247" s="29" t="e">
        <f t="shared" si="94"/>
        <v>#REF!</v>
      </c>
      <c r="DQD247" s="29" t="e">
        <f t="shared" si="94"/>
        <v>#REF!</v>
      </c>
      <c r="DQE247" s="29" t="e">
        <f t="shared" si="94"/>
        <v>#REF!</v>
      </c>
      <c r="DQF247" s="29" t="e">
        <f t="shared" si="94"/>
        <v>#REF!</v>
      </c>
      <c r="DQG247" s="29" t="e">
        <f t="shared" ref="DQG247:DSR247" si="95">DQK247&amp;DQL247</f>
        <v>#REF!</v>
      </c>
      <c r="DQH247" s="29" t="e">
        <f t="shared" si="95"/>
        <v>#REF!</v>
      </c>
      <c r="DQI247" s="29" t="e">
        <f t="shared" si="95"/>
        <v>#REF!</v>
      </c>
      <c r="DQJ247" s="29" t="e">
        <f t="shared" si="95"/>
        <v>#REF!</v>
      </c>
      <c r="DQK247" s="29" t="e">
        <f t="shared" si="95"/>
        <v>#REF!</v>
      </c>
      <c r="DQL247" s="29" t="e">
        <f t="shared" si="95"/>
        <v>#REF!</v>
      </c>
      <c r="DQM247" s="29" t="e">
        <f t="shared" si="95"/>
        <v>#REF!</v>
      </c>
      <c r="DQN247" s="29" t="e">
        <f t="shared" si="95"/>
        <v>#REF!</v>
      </c>
      <c r="DQO247" s="29" t="e">
        <f t="shared" si="95"/>
        <v>#REF!</v>
      </c>
      <c r="DQP247" s="29" t="e">
        <f t="shared" si="95"/>
        <v>#REF!</v>
      </c>
      <c r="DQQ247" s="29" t="e">
        <f t="shared" si="95"/>
        <v>#REF!</v>
      </c>
      <c r="DQR247" s="29" t="e">
        <f t="shared" si="95"/>
        <v>#REF!</v>
      </c>
      <c r="DQS247" s="29" t="e">
        <f t="shared" si="95"/>
        <v>#REF!</v>
      </c>
      <c r="DQT247" s="29" t="e">
        <f t="shared" si="95"/>
        <v>#REF!</v>
      </c>
      <c r="DQU247" s="29" t="e">
        <f t="shared" si="95"/>
        <v>#REF!</v>
      </c>
      <c r="DQV247" s="29" t="e">
        <f t="shared" si="95"/>
        <v>#REF!</v>
      </c>
      <c r="DQW247" s="29" t="e">
        <f t="shared" si="95"/>
        <v>#REF!</v>
      </c>
      <c r="DQX247" s="29" t="e">
        <f t="shared" si="95"/>
        <v>#REF!</v>
      </c>
      <c r="DQY247" s="29" t="e">
        <f t="shared" si="95"/>
        <v>#REF!</v>
      </c>
      <c r="DQZ247" s="29" t="e">
        <f t="shared" si="95"/>
        <v>#REF!</v>
      </c>
      <c r="DRA247" s="29" t="e">
        <f t="shared" si="95"/>
        <v>#REF!</v>
      </c>
      <c r="DRB247" s="29" t="e">
        <f t="shared" si="95"/>
        <v>#REF!</v>
      </c>
      <c r="DRC247" s="29" t="e">
        <f t="shared" si="95"/>
        <v>#REF!</v>
      </c>
      <c r="DRD247" s="29" t="e">
        <f t="shared" si="95"/>
        <v>#REF!</v>
      </c>
      <c r="DRE247" s="29" t="e">
        <f t="shared" si="95"/>
        <v>#REF!</v>
      </c>
      <c r="DRF247" s="29" t="e">
        <f t="shared" si="95"/>
        <v>#REF!</v>
      </c>
      <c r="DRG247" s="29" t="e">
        <f t="shared" si="95"/>
        <v>#REF!</v>
      </c>
      <c r="DRH247" s="29" t="e">
        <f t="shared" si="95"/>
        <v>#REF!</v>
      </c>
      <c r="DRI247" s="29" t="e">
        <f t="shared" si="95"/>
        <v>#REF!</v>
      </c>
      <c r="DRJ247" s="29" t="e">
        <f t="shared" si="95"/>
        <v>#REF!</v>
      </c>
      <c r="DRK247" s="29" t="e">
        <f t="shared" si="95"/>
        <v>#REF!</v>
      </c>
      <c r="DRL247" s="29" t="e">
        <f t="shared" si="95"/>
        <v>#REF!</v>
      </c>
      <c r="DRM247" s="29" t="e">
        <f t="shared" si="95"/>
        <v>#REF!</v>
      </c>
      <c r="DRN247" s="29" t="e">
        <f t="shared" si="95"/>
        <v>#REF!</v>
      </c>
      <c r="DRO247" s="29" t="e">
        <f t="shared" si="95"/>
        <v>#REF!</v>
      </c>
      <c r="DRP247" s="29" t="e">
        <f t="shared" si="95"/>
        <v>#REF!</v>
      </c>
      <c r="DRQ247" s="29" t="e">
        <f t="shared" si="95"/>
        <v>#REF!</v>
      </c>
      <c r="DRR247" s="29" t="e">
        <f t="shared" si="95"/>
        <v>#REF!</v>
      </c>
      <c r="DRS247" s="29" t="e">
        <f t="shared" si="95"/>
        <v>#REF!</v>
      </c>
      <c r="DRT247" s="29" t="e">
        <f t="shared" si="95"/>
        <v>#REF!</v>
      </c>
      <c r="DRU247" s="29" t="e">
        <f t="shared" si="95"/>
        <v>#REF!</v>
      </c>
      <c r="DRV247" s="29" t="e">
        <f t="shared" si="95"/>
        <v>#REF!</v>
      </c>
      <c r="DRW247" s="29" t="e">
        <f t="shared" si="95"/>
        <v>#REF!</v>
      </c>
      <c r="DRX247" s="29" t="e">
        <f t="shared" si="95"/>
        <v>#REF!</v>
      </c>
      <c r="DRY247" s="29" t="e">
        <f t="shared" si="95"/>
        <v>#REF!</v>
      </c>
      <c r="DRZ247" s="29" t="e">
        <f t="shared" si="95"/>
        <v>#REF!</v>
      </c>
      <c r="DSA247" s="29" t="e">
        <f t="shared" si="95"/>
        <v>#REF!</v>
      </c>
      <c r="DSB247" s="29" t="e">
        <f t="shared" si="95"/>
        <v>#REF!</v>
      </c>
      <c r="DSC247" s="29" t="e">
        <f t="shared" si="95"/>
        <v>#REF!</v>
      </c>
      <c r="DSD247" s="29" t="e">
        <f t="shared" si="95"/>
        <v>#REF!</v>
      </c>
      <c r="DSE247" s="29" t="e">
        <f t="shared" si="95"/>
        <v>#REF!</v>
      </c>
      <c r="DSF247" s="29" t="e">
        <f t="shared" si="95"/>
        <v>#REF!</v>
      </c>
      <c r="DSG247" s="29" t="e">
        <f t="shared" si="95"/>
        <v>#REF!</v>
      </c>
      <c r="DSH247" s="29" t="e">
        <f t="shared" si="95"/>
        <v>#REF!</v>
      </c>
      <c r="DSI247" s="29" t="e">
        <f t="shared" si="95"/>
        <v>#REF!</v>
      </c>
      <c r="DSJ247" s="29" t="e">
        <f t="shared" si="95"/>
        <v>#REF!</v>
      </c>
      <c r="DSK247" s="29" t="e">
        <f t="shared" si="95"/>
        <v>#REF!</v>
      </c>
      <c r="DSL247" s="29" t="e">
        <f t="shared" si="95"/>
        <v>#REF!</v>
      </c>
      <c r="DSM247" s="29" t="e">
        <f t="shared" si="95"/>
        <v>#REF!</v>
      </c>
      <c r="DSN247" s="29" t="e">
        <f t="shared" si="95"/>
        <v>#REF!</v>
      </c>
      <c r="DSO247" s="29" t="e">
        <f t="shared" si="95"/>
        <v>#REF!</v>
      </c>
      <c r="DSP247" s="29" t="e">
        <f t="shared" si="95"/>
        <v>#REF!</v>
      </c>
      <c r="DSQ247" s="29" t="e">
        <f t="shared" si="95"/>
        <v>#REF!</v>
      </c>
      <c r="DSR247" s="29" t="e">
        <f t="shared" si="95"/>
        <v>#REF!</v>
      </c>
      <c r="DSS247" s="29" t="e">
        <f t="shared" ref="DSS247:DVD247" si="96">DSW247&amp;DSX247</f>
        <v>#REF!</v>
      </c>
      <c r="DST247" s="29" t="e">
        <f t="shared" si="96"/>
        <v>#REF!</v>
      </c>
      <c r="DSU247" s="29" t="e">
        <f t="shared" si="96"/>
        <v>#REF!</v>
      </c>
      <c r="DSV247" s="29" t="e">
        <f t="shared" si="96"/>
        <v>#REF!</v>
      </c>
      <c r="DSW247" s="29" t="e">
        <f t="shared" si="96"/>
        <v>#REF!</v>
      </c>
      <c r="DSX247" s="29" t="e">
        <f t="shared" si="96"/>
        <v>#REF!</v>
      </c>
      <c r="DSY247" s="29" t="e">
        <f t="shared" si="96"/>
        <v>#REF!</v>
      </c>
      <c r="DSZ247" s="29" t="e">
        <f t="shared" si="96"/>
        <v>#REF!</v>
      </c>
      <c r="DTA247" s="29" t="e">
        <f t="shared" si="96"/>
        <v>#REF!</v>
      </c>
      <c r="DTB247" s="29" t="e">
        <f t="shared" si="96"/>
        <v>#REF!</v>
      </c>
      <c r="DTC247" s="29" t="e">
        <f t="shared" si="96"/>
        <v>#REF!</v>
      </c>
      <c r="DTD247" s="29" t="e">
        <f t="shared" si="96"/>
        <v>#REF!</v>
      </c>
      <c r="DTE247" s="29" t="e">
        <f t="shared" si="96"/>
        <v>#REF!</v>
      </c>
      <c r="DTF247" s="29" t="e">
        <f t="shared" si="96"/>
        <v>#REF!</v>
      </c>
      <c r="DTG247" s="29" t="e">
        <f t="shared" si="96"/>
        <v>#REF!</v>
      </c>
      <c r="DTH247" s="29" t="e">
        <f t="shared" si="96"/>
        <v>#REF!</v>
      </c>
      <c r="DTI247" s="29" t="e">
        <f t="shared" si="96"/>
        <v>#REF!</v>
      </c>
      <c r="DTJ247" s="29" t="e">
        <f t="shared" si="96"/>
        <v>#REF!</v>
      </c>
      <c r="DTK247" s="29" t="e">
        <f t="shared" si="96"/>
        <v>#REF!</v>
      </c>
      <c r="DTL247" s="29" t="e">
        <f t="shared" si="96"/>
        <v>#REF!</v>
      </c>
      <c r="DTM247" s="29" t="e">
        <f t="shared" si="96"/>
        <v>#REF!</v>
      </c>
      <c r="DTN247" s="29" t="e">
        <f t="shared" si="96"/>
        <v>#REF!</v>
      </c>
      <c r="DTO247" s="29" t="e">
        <f t="shared" si="96"/>
        <v>#REF!</v>
      </c>
      <c r="DTP247" s="29" t="e">
        <f t="shared" si="96"/>
        <v>#REF!</v>
      </c>
      <c r="DTQ247" s="29" t="e">
        <f t="shared" si="96"/>
        <v>#REF!</v>
      </c>
      <c r="DTR247" s="29" t="e">
        <f t="shared" si="96"/>
        <v>#REF!</v>
      </c>
      <c r="DTS247" s="29" t="e">
        <f t="shared" si="96"/>
        <v>#REF!</v>
      </c>
      <c r="DTT247" s="29" t="e">
        <f t="shared" si="96"/>
        <v>#REF!</v>
      </c>
      <c r="DTU247" s="29" t="e">
        <f t="shared" si="96"/>
        <v>#REF!</v>
      </c>
      <c r="DTV247" s="29" t="e">
        <f t="shared" si="96"/>
        <v>#REF!</v>
      </c>
      <c r="DTW247" s="29" t="e">
        <f t="shared" si="96"/>
        <v>#REF!</v>
      </c>
      <c r="DTX247" s="29" t="e">
        <f t="shared" si="96"/>
        <v>#REF!</v>
      </c>
      <c r="DTY247" s="29" t="e">
        <f t="shared" si="96"/>
        <v>#REF!</v>
      </c>
      <c r="DTZ247" s="29" t="e">
        <f t="shared" si="96"/>
        <v>#REF!</v>
      </c>
      <c r="DUA247" s="29" t="e">
        <f t="shared" si="96"/>
        <v>#REF!</v>
      </c>
      <c r="DUB247" s="29" t="e">
        <f t="shared" si="96"/>
        <v>#REF!</v>
      </c>
      <c r="DUC247" s="29" t="e">
        <f t="shared" si="96"/>
        <v>#REF!</v>
      </c>
      <c r="DUD247" s="29" t="e">
        <f t="shared" si="96"/>
        <v>#REF!</v>
      </c>
      <c r="DUE247" s="29" t="e">
        <f t="shared" si="96"/>
        <v>#REF!</v>
      </c>
      <c r="DUF247" s="29" t="e">
        <f t="shared" si="96"/>
        <v>#REF!</v>
      </c>
      <c r="DUG247" s="29" t="e">
        <f t="shared" si="96"/>
        <v>#REF!</v>
      </c>
      <c r="DUH247" s="29" t="e">
        <f t="shared" si="96"/>
        <v>#REF!</v>
      </c>
      <c r="DUI247" s="29" t="e">
        <f t="shared" si="96"/>
        <v>#REF!</v>
      </c>
      <c r="DUJ247" s="29" t="e">
        <f t="shared" si="96"/>
        <v>#REF!</v>
      </c>
      <c r="DUK247" s="29" t="e">
        <f t="shared" si="96"/>
        <v>#REF!</v>
      </c>
      <c r="DUL247" s="29" t="e">
        <f t="shared" si="96"/>
        <v>#REF!</v>
      </c>
      <c r="DUM247" s="29" t="e">
        <f t="shared" si="96"/>
        <v>#REF!</v>
      </c>
      <c r="DUN247" s="29" t="e">
        <f t="shared" si="96"/>
        <v>#REF!</v>
      </c>
      <c r="DUO247" s="29" t="e">
        <f t="shared" si="96"/>
        <v>#REF!</v>
      </c>
      <c r="DUP247" s="29" t="e">
        <f t="shared" si="96"/>
        <v>#REF!</v>
      </c>
      <c r="DUQ247" s="29" t="e">
        <f t="shared" si="96"/>
        <v>#REF!</v>
      </c>
      <c r="DUR247" s="29" t="e">
        <f t="shared" si="96"/>
        <v>#REF!</v>
      </c>
      <c r="DUS247" s="29" t="e">
        <f t="shared" si="96"/>
        <v>#REF!</v>
      </c>
      <c r="DUT247" s="29" t="e">
        <f t="shared" si="96"/>
        <v>#REF!</v>
      </c>
      <c r="DUU247" s="29" t="e">
        <f t="shared" si="96"/>
        <v>#REF!</v>
      </c>
      <c r="DUV247" s="29" t="e">
        <f t="shared" si="96"/>
        <v>#REF!</v>
      </c>
      <c r="DUW247" s="29" t="e">
        <f t="shared" si="96"/>
        <v>#REF!</v>
      </c>
      <c r="DUX247" s="29" t="e">
        <f t="shared" si="96"/>
        <v>#REF!</v>
      </c>
      <c r="DUY247" s="29" t="e">
        <f t="shared" si="96"/>
        <v>#REF!</v>
      </c>
      <c r="DUZ247" s="29" t="e">
        <f t="shared" si="96"/>
        <v>#REF!</v>
      </c>
      <c r="DVA247" s="29" t="e">
        <f t="shared" si="96"/>
        <v>#REF!</v>
      </c>
      <c r="DVB247" s="29" t="e">
        <f t="shared" si="96"/>
        <v>#REF!</v>
      </c>
      <c r="DVC247" s="29" t="e">
        <f t="shared" si="96"/>
        <v>#REF!</v>
      </c>
      <c r="DVD247" s="29" t="e">
        <f t="shared" si="96"/>
        <v>#REF!</v>
      </c>
      <c r="DVE247" s="29" t="e">
        <f t="shared" ref="DVE247:DXP247" si="97">DVI247&amp;DVJ247</f>
        <v>#REF!</v>
      </c>
      <c r="DVF247" s="29" t="e">
        <f t="shared" si="97"/>
        <v>#REF!</v>
      </c>
      <c r="DVG247" s="29" t="e">
        <f t="shared" si="97"/>
        <v>#REF!</v>
      </c>
      <c r="DVH247" s="29" t="e">
        <f t="shared" si="97"/>
        <v>#REF!</v>
      </c>
      <c r="DVI247" s="29" t="e">
        <f t="shared" si="97"/>
        <v>#REF!</v>
      </c>
      <c r="DVJ247" s="29" t="e">
        <f t="shared" si="97"/>
        <v>#REF!</v>
      </c>
      <c r="DVK247" s="29" t="e">
        <f t="shared" si="97"/>
        <v>#REF!</v>
      </c>
      <c r="DVL247" s="29" t="e">
        <f t="shared" si="97"/>
        <v>#REF!</v>
      </c>
      <c r="DVM247" s="29" t="e">
        <f t="shared" si="97"/>
        <v>#REF!</v>
      </c>
      <c r="DVN247" s="29" t="e">
        <f t="shared" si="97"/>
        <v>#REF!</v>
      </c>
      <c r="DVO247" s="29" t="e">
        <f t="shared" si="97"/>
        <v>#REF!</v>
      </c>
      <c r="DVP247" s="29" t="e">
        <f t="shared" si="97"/>
        <v>#REF!</v>
      </c>
      <c r="DVQ247" s="29" t="e">
        <f t="shared" si="97"/>
        <v>#REF!</v>
      </c>
      <c r="DVR247" s="29" t="e">
        <f t="shared" si="97"/>
        <v>#REF!</v>
      </c>
      <c r="DVS247" s="29" t="e">
        <f t="shared" si="97"/>
        <v>#REF!</v>
      </c>
      <c r="DVT247" s="29" t="e">
        <f t="shared" si="97"/>
        <v>#REF!</v>
      </c>
      <c r="DVU247" s="29" t="e">
        <f t="shared" si="97"/>
        <v>#REF!</v>
      </c>
      <c r="DVV247" s="29" t="e">
        <f t="shared" si="97"/>
        <v>#REF!</v>
      </c>
      <c r="DVW247" s="29" t="e">
        <f t="shared" si="97"/>
        <v>#REF!</v>
      </c>
      <c r="DVX247" s="29" t="e">
        <f t="shared" si="97"/>
        <v>#REF!</v>
      </c>
      <c r="DVY247" s="29" t="e">
        <f t="shared" si="97"/>
        <v>#REF!</v>
      </c>
      <c r="DVZ247" s="29" t="e">
        <f t="shared" si="97"/>
        <v>#REF!</v>
      </c>
      <c r="DWA247" s="29" t="e">
        <f t="shared" si="97"/>
        <v>#REF!</v>
      </c>
      <c r="DWB247" s="29" t="e">
        <f t="shared" si="97"/>
        <v>#REF!</v>
      </c>
      <c r="DWC247" s="29" t="e">
        <f t="shared" si="97"/>
        <v>#REF!</v>
      </c>
      <c r="DWD247" s="29" t="e">
        <f t="shared" si="97"/>
        <v>#REF!</v>
      </c>
      <c r="DWE247" s="29" t="e">
        <f t="shared" si="97"/>
        <v>#REF!</v>
      </c>
      <c r="DWF247" s="29" t="e">
        <f t="shared" si="97"/>
        <v>#REF!</v>
      </c>
      <c r="DWG247" s="29" t="e">
        <f t="shared" si="97"/>
        <v>#REF!</v>
      </c>
      <c r="DWH247" s="29" t="e">
        <f t="shared" si="97"/>
        <v>#REF!</v>
      </c>
      <c r="DWI247" s="29" t="e">
        <f t="shared" si="97"/>
        <v>#REF!</v>
      </c>
      <c r="DWJ247" s="29" t="e">
        <f t="shared" si="97"/>
        <v>#REF!</v>
      </c>
      <c r="DWK247" s="29" t="e">
        <f t="shared" si="97"/>
        <v>#REF!</v>
      </c>
      <c r="DWL247" s="29" t="e">
        <f t="shared" si="97"/>
        <v>#REF!</v>
      </c>
      <c r="DWM247" s="29" t="e">
        <f t="shared" si="97"/>
        <v>#REF!</v>
      </c>
      <c r="DWN247" s="29" t="e">
        <f t="shared" si="97"/>
        <v>#REF!</v>
      </c>
      <c r="DWO247" s="29" t="e">
        <f t="shared" si="97"/>
        <v>#REF!</v>
      </c>
      <c r="DWP247" s="29" t="e">
        <f t="shared" si="97"/>
        <v>#REF!</v>
      </c>
      <c r="DWQ247" s="29" t="e">
        <f t="shared" si="97"/>
        <v>#REF!</v>
      </c>
      <c r="DWR247" s="29" t="e">
        <f t="shared" si="97"/>
        <v>#REF!</v>
      </c>
      <c r="DWS247" s="29" t="e">
        <f t="shared" si="97"/>
        <v>#REF!</v>
      </c>
      <c r="DWT247" s="29" t="e">
        <f t="shared" si="97"/>
        <v>#REF!</v>
      </c>
      <c r="DWU247" s="29" t="e">
        <f t="shared" si="97"/>
        <v>#REF!</v>
      </c>
      <c r="DWV247" s="29" t="e">
        <f t="shared" si="97"/>
        <v>#REF!</v>
      </c>
      <c r="DWW247" s="29" t="e">
        <f t="shared" si="97"/>
        <v>#REF!</v>
      </c>
      <c r="DWX247" s="29" t="e">
        <f t="shared" si="97"/>
        <v>#REF!</v>
      </c>
      <c r="DWY247" s="29" t="e">
        <f t="shared" si="97"/>
        <v>#REF!</v>
      </c>
      <c r="DWZ247" s="29" t="e">
        <f t="shared" si="97"/>
        <v>#REF!</v>
      </c>
      <c r="DXA247" s="29" t="e">
        <f t="shared" si="97"/>
        <v>#REF!</v>
      </c>
      <c r="DXB247" s="29" t="e">
        <f t="shared" si="97"/>
        <v>#REF!</v>
      </c>
      <c r="DXC247" s="29" t="e">
        <f t="shared" si="97"/>
        <v>#REF!</v>
      </c>
      <c r="DXD247" s="29" t="e">
        <f t="shared" si="97"/>
        <v>#REF!</v>
      </c>
      <c r="DXE247" s="29" t="e">
        <f t="shared" si="97"/>
        <v>#REF!</v>
      </c>
      <c r="DXF247" s="29" t="e">
        <f t="shared" si="97"/>
        <v>#REF!</v>
      </c>
      <c r="DXG247" s="29" t="e">
        <f t="shared" si="97"/>
        <v>#REF!</v>
      </c>
      <c r="DXH247" s="29" t="e">
        <f t="shared" si="97"/>
        <v>#REF!</v>
      </c>
      <c r="DXI247" s="29" t="e">
        <f t="shared" si="97"/>
        <v>#REF!</v>
      </c>
      <c r="DXJ247" s="29" t="e">
        <f t="shared" si="97"/>
        <v>#REF!</v>
      </c>
      <c r="DXK247" s="29" t="e">
        <f t="shared" si="97"/>
        <v>#REF!</v>
      </c>
      <c r="DXL247" s="29" t="e">
        <f t="shared" si="97"/>
        <v>#REF!</v>
      </c>
      <c r="DXM247" s="29" t="e">
        <f t="shared" si="97"/>
        <v>#REF!</v>
      </c>
      <c r="DXN247" s="29" t="e">
        <f t="shared" si="97"/>
        <v>#REF!</v>
      </c>
      <c r="DXO247" s="29" t="e">
        <f t="shared" si="97"/>
        <v>#REF!</v>
      </c>
      <c r="DXP247" s="29" t="e">
        <f t="shared" si="97"/>
        <v>#REF!</v>
      </c>
      <c r="DXQ247" s="29" t="e">
        <f t="shared" ref="DXQ247:EAB247" si="98">DXU247&amp;DXV247</f>
        <v>#REF!</v>
      </c>
      <c r="DXR247" s="29" t="e">
        <f t="shared" si="98"/>
        <v>#REF!</v>
      </c>
      <c r="DXS247" s="29" t="e">
        <f t="shared" si="98"/>
        <v>#REF!</v>
      </c>
      <c r="DXT247" s="29" t="e">
        <f t="shared" si="98"/>
        <v>#REF!</v>
      </c>
      <c r="DXU247" s="29" t="e">
        <f t="shared" si="98"/>
        <v>#REF!</v>
      </c>
      <c r="DXV247" s="29" t="e">
        <f t="shared" si="98"/>
        <v>#REF!</v>
      </c>
      <c r="DXW247" s="29" t="e">
        <f t="shared" si="98"/>
        <v>#REF!</v>
      </c>
      <c r="DXX247" s="29" t="e">
        <f t="shared" si="98"/>
        <v>#REF!</v>
      </c>
      <c r="DXY247" s="29" t="e">
        <f t="shared" si="98"/>
        <v>#REF!</v>
      </c>
      <c r="DXZ247" s="29" t="e">
        <f t="shared" si="98"/>
        <v>#REF!</v>
      </c>
      <c r="DYA247" s="29" t="e">
        <f t="shared" si="98"/>
        <v>#REF!</v>
      </c>
      <c r="DYB247" s="29" t="e">
        <f t="shared" si="98"/>
        <v>#REF!</v>
      </c>
      <c r="DYC247" s="29" t="e">
        <f t="shared" si="98"/>
        <v>#REF!</v>
      </c>
      <c r="DYD247" s="29" t="e">
        <f t="shared" si="98"/>
        <v>#REF!</v>
      </c>
      <c r="DYE247" s="29" t="e">
        <f t="shared" si="98"/>
        <v>#REF!</v>
      </c>
      <c r="DYF247" s="29" t="e">
        <f t="shared" si="98"/>
        <v>#REF!</v>
      </c>
      <c r="DYG247" s="29" t="e">
        <f t="shared" si="98"/>
        <v>#REF!</v>
      </c>
      <c r="DYH247" s="29" t="e">
        <f t="shared" si="98"/>
        <v>#REF!</v>
      </c>
      <c r="DYI247" s="29" t="e">
        <f t="shared" si="98"/>
        <v>#REF!</v>
      </c>
      <c r="DYJ247" s="29" t="e">
        <f t="shared" si="98"/>
        <v>#REF!</v>
      </c>
      <c r="DYK247" s="29" t="e">
        <f t="shared" si="98"/>
        <v>#REF!</v>
      </c>
      <c r="DYL247" s="29" t="e">
        <f t="shared" si="98"/>
        <v>#REF!</v>
      </c>
      <c r="DYM247" s="29" t="e">
        <f t="shared" si="98"/>
        <v>#REF!</v>
      </c>
      <c r="DYN247" s="29" t="e">
        <f t="shared" si="98"/>
        <v>#REF!</v>
      </c>
      <c r="DYO247" s="29" t="e">
        <f t="shared" si="98"/>
        <v>#REF!</v>
      </c>
      <c r="DYP247" s="29" t="e">
        <f t="shared" si="98"/>
        <v>#REF!</v>
      </c>
      <c r="DYQ247" s="29" t="e">
        <f t="shared" si="98"/>
        <v>#REF!</v>
      </c>
      <c r="DYR247" s="29" t="e">
        <f t="shared" si="98"/>
        <v>#REF!</v>
      </c>
      <c r="DYS247" s="29" t="e">
        <f t="shared" si="98"/>
        <v>#REF!</v>
      </c>
      <c r="DYT247" s="29" t="e">
        <f t="shared" si="98"/>
        <v>#REF!</v>
      </c>
      <c r="DYU247" s="29" t="e">
        <f t="shared" si="98"/>
        <v>#REF!</v>
      </c>
      <c r="DYV247" s="29" t="e">
        <f t="shared" si="98"/>
        <v>#REF!</v>
      </c>
      <c r="DYW247" s="29" t="e">
        <f t="shared" si="98"/>
        <v>#REF!</v>
      </c>
      <c r="DYX247" s="29" t="e">
        <f t="shared" si="98"/>
        <v>#REF!</v>
      </c>
      <c r="DYY247" s="29" t="e">
        <f t="shared" si="98"/>
        <v>#REF!</v>
      </c>
      <c r="DYZ247" s="29" t="e">
        <f t="shared" si="98"/>
        <v>#REF!</v>
      </c>
      <c r="DZA247" s="29" t="e">
        <f t="shared" si="98"/>
        <v>#REF!</v>
      </c>
      <c r="DZB247" s="29" t="e">
        <f t="shared" si="98"/>
        <v>#REF!</v>
      </c>
      <c r="DZC247" s="29" t="e">
        <f t="shared" si="98"/>
        <v>#REF!</v>
      </c>
      <c r="DZD247" s="29" t="e">
        <f t="shared" si="98"/>
        <v>#REF!</v>
      </c>
      <c r="DZE247" s="29" t="e">
        <f t="shared" si="98"/>
        <v>#REF!</v>
      </c>
      <c r="DZF247" s="29" t="e">
        <f t="shared" si="98"/>
        <v>#REF!</v>
      </c>
      <c r="DZG247" s="29" t="e">
        <f t="shared" si="98"/>
        <v>#REF!</v>
      </c>
      <c r="DZH247" s="29" t="e">
        <f t="shared" si="98"/>
        <v>#REF!</v>
      </c>
      <c r="DZI247" s="29" t="e">
        <f t="shared" si="98"/>
        <v>#REF!</v>
      </c>
      <c r="DZJ247" s="29" t="e">
        <f t="shared" si="98"/>
        <v>#REF!</v>
      </c>
      <c r="DZK247" s="29" t="e">
        <f t="shared" si="98"/>
        <v>#REF!</v>
      </c>
      <c r="DZL247" s="29" t="e">
        <f t="shared" si="98"/>
        <v>#REF!</v>
      </c>
      <c r="DZM247" s="29" t="e">
        <f t="shared" si="98"/>
        <v>#REF!</v>
      </c>
      <c r="DZN247" s="29" t="e">
        <f t="shared" si="98"/>
        <v>#REF!</v>
      </c>
      <c r="DZO247" s="29" t="e">
        <f t="shared" si="98"/>
        <v>#REF!</v>
      </c>
      <c r="DZP247" s="29" t="e">
        <f t="shared" si="98"/>
        <v>#REF!</v>
      </c>
      <c r="DZQ247" s="29" t="e">
        <f t="shared" si="98"/>
        <v>#REF!</v>
      </c>
      <c r="DZR247" s="29" t="e">
        <f t="shared" si="98"/>
        <v>#REF!</v>
      </c>
      <c r="DZS247" s="29" t="e">
        <f t="shared" si="98"/>
        <v>#REF!</v>
      </c>
      <c r="DZT247" s="29" t="e">
        <f t="shared" si="98"/>
        <v>#REF!</v>
      </c>
      <c r="DZU247" s="29" t="e">
        <f t="shared" si="98"/>
        <v>#REF!</v>
      </c>
      <c r="DZV247" s="29" t="e">
        <f t="shared" si="98"/>
        <v>#REF!</v>
      </c>
      <c r="DZW247" s="29" t="e">
        <f t="shared" si="98"/>
        <v>#REF!</v>
      </c>
      <c r="DZX247" s="29" t="e">
        <f t="shared" si="98"/>
        <v>#REF!</v>
      </c>
      <c r="DZY247" s="29" t="e">
        <f t="shared" si="98"/>
        <v>#REF!</v>
      </c>
      <c r="DZZ247" s="29" t="e">
        <f t="shared" si="98"/>
        <v>#REF!</v>
      </c>
      <c r="EAA247" s="29" t="e">
        <f t="shared" si="98"/>
        <v>#REF!</v>
      </c>
      <c r="EAB247" s="29" t="e">
        <f t="shared" si="98"/>
        <v>#REF!</v>
      </c>
      <c r="EAC247" s="29" t="e">
        <f t="shared" ref="EAC247:ECN247" si="99">EAG247&amp;EAH247</f>
        <v>#REF!</v>
      </c>
      <c r="EAD247" s="29" t="e">
        <f t="shared" si="99"/>
        <v>#REF!</v>
      </c>
      <c r="EAE247" s="29" t="e">
        <f t="shared" si="99"/>
        <v>#REF!</v>
      </c>
      <c r="EAF247" s="29" t="e">
        <f t="shared" si="99"/>
        <v>#REF!</v>
      </c>
      <c r="EAG247" s="29" t="e">
        <f t="shared" si="99"/>
        <v>#REF!</v>
      </c>
      <c r="EAH247" s="29" t="e">
        <f t="shared" si="99"/>
        <v>#REF!</v>
      </c>
      <c r="EAI247" s="29" t="e">
        <f t="shared" si="99"/>
        <v>#REF!</v>
      </c>
      <c r="EAJ247" s="29" t="e">
        <f t="shared" si="99"/>
        <v>#REF!</v>
      </c>
      <c r="EAK247" s="29" t="e">
        <f t="shared" si="99"/>
        <v>#REF!</v>
      </c>
      <c r="EAL247" s="29" t="e">
        <f t="shared" si="99"/>
        <v>#REF!</v>
      </c>
      <c r="EAM247" s="29" t="e">
        <f t="shared" si="99"/>
        <v>#REF!</v>
      </c>
      <c r="EAN247" s="29" t="e">
        <f t="shared" si="99"/>
        <v>#REF!</v>
      </c>
      <c r="EAO247" s="29" t="e">
        <f t="shared" si="99"/>
        <v>#REF!</v>
      </c>
      <c r="EAP247" s="29" t="e">
        <f t="shared" si="99"/>
        <v>#REF!</v>
      </c>
      <c r="EAQ247" s="29" t="e">
        <f t="shared" si="99"/>
        <v>#REF!</v>
      </c>
      <c r="EAR247" s="29" t="e">
        <f t="shared" si="99"/>
        <v>#REF!</v>
      </c>
      <c r="EAS247" s="29" t="e">
        <f t="shared" si="99"/>
        <v>#REF!</v>
      </c>
      <c r="EAT247" s="29" t="e">
        <f t="shared" si="99"/>
        <v>#REF!</v>
      </c>
      <c r="EAU247" s="29" t="e">
        <f t="shared" si="99"/>
        <v>#REF!</v>
      </c>
      <c r="EAV247" s="29" t="e">
        <f t="shared" si="99"/>
        <v>#REF!</v>
      </c>
      <c r="EAW247" s="29" t="e">
        <f t="shared" si="99"/>
        <v>#REF!</v>
      </c>
      <c r="EAX247" s="29" t="e">
        <f t="shared" si="99"/>
        <v>#REF!</v>
      </c>
      <c r="EAY247" s="29" t="e">
        <f t="shared" si="99"/>
        <v>#REF!</v>
      </c>
      <c r="EAZ247" s="29" t="e">
        <f t="shared" si="99"/>
        <v>#REF!</v>
      </c>
      <c r="EBA247" s="29" t="e">
        <f t="shared" si="99"/>
        <v>#REF!</v>
      </c>
      <c r="EBB247" s="29" t="e">
        <f t="shared" si="99"/>
        <v>#REF!</v>
      </c>
      <c r="EBC247" s="29" t="e">
        <f t="shared" si="99"/>
        <v>#REF!</v>
      </c>
      <c r="EBD247" s="29" t="e">
        <f t="shared" si="99"/>
        <v>#REF!</v>
      </c>
      <c r="EBE247" s="29" t="e">
        <f t="shared" si="99"/>
        <v>#REF!</v>
      </c>
      <c r="EBF247" s="29" t="e">
        <f t="shared" si="99"/>
        <v>#REF!</v>
      </c>
      <c r="EBG247" s="29" t="e">
        <f t="shared" si="99"/>
        <v>#REF!</v>
      </c>
      <c r="EBH247" s="29" t="e">
        <f t="shared" si="99"/>
        <v>#REF!</v>
      </c>
      <c r="EBI247" s="29" t="e">
        <f t="shared" si="99"/>
        <v>#REF!</v>
      </c>
      <c r="EBJ247" s="29" t="e">
        <f t="shared" si="99"/>
        <v>#REF!</v>
      </c>
      <c r="EBK247" s="29" t="e">
        <f t="shared" si="99"/>
        <v>#REF!</v>
      </c>
      <c r="EBL247" s="29" t="e">
        <f t="shared" si="99"/>
        <v>#REF!</v>
      </c>
      <c r="EBM247" s="29" t="e">
        <f t="shared" si="99"/>
        <v>#REF!</v>
      </c>
      <c r="EBN247" s="29" t="e">
        <f t="shared" si="99"/>
        <v>#REF!</v>
      </c>
      <c r="EBO247" s="29" t="e">
        <f t="shared" si="99"/>
        <v>#REF!</v>
      </c>
      <c r="EBP247" s="29" t="e">
        <f t="shared" si="99"/>
        <v>#REF!</v>
      </c>
      <c r="EBQ247" s="29" t="e">
        <f t="shared" si="99"/>
        <v>#REF!</v>
      </c>
      <c r="EBR247" s="29" t="e">
        <f t="shared" si="99"/>
        <v>#REF!</v>
      </c>
      <c r="EBS247" s="29" t="e">
        <f t="shared" si="99"/>
        <v>#REF!</v>
      </c>
      <c r="EBT247" s="29" t="e">
        <f t="shared" si="99"/>
        <v>#REF!</v>
      </c>
      <c r="EBU247" s="29" t="e">
        <f t="shared" si="99"/>
        <v>#REF!</v>
      </c>
      <c r="EBV247" s="29" t="e">
        <f t="shared" si="99"/>
        <v>#REF!</v>
      </c>
      <c r="EBW247" s="29" t="e">
        <f t="shared" si="99"/>
        <v>#REF!</v>
      </c>
      <c r="EBX247" s="29" t="e">
        <f t="shared" si="99"/>
        <v>#REF!</v>
      </c>
      <c r="EBY247" s="29" t="e">
        <f t="shared" si="99"/>
        <v>#REF!</v>
      </c>
      <c r="EBZ247" s="29" t="e">
        <f t="shared" si="99"/>
        <v>#REF!</v>
      </c>
      <c r="ECA247" s="29" t="e">
        <f t="shared" si="99"/>
        <v>#REF!</v>
      </c>
      <c r="ECB247" s="29" t="e">
        <f t="shared" si="99"/>
        <v>#REF!</v>
      </c>
      <c r="ECC247" s="29" t="e">
        <f t="shared" si="99"/>
        <v>#REF!</v>
      </c>
      <c r="ECD247" s="29" t="e">
        <f t="shared" si="99"/>
        <v>#REF!</v>
      </c>
      <c r="ECE247" s="29" t="e">
        <f t="shared" si="99"/>
        <v>#REF!</v>
      </c>
      <c r="ECF247" s="29" t="e">
        <f t="shared" si="99"/>
        <v>#REF!</v>
      </c>
      <c r="ECG247" s="29" t="e">
        <f t="shared" si="99"/>
        <v>#REF!</v>
      </c>
      <c r="ECH247" s="29" t="e">
        <f t="shared" si="99"/>
        <v>#REF!</v>
      </c>
      <c r="ECI247" s="29" t="e">
        <f t="shared" si="99"/>
        <v>#REF!</v>
      </c>
      <c r="ECJ247" s="29" t="e">
        <f t="shared" si="99"/>
        <v>#REF!</v>
      </c>
      <c r="ECK247" s="29" t="e">
        <f t="shared" si="99"/>
        <v>#REF!</v>
      </c>
      <c r="ECL247" s="29" t="e">
        <f t="shared" si="99"/>
        <v>#REF!</v>
      </c>
      <c r="ECM247" s="29" t="e">
        <f t="shared" si="99"/>
        <v>#REF!</v>
      </c>
      <c r="ECN247" s="29" t="e">
        <f t="shared" si="99"/>
        <v>#REF!</v>
      </c>
      <c r="ECO247" s="29" t="e">
        <f t="shared" ref="ECO247:EEZ247" si="100">ECS247&amp;ECT247</f>
        <v>#REF!</v>
      </c>
      <c r="ECP247" s="29" t="e">
        <f t="shared" si="100"/>
        <v>#REF!</v>
      </c>
      <c r="ECQ247" s="29" t="e">
        <f t="shared" si="100"/>
        <v>#REF!</v>
      </c>
      <c r="ECR247" s="29" t="e">
        <f t="shared" si="100"/>
        <v>#REF!</v>
      </c>
      <c r="ECS247" s="29" t="e">
        <f t="shared" si="100"/>
        <v>#REF!</v>
      </c>
      <c r="ECT247" s="29" t="e">
        <f t="shared" si="100"/>
        <v>#REF!</v>
      </c>
      <c r="ECU247" s="29" t="e">
        <f t="shared" si="100"/>
        <v>#REF!</v>
      </c>
      <c r="ECV247" s="29" t="e">
        <f t="shared" si="100"/>
        <v>#REF!</v>
      </c>
      <c r="ECW247" s="29" t="e">
        <f t="shared" si="100"/>
        <v>#REF!</v>
      </c>
      <c r="ECX247" s="29" t="e">
        <f t="shared" si="100"/>
        <v>#REF!</v>
      </c>
      <c r="ECY247" s="29" t="e">
        <f t="shared" si="100"/>
        <v>#REF!</v>
      </c>
      <c r="ECZ247" s="29" t="e">
        <f t="shared" si="100"/>
        <v>#REF!</v>
      </c>
      <c r="EDA247" s="29" t="e">
        <f t="shared" si="100"/>
        <v>#REF!</v>
      </c>
      <c r="EDB247" s="29" t="e">
        <f t="shared" si="100"/>
        <v>#REF!</v>
      </c>
      <c r="EDC247" s="29" t="e">
        <f t="shared" si="100"/>
        <v>#REF!</v>
      </c>
      <c r="EDD247" s="29" t="e">
        <f t="shared" si="100"/>
        <v>#REF!</v>
      </c>
      <c r="EDE247" s="29" t="e">
        <f t="shared" si="100"/>
        <v>#REF!</v>
      </c>
      <c r="EDF247" s="29" t="e">
        <f t="shared" si="100"/>
        <v>#REF!</v>
      </c>
      <c r="EDG247" s="29" t="e">
        <f t="shared" si="100"/>
        <v>#REF!</v>
      </c>
      <c r="EDH247" s="29" t="e">
        <f t="shared" si="100"/>
        <v>#REF!</v>
      </c>
      <c r="EDI247" s="29" t="e">
        <f t="shared" si="100"/>
        <v>#REF!</v>
      </c>
      <c r="EDJ247" s="29" t="e">
        <f t="shared" si="100"/>
        <v>#REF!</v>
      </c>
      <c r="EDK247" s="29" t="e">
        <f t="shared" si="100"/>
        <v>#REF!</v>
      </c>
      <c r="EDL247" s="29" t="e">
        <f t="shared" si="100"/>
        <v>#REF!</v>
      </c>
      <c r="EDM247" s="29" t="e">
        <f t="shared" si="100"/>
        <v>#REF!</v>
      </c>
      <c r="EDN247" s="29" t="e">
        <f t="shared" si="100"/>
        <v>#REF!</v>
      </c>
      <c r="EDO247" s="29" t="e">
        <f t="shared" si="100"/>
        <v>#REF!</v>
      </c>
      <c r="EDP247" s="29" t="e">
        <f t="shared" si="100"/>
        <v>#REF!</v>
      </c>
      <c r="EDQ247" s="29" t="e">
        <f t="shared" si="100"/>
        <v>#REF!</v>
      </c>
      <c r="EDR247" s="29" t="e">
        <f t="shared" si="100"/>
        <v>#REF!</v>
      </c>
      <c r="EDS247" s="29" t="e">
        <f t="shared" si="100"/>
        <v>#REF!</v>
      </c>
      <c r="EDT247" s="29" t="e">
        <f t="shared" si="100"/>
        <v>#REF!</v>
      </c>
      <c r="EDU247" s="29" t="e">
        <f t="shared" si="100"/>
        <v>#REF!</v>
      </c>
      <c r="EDV247" s="29" t="e">
        <f t="shared" si="100"/>
        <v>#REF!</v>
      </c>
      <c r="EDW247" s="29" t="e">
        <f t="shared" si="100"/>
        <v>#REF!</v>
      </c>
      <c r="EDX247" s="29" t="e">
        <f t="shared" si="100"/>
        <v>#REF!</v>
      </c>
      <c r="EDY247" s="29" t="e">
        <f t="shared" si="100"/>
        <v>#REF!</v>
      </c>
      <c r="EDZ247" s="29" t="e">
        <f t="shared" si="100"/>
        <v>#REF!</v>
      </c>
      <c r="EEA247" s="29" t="e">
        <f t="shared" si="100"/>
        <v>#REF!</v>
      </c>
      <c r="EEB247" s="29" t="e">
        <f t="shared" si="100"/>
        <v>#REF!</v>
      </c>
      <c r="EEC247" s="29" t="e">
        <f t="shared" si="100"/>
        <v>#REF!</v>
      </c>
      <c r="EED247" s="29" t="e">
        <f t="shared" si="100"/>
        <v>#REF!</v>
      </c>
      <c r="EEE247" s="29" t="e">
        <f t="shared" si="100"/>
        <v>#REF!</v>
      </c>
      <c r="EEF247" s="29" t="e">
        <f t="shared" si="100"/>
        <v>#REF!</v>
      </c>
      <c r="EEG247" s="29" t="e">
        <f t="shared" si="100"/>
        <v>#REF!</v>
      </c>
      <c r="EEH247" s="29" t="e">
        <f t="shared" si="100"/>
        <v>#REF!</v>
      </c>
      <c r="EEI247" s="29" t="e">
        <f t="shared" si="100"/>
        <v>#REF!</v>
      </c>
      <c r="EEJ247" s="29" t="e">
        <f t="shared" si="100"/>
        <v>#REF!</v>
      </c>
      <c r="EEK247" s="29" t="e">
        <f t="shared" si="100"/>
        <v>#REF!</v>
      </c>
      <c r="EEL247" s="29" t="e">
        <f t="shared" si="100"/>
        <v>#REF!</v>
      </c>
      <c r="EEM247" s="29" t="e">
        <f t="shared" si="100"/>
        <v>#REF!</v>
      </c>
      <c r="EEN247" s="29" t="e">
        <f t="shared" si="100"/>
        <v>#REF!</v>
      </c>
      <c r="EEO247" s="29" t="e">
        <f t="shared" si="100"/>
        <v>#REF!</v>
      </c>
      <c r="EEP247" s="29" t="e">
        <f t="shared" si="100"/>
        <v>#REF!</v>
      </c>
      <c r="EEQ247" s="29" t="e">
        <f t="shared" si="100"/>
        <v>#REF!</v>
      </c>
      <c r="EER247" s="29" t="e">
        <f t="shared" si="100"/>
        <v>#REF!</v>
      </c>
      <c r="EES247" s="29" t="e">
        <f t="shared" si="100"/>
        <v>#REF!</v>
      </c>
      <c r="EET247" s="29" t="e">
        <f t="shared" si="100"/>
        <v>#REF!</v>
      </c>
      <c r="EEU247" s="29" t="e">
        <f t="shared" si="100"/>
        <v>#REF!</v>
      </c>
      <c r="EEV247" s="29" t="e">
        <f t="shared" si="100"/>
        <v>#REF!</v>
      </c>
      <c r="EEW247" s="29" t="e">
        <f t="shared" si="100"/>
        <v>#REF!</v>
      </c>
      <c r="EEX247" s="29" t="e">
        <f t="shared" si="100"/>
        <v>#REF!</v>
      </c>
      <c r="EEY247" s="29" t="e">
        <f t="shared" si="100"/>
        <v>#REF!</v>
      </c>
      <c r="EEZ247" s="29" t="e">
        <f t="shared" si="100"/>
        <v>#REF!</v>
      </c>
      <c r="EFA247" s="29" t="e">
        <f t="shared" ref="EFA247:EHL247" si="101">EFE247&amp;EFF247</f>
        <v>#REF!</v>
      </c>
      <c r="EFB247" s="29" t="e">
        <f t="shared" si="101"/>
        <v>#REF!</v>
      </c>
      <c r="EFC247" s="29" t="e">
        <f t="shared" si="101"/>
        <v>#REF!</v>
      </c>
      <c r="EFD247" s="29" t="e">
        <f t="shared" si="101"/>
        <v>#REF!</v>
      </c>
      <c r="EFE247" s="29" t="e">
        <f t="shared" si="101"/>
        <v>#REF!</v>
      </c>
      <c r="EFF247" s="29" t="e">
        <f t="shared" si="101"/>
        <v>#REF!</v>
      </c>
      <c r="EFG247" s="29" t="e">
        <f t="shared" si="101"/>
        <v>#REF!</v>
      </c>
      <c r="EFH247" s="29" t="e">
        <f t="shared" si="101"/>
        <v>#REF!</v>
      </c>
      <c r="EFI247" s="29" t="e">
        <f t="shared" si="101"/>
        <v>#REF!</v>
      </c>
      <c r="EFJ247" s="29" t="e">
        <f t="shared" si="101"/>
        <v>#REF!</v>
      </c>
      <c r="EFK247" s="29" t="e">
        <f t="shared" si="101"/>
        <v>#REF!</v>
      </c>
      <c r="EFL247" s="29" t="e">
        <f t="shared" si="101"/>
        <v>#REF!</v>
      </c>
      <c r="EFM247" s="29" t="e">
        <f t="shared" si="101"/>
        <v>#REF!</v>
      </c>
      <c r="EFN247" s="29" t="e">
        <f t="shared" si="101"/>
        <v>#REF!</v>
      </c>
      <c r="EFO247" s="29" t="e">
        <f t="shared" si="101"/>
        <v>#REF!</v>
      </c>
      <c r="EFP247" s="29" t="e">
        <f t="shared" si="101"/>
        <v>#REF!</v>
      </c>
      <c r="EFQ247" s="29" t="e">
        <f t="shared" si="101"/>
        <v>#REF!</v>
      </c>
      <c r="EFR247" s="29" t="e">
        <f t="shared" si="101"/>
        <v>#REF!</v>
      </c>
      <c r="EFS247" s="29" t="e">
        <f t="shared" si="101"/>
        <v>#REF!</v>
      </c>
      <c r="EFT247" s="29" t="e">
        <f t="shared" si="101"/>
        <v>#REF!</v>
      </c>
      <c r="EFU247" s="29" t="e">
        <f t="shared" si="101"/>
        <v>#REF!</v>
      </c>
      <c r="EFV247" s="29" t="e">
        <f t="shared" si="101"/>
        <v>#REF!</v>
      </c>
      <c r="EFW247" s="29" t="e">
        <f t="shared" si="101"/>
        <v>#REF!</v>
      </c>
      <c r="EFX247" s="29" t="e">
        <f t="shared" si="101"/>
        <v>#REF!</v>
      </c>
      <c r="EFY247" s="29" t="e">
        <f t="shared" si="101"/>
        <v>#REF!</v>
      </c>
      <c r="EFZ247" s="29" t="e">
        <f t="shared" si="101"/>
        <v>#REF!</v>
      </c>
      <c r="EGA247" s="29" t="e">
        <f t="shared" si="101"/>
        <v>#REF!</v>
      </c>
      <c r="EGB247" s="29" t="e">
        <f t="shared" si="101"/>
        <v>#REF!</v>
      </c>
      <c r="EGC247" s="29" t="e">
        <f t="shared" si="101"/>
        <v>#REF!</v>
      </c>
      <c r="EGD247" s="29" t="e">
        <f t="shared" si="101"/>
        <v>#REF!</v>
      </c>
      <c r="EGE247" s="29" t="e">
        <f t="shared" si="101"/>
        <v>#REF!</v>
      </c>
      <c r="EGF247" s="29" t="e">
        <f t="shared" si="101"/>
        <v>#REF!</v>
      </c>
      <c r="EGG247" s="29" t="e">
        <f t="shared" si="101"/>
        <v>#REF!</v>
      </c>
      <c r="EGH247" s="29" t="e">
        <f t="shared" si="101"/>
        <v>#REF!</v>
      </c>
      <c r="EGI247" s="29" t="e">
        <f t="shared" si="101"/>
        <v>#REF!</v>
      </c>
      <c r="EGJ247" s="29" t="e">
        <f t="shared" si="101"/>
        <v>#REF!</v>
      </c>
      <c r="EGK247" s="29" t="e">
        <f t="shared" si="101"/>
        <v>#REF!</v>
      </c>
      <c r="EGL247" s="29" t="e">
        <f t="shared" si="101"/>
        <v>#REF!</v>
      </c>
      <c r="EGM247" s="29" t="e">
        <f t="shared" si="101"/>
        <v>#REF!</v>
      </c>
      <c r="EGN247" s="29" t="e">
        <f t="shared" si="101"/>
        <v>#REF!</v>
      </c>
      <c r="EGO247" s="29" t="e">
        <f t="shared" si="101"/>
        <v>#REF!</v>
      </c>
      <c r="EGP247" s="29" t="e">
        <f t="shared" si="101"/>
        <v>#REF!</v>
      </c>
      <c r="EGQ247" s="29" t="e">
        <f t="shared" si="101"/>
        <v>#REF!</v>
      </c>
      <c r="EGR247" s="29" t="e">
        <f t="shared" si="101"/>
        <v>#REF!</v>
      </c>
      <c r="EGS247" s="29" t="e">
        <f t="shared" si="101"/>
        <v>#REF!</v>
      </c>
      <c r="EGT247" s="29" t="e">
        <f t="shared" si="101"/>
        <v>#REF!</v>
      </c>
      <c r="EGU247" s="29" t="e">
        <f t="shared" si="101"/>
        <v>#REF!</v>
      </c>
      <c r="EGV247" s="29" t="e">
        <f t="shared" si="101"/>
        <v>#REF!</v>
      </c>
      <c r="EGW247" s="29" t="e">
        <f t="shared" si="101"/>
        <v>#REF!</v>
      </c>
      <c r="EGX247" s="29" t="e">
        <f t="shared" si="101"/>
        <v>#REF!</v>
      </c>
      <c r="EGY247" s="29" t="e">
        <f t="shared" si="101"/>
        <v>#REF!</v>
      </c>
      <c r="EGZ247" s="29" t="e">
        <f t="shared" si="101"/>
        <v>#REF!</v>
      </c>
      <c r="EHA247" s="29" t="e">
        <f t="shared" si="101"/>
        <v>#REF!</v>
      </c>
      <c r="EHB247" s="29" t="e">
        <f t="shared" si="101"/>
        <v>#REF!</v>
      </c>
      <c r="EHC247" s="29" t="e">
        <f t="shared" si="101"/>
        <v>#REF!</v>
      </c>
      <c r="EHD247" s="29" t="e">
        <f t="shared" si="101"/>
        <v>#REF!</v>
      </c>
      <c r="EHE247" s="29" t="e">
        <f t="shared" si="101"/>
        <v>#REF!</v>
      </c>
      <c r="EHF247" s="29" t="e">
        <f t="shared" si="101"/>
        <v>#REF!</v>
      </c>
      <c r="EHG247" s="29" t="e">
        <f t="shared" si="101"/>
        <v>#REF!</v>
      </c>
      <c r="EHH247" s="29" t="e">
        <f t="shared" si="101"/>
        <v>#REF!</v>
      </c>
      <c r="EHI247" s="29" t="e">
        <f t="shared" si="101"/>
        <v>#REF!</v>
      </c>
      <c r="EHJ247" s="29" t="e">
        <f t="shared" si="101"/>
        <v>#REF!</v>
      </c>
      <c r="EHK247" s="29" t="e">
        <f t="shared" si="101"/>
        <v>#REF!</v>
      </c>
      <c r="EHL247" s="29" t="e">
        <f t="shared" si="101"/>
        <v>#REF!</v>
      </c>
      <c r="EHM247" s="29" t="e">
        <f t="shared" ref="EHM247:EJX247" si="102">EHQ247&amp;EHR247</f>
        <v>#REF!</v>
      </c>
      <c r="EHN247" s="29" t="e">
        <f t="shared" si="102"/>
        <v>#REF!</v>
      </c>
      <c r="EHO247" s="29" t="e">
        <f t="shared" si="102"/>
        <v>#REF!</v>
      </c>
      <c r="EHP247" s="29" t="e">
        <f t="shared" si="102"/>
        <v>#REF!</v>
      </c>
      <c r="EHQ247" s="29" t="e">
        <f t="shared" si="102"/>
        <v>#REF!</v>
      </c>
      <c r="EHR247" s="29" t="e">
        <f t="shared" si="102"/>
        <v>#REF!</v>
      </c>
      <c r="EHS247" s="29" t="e">
        <f t="shared" si="102"/>
        <v>#REF!</v>
      </c>
      <c r="EHT247" s="29" t="e">
        <f t="shared" si="102"/>
        <v>#REF!</v>
      </c>
      <c r="EHU247" s="29" t="e">
        <f t="shared" si="102"/>
        <v>#REF!</v>
      </c>
      <c r="EHV247" s="29" t="e">
        <f t="shared" si="102"/>
        <v>#REF!</v>
      </c>
      <c r="EHW247" s="29" t="e">
        <f t="shared" si="102"/>
        <v>#REF!</v>
      </c>
      <c r="EHX247" s="29" t="e">
        <f t="shared" si="102"/>
        <v>#REF!</v>
      </c>
      <c r="EHY247" s="29" t="e">
        <f t="shared" si="102"/>
        <v>#REF!</v>
      </c>
      <c r="EHZ247" s="29" t="e">
        <f t="shared" si="102"/>
        <v>#REF!</v>
      </c>
      <c r="EIA247" s="29" t="e">
        <f t="shared" si="102"/>
        <v>#REF!</v>
      </c>
      <c r="EIB247" s="29" t="e">
        <f t="shared" si="102"/>
        <v>#REF!</v>
      </c>
      <c r="EIC247" s="29" t="e">
        <f t="shared" si="102"/>
        <v>#REF!</v>
      </c>
      <c r="EID247" s="29" t="e">
        <f t="shared" si="102"/>
        <v>#REF!</v>
      </c>
      <c r="EIE247" s="29" t="e">
        <f t="shared" si="102"/>
        <v>#REF!</v>
      </c>
      <c r="EIF247" s="29" t="e">
        <f t="shared" si="102"/>
        <v>#REF!</v>
      </c>
      <c r="EIG247" s="29" t="e">
        <f t="shared" si="102"/>
        <v>#REF!</v>
      </c>
      <c r="EIH247" s="29" t="e">
        <f t="shared" si="102"/>
        <v>#REF!</v>
      </c>
      <c r="EII247" s="29" t="e">
        <f t="shared" si="102"/>
        <v>#REF!</v>
      </c>
      <c r="EIJ247" s="29" t="e">
        <f t="shared" si="102"/>
        <v>#REF!</v>
      </c>
      <c r="EIK247" s="29" t="e">
        <f t="shared" si="102"/>
        <v>#REF!</v>
      </c>
      <c r="EIL247" s="29" t="e">
        <f t="shared" si="102"/>
        <v>#REF!</v>
      </c>
      <c r="EIM247" s="29" t="e">
        <f t="shared" si="102"/>
        <v>#REF!</v>
      </c>
      <c r="EIN247" s="29" t="e">
        <f t="shared" si="102"/>
        <v>#REF!</v>
      </c>
      <c r="EIO247" s="29" t="e">
        <f t="shared" si="102"/>
        <v>#REF!</v>
      </c>
      <c r="EIP247" s="29" t="e">
        <f t="shared" si="102"/>
        <v>#REF!</v>
      </c>
      <c r="EIQ247" s="29" t="e">
        <f t="shared" si="102"/>
        <v>#REF!</v>
      </c>
      <c r="EIR247" s="29" t="e">
        <f t="shared" si="102"/>
        <v>#REF!</v>
      </c>
      <c r="EIS247" s="29" t="e">
        <f t="shared" si="102"/>
        <v>#REF!</v>
      </c>
      <c r="EIT247" s="29" t="e">
        <f t="shared" si="102"/>
        <v>#REF!</v>
      </c>
      <c r="EIU247" s="29" t="e">
        <f t="shared" si="102"/>
        <v>#REF!</v>
      </c>
      <c r="EIV247" s="29" t="e">
        <f t="shared" si="102"/>
        <v>#REF!</v>
      </c>
      <c r="EIW247" s="29" t="e">
        <f t="shared" si="102"/>
        <v>#REF!</v>
      </c>
      <c r="EIX247" s="29" t="e">
        <f t="shared" si="102"/>
        <v>#REF!</v>
      </c>
      <c r="EIY247" s="29" t="e">
        <f t="shared" si="102"/>
        <v>#REF!</v>
      </c>
      <c r="EIZ247" s="29" t="e">
        <f t="shared" si="102"/>
        <v>#REF!</v>
      </c>
      <c r="EJA247" s="29" t="e">
        <f t="shared" si="102"/>
        <v>#REF!</v>
      </c>
      <c r="EJB247" s="29" t="e">
        <f t="shared" si="102"/>
        <v>#REF!</v>
      </c>
      <c r="EJC247" s="29" t="e">
        <f t="shared" si="102"/>
        <v>#REF!</v>
      </c>
      <c r="EJD247" s="29" t="e">
        <f t="shared" si="102"/>
        <v>#REF!</v>
      </c>
      <c r="EJE247" s="29" t="e">
        <f t="shared" si="102"/>
        <v>#REF!</v>
      </c>
      <c r="EJF247" s="29" t="e">
        <f t="shared" si="102"/>
        <v>#REF!</v>
      </c>
      <c r="EJG247" s="29" t="e">
        <f t="shared" si="102"/>
        <v>#REF!</v>
      </c>
      <c r="EJH247" s="29" t="e">
        <f t="shared" si="102"/>
        <v>#REF!</v>
      </c>
      <c r="EJI247" s="29" t="e">
        <f t="shared" si="102"/>
        <v>#REF!</v>
      </c>
      <c r="EJJ247" s="29" t="e">
        <f t="shared" si="102"/>
        <v>#REF!</v>
      </c>
      <c r="EJK247" s="29" t="e">
        <f t="shared" si="102"/>
        <v>#REF!</v>
      </c>
      <c r="EJL247" s="29" t="e">
        <f t="shared" si="102"/>
        <v>#REF!</v>
      </c>
      <c r="EJM247" s="29" t="e">
        <f t="shared" si="102"/>
        <v>#REF!</v>
      </c>
      <c r="EJN247" s="29" t="e">
        <f t="shared" si="102"/>
        <v>#REF!</v>
      </c>
      <c r="EJO247" s="29" t="e">
        <f t="shared" si="102"/>
        <v>#REF!</v>
      </c>
      <c r="EJP247" s="29" t="e">
        <f t="shared" si="102"/>
        <v>#REF!</v>
      </c>
      <c r="EJQ247" s="29" t="e">
        <f t="shared" si="102"/>
        <v>#REF!</v>
      </c>
      <c r="EJR247" s="29" t="e">
        <f t="shared" si="102"/>
        <v>#REF!</v>
      </c>
      <c r="EJS247" s="29" t="e">
        <f t="shared" si="102"/>
        <v>#REF!</v>
      </c>
      <c r="EJT247" s="29" t="e">
        <f t="shared" si="102"/>
        <v>#REF!</v>
      </c>
      <c r="EJU247" s="29" t="e">
        <f t="shared" si="102"/>
        <v>#REF!</v>
      </c>
      <c r="EJV247" s="29" t="e">
        <f t="shared" si="102"/>
        <v>#REF!</v>
      </c>
      <c r="EJW247" s="29" t="e">
        <f t="shared" si="102"/>
        <v>#REF!</v>
      </c>
      <c r="EJX247" s="29" t="e">
        <f t="shared" si="102"/>
        <v>#REF!</v>
      </c>
      <c r="EJY247" s="29" t="e">
        <f t="shared" ref="EJY247:EMJ247" si="103">EKC247&amp;EKD247</f>
        <v>#REF!</v>
      </c>
      <c r="EJZ247" s="29" t="e">
        <f t="shared" si="103"/>
        <v>#REF!</v>
      </c>
      <c r="EKA247" s="29" t="e">
        <f t="shared" si="103"/>
        <v>#REF!</v>
      </c>
      <c r="EKB247" s="29" t="e">
        <f t="shared" si="103"/>
        <v>#REF!</v>
      </c>
      <c r="EKC247" s="29" t="e">
        <f t="shared" si="103"/>
        <v>#REF!</v>
      </c>
      <c r="EKD247" s="29" t="e">
        <f t="shared" si="103"/>
        <v>#REF!</v>
      </c>
      <c r="EKE247" s="29" t="e">
        <f t="shared" si="103"/>
        <v>#REF!</v>
      </c>
      <c r="EKF247" s="29" t="e">
        <f t="shared" si="103"/>
        <v>#REF!</v>
      </c>
      <c r="EKG247" s="29" t="e">
        <f t="shared" si="103"/>
        <v>#REF!</v>
      </c>
      <c r="EKH247" s="29" t="e">
        <f t="shared" si="103"/>
        <v>#REF!</v>
      </c>
      <c r="EKI247" s="29" t="e">
        <f t="shared" si="103"/>
        <v>#REF!</v>
      </c>
      <c r="EKJ247" s="29" t="e">
        <f t="shared" si="103"/>
        <v>#REF!</v>
      </c>
      <c r="EKK247" s="29" t="e">
        <f t="shared" si="103"/>
        <v>#REF!</v>
      </c>
      <c r="EKL247" s="29" t="e">
        <f t="shared" si="103"/>
        <v>#REF!</v>
      </c>
      <c r="EKM247" s="29" t="e">
        <f t="shared" si="103"/>
        <v>#REF!</v>
      </c>
      <c r="EKN247" s="29" t="e">
        <f t="shared" si="103"/>
        <v>#REF!</v>
      </c>
      <c r="EKO247" s="29" t="e">
        <f t="shared" si="103"/>
        <v>#REF!</v>
      </c>
      <c r="EKP247" s="29" t="e">
        <f t="shared" si="103"/>
        <v>#REF!</v>
      </c>
      <c r="EKQ247" s="29" t="e">
        <f t="shared" si="103"/>
        <v>#REF!</v>
      </c>
      <c r="EKR247" s="29" t="e">
        <f t="shared" si="103"/>
        <v>#REF!</v>
      </c>
      <c r="EKS247" s="29" t="e">
        <f t="shared" si="103"/>
        <v>#REF!</v>
      </c>
      <c r="EKT247" s="29" t="e">
        <f t="shared" si="103"/>
        <v>#REF!</v>
      </c>
      <c r="EKU247" s="29" t="e">
        <f t="shared" si="103"/>
        <v>#REF!</v>
      </c>
      <c r="EKV247" s="29" t="e">
        <f t="shared" si="103"/>
        <v>#REF!</v>
      </c>
      <c r="EKW247" s="29" t="e">
        <f t="shared" si="103"/>
        <v>#REF!</v>
      </c>
      <c r="EKX247" s="29" t="e">
        <f t="shared" si="103"/>
        <v>#REF!</v>
      </c>
      <c r="EKY247" s="29" t="e">
        <f t="shared" si="103"/>
        <v>#REF!</v>
      </c>
      <c r="EKZ247" s="29" t="e">
        <f t="shared" si="103"/>
        <v>#REF!</v>
      </c>
      <c r="ELA247" s="29" t="e">
        <f t="shared" si="103"/>
        <v>#REF!</v>
      </c>
      <c r="ELB247" s="29" t="e">
        <f t="shared" si="103"/>
        <v>#REF!</v>
      </c>
      <c r="ELC247" s="29" t="e">
        <f t="shared" si="103"/>
        <v>#REF!</v>
      </c>
      <c r="ELD247" s="29" t="e">
        <f t="shared" si="103"/>
        <v>#REF!</v>
      </c>
      <c r="ELE247" s="29" t="e">
        <f t="shared" si="103"/>
        <v>#REF!</v>
      </c>
      <c r="ELF247" s="29" t="e">
        <f t="shared" si="103"/>
        <v>#REF!</v>
      </c>
      <c r="ELG247" s="29" t="e">
        <f t="shared" si="103"/>
        <v>#REF!</v>
      </c>
      <c r="ELH247" s="29" t="e">
        <f t="shared" si="103"/>
        <v>#REF!</v>
      </c>
      <c r="ELI247" s="29" t="e">
        <f t="shared" si="103"/>
        <v>#REF!</v>
      </c>
      <c r="ELJ247" s="29" t="e">
        <f t="shared" si="103"/>
        <v>#REF!</v>
      </c>
      <c r="ELK247" s="29" t="e">
        <f t="shared" si="103"/>
        <v>#REF!</v>
      </c>
      <c r="ELL247" s="29" t="e">
        <f t="shared" si="103"/>
        <v>#REF!</v>
      </c>
      <c r="ELM247" s="29" t="e">
        <f t="shared" si="103"/>
        <v>#REF!</v>
      </c>
      <c r="ELN247" s="29" t="e">
        <f t="shared" si="103"/>
        <v>#REF!</v>
      </c>
      <c r="ELO247" s="29" t="e">
        <f t="shared" si="103"/>
        <v>#REF!</v>
      </c>
      <c r="ELP247" s="29" t="e">
        <f t="shared" si="103"/>
        <v>#REF!</v>
      </c>
      <c r="ELQ247" s="29" t="e">
        <f t="shared" si="103"/>
        <v>#REF!</v>
      </c>
      <c r="ELR247" s="29" t="e">
        <f t="shared" si="103"/>
        <v>#REF!</v>
      </c>
      <c r="ELS247" s="29" t="e">
        <f t="shared" si="103"/>
        <v>#REF!</v>
      </c>
      <c r="ELT247" s="29" t="e">
        <f t="shared" si="103"/>
        <v>#REF!</v>
      </c>
      <c r="ELU247" s="29" t="e">
        <f t="shared" si="103"/>
        <v>#REF!</v>
      </c>
      <c r="ELV247" s="29" t="e">
        <f t="shared" si="103"/>
        <v>#REF!</v>
      </c>
      <c r="ELW247" s="29" t="e">
        <f t="shared" si="103"/>
        <v>#REF!</v>
      </c>
      <c r="ELX247" s="29" t="e">
        <f t="shared" si="103"/>
        <v>#REF!</v>
      </c>
      <c r="ELY247" s="29" t="e">
        <f t="shared" si="103"/>
        <v>#REF!</v>
      </c>
      <c r="ELZ247" s="29" t="e">
        <f t="shared" si="103"/>
        <v>#REF!</v>
      </c>
      <c r="EMA247" s="29" t="e">
        <f t="shared" si="103"/>
        <v>#REF!</v>
      </c>
      <c r="EMB247" s="29" t="e">
        <f t="shared" si="103"/>
        <v>#REF!</v>
      </c>
      <c r="EMC247" s="29" t="e">
        <f t="shared" si="103"/>
        <v>#REF!</v>
      </c>
      <c r="EMD247" s="29" t="e">
        <f t="shared" si="103"/>
        <v>#REF!</v>
      </c>
      <c r="EME247" s="29" t="e">
        <f t="shared" si="103"/>
        <v>#REF!</v>
      </c>
      <c r="EMF247" s="29" t="e">
        <f t="shared" si="103"/>
        <v>#REF!</v>
      </c>
      <c r="EMG247" s="29" t="e">
        <f t="shared" si="103"/>
        <v>#REF!</v>
      </c>
      <c r="EMH247" s="29" t="e">
        <f t="shared" si="103"/>
        <v>#REF!</v>
      </c>
      <c r="EMI247" s="29" t="e">
        <f t="shared" si="103"/>
        <v>#REF!</v>
      </c>
      <c r="EMJ247" s="29" t="e">
        <f t="shared" si="103"/>
        <v>#REF!</v>
      </c>
      <c r="EMK247" s="29" t="e">
        <f t="shared" ref="EMK247:EOV247" si="104">EMO247&amp;EMP247</f>
        <v>#REF!</v>
      </c>
      <c r="EML247" s="29" t="e">
        <f t="shared" si="104"/>
        <v>#REF!</v>
      </c>
      <c r="EMM247" s="29" t="e">
        <f t="shared" si="104"/>
        <v>#REF!</v>
      </c>
      <c r="EMN247" s="29" t="e">
        <f t="shared" si="104"/>
        <v>#REF!</v>
      </c>
      <c r="EMO247" s="29" t="e">
        <f t="shared" si="104"/>
        <v>#REF!</v>
      </c>
      <c r="EMP247" s="29" t="e">
        <f t="shared" si="104"/>
        <v>#REF!</v>
      </c>
      <c r="EMQ247" s="29" t="e">
        <f t="shared" si="104"/>
        <v>#REF!</v>
      </c>
      <c r="EMR247" s="29" t="e">
        <f t="shared" si="104"/>
        <v>#REF!</v>
      </c>
      <c r="EMS247" s="29" t="e">
        <f t="shared" si="104"/>
        <v>#REF!</v>
      </c>
      <c r="EMT247" s="29" t="e">
        <f t="shared" si="104"/>
        <v>#REF!</v>
      </c>
      <c r="EMU247" s="29" t="e">
        <f t="shared" si="104"/>
        <v>#REF!</v>
      </c>
      <c r="EMV247" s="29" t="e">
        <f t="shared" si="104"/>
        <v>#REF!</v>
      </c>
      <c r="EMW247" s="29" t="e">
        <f t="shared" si="104"/>
        <v>#REF!</v>
      </c>
      <c r="EMX247" s="29" t="e">
        <f t="shared" si="104"/>
        <v>#REF!</v>
      </c>
      <c r="EMY247" s="29" t="e">
        <f t="shared" si="104"/>
        <v>#REF!</v>
      </c>
      <c r="EMZ247" s="29" t="e">
        <f t="shared" si="104"/>
        <v>#REF!</v>
      </c>
      <c r="ENA247" s="29" t="e">
        <f t="shared" si="104"/>
        <v>#REF!</v>
      </c>
      <c r="ENB247" s="29" t="e">
        <f t="shared" si="104"/>
        <v>#REF!</v>
      </c>
      <c r="ENC247" s="29" t="e">
        <f t="shared" si="104"/>
        <v>#REF!</v>
      </c>
      <c r="END247" s="29" t="e">
        <f t="shared" si="104"/>
        <v>#REF!</v>
      </c>
      <c r="ENE247" s="29" t="e">
        <f t="shared" si="104"/>
        <v>#REF!</v>
      </c>
      <c r="ENF247" s="29" t="e">
        <f t="shared" si="104"/>
        <v>#REF!</v>
      </c>
      <c r="ENG247" s="29" t="e">
        <f t="shared" si="104"/>
        <v>#REF!</v>
      </c>
      <c r="ENH247" s="29" t="e">
        <f t="shared" si="104"/>
        <v>#REF!</v>
      </c>
      <c r="ENI247" s="29" t="e">
        <f t="shared" si="104"/>
        <v>#REF!</v>
      </c>
      <c r="ENJ247" s="29" t="e">
        <f t="shared" si="104"/>
        <v>#REF!</v>
      </c>
      <c r="ENK247" s="29" t="e">
        <f t="shared" si="104"/>
        <v>#REF!</v>
      </c>
      <c r="ENL247" s="29" t="e">
        <f t="shared" si="104"/>
        <v>#REF!</v>
      </c>
      <c r="ENM247" s="29" t="e">
        <f t="shared" si="104"/>
        <v>#REF!</v>
      </c>
      <c r="ENN247" s="29" t="e">
        <f t="shared" si="104"/>
        <v>#REF!</v>
      </c>
      <c r="ENO247" s="29" t="e">
        <f t="shared" si="104"/>
        <v>#REF!</v>
      </c>
      <c r="ENP247" s="29" t="e">
        <f t="shared" si="104"/>
        <v>#REF!</v>
      </c>
      <c r="ENQ247" s="29" t="e">
        <f t="shared" si="104"/>
        <v>#REF!</v>
      </c>
      <c r="ENR247" s="29" t="e">
        <f t="shared" si="104"/>
        <v>#REF!</v>
      </c>
      <c r="ENS247" s="29" t="e">
        <f t="shared" si="104"/>
        <v>#REF!</v>
      </c>
      <c r="ENT247" s="29" t="e">
        <f t="shared" si="104"/>
        <v>#REF!</v>
      </c>
      <c r="ENU247" s="29" t="e">
        <f t="shared" si="104"/>
        <v>#REF!</v>
      </c>
      <c r="ENV247" s="29" t="e">
        <f t="shared" si="104"/>
        <v>#REF!</v>
      </c>
      <c r="ENW247" s="29" t="e">
        <f t="shared" si="104"/>
        <v>#REF!</v>
      </c>
      <c r="ENX247" s="29" t="e">
        <f t="shared" si="104"/>
        <v>#REF!</v>
      </c>
      <c r="ENY247" s="29" t="e">
        <f t="shared" si="104"/>
        <v>#REF!</v>
      </c>
      <c r="ENZ247" s="29" t="e">
        <f t="shared" si="104"/>
        <v>#REF!</v>
      </c>
      <c r="EOA247" s="29" t="e">
        <f t="shared" si="104"/>
        <v>#REF!</v>
      </c>
      <c r="EOB247" s="29" t="e">
        <f t="shared" si="104"/>
        <v>#REF!</v>
      </c>
      <c r="EOC247" s="29" t="e">
        <f t="shared" si="104"/>
        <v>#REF!</v>
      </c>
      <c r="EOD247" s="29" t="e">
        <f t="shared" si="104"/>
        <v>#REF!</v>
      </c>
      <c r="EOE247" s="29" t="e">
        <f t="shared" si="104"/>
        <v>#REF!</v>
      </c>
      <c r="EOF247" s="29" t="e">
        <f t="shared" si="104"/>
        <v>#REF!</v>
      </c>
      <c r="EOG247" s="29" t="e">
        <f t="shared" si="104"/>
        <v>#REF!</v>
      </c>
      <c r="EOH247" s="29" t="e">
        <f t="shared" si="104"/>
        <v>#REF!</v>
      </c>
      <c r="EOI247" s="29" t="e">
        <f t="shared" si="104"/>
        <v>#REF!</v>
      </c>
      <c r="EOJ247" s="29" t="e">
        <f t="shared" si="104"/>
        <v>#REF!</v>
      </c>
      <c r="EOK247" s="29" t="e">
        <f t="shared" si="104"/>
        <v>#REF!</v>
      </c>
      <c r="EOL247" s="29" t="e">
        <f t="shared" si="104"/>
        <v>#REF!</v>
      </c>
      <c r="EOM247" s="29" t="e">
        <f t="shared" si="104"/>
        <v>#REF!</v>
      </c>
      <c r="EON247" s="29" t="e">
        <f t="shared" si="104"/>
        <v>#REF!</v>
      </c>
      <c r="EOO247" s="29" t="e">
        <f t="shared" si="104"/>
        <v>#REF!</v>
      </c>
      <c r="EOP247" s="29" t="e">
        <f t="shared" si="104"/>
        <v>#REF!</v>
      </c>
      <c r="EOQ247" s="29" t="e">
        <f t="shared" si="104"/>
        <v>#REF!</v>
      </c>
      <c r="EOR247" s="29" t="e">
        <f t="shared" si="104"/>
        <v>#REF!</v>
      </c>
      <c r="EOS247" s="29" t="e">
        <f t="shared" si="104"/>
        <v>#REF!</v>
      </c>
      <c r="EOT247" s="29" t="e">
        <f t="shared" si="104"/>
        <v>#REF!</v>
      </c>
      <c r="EOU247" s="29" t="e">
        <f t="shared" si="104"/>
        <v>#REF!</v>
      </c>
      <c r="EOV247" s="29" t="e">
        <f t="shared" si="104"/>
        <v>#REF!</v>
      </c>
      <c r="EOW247" s="29" t="e">
        <f t="shared" ref="EOW247:ERH247" si="105">EPA247&amp;EPB247</f>
        <v>#REF!</v>
      </c>
      <c r="EOX247" s="29" t="e">
        <f t="shared" si="105"/>
        <v>#REF!</v>
      </c>
      <c r="EOY247" s="29" t="e">
        <f t="shared" si="105"/>
        <v>#REF!</v>
      </c>
      <c r="EOZ247" s="29" t="e">
        <f t="shared" si="105"/>
        <v>#REF!</v>
      </c>
      <c r="EPA247" s="29" t="e">
        <f t="shared" si="105"/>
        <v>#REF!</v>
      </c>
      <c r="EPB247" s="29" t="e">
        <f t="shared" si="105"/>
        <v>#REF!</v>
      </c>
      <c r="EPC247" s="29" t="e">
        <f t="shared" si="105"/>
        <v>#REF!</v>
      </c>
      <c r="EPD247" s="29" t="e">
        <f t="shared" si="105"/>
        <v>#REF!</v>
      </c>
      <c r="EPE247" s="29" t="e">
        <f t="shared" si="105"/>
        <v>#REF!</v>
      </c>
      <c r="EPF247" s="29" t="e">
        <f t="shared" si="105"/>
        <v>#REF!</v>
      </c>
      <c r="EPG247" s="29" t="e">
        <f t="shared" si="105"/>
        <v>#REF!</v>
      </c>
      <c r="EPH247" s="29" t="e">
        <f t="shared" si="105"/>
        <v>#REF!</v>
      </c>
      <c r="EPI247" s="29" t="e">
        <f t="shared" si="105"/>
        <v>#REF!</v>
      </c>
      <c r="EPJ247" s="29" t="e">
        <f t="shared" si="105"/>
        <v>#REF!</v>
      </c>
      <c r="EPK247" s="29" t="e">
        <f t="shared" si="105"/>
        <v>#REF!</v>
      </c>
      <c r="EPL247" s="29" t="e">
        <f t="shared" si="105"/>
        <v>#REF!</v>
      </c>
      <c r="EPM247" s="29" t="e">
        <f t="shared" si="105"/>
        <v>#REF!</v>
      </c>
      <c r="EPN247" s="29" t="e">
        <f t="shared" si="105"/>
        <v>#REF!</v>
      </c>
      <c r="EPO247" s="29" t="e">
        <f t="shared" si="105"/>
        <v>#REF!</v>
      </c>
      <c r="EPP247" s="29" t="e">
        <f t="shared" si="105"/>
        <v>#REF!</v>
      </c>
      <c r="EPQ247" s="29" t="e">
        <f t="shared" si="105"/>
        <v>#REF!</v>
      </c>
      <c r="EPR247" s="29" t="e">
        <f t="shared" si="105"/>
        <v>#REF!</v>
      </c>
      <c r="EPS247" s="29" t="e">
        <f t="shared" si="105"/>
        <v>#REF!</v>
      </c>
      <c r="EPT247" s="29" t="e">
        <f t="shared" si="105"/>
        <v>#REF!</v>
      </c>
      <c r="EPU247" s="29" t="e">
        <f t="shared" si="105"/>
        <v>#REF!</v>
      </c>
      <c r="EPV247" s="29" t="e">
        <f t="shared" si="105"/>
        <v>#REF!</v>
      </c>
      <c r="EPW247" s="29" t="e">
        <f t="shared" si="105"/>
        <v>#REF!</v>
      </c>
      <c r="EPX247" s="29" t="e">
        <f t="shared" si="105"/>
        <v>#REF!</v>
      </c>
      <c r="EPY247" s="29" t="e">
        <f t="shared" si="105"/>
        <v>#REF!</v>
      </c>
      <c r="EPZ247" s="29" t="e">
        <f t="shared" si="105"/>
        <v>#REF!</v>
      </c>
      <c r="EQA247" s="29" t="e">
        <f t="shared" si="105"/>
        <v>#REF!</v>
      </c>
      <c r="EQB247" s="29" t="e">
        <f t="shared" si="105"/>
        <v>#REF!</v>
      </c>
      <c r="EQC247" s="29" t="e">
        <f t="shared" si="105"/>
        <v>#REF!</v>
      </c>
      <c r="EQD247" s="29" t="e">
        <f t="shared" si="105"/>
        <v>#REF!</v>
      </c>
      <c r="EQE247" s="29" t="e">
        <f t="shared" si="105"/>
        <v>#REF!</v>
      </c>
      <c r="EQF247" s="29" t="e">
        <f t="shared" si="105"/>
        <v>#REF!</v>
      </c>
      <c r="EQG247" s="29" t="e">
        <f t="shared" si="105"/>
        <v>#REF!</v>
      </c>
      <c r="EQH247" s="29" t="e">
        <f t="shared" si="105"/>
        <v>#REF!</v>
      </c>
      <c r="EQI247" s="29" t="e">
        <f t="shared" si="105"/>
        <v>#REF!</v>
      </c>
      <c r="EQJ247" s="29" t="e">
        <f t="shared" si="105"/>
        <v>#REF!</v>
      </c>
      <c r="EQK247" s="29" t="e">
        <f t="shared" si="105"/>
        <v>#REF!</v>
      </c>
      <c r="EQL247" s="29" t="e">
        <f t="shared" si="105"/>
        <v>#REF!</v>
      </c>
      <c r="EQM247" s="29" t="e">
        <f t="shared" si="105"/>
        <v>#REF!</v>
      </c>
      <c r="EQN247" s="29" t="e">
        <f t="shared" si="105"/>
        <v>#REF!</v>
      </c>
      <c r="EQO247" s="29" t="e">
        <f t="shared" si="105"/>
        <v>#REF!</v>
      </c>
      <c r="EQP247" s="29" t="e">
        <f t="shared" si="105"/>
        <v>#REF!</v>
      </c>
      <c r="EQQ247" s="29" t="e">
        <f t="shared" si="105"/>
        <v>#REF!</v>
      </c>
      <c r="EQR247" s="29" t="e">
        <f t="shared" si="105"/>
        <v>#REF!</v>
      </c>
      <c r="EQS247" s="29" t="e">
        <f t="shared" si="105"/>
        <v>#REF!</v>
      </c>
      <c r="EQT247" s="29" t="e">
        <f t="shared" si="105"/>
        <v>#REF!</v>
      </c>
      <c r="EQU247" s="29" t="e">
        <f t="shared" si="105"/>
        <v>#REF!</v>
      </c>
      <c r="EQV247" s="29" t="e">
        <f t="shared" si="105"/>
        <v>#REF!</v>
      </c>
      <c r="EQW247" s="29" t="e">
        <f t="shared" si="105"/>
        <v>#REF!</v>
      </c>
      <c r="EQX247" s="29" t="e">
        <f t="shared" si="105"/>
        <v>#REF!</v>
      </c>
      <c r="EQY247" s="29" t="e">
        <f t="shared" si="105"/>
        <v>#REF!</v>
      </c>
      <c r="EQZ247" s="29" t="e">
        <f t="shared" si="105"/>
        <v>#REF!</v>
      </c>
      <c r="ERA247" s="29" t="e">
        <f t="shared" si="105"/>
        <v>#REF!</v>
      </c>
      <c r="ERB247" s="29" t="e">
        <f t="shared" si="105"/>
        <v>#REF!</v>
      </c>
      <c r="ERC247" s="29" t="e">
        <f t="shared" si="105"/>
        <v>#REF!</v>
      </c>
      <c r="ERD247" s="29" t="e">
        <f t="shared" si="105"/>
        <v>#REF!</v>
      </c>
      <c r="ERE247" s="29" t="e">
        <f t="shared" si="105"/>
        <v>#REF!</v>
      </c>
      <c r="ERF247" s="29" t="e">
        <f t="shared" si="105"/>
        <v>#REF!</v>
      </c>
      <c r="ERG247" s="29" t="e">
        <f t="shared" si="105"/>
        <v>#REF!</v>
      </c>
      <c r="ERH247" s="29" t="e">
        <f t="shared" si="105"/>
        <v>#REF!</v>
      </c>
      <c r="ERI247" s="29" t="e">
        <f t="shared" ref="ERI247:ETT247" si="106">ERM247&amp;ERN247</f>
        <v>#REF!</v>
      </c>
      <c r="ERJ247" s="29" t="e">
        <f t="shared" si="106"/>
        <v>#REF!</v>
      </c>
      <c r="ERK247" s="29" t="e">
        <f t="shared" si="106"/>
        <v>#REF!</v>
      </c>
      <c r="ERL247" s="29" t="e">
        <f t="shared" si="106"/>
        <v>#REF!</v>
      </c>
      <c r="ERM247" s="29" t="e">
        <f t="shared" si="106"/>
        <v>#REF!</v>
      </c>
      <c r="ERN247" s="29" t="e">
        <f t="shared" si="106"/>
        <v>#REF!</v>
      </c>
      <c r="ERO247" s="29" t="e">
        <f t="shared" si="106"/>
        <v>#REF!</v>
      </c>
      <c r="ERP247" s="29" t="e">
        <f t="shared" si="106"/>
        <v>#REF!</v>
      </c>
      <c r="ERQ247" s="29" t="e">
        <f t="shared" si="106"/>
        <v>#REF!</v>
      </c>
      <c r="ERR247" s="29" t="e">
        <f t="shared" si="106"/>
        <v>#REF!</v>
      </c>
      <c r="ERS247" s="29" t="e">
        <f t="shared" si="106"/>
        <v>#REF!</v>
      </c>
      <c r="ERT247" s="29" t="e">
        <f t="shared" si="106"/>
        <v>#REF!</v>
      </c>
      <c r="ERU247" s="29" t="e">
        <f t="shared" si="106"/>
        <v>#REF!</v>
      </c>
      <c r="ERV247" s="29" t="e">
        <f t="shared" si="106"/>
        <v>#REF!</v>
      </c>
      <c r="ERW247" s="29" t="e">
        <f t="shared" si="106"/>
        <v>#REF!</v>
      </c>
      <c r="ERX247" s="29" t="e">
        <f t="shared" si="106"/>
        <v>#REF!</v>
      </c>
      <c r="ERY247" s="29" t="e">
        <f t="shared" si="106"/>
        <v>#REF!</v>
      </c>
      <c r="ERZ247" s="29" t="e">
        <f t="shared" si="106"/>
        <v>#REF!</v>
      </c>
      <c r="ESA247" s="29" t="e">
        <f t="shared" si="106"/>
        <v>#REF!</v>
      </c>
      <c r="ESB247" s="29" t="e">
        <f t="shared" si="106"/>
        <v>#REF!</v>
      </c>
      <c r="ESC247" s="29" t="e">
        <f t="shared" si="106"/>
        <v>#REF!</v>
      </c>
      <c r="ESD247" s="29" t="e">
        <f t="shared" si="106"/>
        <v>#REF!</v>
      </c>
      <c r="ESE247" s="29" t="e">
        <f t="shared" si="106"/>
        <v>#REF!</v>
      </c>
      <c r="ESF247" s="29" t="e">
        <f t="shared" si="106"/>
        <v>#REF!</v>
      </c>
      <c r="ESG247" s="29" t="e">
        <f t="shared" si="106"/>
        <v>#REF!</v>
      </c>
      <c r="ESH247" s="29" t="e">
        <f t="shared" si="106"/>
        <v>#REF!</v>
      </c>
      <c r="ESI247" s="29" t="e">
        <f t="shared" si="106"/>
        <v>#REF!</v>
      </c>
      <c r="ESJ247" s="29" t="e">
        <f t="shared" si="106"/>
        <v>#REF!</v>
      </c>
      <c r="ESK247" s="29" t="e">
        <f t="shared" si="106"/>
        <v>#REF!</v>
      </c>
      <c r="ESL247" s="29" t="e">
        <f t="shared" si="106"/>
        <v>#REF!</v>
      </c>
      <c r="ESM247" s="29" t="e">
        <f t="shared" si="106"/>
        <v>#REF!</v>
      </c>
      <c r="ESN247" s="29" t="e">
        <f t="shared" si="106"/>
        <v>#REF!</v>
      </c>
      <c r="ESO247" s="29" t="e">
        <f t="shared" si="106"/>
        <v>#REF!</v>
      </c>
      <c r="ESP247" s="29" t="e">
        <f t="shared" si="106"/>
        <v>#REF!</v>
      </c>
      <c r="ESQ247" s="29" t="e">
        <f t="shared" si="106"/>
        <v>#REF!</v>
      </c>
      <c r="ESR247" s="29" t="e">
        <f t="shared" si="106"/>
        <v>#REF!</v>
      </c>
      <c r="ESS247" s="29" t="e">
        <f t="shared" si="106"/>
        <v>#REF!</v>
      </c>
      <c r="EST247" s="29" t="e">
        <f t="shared" si="106"/>
        <v>#REF!</v>
      </c>
      <c r="ESU247" s="29" t="e">
        <f t="shared" si="106"/>
        <v>#REF!</v>
      </c>
      <c r="ESV247" s="29" t="e">
        <f t="shared" si="106"/>
        <v>#REF!</v>
      </c>
      <c r="ESW247" s="29" t="e">
        <f t="shared" si="106"/>
        <v>#REF!</v>
      </c>
      <c r="ESX247" s="29" t="e">
        <f t="shared" si="106"/>
        <v>#REF!</v>
      </c>
      <c r="ESY247" s="29" t="e">
        <f t="shared" si="106"/>
        <v>#REF!</v>
      </c>
      <c r="ESZ247" s="29" t="e">
        <f t="shared" si="106"/>
        <v>#REF!</v>
      </c>
      <c r="ETA247" s="29" t="e">
        <f t="shared" si="106"/>
        <v>#REF!</v>
      </c>
      <c r="ETB247" s="29" t="e">
        <f t="shared" si="106"/>
        <v>#REF!</v>
      </c>
      <c r="ETC247" s="29" t="e">
        <f t="shared" si="106"/>
        <v>#REF!</v>
      </c>
      <c r="ETD247" s="29" t="e">
        <f t="shared" si="106"/>
        <v>#REF!</v>
      </c>
      <c r="ETE247" s="29" t="e">
        <f t="shared" si="106"/>
        <v>#REF!</v>
      </c>
      <c r="ETF247" s="29" t="e">
        <f t="shared" si="106"/>
        <v>#REF!</v>
      </c>
      <c r="ETG247" s="29" t="e">
        <f t="shared" si="106"/>
        <v>#REF!</v>
      </c>
      <c r="ETH247" s="29" t="e">
        <f t="shared" si="106"/>
        <v>#REF!</v>
      </c>
      <c r="ETI247" s="29" t="e">
        <f t="shared" si="106"/>
        <v>#REF!</v>
      </c>
      <c r="ETJ247" s="29" t="e">
        <f t="shared" si="106"/>
        <v>#REF!</v>
      </c>
      <c r="ETK247" s="29" t="e">
        <f t="shared" si="106"/>
        <v>#REF!</v>
      </c>
      <c r="ETL247" s="29" t="e">
        <f t="shared" si="106"/>
        <v>#REF!</v>
      </c>
      <c r="ETM247" s="29" t="e">
        <f t="shared" si="106"/>
        <v>#REF!</v>
      </c>
      <c r="ETN247" s="29" t="e">
        <f t="shared" si="106"/>
        <v>#REF!</v>
      </c>
      <c r="ETO247" s="29" t="e">
        <f t="shared" si="106"/>
        <v>#REF!</v>
      </c>
      <c r="ETP247" s="29" t="e">
        <f t="shared" si="106"/>
        <v>#REF!</v>
      </c>
      <c r="ETQ247" s="29" t="e">
        <f t="shared" si="106"/>
        <v>#REF!</v>
      </c>
      <c r="ETR247" s="29" t="e">
        <f t="shared" si="106"/>
        <v>#REF!</v>
      </c>
      <c r="ETS247" s="29" t="e">
        <f t="shared" si="106"/>
        <v>#REF!</v>
      </c>
      <c r="ETT247" s="29" t="e">
        <f t="shared" si="106"/>
        <v>#REF!</v>
      </c>
      <c r="ETU247" s="29" t="e">
        <f t="shared" ref="ETU247:EWF247" si="107">ETY247&amp;ETZ247</f>
        <v>#REF!</v>
      </c>
      <c r="ETV247" s="29" t="e">
        <f t="shared" si="107"/>
        <v>#REF!</v>
      </c>
      <c r="ETW247" s="29" t="e">
        <f t="shared" si="107"/>
        <v>#REF!</v>
      </c>
      <c r="ETX247" s="29" t="e">
        <f t="shared" si="107"/>
        <v>#REF!</v>
      </c>
      <c r="ETY247" s="29" t="e">
        <f t="shared" si="107"/>
        <v>#REF!</v>
      </c>
      <c r="ETZ247" s="29" t="e">
        <f t="shared" si="107"/>
        <v>#REF!</v>
      </c>
      <c r="EUA247" s="29" t="e">
        <f t="shared" si="107"/>
        <v>#REF!</v>
      </c>
      <c r="EUB247" s="29" t="e">
        <f t="shared" si="107"/>
        <v>#REF!</v>
      </c>
      <c r="EUC247" s="29" t="e">
        <f t="shared" si="107"/>
        <v>#REF!</v>
      </c>
      <c r="EUD247" s="29" t="e">
        <f t="shared" si="107"/>
        <v>#REF!</v>
      </c>
      <c r="EUE247" s="29" t="e">
        <f t="shared" si="107"/>
        <v>#REF!</v>
      </c>
      <c r="EUF247" s="29" t="e">
        <f t="shared" si="107"/>
        <v>#REF!</v>
      </c>
      <c r="EUG247" s="29" t="e">
        <f t="shared" si="107"/>
        <v>#REF!</v>
      </c>
      <c r="EUH247" s="29" t="e">
        <f t="shared" si="107"/>
        <v>#REF!</v>
      </c>
      <c r="EUI247" s="29" t="e">
        <f t="shared" si="107"/>
        <v>#REF!</v>
      </c>
      <c r="EUJ247" s="29" t="e">
        <f t="shared" si="107"/>
        <v>#REF!</v>
      </c>
      <c r="EUK247" s="29" t="e">
        <f t="shared" si="107"/>
        <v>#REF!</v>
      </c>
      <c r="EUL247" s="29" t="e">
        <f t="shared" si="107"/>
        <v>#REF!</v>
      </c>
      <c r="EUM247" s="29" t="e">
        <f t="shared" si="107"/>
        <v>#REF!</v>
      </c>
      <c r="EUN247" s="29" t="e">
        <f t="shared" si="107"/>
        <v>#REF!</v>
      </c>
      <c r="EUO247" s="29" t="e">
        <f t="shared" si="107"/>
        <v>#REF!</v>
      </c>
      <c r="EUP247" s="29" t="e">
        <f t="shared" si="107"/>
        <v>#REF!</v>
      </c>
      <c r="EUQ247" s="29" t="e">
        <f t="shared" si="107"/>
        <v>#REF!</v>
      </c>
      <c r="EUR247" s="29" t="e">
        <f t="shared" si="107"/>
        <v>#REF!</v>
      </c>
      <c r="EUS247" s="29" t="e">
        <f t="shared" si="107"/>
        <v>#REF!</v>
      </c>
      <c r="EUT247" s="29" t="e">
        <f t="shared" si="107"/>
        <v>#REF!</v>
      </c>
      <c r="EUU247" s="29" t="e">
        <f t="shared" si="107"/>
        <v>#REF!</v>
      </c>
      <c r="EUV247" s="29" t="e">
        <f t="shared" si="107"/>
        <v>#REF!</v>
      </c>
      <c r="EUW247" s="29" t="e">
        <f t="shared" si="107"/>
        <v>#REF!</v>
      </c>
      <c r="EUX247" s="29" t="e">
        <f t="shared" si="107"/>
        <v>#REF!</v>
      </c>
      <c r="EUY247" s="29" t="e">
        <f t="shared" si="107"/>
        <v>#REF!</v>
      </c>
      <c r="EUZ247" s="29" t="e">
        <f t="shared" si="107"/>
        <v>#REF!</v>
      </c>
      <c r="EVA247" s="29" t="e">
        <f t="shared" si="107"/>
        <v>#REF!</v>
      </c>
      <c r="EVB247" s="29" t="e">
        <f t="shared" si="107"/>
        <v>#REF!</v>
      </c>
      <c r="EVC247" s="29" t="e">
        <f t="shared" si="107"/>
        <v>#REF!</v>
      </c>
      <c r="EVD247" s="29" t="e">
        <f t="shared" si="107"/>
        <v>#REF!</v>
      </c>
      <c r="EVE247" s="29" t="e">
        <f t="shared" si="107"/>
        <v>#REF!</v>
      </c>
      <c r="EVF247" s="29" t="e">
        <f t="shared" si="107"/>
        <v>#REF!</v>
      </c>
      <c r="EVG247" s="29" t="e">
        <f t="shared" si="107"/>
        <v>#REF!</v>
      </c>
      <c r="EVH247" s="29" t="e">
        <f t="shared" si="107"/>
        <v>#REF!</v>
      </c>
      <c r="EVI247" s="29" t="e">
        <f t="shared" si="107"/>
        <v>#REF!</v>
      </c>
      <c r="EVJ247" s="29" t="e">
        <f t="shared" si="107"/>
        <v>#REF!</v>
      </c>
      <c r="EVK247" s="29" t="e">
        <f t="shared" si="107"/>
        <v>#REF!</v>
      </c>
      <c r="EVL247" s="29" t="e">
        <f t="shared" si="107"/>
        <v>#REF!</v>
      </c>
      <c r="EVM247" s="29" t="e">
        <f t="shared" si="107"/>
        <v>#REF!</v>
      </c>
      <c r="EVN247" s="29" t="e">
        <f t="shared" si="107"/>
        <v>#REF!</v>
      </c>
      <c r="EVO247" s="29" t="e">
        <f t="shared" si="107"/>
        <v>#REF!</v>
      </c>
      <c r="EVP247" s="29" t="e">
        <f t="shared" si="107"/>
        <v>#REF!</v>
      </c>
      <c r="EVQ247" s="29" t="e">
        <f t="shared" si="107"/>
        <v>#REF!</v>
      </c>
      <c r="EVR247" s="29" t="e">
        <f t="shared" si="107"/>
        <v>#REF!</v>
      </c>
      <c r="EVS247" s="29" t="e">
        <f t="shared" si="107"/>
        <v>#REF!</v>
      </c>
      <c r="EVT247" s="29" t="e">
        <f t="shared" si="107"/>
        <v>#REF!</v>
      </c>
      <c r="EVU247" s="29" t="e">
        <f t="shared" si="107"/>
        <v>#REF!</v>
      </c>
      <c r="EVV247" s="29" t="e">
        <f t="shared" si="107"/>
        <v>#REF!</v>
      </c>
      <c r="EVW247" s="29" t="e">
        <f t="shared" si="107"/>
        <v>#REF!</v>
      </c>
      <c r="EVX247" s="29" t="e">
        <f t="shared" si="107"/>
        <v>#REF!</v>
      </c>
      <c r="EVY247" s="29" t="e">
        <f t="shared" si="107"/>
        <v>#REF!</v>
      </c>
      <c r="EVZ247" s="29" t="e">
        <f t="shared" si="107"/>
        <v>#REF!</v>
      </c>
      <c r="EWA247" s="29" t="e">
        <f t="shared" si="107"/>
        <v>#REF!</v>
      </c>
      <c r="EWB247" s="29" t="e">
        <f t="shared" si="107"/>
        <v>#REF!</v>
      </c>
      <c r="EWC247" s="29" t="e">
        <f t="shared" si="107"/>
        <v>#REF!</v>
      </c>
      <c r="EWD247" s="29" t="e">
        <f t="shared" si="107"/>
        <v>#REF!</v>
      </c>
      <c r="EWE247" s="29" t="e">
        <f t="shared" si="107"/>
        <v>#REF!</v>
      </c>
      <c r="EWF247" s="29" t="e">
        <f t="shared" si="107"/>
        <v>#REF!</v>
      </c>
      <c r="EWG247" s="29" t="e">
        <f t="shared" ref="EWG247:EYR247" si="108">EWK247&amp;EWL247</f>
        <v>#REF!</v>
      </c>
      <c r="EWH247" s="29" t="e">
        <f t="shared" si="108"/>
        <v>#REF!</v>
      </c>
      <c r="EWI247" s="29" t="e">
        <f t="shared" si="108"/>
        <v>#REF!</v>
      </c>
      <c r="EWJ247" s="29" t="e">
        <f t="shared" si="108"/>
        <v>#REF!</v>
      </c>
      <c r="EWK247" s="29" t="e">
        <f t="shared" si="108"/>
        <v>#REF!</v>
      </c>
      <c r="EWL247" s="29" t="e">
        <f t="shared" si="108"/>
        <v>#REF!</v>
      </c>
      <c r="EWM247" s="29" t="e">
        <f t="shared" si="108"/>
        <v>#REF!</v>
      </c>
      <c r="EWN247" s="29" t="e">
        <f t="shared" si="108"/>
        <v>#REF!</v>
      </c>
      <c r="EWO247" s="29" t="e">
        <f t="shared" si="108"/>
        <v>#REF!</v>
      </c>
      <c r="EWP247" s="29" t="e">
        <f t="shared" si="108"/>
        <v>#REF!</v>
      </c>
      <c r="EWQ247" s="29" t="e">
        <f t="shared" si="108"/>
        <v>#REF!</v>
      </c>
      <c r="EWR247" s="29" t="e">
        <f t="shared" si="108"/>
        <v>#REF!</v>
      </c>
      <c r="EWS247" s="29" t="e">
        <f t="shared" si="108"/>
        <v>#REF!</v>
      </c>
      <c r="EWT247" s="29" t="e">
        <f t="shared" si="108"/>
        <v>#REF!</v>
      </c>
      <c r="EWU247" s="29" t="e">
        <f t="shared" si="108"/>
        <v>#REF!</v>
      </c>
      <c r="EWV247" s="29" t="e">
        <f t="shared" si="108"/>
        <v>#REF!</v>
      </c>
      <c r="EWW247" s="29" t="e">
        <f t="shared" si="108"/>
        <v>#REF!</v>
      </c>
      <c r="EWX247" s="29" t="e">
        <f t="shared" si="108"/>
        <v>#REF!</v>
      </c>
      <c r="EWY247" s="29" t="e">
        <f t="shared" si="108"/>
        <v>#REF!</v>
      </c>
      <c r="EWZ247" s="29" t="e">
        <f t="shared" si="108"/>
        <v>#REF!</v>
      </c>
      <c r="EXA247" s="29" t="e">
        <f t="shared" si="108"/>
        <v>#REF!</v>
      </c>
      <c r="EXB247" s="29" t="e">
        <f t="shared" si="108"/>
        <v>#REF!</v>
      </c>
      <c r="EXC247" s="29" t="e">
        <f t="shared" si="108"/>
        <v>#REF!</v>
      </c>
      <c r="EXD247" s="29" t="e">
        <f t="shared" si="108"/>
        <v>#REF!</v>
      </c>
      <c r="EXE247" s="29" t="e">
        <f t="shared" si="108"/>
        <v>#REF!</v>
      </c>
      <c r="EXF247" s="29" t="e">
        <f t="shared" si="108"/>
        <v>#REF!</v>
      </c>
      <c r="EXG247" s="29" t="e">
        <f t="shared" si="108"/>
        <v>#REF!</v>
      </c>
      <c r="EXH247" s="29" t="e">
        <f t="shared" si="108"/>
        <v>#REF!</v>
      </c>
      <c r="EXI247" s="29" t="e">
        <f t="shared" si="108"/>
        <v>#REF!</v>
      </c>
      <c r="EXJ247" s="29" t="e">
        <f t="shared" si="108"/>
        <v>#REF!</v>
      </c>
      <c r="EXK247" s="29" t="e">
        <f t="shared" si="108"/>
        <v>#REF!</v>
      </c>
      <c r="EXL247" s="29" t="e">
        <f t="shared" si="108"/>
        <v>#REF!</v>
      </c>
      <c r="EXM247" s="29" t="e">
        <f t="shared" si="108"/>
        <v>#REF!</v>
      </c>
      <c r="EXN247" s="29" t="e">
        <f t="shared" si="108"/>
        <v>#REF!</v>
      </c>
      <c r="EXO247" s="29" t="e">
        <f t="shared" si="108"/>
        <v>#REF!</v>
      </c>
      <c r="EXP247" s="29" t="e">
        <f t="shared" si="108"/>
        <v>#REF!</v>
      </c>
      <c r="EXQ247" s="29" t="e">
        <f t="shared" si="108"/>
        <v>#REF!</v>
      </c>
      <c r="EXR247" s="29" t="e">
        <f t="shared" si="108"/>
        <v>#REF!</v>
      </c>
      <c r="EXS247" s="29" t="e">
        <f t="shared" si="108"/>
        <v>#REF!</v>
      </c>
      <c r="EXT247" s="29" t="e">
        <f t="shared" si="108"/>
        <v>#REF!</v>
      </c>
      <c r="EXU247" s="29" t="e">
        <f t="shared" si="108"/>
        <v>#REF!</v>
      </c>
      <c r="EXV247" s="29" t="e">
        <f t="shared" si="108"/>
        <v>#REF!</v>
      </c>
      <c r="EXW247" s="29" t="e">
        <f t="shared" si="108"/>
        <v>#REF!</v>
      </c>
      <c r="EXX247" s="29" t="e">
        <f t="shared" si="108"/>
        <v>#REF!</v>
      </c>
      <c r="EXY247" s="29" t="e">
        <f t="shared" si="108"/>
        <v>#REF!</v>
      </c>
      <c r="EXZ247" s="29" t="e">
        <f t="shared" si="108"/>
        <v>#REF!</v>
      </c>
      <c r="EYA247" s="29" t="e">
        <f t="shared" si="108"/>
        <v>#REF!</v>
      </c>
      <c r="EYB247" s="29" t="e">
        <f t="shared" si="108"/>
        <v>#REF!</v>
      </c>
      <c r="EYC247" s="29" t="e">
        <f t="shared" si="108"/>
        <v>#REF!</v>
      </c>
      <c r="EYD247" s="29" t="e">
        <f t="shared" si="108"/>
        <v>#REF!</v>
      </c>
      <c r="EYE247" s="29" t="e">
        <f t="shared" si="108"/>
        <v>#REF!</v>
      </c>
      <c r="EYF247" s="29" t="e">
        <f t="shared" si="108"/>
        <v>#REF!</v>
      </c>
      <c r="EYG247" s="29" t="e">
        <f t="shared" si="108"/>
        <v>#REF!</v>
      </c>
      <c r="EYH247" s="29" t="e">
        <f t="shared" si="108"/>
        <v>#REF!</v>
      </c>
      <c r="EYI247" s="29" t="e">
        <f t="shared" si="108"/>
        <v>#REF!</v>
      </c>
      <c r="EYJ247" s="29" t="e">
        <f t="shared" si="108"/>
        <v>#REF!</v>
      </c>
      <c r="EYK247" s="29" t="e">
        <f t="shared" si="108"/>
        <v>#REF!</v>
      </c>
      <c r="EYL247" s="29" t="e">
        <f t="shared" si="108"/>
        <v>#REF!</v>
      </c>
      <c r="EYM247" s="29" t="e">
        <f t="shared" si="108"/>
        <v>#REF!</v>
      </c>
      <c r="EYN247" s="29" t="e">
        <f t="shared" si="108"/>
        <v>#REF!</v>
      </c>
      <c r="EYO247" s="29" t="e">
        <f t="shared" si="108"/>
        <v>#REF!</v>
      </c>
      <c r="EYP247" s="29" t="e">
        <f t="shared" si="108"/>
        <v>#REF!</v>
      </c>
      <c r="EYQ247" s="29" t="e">
        <f t="shared" si="108"/>
        <v>#REF!</v>
      </c>
      <c r="EYR247" s="29" t="e">
        <f t="shared" si="108"/>
        <v>#REF!</v>
      </c>
      <c r="EYS247" s="29" t="e">
        <f t="shared" ref="EYS247:FBD247" si="109">EYW247&amp;EYX247</f>
        <v>#REF!</v>
      </c>
      <c r="EYT247" s="29" t="e">
        <f t="shared" si="109"/>
        <v>#REF!</v>
      </c>
      <c r="EYU247" s="29" t="e">
        <f t="shared" si="109"/>
        <v>#REF!</v>
      </c>
      <c r="EYV247" s="29" t="e">
        <f t="shared" si="109"/>
        <v>#REF!</v>
      </c>
      <c r="EYW247" s="29" t="e">
        <f t="shared" si="109"/>
        <v>#REF!</v>
      </c>
      <c r="EYX247" s="29" t="e">
        <f t="shared" si="109"/>
        <v>#REF!</v>
      </c>
      <c r="EYY247" s="29" t="e">
        <f t="shared" si="109"/>
        <v>#REF!</v>
      </c>
      <c r="EYZ247" s="29" t="e">
        <f t="shared" si="109"/>
        <v>#REF!</v>
      </c>
      <c r="EZA247" s="29" t="e">
        <f t="shared" si="109"/>
        <v>#REF!</v>
      </c>
      <c r="EZB247" s="29" t="e">
        <f t="shared" si="109"/>
        <v>#REF!</v>
      </c>
      <c r="EZC247" s="29" t="e">
        <f t="shared" si="109"/>
        <v>#REF!</v>
      </c>
      <c r="EZD247" s="29" t="e">
        <f t="shared" si="109"/>
        <v>#REF!</v>
      </c>
      <c r="EZE247" s="29" t="e">
        <f t="shared" si="109"/>
        <v>#REF!</v>
      </c>
      <c r="EZF247" s="29" t="e">
        <f t="shared" si="109"/>
        <v>#REF!</v>
      </c>
      <c r="EZG247" s="29" t="e">
        <f t="shared" si="109"/>
        <v>#REF!</v>
      </c>
      <c r="EZH247" s="29" t="e">
        <f t="shared" si="109"/>
        <v>#REF!</v>
      </c>
      <c r="EZI247" s="29" t="e">
        <f t="shared" si="109"/>
        <v>#REF!</v>
      </c>
      <c r="EZJ247" s="29" t="e">
        <f t="shared" si="109"/>
        <v>#REF!</v>
      </c>
      <c r="EZK247" s="29" t="e">
        <f t="shared" si="109"/>
        <v>#REF!</v>
      </c>
      <c r="EZL247" s="29" t="e">
        <f t="shared" si="109"/>
        <v>#REF!</v>
      </c>
      <c r="EZM247" s="29" t="e">
        <f t="shared" si="109"/>
        <v>#REF!</v>
      </c>
      <c r="EZN247" s="29" t="e">
        <f t="shared" si="109"/>
        <v>#REF!</v>
      </c>
      <c r="EZO247" s="29" t="e">
        <f t="shared" si="109"/>
        <v>#REF!</v>
      </c>
      <c r="EZP247" s="29" t="e">
        <f t="shared" si="109"/>
        <v>#REF!</v>
      </c>
      <c r="EZQ247" s="29" t="e">
        <f t="shared" si="109"/>
        <v>#REF!</v>
      </c>
      <c r="EZR247" s="29" t="e">
        <f t="shared" si="109"/>
        <v>#REF!</v>
      </c>
      <c r="EZS247" s="29" t="e">
        <f t="shared" si="109"/>
        <v>#REF!</v>
      </c>
      <c r="EZT247" s="29" t="e">
        <f t="shared" si="109"/>
        <v>#REF!</v>
      </c>
      <c r="EZU247" s="29" t="e">
        <f t="shared" si="109"/>
        <v>#REF!</v>
      </c>
      <c r="EZV247" s="29" t="e">
        <f t="shared" si="109"/>
        <v>#REF!</v>
      </c>
      <c r="EZW247" s="29" t="e">
        <f t="shared" si="109"/>
        <v>#REF!</v>
      </c>
      <c r="EZX247" s="29" t="e">
        <f t="shared" si="109"/>
        <v>#REF!</v>
      </c>
      <c r="EZY247" s="29" t="e">
        <f t="shared" si="109"/>
        <v>#REF!</v>
      </c>
      <c r="EZZ247" s="29" t="e">
        <f t="shared" si="109"/>
        <v>#REF!</v>
      </c>
      <c r="FAA247" s="29" t="e">
        <f t="shared" si="109"/>
        <v>#REF!</v>
      </c>
      <c r="FAB247" s="29" t="e">
        <f t="shared" si="109"/>
        <v>#REF!</v>
      </c>
      <c r="FAC247" s="29" t="e">
        <f t="shared" si="109"/>
        <v>#REF!</v>
      </c>
      <c r="FAD247" s="29" t="e">
        <f t="shared" si="109"/>
        <v>#REF!</v>
      </c>
      <c r="FAE247" s="29" t="e">
        <f t="shared" si="109"/>
        <v>#REF!</v>
      </c>
      <c r="FAF247" s="29" t="e">
        <f t="shared" si="109"/>
        <v>#REF!</v>
      </c>
      <c r="FAG247" s="29" t="e">
        <f t="shared" si="109"/>
        <v>#REF!</v>
      </c>
      <c r="FAH247" s="29" t="e">
        <f t="shared" si="109"/>
        <v>#REF!</v>
      </c>
      <c r="FAI247" s="29" t="e">
        <f t="shared" si="109"/>
        <v>#REF!</v>
      </c>
      <c r="FAJ247" s="29" t="e">
        <f t="shared" si="109"/>
        <v>#REF!</v>
      </c>
      <c r="FAK247" s="29" t="e">
        <f t="shared" si="109"/>
        <v>#REF!</v>
      </c>
      <c r="FAL247" s="29" t="e">
        <f t="shared" si="109"/>
        <v>#REF!</v>
      </c>
      <c r="FAM247" s="29" t="e">
        <f t="shared" si="109"/>
        <v>#REF!</v>
      </c>
      <c r="FAN247" s="29" t="e">
        <f t="shared" si="109"/>
        <v>#REF!</v>
      </c>
      <c r="FAO247" s="29" t="e">
        <f t="shared" si="109"/>
        <v>#REF!</v>
      </c>
      <c r="FAP247" s="29" t="e">
        <f t="shared" si="109"/>
        <v>#REF!</v>
      </c>
      <c r="FAQ247" s="29" t="e">
        <f t="shared" si="109"/>
        <v>#REF!</v>
      </c>
      <c r="FAR247" s="29" t="e">
        <f t="shared" si="109"/>
        <v>#REF!</v>
      </c>
      <c r="FAS247" s="29" t="e">
        <f t="shared" si="109"/>
        <v>#REF!</v>
      </c>
      <c r="FAT247" s="29" t="e">
        <f t="shared" si="109"/>
        <v>#REF!</v>
      </c>
      <c r="FAU247" s="29" t="e">
        <f t="shared" si="109"/>
        <v>#REF!</v>
      </c>
      <c r="FAV247" s="29" t="e">
        <f t="shared" si="109"/>
        <v>#REF!</v>
      </c>
      <c r="FAW247" s="29" t="e">
        <f t="shared" si="109"/>
        <v>#REF!</v>
      </c>
      <c r="FAX247" s="29" t="e">
        <f t="shared" si="109"/>
        <v>#REF!</v>
      </c>
      <c r="FAY247" s="29" t="e">
        <f t="shared" si="109"/>
        <v>#REF!</v>
      </c>
      <c r="FAZ247" s="29" t="e">
        <f t="shared" si="109"/>
        <v>#REF!</v>
      </c>
      <c r="FBA247" s="29" t="e">
        <f t="shared" si="109"/>
        <v>#REF!</v>
      </c>
      <c r="FBB247" s="29" t="e">
        <f t="shared" si="109"/>
        <v>#REF!</v>
      </c>
      <c r="FBC247" s="29" t="e">
        <f t="shared" si="109"/>
        <v>#REF!</v>
      </c>
      <c r="FBD247" s="29" t="e">
        <f t="shared" si="109"/>
        <v>#REF!</v>
      </c>
      <c r="FBE247" s="29" t="e">
        <f t="shared" ref="FBE247:FDP247" si="110">FBI247&amp;FBJ247</f>
        <v>#REF!</v>
      </c>
      <c r="FBF247" s="29" t="e">
        <f t="shared" si="110"/>
        <v>#REF!</v>
      </c>
      <c r="FBG247" s="29" t="e">
        <f t="shared" si="110"/>
        <v>#REF!</v>
      </c>
      <c r="FBH247" s="29" t="e">
        <f t="shared" si="110"/>
        <v>#REF!</v>
      </c>
      <c r="FBI247" s="29" t="e">
        <f t="shared" si="110"/>
        <v>#REF!</v>
      </c>
      <c r="FBJ247" s="29" t="e">
        <f t="shared" si="110"/>
        <v>#REF!</v>
      </c>
      <c r="FBK247" s="29" t="e">
        <f t="shared" si="110"/>
        <v>#REF!</v>
      </c>
      <c r="FBL247" s="29" t="e">
        <f t="shared" si="110"/>
        <v>#REF!</v>
      </c>
      <c r="FBM247" s="29" t="e">
        <f t="shared" si="110"/>
        <v>#REF!</v>
      </c>
      <c r="FBN247" s="29" t="e">
        <f t="shared" si="110"/>
        <v>#REF!</v>
      </c>
      <c r="FBO247" s="29" t="e">
        <f t="shared" si="110"/>
        <v>#REF!</v>
      </c>
      <c r="FBP247" s="29" t="e">
        <f t="shared" si="110"/>
        <v>#REF!</v>
      </c>
      <c r="FBQ247" s="29" t="e">
        <f t="shared" si="110"/>
        <v>#REF!</v>
      </c>
      <c r="FBR247" s="29" t="e">
        <f t="shared" si="110"/>
        <v>#REF!</v>
      </c>
      <c r="FBS247" s="29" t="e">
        <f t="shared" si="110"/>
        <v>#REF!</v>
      </c>
      <c r="FBT247" s="29" t="e">
        <f t="shared" si="110"/>
        <v>#REF!</v>
      </c>
      <c r="FBU247" s="29" t="e">
        <f t="shared" si="110"/>
        <v>#REF!</v>
      </c>
      <c r="FBV247" s="29" t="e">
        <f t="shared" si="110"/>
        <v>#REF!</v>
      </c>
      <c r="FBW247" s="29" t="e">
        <f t="shared" si="110"/>
        <v>#REF!</v>
      </c>
      <c r="FBX247" s="29" t="e">
        <f t="shared" si="110"/>
        <v>#REF!</v>
      </c>
      <c r="FBY247" s="29" t="e">
        <f t="shared" si="110"/>
        <v>#REF!</v>
      </c>
      <c r="FBZ247" s="29" t="e">
        <f t="shared" si="110"/>
        <v>#REF!</v>
      </c>
      <c r="FCA247" s="29" t="e">
        <f t="shared" si="110"/>
        <v>#REF!</v>
      </c>
      <c r="FCB247" s="29" t="e">
        <f t="shared" si="110"/>
        <v>#REF!</v>
      </c>
      <c r="FCC247" s="29" t="e">
        <f t="shared" si="110"/>
        <v>#REF!</v>
      </c>
      <c r="FCD247" s="29" t="e">
        <f t="shared" si="110"/>
        <v>#REF!</v>
      </c>
      <c r="FCE247" s="29" t="e">
        <f t="shared" si="110"/>
        <v>#REF!</v>
      </c>
      <c r="FCF247" s="29" t="e">
        <f t="shared" si="110"/>
        <v>#REF!</v>
      </c>
      <c r="FCG247" s="29" t="e">
        <f t="shared" si="110"/>
        <v>#REF!</v>
      </c>
      <c r="FCH247" s="29" t="e">
        <f t="shared" si="110"/>
        <v>#REF!</v>
      </c>
      <c r="FCI247" s="29" t="e">
        <f t="shared" si="110"/>
        <v>#REF!</v>
      </c>
      <c r="FCJ247" s="29" t="e">
        <f t="shared" si="110"/>
        <v>#REF!</v>
      </c>
      <c r="FCK247" s="29" t="e">
        <f t="shared" si="110"/>
        <v>#REF!</v>
      </c>
      <c r="FCL247" s="29" t="e">
        <f t="shared" si="110"/>
        <v>#REF!</v>
      </c>
      <c r="FCM247" s="29" t="e">
        <f t="shared" si="110"/>
        <v>#REF!</v>
      </c>
      <c r="FCN247" s="29" t="e">
        <f t="shared" si="110"/>
        <v>#REF!</v>
      </c>
      <c r="FCO247" s="29" t="e">
        <f t="shared" si="110"/>
        <v>#REF!</v>
      </c>
      <c r="FCP247" s="29" t="e">
        <f t="shared" si="110"/>
        <v>#REF!</v>
      </c>
      <c r="FCQ247" s="29" t="e">
        <f t="shared" si="110"/>
        <v>#REF!</v>
      </c>
      <c r="FCR247" s="29" t="e">
        <f t="shared" si="110"/>
        <v>#REF!</v>
      </c>
      <c r="FCS247" s="29" t="e">
        <f t="shared" si="110"/>
        <v>#REF!</v>
      </c>
      <c r="FCT247" s="29" t="e">
        <f t="shared" si="110"/>
        <v>#REF!</v>
      </c>
      <c r="FCU247" s="29" t="e">
        <f t="shared" si="110"/>
        <v>#REF!</v>
      </c>
      <c r="FCV247" s="29" t="e">
        <f t="shared" si="110"/>
        <v>#REF!</v>
      </c>
      <c r="FCW247" s="29" t="e">
        <f t="shared" si="110"/>
        <v>#REF!</v>
      </c>
      <c r="FCX247" s="29" t="e">
        <f t="shared" si="110"/>
        <v>#REF!</v>
      </c>
      <c r="FCY247" s="29" t="e">
        <f t="shared" si="110"/>
        <v>#REF!</v>
      </c>
      <c r="FCZ247" s="29" t="e">
        <f t="shared" si="110"/>
        <v>#REF!</v>
      </c>
      <c r="FDA247" s="29" t="e">
        <f t="shared" si="110"/>
        <v>#REF!</v>
      </c>
      <c r="FDB247" s="29" t="e">
        <f t="shared" si="110"/>
        <v>#REF!</v>
      </c>
      <c r="FDC247" s="29" t="e">
        <f t="shared" si="110"/>
        <v>#REF!</v>
      </c>
      <c r="FDD247" s="29" t="e">
        <f t="shared" si="110"/>
        <v>#REF!</v>
      </c>
      <c r="FDE247" s="29" t="e">
        <f t="shared" si="110"/>
        <v>#REF!</v>
      </c>
      <c r="FDF247" s="29" t="e">
        <f t="shared" si="110"/>
        <v>#REF!</v>
      </c>
      <c r="FDG247" s="29" t="e">
        <f t="shared" si="110"/>
        <v>#REF!</v>
      </c>
      <c r="FDH247" s="29" t="e">
        <f t="shared" si="110"/>
        <v>#REF!</v>
      </c>
      <c r="FDI247" s="29" t="e">
        <f t="shared" si="110"/>
        <v>#REF!</v>
      </c>
      <c r="FDJ247" s="29" t="e">
        <f t="shared" si="110"/>
        <v>#REF!</v>
      </c>
      <c r="FDK247" s="29" t="e">
        <f t="shared" si="110"/>
        <v>#REF!</v>
      </c>
      <c r="FDL247" s="29" t="e">
        <f t="shared" si="110"/>
        <v>#REF!</v>
      </c>
      <c r="FDM247" s="29" t="e">
        <f t="shared" si="110"/>
        <v>#REF!</v>
      </c>
      <c r="FDN247" s="29" t="e">
        <f t="shared" si="110"/>
        <v>#REF!</v>
      </c>
      <c r="FDO247" s="29" t="e">
        <f t="shared" si="110"/>
        <v>#REF!</v>
      </c>
      <c r="FDP247" s="29" t="e">
        <f t="shared" si="110"/>
        <v>#REF!</v>
      </c>
      <c r="FDQ247" s="29" t="e">
        <f t="shared" ref="FDQ247:FGB247" si="111">FDU247&amp;FDV247</f>
        <v>#REF!</v>
      </c>
      <c r="FDR247" s="29" t="e">
        <f t="shared" si="111"/>
        <v>#REF!</v>
      </c>
      <c r="FDS247" s="29" t="e">
        <f t="shared" si="111"/>
        <v>#REF!</v>
      </c>
      <c r="FDT247" s="29" t="e">
        <f t="shared" si="111"/>
        <v>#REF!</v>
      </c>
      <c r="FDU247" s="29" t="e">
        <f t="shared" si="111"/>
        <v>#REF!</v>
      </c>
      <c r="FDV247" s="29" t="e">
        <f t="shared" si="111"/>
        <v>#REF!</v>
      </c>
      <c r="FDW247" s="29" t="e">
        <f t="shared" si="111"/>
        <v>#REF!</v>
      </c>
      <c r="FDX247" s="29" t="e">
        <f t="shared" si="111"/>
        <v>#REF!</v>
      </c>
      <c r="FDY247" s="29" t="e">
        <f t="shared" si="111"/>
        <v>#REF!</v>
      </c>
      <c r="FDZ247" s="29" t="e">
        <f t="shared" si="111"/>
        <v>#REF!</v>
      </c>
      <c r="FEA247" s="29" t="e">
        <f t="shared" si="111"/>
        <v>#REF!</v>
      </c>
      <c r="FEB247" s="29" t="e">
        <f t="shared" si="111"/>
        <v>#REF!</v>
      </c>
      <c r="FEC247" s="29" t="e">
        <f t="shared" si="111"/>
        <v>#REF!</v>
      </c>
      <c r="FED247" s="29" t="e">
        <f t="shared" si="111"/>
        <v>#REF!</v>
      </c>
      <c r="FEE247" s="29" t="e">
        <f t="shared" si="111"/>
        <v>#REF!</v>
      </c>
      <c r="FEF247" s="29" t="e">
        <f t="shared" si="111"/>
        <v>#REF!</v>
      </c>
      <c r="FEG247" s="29" t="e">
        <f t="shared" si="111"/>
        <v>#REF!</v>
      </c>
      <c r="FEH247" s="29" t="e">
        <f t="shared" si="111"/>
        <v>#REF!</v>
      </c>
      <c r="FEI247" s="29" t="e">
        <f t="shared" si="111"/>
        <v>#REF!</v>
      </c>
      <c r="FEJ247" s="29" t="e">
        <f t="shared" si="111"/>
        <v>#REF!</v>
      </c>
      <c r="FEK247" s="29" t="e">
        <f t="shared" si="111"/>
        <v>#REF!</v>
      </c>
      <c r="FEL247" s="29" t="e">
        <f t="shared" si="111"/>
        <v>#REF!</v>
      </c>
      <c r="FEM247" s="29" t="e">
        <f t="shared" si="111"/>
        <v>#REF!</v>
      </c>
      <c r="FEN247" s="29" t="e">
        <f t="shared" si="111"/>
        <v>#REF!</v>
      </c>
      <c r="FEO247" s="29" t="e">
        <f t="shared" si="111"/>
        <v>#REF!</v>
      </c>
      <c r="FEP247" s="29" t="e">
        <f t="shared" si="111"/>
        <v>#REF!</v>
      </c>
      <c r="FEQ247" s="29" t="e">
        <f t="shared" si="111"/>
        <v>#REF!</v>
      </c>
      <c r="FER247" s="29" t="e">
        <f t="shared" si="111"/>
        <v>#REF!</v>
      </c>
      <c r="FES247" s="29" t="e">
        <f t="shared" si="111"/>
        <v>#REF!</v>
      </c>
      <c r="FET247" s="29" t="e">
        <f t="shared" si="111"/>
        <v>#REF!</v>
      </c>
      <c r="FEU247" s="29" t="e">
        <f t="shared" si="111"/>
        <v>#REF!</v>
      </c>
      <c r="FEV247" s="29" t="e">
        <f t="shared" si="111"/>
        <v>#REF!</v>
      </c>
      <c r="FEW247" s="29" t="e">
        <f t="shared" si="111"/>
        <v>#REF!</v>
      </c>
      <c r="FEX247" s="29" t="e">
        <f t="shared" si="111"/>
        <v>#REF!</v>
      </c>
      <c r="FEY247" s="29" t="e">
        <f t="shared" si="111"/>
        <v>#REF!</v>
      </c>
      <c r="FEZ247" s="29" t="e">
        <f t="shared" si="111"/>
        <v>#REF!</v>
      </c>
      <c r="FFA247" s="29" t="e">
        <f t="shared" si="111"/>
        <v>#REF!</v>
      </c>
      <c r="FFB247" s="29" t="e">
        <f t="shared" si="111"/>
        <v>#REF!</v>
      </c>
      <c r="FFC247" s="29" t="e">
        <f t="shared" si="111"/>
        <v>#REF!</v>
      </c>
      <c r="FFD247" s="29" t="e">
        <f t="shared" si="111"/>
        <v>#REF!</v>
      </c>
      <c r="FFE247" s="29" t="e">
        <f t="shared" si="111"/>
        <v>#REF!</v>
      </c>
      <c r="FFF247" s="29" t="e">
        <f t="shared" si="111"/>
        <v>#REF!</v>
      </c>
      <c r="FFG247" s="29" t="e">
        <f t="shared" si="111"/>
        <v>#REF!</v>
      </c>
      <c r="FFH247" s="29" t="e">
        <f t="shared" si="111"/>
        <v>#REF!</v>
      </c>
      <c r="FFI247" s="29" t="e">
        <f t="shared" si="111"/>
        <v>#REF!</v>
      </c>
      <c r="FFJ247" s="29" t="e">
        <f t="shared" si="111"/>
        <v>#REF!</v>
      </c>
      <c r="FFK247" s="29" t="e">
        <f t="shared" si="111"/>
        <v>#REF!</v>
      </c>
      <c r="FFL247" s="29" t="e">
        <f t="shared" si="111"/>
        <v>#REF!</v>
      </c>
      <c r="FFM247" s="29" t="e">
        <f t="shared" si="111"/>
        <v>#REF!</v>
      </c>
      <c r="FFN247" s="29" t="e">
        <f t="shared" si="111"/>
        <v>#REF!</v>
      </c>
      <c r="FFO247" s="29" t="e">
        <f t="shared" si="111"/>
        <v>#REF!</v>
      </c>
      <c r="FFP247" s="29" t="e">
        <f t="shared" si="111"/>
        <v>#REF!</v>
      </c>
      <c r="FFQ247" s="29" t="e">
        <f t="shared" si="111"/>
        <v>#REF!</v>
      </c>
      <c r="FFR247" s="29" t="e">
        <f t="shared" si="111"/>
        <v>#REF!</v>
      </c>
      <c r="FFS247" s="29" t="e">
        <f t="shared" si="111"/>
        <v>#REF!</v>
      </c>
      <c r="FFT247" s="29" t="e">
        <f t="shared" si="111"/>
        <v>#REF!</v>
      </c>
      <c r="FFU247" s="29" t="e">
        <f t="shared" si="111"/>
        <v>#REF!</v>
      </c>
      <c r="FFV247" s="29" t="e">
        <f t="shared" si="111"/>
        <v>#REF!</v>
      </c>
      <c r="FFW247" s="29" t="e">
        <f t="shared" si="111"/>
        <v>#REF!</v>
      </c>
      <c r="FFX247" s="29" t="e">
        <f t="shared" si="111"/>
        <v>#REF!</v>
      </c>
      <c r="FFY247" s="29" t="e">
        <f t="shared" si="111"/>
        <v>#REF!</v>
      </c>
      <c r="FFZ247" s="29" t="e">
        <f t="shared" si="111"/>
        <v>#REF!</v>
      </c>
      <c r="FGA247" s="29" t="e">
        <f t="shared" si="111"/>
        <v>#REF!</v>
      </c>
      <c r="FGB247" s="29" t="e">
        <f t="shared" si="111"/>
        <v>#REF!</v>
      </c>
      <c r="FGC247" s="29" t="e">
        <f t="shared" ref="FGC247:FIN247" si="112">FGG247&amp;FGH247</f>
        <v>#REF!</v>
      </c>
      <c r="FGD247" s="29" t="e">
        <f t="shared" si="112"/>
        <v>#REF!</v>
      </c>
      <c r="FGE247" s="29" t="e">
        <f t="shared" si="112"/>
        <v>#REF!</v>
      </c>
      <c r="FGF247" s="29" t="e">
        <f t="shared" si="112"/>
        <v>#REF!</v>
      </c>
      <c r="FGG247" s="29" t="e">
        <f t="shared" si="112"/>
        <v>#REF!</v>
      </c>
      <c r="FGH247" s="29" t="e">
        <f t="shared" si="112"/>
        <v>#REF!</v>
      </c>
      <c r="FGI247" s="29" t="e">
        <f t="shared" si="112"/>
        <v>#REF!</v>
      </c>
      <c r="FGJ247" s="29" t="e">
        <f t="shared" si="112"/>
        <v>#REF!</v>
      </c>
      <c r="FGK247" s="29" t="e">
        <f t="shared" si="112"/>
        <v>#REF!</v>
      </c>
      <c r="FGL247" s="29" t="e">
        <f t="shared" si="112"/>
        <v>#REF!</v>
      </c>
      <c r="FGM247" s="29" t="e">
        <f t="shared" si="112"/>
        <v>#REF!</v>
      </c>
      <c r="FGN247" s="29" t="e">
        <f t="shared" si="112"/>
        <v>#REF!</v>
      </c>
      <c r="FGO247" s="29" t="e">
        <f t="shared" si="112"/>
        <v>#REF!</v>
      </c>
      <c r="FGP247" s="29" t="e">
        <f t="shared" si="112"/>
        <v>#REF!</v>
      </c>
      <c r="FGQ247" s="29" t="e">
        <f t="shared" si="112"/>
        <v>#REF!</v>
      </c>
      <c r="FGR247" s="29" t="e">
        <f t="shared" si="112"/>
        <v>#REF!</v>
      </c>
      <c r="FGS247" s="29" t="e">
        <f t="shared" si="112"/>
        <v>#REF!</v>
      </c>
      <c r="FGT247" s="29" t="e">
        <f t="shared" si="112"/>
        <v>#REF!</v>
      </c>
      <c r="FGU247" s="29" t="e">
        <f t="shared" si="112"/>
        <v>#REF!</v>
      </c>
      <c r="FGV247" s="29" t="e">
        <f t="shared" si="112"/>
        <v>#REF!</v>
      </c>
      <c r="FGW247" s="29" t="e">
        <f t="shared" si="112"/>
        <v>#REF!</v>
      </c>
      <c r="FGX247" s="29" t="e">
        <f t="shared" si="112"/>
        <v>#REF!</v>
      </c>
      <c r="FGY247" s="29" t="e">
        <f t="shared" si="112"/>
        <v>#REF!</v>
      </c>
      <c r="FGZ247" s="29" t="e">
        <f t="shared" si="112"/>
        <v>#REF!</v>
      </c>
      <c r="FHA247" s="29" t="e">
        <f t="shared" si="112"/>
        <v>#REF!</v>
      </c>
      <c r="FHB247" s="29" t="e">
        <f t="shared" si="112"/>
        <v>#REF!</v>
      </c>
      <c r="FHC247" s="29" t="e">
        <f t="shared" si="112"/>
        <v>#REF!</v>
      </c>
      <c r="FHD247" s="29" t="e">
        <f t="shared" si="112"/>
        <v>#REF!</v>
      </c>
      <c r="FHE247" s="29" t="e">
        <f t="shared" si="112"/>
        <v>#REF!</v>
      </c>
      <c r="FHF247" s="29" t="e">
        <f t="shared" si="112"/>
        <v>#REF!</v>
      </c>
      <c r="FHG247" s="29" t="e">
        <f t="shared" si="112"/>
        <v>#REF!</v>
      </c>
      <c r="FHH247" s="29" t="e">
        <f t="shared" si="112"/>
        <v>#REF!</v>
      </c>
      <c r="FHI247" s="29" t="e">
        <f t="shared" si="112"/>
        <v>#REF!</v>
      </c>
      <c r="FHJ247" s="29" t="e">
        <f t="shared" si="112"/>
        <v>#REF!</v>
      </c>
      <c r="FHK247" s="29" t="e">
        <f t="shared" si="112"/>
        <v>#REF!</v>
      </c>
      <c r="FHL247" s="29" t="e">
        <f t="shared" si="112"/>
        <v>#REF!</v>
      </c>
      <c r="FHM247" s="29" t="e">
        <f t="shared" si="112"/>
        <v>#REF!</v>
      </c>
      <c r="FHN247" s="29" t="e">
        <f t="shared" si="112"/>
        <v>#REF!</v>
      </c>
      <c r="FHO247" s="29" t="e">
        <f t="shared" si="112"/>
        <v>#REF!</v>
      </c>
      <c r="FHP247" s="29" t="e">
        <f t="shared" si="112"/>
        <v>#REF!</v>
      </c>
      <c r="FHQ247" s="29" t="e">
        <f t="shared" si="112"/>
        <v>#REF!</v>
      </c>
      <c r="FHR247" s="29" t="e">
        <f t="shared" si="112"/>
        <v>#REF!</v>
      </c>
      <c r="FHS247" s="29" t="e">
        <f t="shared" si="112"/>
        <v>#REF!</v>
      </c>
      <c r="FHT247" s="29" t="e">
        <f t="shared" si="112"/>
        <v>#REF!</v>
      </c>
      <c r="FHU247" s="29" t="e">
        <f t="shared" si="112"/>
        <v>#REF!</v>
      </c>
      <c r="FHV247" s="29" t="e">
        <f t="shared" si="112"/>
        <v>#REF!</v>
      </c>
      <c r="FHW247" s="29" t="e">
        <f t="shared" si="112"/>
        <v>#REF!</v>
      </c>
      <c r="FHX247" s="29" t="e">
        <f t="shared" si="112"/>
        <v>#REF!</v>
      </c>
      <c r="FHY247" s="29" t="e">
        <f t="shared" si="112"/>
        <v>#REF!</v>
      </c>
      <c r="FHZ247" s="29" t="e">
        <f t="shared" si="112"/>
        <v>#REF!</v>
      </c>
      <c r="FIA247" s="29" t="e">
        <f t="shared" si="112"/>
        <v>#REF!</v>
      </c>
      <c r="FIB247" s="29" t="e">
        <f t="shared" si="112"/>
        <v>#REF!</v>
      </c>
      <c r="FIC247" s="29" t="e">
        <f t="shared" si="112"/>
        <v>#REF!</v>
      </c>
      <c r="FID247" s="29" t="e">
        <f t="shared" si="112"/>
        <v>#REF!</v>
      </c>
      <c r="FIE247" s="29" t="e">
        <f t="shared" si="112"/>
        <v>#REF!</v>
      </c>
      <c r="FIF247" s="29" t="e">
        <f t="shared" si="112"/>
        <v>#REF!</v>
      </c>
      <c r="FIG247" s="29" t="e">
        <f t="shared" si="112"/>
        <v>#REF!</v>
      </c>
      <c r="FIH247" s="29" t="e">
        <f t="shared" si="112"/>
        <v>#REF!</v>
      </c>
      <c r="FII247" s="29" t="e">
        <f t="shared" si="112"/>
        <v>#REF!</v>
      </c>
      <c r="FIJ247" s="29" t="e">
        <f t="shared" si="112"/>
        <v>#REF!</v>
      </c>
      <c r="FIK247" s="29" t="e">
        <f t="shared" si="112"/>
        <v>#REF!</v>
      </c>
      <c r="FIL247" s="29" t="e">
        <f t="shared" si="112"/>
        <v>#REF!</v>
      </c>
      <c r="FIM247" s="29" t="e">
        <f t="shared" si="112"/>
        <v>#REF!</v>
      </c>
      <c r="FIN247" s="29" t="e">
        <f t="shared" si="112"/>
        <v>#REF!</v>
      </c>
      <c r="FIO247" s="29" t="e">
        <f t="shared" ref="FIO247:FKZ247" si="113">FIS247&amp;FIT247</f>
        <v>#REF!</v>
      </c>
      <c r="FIP247" s="29" t="e">
        <f t="shared" si="113"/>
        <v>#REF!</v>
      </c>
      <c r="FIQ247" s="29" t="e">
        <f t="shared" si="113"/>
        <v>#REF!</v>
      </c>
      <c r="FIR247" s="29" t="e">
        <f t="shared" si="113"/>
        <v>#REF!</v>
      </c>
      <c r="FIS247" s="29" t="e">
        <f t="shared" si="113"/>
        <v>#REF!</v>
      </c>
      <c r="FIT247" s="29" t="e">
        <f t="shared" si="113"/>
        <v>#REF!</v>
      </c>
      <c r="FIU247" s="29" t="e">
        <f t="shared" si="113"/>
        <v>#REF!</v>
      </c>
      <c r="FIV247" s="29" t="e">
        <f t="shared" si="113"/>
        <v>#REF!</v>
      </c>
      <c r="FIW247" s="29" t="e">
        <f t="shared" si="113"/>
        <v>#REF!</v>
      </c>
      <c r="FIX247" s="29" t="e">
        <f t="shared" si="113"/>
        <v>#REF!</v>
      </c>
      <c r="FIY247" s="29" t="e">
        <f t="shared" si="113"/>
        <v>#REF!</v>
      </c>
      <c r="FIZ247" s="29" t="e">
        <f t="shared" si="113"/>
        <v>#REF!</v>
      </c>
      <c r="FJA247" s="29" t="e">
        <f t="shared" si="113"/>
        <v>#REF!</v>
      </c>
      <c r="FJB247" s="29" t="e">
        <f t="shared" si="113"/>
        <v>#REF!</v>
      </c>
      <c r="FJC247" s="29" t="e">
        <f t="shared" si="113"/>
        <v>#REF!</v>
      </c>
      <c r="FJD247" s="29" t="e">
        <f t="shared" si="113"/>
        <v>#REF!</v>
      </c>
      <c r="FJE247" s="29" t="e">
        <f t="shared" si="113"/>
        <v>#REF!</v>
      </c>
      <c r="FJF247" s="29" t="e">
        <f t="shared" si="113"/>
        <v>#REF!</v>
      </c>
      <c r="FJG247" s="29" t="e">
        <f t="shared" si="113"/>
        <v>#REF!</v>
      </c>
      <c r="FJH247" s="29" t="e">
        <f t="shared" si="113"/>
        <v>#REF!</v>
      </c>
      <c r="FJI247" s="29" t="e">
        <f t="shared" si="113"/>
        <v>#REF!</v>
      </c>
      <c r="FJJ247" s="29" t="e">
        <f t="shared" si="113"/>
        <v>#REF!</v>
      </c>
      <c r="FJK247" s="29" t="e">
        <f t="shared" si="113"/>
        <v>#REF!</v>
      </c>
      <c r="FJL247" s="29" t="e">
        <f t="shared" si="113"/>
        <v>#REF!</v>
      </c>
      <c r="FJM247" s="29" t="e">
        <f t="shared" si="113"/>
        <v>#REF!</v>
      </c>
      <c r="FJN247" s="29" t="e">
        <f t="shared" si="113"/>
        <v>#REF!</v>
      </c>
      <c r="FJO247" s="29" t="e">
        <f t="shared" si="113"/>
        <v>#REF!</v>
      </c>
      <c r="FJP247" s="29" t="e">
        <f t="shared" si="113"/>
        <v>#REF!</v>
      </c>
      <c r="FJQ247" s="29" t="e">
        <f t="shared" si="113"/>
        <v>#REF!</v>
      </c>
      <c r="FJR247" s="29" t="e">
        <f t="shared" si="113"/>
        <v>#REF!</v>
      </c>
      <c r="FJS247" s="29" t="e">
        <f t="shared" si="113"/>
        <v>#REF!</v>
      </c>
      <c r="FJT247" s="29" t="e">
        <f t="shared" si="113"/>
        <v>#REF!</v>
      </c>
      <c r="FJU247" s="29" t="e">
        <f t="shared" si="113"/>
        <v>#REF!</v>
      </c>
      <c r="FJV247" s="29" t="e">
        <f t="shared" si="113"/>
        <v>#REF!</v>
      </c>
      <c r="FJW247" s="29" t="e">
        <f t="shared" si="113"/>
        <v>#REF!</v>
      </c>
      <c r="FJX247" s="29" t="e">
        <f t="shared" si="113"/>
        <v>#REF!</v>
      </c>
      <c r="FJY247" s="29" t="e">
        <f t="shared" si="113"/>
        <v>#REF!</v>
      </c>
      <c r="FJZ247" s="29" t="e">
        <f t="shared" si="113"/>
        <v>#REF!</v>
      </c>
      <c r="FKA247" s="29" t="e">
        <f t="shared" si="113"/>
        <v>#REF!</v>
      </c>
      <c r="FKB247" s="29" t="e">
        <f t="shared" si="113"/>
        <v>#REF!</v>
      </c>
      <c r="FKC247" s="29" t="e">
        <f t="shared" si="113"/>
        <v>#REF!</v>
      </c>
      <c r="FKD247" s="29" t="e">
        <f t="shared" si="113"/>
        <v>#REF!</v>
      </c>
      <c r="FKE247" s="29" t="e">
        <f t="shared" si="113"/>
        <v>#REF!</v>
      </c>
      <c r="FKF247" s="29" t="e">
        <f t="shared" si="113"/>
        <v>#REF!</v>
      </c>
      <c r="FKG247" s="29" t="e">
        <f t="shared" si="113"/>
        <v>#REF!</v>
      </c>
      <c r="FKH247" s="29" t="e">
        <f t="shared" si="113"/>
        <v>#REF!</v>
      </c>
      <c r="FKI247" s="29" t="e">
        <f t="shared" si="113"/>
        <v>#REF!</v>
      </c>
      <c r="FKJ247" s="29" t="e">
        <f t="shared" si="113"/>
        <v>#REF!</v>
      </c>
      <c r="FKK247" s="29" t="e">
        <f t="shared" si="113"/>
        <v>#REF!</v>
      </c>
      <c r="FKL247" s="29" t="e">
        <f t="shared" si="113"/>
        <v>#REF!</v>
      </c>
      <c r="FKM247" s="29" t="e">
        <f t="shared" si="113"/>
        <v>#REF!</v>
      </c>
      <c r="FKN247" s="29" t="e">
        <f t="shared" si="113"/>
        <v>#REF!</v>
      </c>
      <c r="FKO247" s="29" t="e">
        <f t="shared" si="113"/>
        <v>#REF!</v>
      </c>
      <c r="FKP247" s="29" t="e">
        <f t="shared" si="113"/>
        <v>#REF!</v>
      </c>
      <c r="FKQ247" s="29" t="e">
        <f t="shared" si="113"/>
        <v>#REF!</v>
      </c>
      <c r="FKR247" s="29" t="e">
        <f t="shared" si="113"/>
        <v>#REF!</v>
      </c>
      <c r="FKS247" s="29" t="e">
        <f t="shared" si="113"/>
        <v>#REF!</v>
      </c>
      <c r="FKT247" s="29" t="e">
        <f t="shared" si="113"/>
        <v>#REF!</v>
      </c>
      <c r="FKU247" s="29" t="e">
        <f t="shared" si="113"/>
        <v>#REF!</v>
      </c>
      <c r="FKV247" s="29" t="e">
        <f t="shared" si="113"/>
        <v>#REF!</v>
      </c>
      <c r="FKW247" s="29" t="e">
        <f t="shared" si="113"/>
        <v>#REF!</v>
      </c>
      <c r="FKX247" s="29" t="e">
        <f t="shared" si="113"/>
        <v>#REF!</v>
      </c>
      <c r="FKY247" s="29" t="e">
        <f t="shared" si="113"/>
        <v>#REF!</v>
      </c>
      <c r="FKZ247" s="29" t="e">
        <f t="shared" si="113"/>
        <v>#REF!</v>
      </c>
      <c r="FLA247" s="29" t="e">
        <f t="shared" ref="FLA247:FNL247" si="114">FLE247&amp;FLF247</f>
        <v>#REF!</v>
      </c>
      <c r="FLB247" s="29" t="e">
        <f t="shared" si="114"/>
        <v>#REF!</v>
      </c>
      <c r="FLC247" s="29" t="e">
        <f t="shared" si="114"/>
        <v>#REF!</v>
      </c>
      <c r="FLD247" s="29" t="e">
        <f t="shared" si="114"/>
        <v>#REF!</v>
      </c>
      <c r="FLE247" s="29" t="e">
        <f t="shared" si="114"/>
        <v>#REF!</v>
      </c>
      <c r="FLF247" s="29" t="e">
        <f t="shared" si="114"/>
        <v>#REF!</v>
      </c>
      <c r="FLG247" s="29" t="e">
        <f t="shared" si="114"/>
        <v>#REF!</v>
      </c>
      <c r="FLH247" s="29" t="e">
        <f t="shared" si="114"/>
        <v>#REF!</v>
      </c>
      <c r="FLI247" s="29" t="e">
        <f t="shared" si="114"/>
        <v>#REF!</v>
      </c>
      <c r="FLJ247" s="29" t="e">
        <f t="shared" si="114"/>
        <v>#REF!</v>
      </c>
      <c r="FLK247" s="29" t="e">
        <f t="shared" si="114"/>
        <v>#REF!</v>
      </c>
      <c r="FLL247" s="29" t="e">
        <f t="shared" si="114"/>
        <v>#REF!</v>
      </c>
      <c r="FLM247" s="29" t="e">
        <f t="shared" si="114"/>
        <v>#REF!</v>
      </c>
      <c r="FLN247" s="29" t="e">
        <f t="shared" si="114"/>
        <v>#REF!</v>
      </c>
      <c r="FLO247" s="29" t="e">
        <f t="shared" si="114"/>
        <v>#REF!</v>
      </c>
      <c r="FLP247" s="29" t="e">
        <f t="shared" si="114"/>
        <v>#REF!</v>
      </c>
      <c r="FLQ247" s="29" t="e">
        <f t="shared" si="114"/>
        <v>#REF!</v>
      </c>
      <c r="FLR247" s="29" t="e">
        <f t="shared" si="114"/>
        <v>#REF!</v>
      </c>
      <c r="FLS247" s="29" t="e">
        <f t="shared" si="114"/>
        <v>#REF!</v>
      </c>
      <c r="FLT247" s="29" t="e">
        <f t="shared" si="114"/>
        <v>#REF!</v>
      </c>
      <c r="FLU247" s="29" t="e">
        <f t="shared" si="114"/>
        <v>#REF!</v>
      </c>
      <c r="FLV247" s="29" t="e">
        <f t="shared" si="114"/>
        <v>#REF!</v>
      </c>
      <c r="FLW247" s="29" t="e">
        <f t="shared" si="114"/>
        <v>#REF!</v>
      </c>
      <c r="FLX247" s="29" t="e">
        <f t="shared" si="114"/>
        <v>#REF!</v>
      </c>
      <c r="FLY247" s="29" t="e">
        <f t="shared" si="114"/>
        <v>#REF!</v>
      </c>
      <c r="FLZ247" s="29" t="e">
        <f t="shared" si="114"/>
        <v>#REF!</v>
      </c>
      <c r="FMA247" s="29" t="e">
        <f t="shared" si="114"/>
        <v>#REF!</v>
      </c>
      <c r="FMB247" s="29" t="e">
        <f t="shared" si="114"/>
        <v>#REF!</v>
      </c>
      <c r="FMC247" s="29" t="e">
        <f t="shared" si="114"/>
        <v>#REF!</v>
      </c>
      <c r="FMD247" s="29" t="e">
        <f t="shared" si="114"/>
        <v>#REF!</v>
      </c>
      <c r="FME247" s="29" t="e">
        <f t="shared" si="114"/>
        <v>#REF!</v>
      </c>
      <c r="FMF247" s="29" t="e">
        <f t="shared" si="114"/>
        <v>#REF!</v>
      </c>
      <c r="FMG247" s="29" t="e">
        <f t="shared" si="114"/>
        <v>#REF!</v>
      </c>
      <c r="FMH247" s="29" t="e">
        <f t="shared" si="114"/>
        <v>#REF!</v>
      </c>
      <c r="FMI247" s="29" t="e">
        <f t="shared" si="114"/>
        <v>#REF!</v>
      </c>
      <c r="FMJ247" s="29" t="e">
        <f t="shared" si="114"/>
        <v>#REF!</v>
      </c>
      <c r="FMK247" s="29" t="e">
        <f t="shared" si="114"/>
        <v>#REF!</v>
      </c>
      <c r="FML247" s="29" t="e">
        <f t="shared" si="114"/>
        <v>#REF!</v>
      </c>
      <c r="FMM247" s="29" t="e">
        <f t="shared" si="114"/>
        <v>#REF!</v>
      </c>
      <c r="FMN247" s="29" t="e">
        <f t="shared" si="114"/>
        <v>#REF!</v>
      </c>
      <c r="FMO247" s="29" t="e">
        <f t="shared" si="114"/>
        <v>#REF!</v>
      </c>
      <c r="FMP247" s="29" t="e">
        <f t="shared" si="114"/>
        <v>#REF!</v>
      </c>
      <c r="FMQ247" s="29" t="e">
        <f t="shared" si="114"/>
        <v>#REF!</v>
      </c>
      <c r="FMR247" s="29" t="e">
        <f t="shared" si="114"/>
        <v>#REF!</v>
      </c>
      <c r="FMS247" s="29" t="e">
        <f t="shared" si="114"/>
        <v>#REF!</v>
      </c>
      <c r="FMT247" s="29" t="e">
        <f t="shared" si="114"/>
        <v>#REF!</v>
      </c>
      <c r="FMU247" s="29" t="e">
        <f t="shared" si="114"/>
        <v>#REF!</v>
      </c>
      <c r="FMV247" s="29" t="e">
        <f t="shared" si="114"/>
        <v>#REF!</v>
      </c>
      <c r="FMW247" s="29" t="e">
        <f t="shared" si="114"/>
        <v>#REF!</v>
      </c>
      <c r="FMX247" s="29" t="e">
        <f t="shared" si="114"/>
        <v>#REF!</v>
      </c>
      <c r="FMY247" s="29" t="e">
        <f t="shared" si="114"/>
        <v>#REF!</v>
      </c>
      <c r="FMZ247" s="29" t="e">
        <f t="shared" si="114"/>
        <v>#REF!</v>
      </c>
      <c r="FNA247" s="29" t="e">
        <f t="shared" si="114"/>
        <v>#REF!</v>
      </c>
      <c r="FNB247" s="29" t="e">
        <f t="shared" si="114"/>
        <v>#REF!</v>
      </c>
      <c r="FNC247" s="29" t="e">
        <f t="shared" si="114"/>
        <v>#REF!</v>
      </c>
      <c r="FND247" s="29" t="e">
        <f t="shared" si="114"/>
        <v>#REF!</v>
      </c>
      <c r="FNE247" s="29" t="e">
        <f t="shared" si="114"/>
        <v>#REF!</v>
      </c>
      <c r="FNF247" s="29" t="e">
        <f t="shared" si="114"/>
        <v>#REF!</v>
      </c>
      <c r="FNG247" s="29" t="e">
        <f t="shared" si="114"/>
        <v>#REF!</v>
      </c>
      <c r="FNH247" s="29" t="e">
        <f t="shared" si="114"/>
        <v>#REF!</v>
      </c>
      <c r="FNI247" s="29" t="e">
        <f t="shared" si="114"/>
        <v>#REF!</v>
      </c>
      <c r="FNJ247" s="29" t="e">
        <f t="shared" si="114"/>
        <v>#REF!</v>
      </c>
      <c r="FNK247" s="29" t="e">
        <f t="shared" si="114"/>
        <v>#REF!</v>
      </c>
      <c r="FNL247" s="29" t="e">
        <f t="shared" si="114"/>
        <v>#REF!</v>
      </c>
      <c r="FNM247" s="29" t="e">
        <f t="shared" ref="FNM247:FPX247" si="115">FNQ247&amp;FNR247</f>
        <v>#REF!</v>
      </c>
      <c r="FNN247" s="29" t="e">
        <f t="shared" si="115"/>
        <v>#REF!</v>
      </c>
      <c r="FNO247" s="29" t="e">
        <f t="shared" si="115"/>
        <v>#REF!</v>
      </c>
      <c r="FNP247" s="29" t="e">
        <f t="shared" si="115"/>
        <v>#REF!</v>
      </c>
      <c r="FNQ247" s="29" t="e">
        <f t="shared" si="115"/>
        <v>#REF!</v>
      </c>
      <c r="FNR247" s="29" t="e">
        <f t="shared" si="115"/>
        <v>#REF!</v>
      </c>
      <c r="FNS247" s="29" t="e">
        <f t="shared" si="115"/>
        <v>#REF!</v>
      </c>
      <c r="FNT247" s="29" t="e">
        <f t="shared" si="115"/>
        <v>#REF!</v>
      </c>
      <c r="FNU247" s="29" t="e">
        <f t="shared" si="115"/>
        <v>#REF!</v>
      </c>
      <c r="FNV247" s="29" t="e">
        <f t="shared" si="115"/>
        <v>#REF!</v>
      </c>
      <c r="FNW247" s="29" t="e">
        <f t="shared" si="115"/>
        <v>#REF!</v>
      </c>
      <c r="FNX247" s="29" t="e">
        <f t="shared" si="115"/>
        <v>#REF!</v>
      </c>
      <c r="FNY247" s="29" t="e">
        <f t="shared" si="115"/>
        <v>#REF!</v>
      </c>
      <c r="FNZ247" s="29" t="e">
        <f t="shared" si="115"/>
        <v>#REF!</v>
      </c>
      <c r="FOA247" s="29" t="e">
        <f t="shared" si="115"/>
        <v>#REF!</v>
      </c>
      <c r="FOB247" s="29" t="e">
        <f t="shared" si="115"/>
        <v>#REF!</v>
      </c>
      <c r="FOC247" s="29" t="e">
        <f t="shared" si="115"/>
        <v>#REF!</v>
      </c>
      <c r="FOD247" s="29" t="e">
        <f t="shared" si="115"/>
        <v>#REF!</v>
      </c>
      <c r="FOE247" s="29" t="e">
        <f t="shared" si="115"/>
        <v>#REF!</v>
      </c>
      <c r="FOF247" s="29" t="e">
        <f t="shared" si="115"/>
        <v>#REF!</v>
      </c>
      <c r="FOG247" s="29" t="e">
        <f t="shared" si="115"/>
        <v>#REF!</v>
      </c>
      <c r="FOH247" s="29" t="e">
        <f t="shared" si="115"/>
        <v>#REF!</v>
      </c>
      <c r="FOI247" s="29" t="e">
        <f t="shared" si="115"/>
        <v>#REF!</v>
      </c>
      <c r="FOJ247" s="29" t="e">
        <f t="shared" si="115"/>
        <v>#REF!</v>
      </c>
      <c r="FOK247" s="29" t="e">
        <f t="shared" si="115"/>
        <v>#REF!</v>
      </c>
      <c r="FOL247" s="29" t="e">
        <f t="shared" si="115"/>
        <v>#REF!</v>
      </c>
      <c r="FOM247" s="29" t="e">
        <f t="shared" si="115"/>
        <v>#REF!</v>
      </c>
      <c r="FON247" s="29" t="e">
        <f t="shared" si="115"/>
        <v>#REF!</v>
      </c>
      <c r="FOO247" s="29" t="e">
        <f t="shared" si="115"/>
        <v>#REF!</v>
      </c>
      <c r="FOP247" s="29" t="e">
        <f t="shared" si="115"/>
        <v>#REF!</v>
      </c>
      <c r="FOQ247" s="29" t="e">
        <f t="shared" si="115"/>
        <v>#REF!</v>
      </c>
      <c r="FOR247" s="29" t="e">
        <f t="shared" si="115"/>
        <v>#REF!</v>
      </c>
      <c r="FOS247" s="29" t="e">
        <f t="shared" si="115"/>
        <v>#REF!</v>
      </c>
      <c r="FOT247" s="29" t="e">
        <f t="shared" si="115"/>
        <v>#REF!</v>
      </c>
      <c r="FOU247" s="29" t="e">
        <f t="shared" si="115"/>
        <v>#REF!</v>
      </c>
      <c r="FOV247" s="29" t="e">
        <f t="shared" si="115"/>
        <v>#REF!</v>
      </c>
      <c r="FOW247" s="29" t="e">
        <f t="shared" si="115"/>
        <v>#REF!</v>
      </c>
      <c r="FOX247" s="29" t="e">
        <f t="shared" si="115"/>
        <v>#REF!</v>
      </c>
      <c r="FOY247" s="29" t="e">
        <f t="shared" si="115"/>
        <v>#REF!</v>
      </c>
      <c r="FOZ247" s="29" t="e">
        <f t="shared" si="115"/>
        <v>#REF!</v>
      </c>
      <c r="FPA247" s="29" t="e">
        <f t="shared" si="115"/>
        <v>#REF!</v>
      </c>
      <c r="FPB247" s="29" t="e">
        <f t="shared" si="115"/>
        <v>#REF!</v>
      </c>
      <c r="FPC247" s="29" t="e">
        <f t="shared" si="115"/>
        <v>#REF!</v>
      </c>
      <c r="FPD247" s="29" t="e">
        <f t="shared" si="115"/>
        <v>#REF!</v>
      </c>
      <c r="FPE247" s="29" t="e">
        <f t="shared" si="115"/>
        <v>#REF!</v>
      </c>
      <c r="FPF247" s="29" t="e">
        <f t="shared" si="115"/>
        <v>#REF!</v>
      </c>
      <c r="FPG247" s="29" t="e">
        <f t="shared" si="115"/>
        <v>#REF!</v>
      </c>
      <c r="FPH247" s="29" t="e">
        <f t="shared" si="115"/>
        <v>#REF!</v>
      </c>
      <c r="FPI247" s="29" t="e">
        <f t="shared" si="115"/>
        <v>#REF!</v>
      </c>
      <c r="FPJ247" s="29" t="e">
        <f t="shared" si="115"/>
        <v>#REF!</v>
      </c>
      <c r="FPK247" s="29" t="e">
        <f t="shared" si="115"/>
        <v>#REF!</v>
      </c>
      <c r="FPL247" s="29" t="e">
        <f t="shared" si="115"/>
        <v>#REF!</v>
      </c>
      <c r="FPM247" s="29" t="e">
        <f t="shared" si="115"/>
        <v>#REF!</v>
      </c>
      <c r="FPN247" s="29" t="e">
        <f t="shared" si="115"/>
        <v>#REF!</v>
      </c>
      <c r="FPO247" s="29" t="e">
        <f t="shared" si="115"/>
        <v>#REF!</v>
      </c>
      <c r="FPP247" s="29" t="e">
        <f t="shared" si="115"/>
        <v>#REF!</v>
      </c>
      <c r="FPQ247" s="29" t="e">
        <f t="shared" si="115"/>
        <v>#REF!</v>
      </c>
      <c r="FPR247" s="29" t="e">
        <f t="shared" si="115"/>
        <v>#REF!</v>
      </c>
      <c r="FPS247" s="29" t="e">
        <f t="shared" si="115"/>
        <v>#REF!</v>
      </c>
      <c r="FPT247" s="29" t="e">
        <f t="shared" si="115"/>
        <v>#REF!</v>
      </c>
      <c r="FPU247" s="29" t="e">
        <f t="shared" si="115"/>
        <v>#REF!</v>
      </c>
      <c r="FPV247" s="29" t="e">
        <f t="shared" si="115"/>
        <v>#REF!</v>
      </c>
      <c r="FPW247" s="29" t="e">
        <f t="shared" si="115"/>
        <v>#REF!</v>
      </c>
      <c r="FPX247" s="29" t="e">
        <f t="shared" si="115"/>
        <v>#REF!</v>
      </c>
      <c r="FPY247" s="29" t="e">
        <f t="shared" ref="FPY247:FSJ247" si="116">FQC247&amp;FQD247</f>
        <v>#REF!</v>
      </c>
      <c r="FPZ247" s="29" t="e">
        <f t="shared" si="116"/>
        <v>#REF!</v>
      </c>
      <c r="FQA247" s="29" t="e">
        <f t="shared" si="116"/>
        <v>#REF!</v>
      </c>
      <c r="FQB247" s="29" t="e">
        <f t="shared" si="116"/>
        <v>#REF!</v>
      </c>
      <c r="FQC247" s="29" t="e">
        <f t="shared" si="116"/>
        <v>#REF!</v>
      </c>
      <c r="FQD247" s="29" t="e">
        <f t="shared" si="116"/>
        <v>#REF!</v>
      </c>
      <c r="FQE247" s="29" t="e">
        <f t="shared" si="116"/>
        <v>#REF!</v>
      </c>
      <c r="FQF247" s="29" t="e">
        <f t="shared" si="116"/>
        <v>#REF!</v>
      </c>
      <c r="FQG247" s="29" t="e">
        <f t="shared" si="116"/>
        <v>#REF!</v>
      </c>
      <c r="FQH247" s="29" t="e">
        <f t="shared" si="116"/>
        <v>#REF!</v>
      </c>
      <c r="FQI247" s="29" t="e">
        <f t="shared" si="116"/>
        <v>#REF!</v>
      </c>
      <c r="FQJ247" s="29" t="e">
        <f t="shared" si="116"/>
        <v>#REF!</v>
      </c>
      <c r="FQK247" s="29" t="e">
        <f t="shared" si="116"/>
        <v>#REF!</v>
      </c>
      <c r="FQL247" s="29" t="e">
        <f t="shared" si="116"/>
        <v>#REF!</v>
      </c>
      <c r="FQM247" s="29" t="e">
        <f t="shared" si="116"/>
        <v>#REF!</v>
      </c>
      <c r="FQN247" s="29" t="e">
        <f t="shared" si="116"/>
        <v>#REF!</v>
      </c>
      <c r="FQO247" s="29" t="e">
        <f t="shared" si="116"/>
        <v>#REF!</v>
      </c>
      <c r="FQP247" s="29" t="e">
        <f t="shared" si="116"/>
        <v>#REF!</v>
      </c>
      <c r="FQQ247" s="29" t="e">
        <f t="shared" si="116"/>
        <v>#REF!</v>
      </c>
      <c r="FQR247" s="29" t="e">
        <f t="shared" si="116"/>
        <v>#REF!</v>
      </c>
      <c r="FQS247" s="29" t="e">
        <f t="shared" si="116"/>
        <v>#REF!</v>
      </c>
      <c r="FQT247" s="29" t="e">
        <f t="shared" si="116"/>
        <v>#REF!</v>
      </c>
      <c r="FQU247" s="29" t="e">
        <f t="shared" si="116"/>
        <v>#REF!</v>
      </c>
      <c r="FQV247" s="29" t="e">
        <f t="shared" si="116"/>
        <v>#REF!</v>
      </c>
      <c r="FQW247" s="29" t="e">
        <f t="shared" si="116"/>
        <v>#REF!</v>
      </c>
      <c r="FQX247" s="29" t="e">
        <f t="shared" si="116"/>
        <v>#REF!</v>
      </c>
      <c r="FQY247" s="29" t="e">
        <f t="shared" si="116"/>
        <v>#REF!</v>
      </c>
      <c r="FQZ247" s="29" t="e">
        <f t="shared" si="116"/>
        <v>#REF!</v>
      </c>
      <c r="FRA247" s="29" t="e">
        <f t="shared" si="116"/>
        <v>#REF!</v>
      </c>
      <c r="FRB247" s="29" t="e">
        <f t="shared" si="116"/>
        <v>#REF!</v>
      </c>
      <c r="FRC247" s="29" t="e">
        <f t="shared" si="116"/>
        <v>#REF!</v>
      </c>
      <c r="FRD247" s="29" t="e">
        <f t="shared" si="116"/>
        <v>#REF!</v>
      </c>
      <c r="FRE247" s="29" t="e">
        <f t="shared" si="116"/>
        <v>#REF!</v>
      </c>
      <c r="FRF247" s="29" t="e">
        <f t="shared" si="116"/>
        <v>#REF!</v>
      </c>
      <c r="FRG247" s="29" t="e">
        <f t="shared" si="116"/>
        <v>#REF!</v>
      </c>
      <c r="FRH247" s="29" t="e">
        <f t="shared" si="116"/>
        <v>#REF!</v>
      </c>
      <c r="FRI247" s="29" t="e">
        <f t="shared" si="116"/>
        <v>#REF!</v>
      </c>
      <c r="FRJ247" s="29" t="e">
        <f t="shared" si="116"/>
        <v>#REF!</v>
      </c>
      <c r="FRK247" s="29" t="e">
        <f t="shared" si="116"/>
        <v>#REF!</v>
      </c>
      <c r="FRL247" s="29" t="e">
        <f t="shared" si="116"/>
        <v>#REF!</v>
      </c>
      <c r="FRM247" s="29" t="e">
        <f t="shared" si="116"/>
        <v>#REF!</v>
      </c>
      <c r="FRN247" s="29" t="e">
        <f t="shared" si="116"/>
        <v>#REF!</v>
      </c>
      <c r="FRO247" s="29" t="e">
        <f t="shared" si="116"/>
        <v>#REF!</v>
      </c>
      <c r="FRP247" s="29" t="e">
        <f t="shared" si="116"/>
        <v>#REF!</v>
      </c>
      <c r="FRQ247" s="29" t="e">
        <f t="shared" si="116"/>
        <v>#REF!</v>
      </c>
      <c r="FRR247" s="29" t="e">
        <f t="shared" si="116"/>
        <v>#REF!</v>
      </c>
      <c r="FRS247" s="29" t="e">
        <f t="shared" si="116"/>
        <v>#REF!</v>
      </c>
      <c r="FRT247" s="29" t="e">
        <f t="shared" si="116"/>
        <v>#REF!</v>
      </c>
      <c r="FRU247" s="29" t="e">
        <f t="shared" si="116"/>
        <v>#REF!</v>
      </c>
      <c r="FRV247" s="29" t="e">
        <f t="shared" si="116"/>
        <v>#REF!</v>
      </c>
      <c r="FRW247" s="29" t="e">
        <f t="shared" si="116"/>
        <v>#REF!</v>
      </c>
      <c r="FRX247" s="29" t="e">
        <f t="shared" si="116"/>
        <v>#REF!</v>
      </c>
      <c r="FRY247" s="29" t="e">
        <f t="shared" si="116"/>
        <v>#REF!</v>
      </c>
      <c r="FRZ247" s="29" t="e">
        <f t="shared" si="116"/>
        <v>#REF!</v>
      </c>
      <c r="FSA247" s="29" t="e">
        <f t="shared" si="116"/>
        <v>#REF!</v>
      </c>
      <c r="FSB247" s="29" t="e">
        <f t="shared" si="116"/>
        <v>#REF!</v>
      </c>
      <c r="FSC247" s="29" t="e">
        <f t="shared" si="116"/>
        <v>#REF!</v>
      </c>
      <c r="FSD247" s="29" t="e">
        <f t="shared" si="116"/>
        <v>#REF!</v>
      </c>
      <c r="FSE247" s="29" t="e">
        <f t="shared" si="116"/>
        <v>#REF!</v>
      </c>
      <c r="FSF247" s="29" t="e">
        <f t="shared" si="116"/>
        <v>#REF!</v>
      </c>
      <c r="FSG247" s="29" t="e">
        <f t="shared" si="116"/>
        <v>#REF!</v>
      </c>
      <c r="FSH247" s="29" t="e">
        <f t="shared" si="116"/>
        <v>#REF!</v>
      </c>
      <c r="FSI247" s="29" t="e">
        <f t="shared" si="116"/>
        <v>#REF!</v>
      </c>
      <c r="FSJ247" s="29" t="e">
        <f t="shared" si="116"/>
        <v>#REF!</v>
      </c>
      <c r="FSK247" s="29" t="e">
        <f t="shared" ref="FSK247:FUV247" si="117">FSO247&amp;FSP247</f>
        <v>#REF!</v>
      </c>
      <c r="FSL247" s="29" t="e">
        <f t="shared" si="117"/>
        <v>#REF!</v>
      </c>
      <c r="FSM247" s="29" t="e">
        <f t="shared" si="117"/>
        <v>#REF!</v>
      </c>
      <c r="FSN247" s="29" t="e">
        <f t="shared" si="117"/>
        <v>#REF!</v>
      </c>
      <c r="FSO247" s="29" t="e">
        <f t="shared" si="117"/>
        <v>#REF!</v>
      </c>
      <c r="FSP247" s="29" t="e">
        <f t="shared" si="117"/>
        <v>#REF!</v>
      </c>
      <c r="FSQ247" s="29" t="e">
        <f t="shared" si="117"/>
        <v>#REF!</v>
      </c>
      <c r="FSR247" s="29" t="e">
        <f t="shared" si="117"/>
        <v>#REF!</v>
      </c>
      <c r="FSS247" s="29" t="e">
        <f t="shared" si="117"/>
        <v>#REF!</v>
      </c>
      <c r="FST247" s="29" t="e">
        <f t="shared" si="117"/>
        <v>#REF!</v>
      </c>
      <c r="FSU247" s="29" t="e">
        <f t="shared" si="117"/>
        <v>#REF!</v>
      </c>
      <c r="FSV247" s="29" t="e">
        <f t="shared" si="117"/>
        <v>#REF!</v>
      </c>
      <c r="FSW247" s="29" t="e">
        <f t="shared" si="117"/>
        <v>#REF!</v>
      </c>
      <c r="FSX247" s="29" t="e">
        <f t="shared" si="117"/>
        <v>#REF!</v>
      </c>
      <c r="FSY247" s="29" t="e">
        <f t="shared" si="117"/>
        <v>#REF!</v>
      </c>
      <c r="FSZ247" s="29" t="e">
        <f t="shared" si="117"/>
        <v>#REF!</v>
      </c>
      <c r="FTA247" s="29" t="e">
        <f t="shared" si="117"/>
        <v>#REF!</v>
      </c>
      <c r="FTB247" s="29" t="e">
        <f t="shared" si="117"/>
        <v>#REF!</v>
      </c>
      <c r="FTC247" s="29" t="e">
        <f t="shared" si="117"/>
        <v>#REF!</v>
      </c>
      <c r="FTD247" s="29" t="e">
        <f t="shared" si="117"/>
        <v>#REF!</v>
      </c>
      <c r="FTE247" s="29" t="e">
        <f t="shared" si="117"/>
        <v>#REF!</v>
      </c>
      <c r="FTF247" s="29" t="e">
        <f t="shared" si="117"/>
        <v>#REF!</v>
      </c>
      <c r="FTG247" s="29" t="e">
        <f t="shared" si="117"/>
        <v>#REF!</v>
      </c>
      <c r="FTH247" s="29" t="e">
        <f t="shared" si="117"/>
        <v>#REF!</v>
      </c>
      <c r="FTI247" s="29" t="e">
        <f t="shared" si="117"/>
        <v>#REF!</v>
      </c>
      <c r="FTJ247" s="29" t="e">
        <f t="shared" si="117"/>
        <v>#REF!</v>
      </c>
      <c r="FTK247" s="29" t="e">
        <f t="shared" si="117"/>
        <v>#REF!</v>
      </c>
      <c r="FTL247" s="29" t="e">
        <f t="shared" si="117"/>
        <v>#REF!</v>
      </c>
      <c r="FTM247" s="29" t="e">
        <f t="shared" si="117"/>
        <v>#REF!</v>
      </c>
      <c r="FTN247" s="29" t="e">
        <f t="shared" si="117"/>
        <v>#REF!</v>
      </c>
      <c r="FTO247" s="29" t="e">
        <f t="shared" si="117"/>
        <v>#REF!</v>
      </c>
      <c r="FTP247" s="29" t="e">
        <f t="shared" si="117"/>
        <v>#REF!</v>
      </c>
      <c r="FTQ247" s="29" t="e">
        <f t="shared" si="117"/>
        <v>#REF!</v>
      </c>
      <c r="FTR247" s="29" t="e">
        <f t="shared" si="117"/>
        <v>#REF!</v>
      </c>
      <c r="FTS247" s="29" t="e">
        <f t="shared" si="117"/>
        <v>#REF!</v>
      </c>
      <c r="FTT247" s="29" t="e">
        <f t="shared" si="117"/>
        <v>#REF!</v>
      </c>
      <c r="FTU247" s="29" t="e">
        <f t="shared" si="117"/>
        <v>#REF!</v>
      </c>
      <c r="FTV247" s="29" t="e">
        <f t="shared" si="117"/>
        <v>#REF!</v>
      </c>
      <c r="FTW247" s="29" t="e">
        <f t="shared" si="117"/>
        <v>#REF!</v>
      </c>
      <c r="FTX247" s="29" t="e">
        <f t="shared" si="117"/>
        <v>#REF!</v>
      </c>
      <c r="FTY247" s="29" t="e">
        <f t="shared" si="117"/>
        <v>#REF!</v>
      </c>
      <c r="FTZ247" s="29" t="e">
        <f t="shared" si="117"/>
        <v>#REF!</v>
      </c>
      <c r="FUA247" s="29" t="e">
        <f t="shared" si="117"/>
        <v>#REF!</v>
      </c>
      <c r="FUB247" s="29" t="e">
        <f t="shared" si="117"/>
        <v>#REF!</v>
      </c>
      <c r="FUC247" s="29" t="e">
        <f t="shared" si="117"/>
        <v>#REF!</v>
      </c>
      <c r="FUD247" s="29" t="e">
        <f t="shared" si="117"/>
        <v>#REF!</v>
      </c>
      <c r="FUE247" s="29" t="e">
        <f t="shared" si="117"/>
        <v>#REF!</v>
      </c>
      <c r="FUF247" s="29" t="e">
        <f t="shared" si="117"/>
        <v>#REF!</v>
      </c>
      <c r="FUG247" s="29" t="e">
        <f t="shared" si="117"/>
        <v>#REF!</v>
      </c>
      <c r="FUH247" s="29" t="e">
        <f t="shared" si="117"/>
        <v>#REF!</v>
      </c>
      <c r="FUI247" s="29" t="e">
        <f t="shared" si="117"/>
        <v>#REF!</v>
      </c>
      <c r="FUJ247" s="29" t="e">
        <f t="shared" si="117"/>
        <v>#REF!</v>
      </c>
      <c r="FUK247" s="29" t="e">
        <f t="shared" si="117"/>
        <v>#REF!</v>
      </c>
      <c r="FUL247" s="29" t="e">
        <f t="shared" si="117"/>
        <v>#REF!</v>
      </c>
      <c r="FUM247" s="29" t="e">
        <f t="shared" si="117"/>
        <v>#REF!</v>
      </c>
      <c r="FUN247" s="29" t="e">
        <f t="shared" si="117"/>
        <v>#REF!</v>
      </c>
      <c r="FUO247" s="29" t="e">
        <f t="shared" si="117"/>
        <v>#REF!</v>
      </c>
      <c r="FUP247" s="29" t="e">
        <f t="shared" si="117"/>
        <v>#REF!</v>
      </c>
      <c r="FUQ247" s="29" t="e">
        <f t="shared" si="117"/>
        <v>#REF!</v>
      </c>
      <c r="FUR247" s="29" t="e">
        <f t="shared" si="117"/>
        <v>#REF!</v>
      </c>
      <c r="FUS247" s="29" t="e">
        <f t="shared" si="117"/>
        <v>#REF!</v>
      </c>
      <c r="FUT247" s="29" t="e">
        <f t="shared" si="117"/>
        <v>#REF!</v>
      </c>
      <c r="FUU247" s="29" t="e">
        <f t="shared" si="117"/>
        <v>#REF!</v>
      </c>
      <c r="FUV247" s="29" t="e">
        <f t="shared" si="117"/>
        <v>#REF!</v>
      </c>
      <c r="FUW247" s="29" t="e">
        <f t="shared" ref="FUW247:FXH247" si="118">FVA247&amp;FVB247</f>
        <v>#REF!</v>
      </c>
      <c r="FUX247" s="29" t="e">
        <f t="shared" si="118"/>
        <v>#REF!</v>
      </c>
      <c r="FUY247" s="29" t="e">
        <f t="shared" si="118"/>
        <v>#REF!</v>
      </c>
      <c r="FUZ247" s="29" t="e">
        <f t="shared" si="118"/>
        <v>#REF!</v>
      </c>
      <c r="FVA247" s="29" t="e">
        <f t="shared" si="118"/>
        <v>#REF!</v>
      </c>
      <c r="FVB247" s="29" t="e">
        <f t="shared" si="118"/>
        <v>#REF!</v>
      </c>
      <c r="FVC247" s="29" t="e">
        <f t="shared" si="118"/>
        <v>#REF!</v>
      </c>
      <c r="FVD247" s="29" t="e">
        <f t="shared" si="118"/>
        <v>#REF!</v>
      </c>
      <c r="FVE247" s="29" t="e">
        <f t="shared" si="118"/>
        <v>#REF!</v>
      </c>
      <c r="FVF247" s="29" t="e">
        <f t="shared" si="118"/>
        <v>#REF!</v>
      </c>
      <c r="FVG247" s="29" t="e">
        <f t="shared" si="118"/>
        <v>#REF!</v>
      </c>
      <c r="FVH247" s="29" t="e">
        <f t="shared" si="118"/>
        <v>#REF!</v>
      </c>
      <c r="FVI247" s="29" t="e">
        <f t="shared" si="118"/>
        <v>#REF!</v>
      </c>
      <c r="FVJ247" s="29" t="e">
        <f t="shared" si="118"/>
        <v>#REF!</v>
      </c>
      <c r="FVK247" s="29" t="e">
        <f t="shared" si="118"/>
        <v>#REF!</v>
      </c>
      <c r="FVL247" s="29" t="e">
        <f t="shared" si="118"/>
        <v>#REF!</v>
      </c>
      <c r="FVM247" s="29" t="e">
        <f t="shared" si="118"/>
        <v>#REF!</v>
      </c>
      <c r="FVN247" s="29" t="e">
        <f t="shared" si="118"/>
        <v>#REF!</v>
      </c>
      <c r="FVO247" s="29" t="e">
        <f t="shared" si="118"/>
        <v>#REF!</v>
      </c>
      <c r="FVP247" s="29" t="e">
        <f t="shared" si="118"/>
        <v>#REF!</v>
      </c>
      <c r="FVQ247" s="29" t="e">
        <f t="shared" si="118"/>
        <v>#REF!</v>
      </c>
      <c r="FVR247" s="29" t="e">
        <f t="shared" si="118"/>
        <v>#REF!</v>
      </c>
      <c r="FVS247" s="29" t="e">
        <f t="shared" si="118"/>
        <v>#REF!</v>
      </c>
      <c r="FVT247" s="29" t="e">
        <f t="shared" si="118"/>
        <v>#REF!</v>
      </c>
      <c r="FVU247" s="29" t="e">
        <f t="shared" si="118"/>
        <v>#REF!</v>
      </c>
      <c r="FVV247" s="29" t="e">
        <f t="shared" si="118"/>
        <v>#REF!</v>
      </c>
      <c r="FVW247" s="29" t="e">
        <f t="shared" si="118"/>
        <v>#REF!</v>
      </c>
      <c r="FVX247" s="29" t="e">
        <f t="shared" si="118"/>
        <v>#REF!</v>
      </c>
      <c r="FVY247" s="29" t="e">
        <f t="shared" si="118"/>
        <v>#REF!</v>
      </c>
      <c r="FVZ247" s="29" t="e">
        <f t="shared" si="118"/>
        <v>#REF!</v>
      </c>
      <c r="FWA247" s="29" t="e">
        <f t="shared" si="118"/>
        <v>#REF!</v>
      </c>
      <c r="FWB247" s="29" t="e">
        <f t="shared" si="118"/>
        <v>#REF!</v>
      </c>
      <c r="FWC247" s="29" t="e">
        <f t="shared" si="118"/>
        <v>#REF!</v>
      </c>
      <c r="FWD247" s="29" t="e">
        <f t="shared" si="118"/>
        <v>#REF!</v>
      </c>
      <c r="FWE247" s="29" t="e">
        <f t="shared" si="118"/>
        <v>#REF!</v>
      </c>
      <c r="FWF247" s="29" t="e">
        <f t="shared" si="118"/>
        <v>#REF!</v>
      </c>
      <c r="FWG247" s="29" t="e">
        <f t="shared" si="118"/>
        <v>#REF!</v>
      </c>
      <c r="FWH247" s="29" t="e">
        <f t="shared" si="118"/>
        <v>#REF!</v>
      </c>
      <c r="FWI247" s="29" t="e">
        <f t="shared" si="118"/>
        <v>#REF!</v>
      </c>
      <c r="FWJ247" s="29" t="e">
        <f t="shared" si="118"/>
        <v>#REF!</v>
      </c>
      <c r="FWK247" s="29" t="e">
        <f t="shared" si="118"/>
        <v>#REF!</v>
      </c>
      <c r="FWL247" s="29" t="e">
        <f t="shared" si="118"/>
        <v>#REF!</v>
      </c>
      <c r="FWM247" s="29" t="e">
        <f t="shared" si="118"/>
        <v>#REF!</v>
      </c>
      <c r="FWN247" s="29" t="e">
        <f t="shared" si="118"/>
        <v>#REF!</v>
      </c>
      <c r="FWO247" s="29" t="e">
        <f t="shared" si="118"/>
        <v>#REF!</v>
      </c>
      <c r="FWP247" s="29" t="e">
        <f t="shared" si="118"/>
        <v>#REF!</v>
      </c>
      <c r="FWQ247" s="29" t="e">
        <f t="shared" si="118"/>
        <v>#REF!</v>
      </c>
      <c r="FWR247" s="29" t="e">
        <f t="shared" si="118"/>
        <v>#REF!</v>
      </c>
      <c r="FWS247" s="29" t="e">
        <f t="shared" si="118"/>
        <v>#REF!</v>
      </c>
      <c r="FWT247" s="29" t="e">
        <f t="shared" si="118"/>
        <v>#REF!</v>
      </c>
      <c r="FWU247" s="29" t="e">
        <f t="shared" si="118"/>
        <v>#REF!</v>
      </c>
      <c r="FWV247" s="29" t="e">
        <f t="shared" si="118"/>
        <v>#REF!</v>
      </c>
      <c r="FWW247" s="29" t="e">
        <f t="shared" si="118"/>
        <v>#REF!</v>
      </c>
      <c r="FWX247" s="29" t="e">
        <f t="shared" si="118"/>
        <v>#REF!</v>
      </c>
      <c r="FWY247" s="29" t="e">
        <f t="shared" si="118"/>
        <v>#REF!</v>
      </c>
      <c r="FWZ247" s="29" t="e">
        <f t="shared" si="118"/>
        <v>#REF!</v>
      </c>
      <c r="FXA247" s="29" t="e">
        <f t="shared" si="118"/>
        <v>#REF!</v>
      </c>
      <c r="FXB247" s="29" t="e">
        <f t="shared" si="118"/>
        <v>#REF!</v>
      </c>
      <c r="FXC247" s="29" t="e">
        <f t="shared" si="118"/>
        <v>#REF!</v>
      </c>
      <c r="FXD247" s="29" t="e">
        <f t="shared" si="118"/>
        <v>#REF!</v>
      </c>
      <c r="FXE247" s="29" t="e">
        <f t="shared" si="118"/>
        <v>#REF!</v>
      </c>
      <c r="FXF247" s="29" t="e">
        <f t="shared" si="118"/>
        <v>#REF!</v>
      </c>
      <c r="FXG247" s="29" t="e">
        <f t="shared" si="118"/>
        <v>#REF!</v>
      </c>
      <c r="FXH247" s="29" t="e">
        <f t="shared" si="118"/>
        <v>#REF!</v>
      </c>
      <c r="FXI247" s="29" t="e">
        <f t="shared" ref="FXI247:FZT247" si="119">FXM247&amp;FXN247</f>
        <v>#REF!</v>
      </c>
      <c r="FXJ247" s="29" t="e">
        <f t="shared" si="119"/>
        <v>#REF!</v>
      </c>
      <c r="FXK247" s="29" t="e">
        <f t="shared" si="119"/>
        <v>#REF!</v>
      </c>
      <c r="FXL247" s="29" t="e">
        <f t="shared" si="119"/>
        <v>#REF!</v>
      </c>
      <c r="FXM247" s="29" t="e">
        <f t="shared" si="119"/>
        <v>#REF!</v>
      </c>
      <c r="FXN247" s="29" t="e">
        <f t="shared" si="119"/>
        <v>#REF!</v>
      </c>
      <c r="FXO247" s="29" t="e">
        <f t="shared" si="119"/>
        <v>#REF!</v>
      </c>
      <c r="FXP247" s="29" t="e">
        <f t="shared" si="119"/>
        <v>#REF!</v>
      </c>
      <c r="FXQ247" s="29" t="e">
        <f t="shared" si="119"/>
        <v>#REF!</v>
      </c>
      <c r="FXR247" s="29" t="e">
        <f t="shared" si="119"/>
        <v>#REF!</v>
      </c>
      <c r="FXS247" s="29" t="e">
        <f t="shared" si="119"/>
        <v>#REF!</v>
      </c>
      <c r="FXT247" s="29" t="e">
        <f t="shared" si="119"/>
        <v>#REF!</v>
      </c>
      <c r="FXU247" s="29" t="e">
        <f t="shared" si="119"/>
        <v>#REF!</v>
      </c>
      <c r="FXV247" s="29" t="e">
        <f t="shared" si="119"/>
        <v>#REF!</v>
      </c>
      <c r="FXW247" s="29" t="e">
        <f t="shared" si="119"/>
        <v>#REF!</v>
      </c>
      <c r="FXX247" s="29" t="e">
        <f t="shared" si="119"/>
        <v>#REF!</v>
      </c>
      <c r="FXY247" s="29" t="e">
        <f t="shared" si="119"/>
        <v>#REF!</v>
      </c>
      <c r="FXZ247" s="29" t="e">
        <f t="shared" si="119"/>
        <v>#REF!</v>
      </c>
      <c r="FYA247" s="29" t="e">
        <f t="shared" si="119"/>
        <v>#REF!</v>
      </c>
      <c r="FYB247" s="29" t="e">
        <f t="shared" si="119"/>
        <v>#REF!</v>
      </c>
      <c r="FYC247" s="29" t="e">
        <f t="shared" si="119"/>
        <v>#REF!</v>
      </c>
      <c r="FYD247" s="29" t="e">
        <f t="shared" si="119"/>
        <v>#REF!</v>
      </c>
      <c r="FYE247" s="29" t="e">
        <f t="shared" si="119"/>
        <v>#REF!</v>
      </c>
      <c r="FYF247" s="29" t="e">
        <f t="shared" si="119"/>
        <v>#REF!</v>
      </c>
      <c r="FYG247" s="29" t="e">
        <f t="shared" si="119"/>
        <v>#REF!</v>
      </c>
      <c r="FYH247" s="29" t="e">
        <f t="shared" si="119"/>
        <v>#REF!</v>
      </c>
      <c r="FYI247" s="29" t="e">
        <f t="shared" si="119"/>
        <v>#REF!</v>
      </c>
      <c r="FYJ247" s="29" t="e">
        <f t="shared" si="119"/>
        <v>#REF!</v>
      </c>
      <c r="FYK247" s="29" t="e">
        <f t="shared" si="119"/>
        <v>#REF!</v>
      </c>
      <c r="FYL247" s="29" t="e">
        <f t="shared" si="119"/>
        <v>#REF!</v>
      </c>
      <c r="FYM247" s="29" t="e">
        <f t="shared" si="119"/>
        <v>#REF!</v>
      </c>
      <c r="FYN247" s="29" t="e">
        <f t="shared" si="119"/>
        <v>#REF!</v>
      </c>
      <c r="FYO247" s="29" t="e">
        <f t="shared" si="119"/>
        <v>#REF!</v>
      </c>
      <c r="FYP247" s="29" t="e">
        <f t="shared" si="119"/>
        <v>#REF!</v>
      </c>
      <c r="FYQ247" s="29" t="e">
        <f t="shared" si="119"/>
        <v>#REF!</v>
      </c>
      <c r="FYR247" s="29" t="e">
        <f t="shared" si="119"/>
        <v>#REF!</v>
      </c>
      <c r="FYS247" s="29" t="e">
        <f t="shared" si="119"/>
        <v>#REF!</v>
      </c>
      <c r="FYT247" s="29" t="e">
        <f t="shared" si="119"/>
        <v>#REF!</v>
      </c>
      <c r="FYU247" s="29" t="e">
        <f t="shared" si="119"/>
        <v>#REF!</v>
      </c>
      <c r="FYV247" s="29" t="e">
        <f t="shared" si="119"/>
        <v>#REF!</v>
      </c>
      <c r="FYW247" s="29" t="e">
        <f t="shared" si="119"/>
        <v>#REF!</v>
      </c>
      <c r="FYX247" s="29" t="e">
        <f t="shared" si="119"/>
        <v>#REF!</v>
      </c>
      <c r="FYY247" s="29" t="e">
        <f t="shared" si="119"/>
        <v>#REF!</v>
      </c>
      <c r="FYZ247" s="29" t="e">
        <f t="shared" si="119"/>
        <v>#REF!</v>
      </c>
      <c r="FZA247" s="29" t="e">
        <f t="shared" si="119"/>
        <v>#REF!</v>
      </c>
      <c r="FZB247" s="29" t="e">
        <f t="shared" si="119"/>
        <v>#REF!</v>
      </c>
      <c r="FZC247" s="29" t="e">
        <f t="shared" si="119"/>
        <v>#REF!</v>
      </c>
      <c r="FZD247" s="29" t="e">
        <f t="shared" si="119"/>
        <v>#REF!</v>
      </c>
      <c r="FZE247" s="29" t="e">
        <f t="shared" si="119"/>
        <v>#REF!</v>
      </c>
      <c r="FZF247" s="29" t="e">
        <f t="shared" si="119"/>
        <v>#REF!</v>
      </c>
      <c r="FZG247" s="29" t="e">
        <f t="shared" si="119"/>
        <v>#REF!</v>
      </c>
      <c r="FZH247" s="29" t="e">
        <f t="shared" si="119"/>
        <v>#REF!</v>
      </c>
      <c r="FZI247" s="29" t="e">
        <f t="shared" si="119"/>
        <v>#REF!</v>
      </c>
      <c r="FZJ247" s="29" t="e">
        <f t="shared" si="119"/>
        <v>#REF!</v>
      </c>
      <c r="FZK247" s="29" t="e">
        <f t="shared" si="119"/>
        <v>#REF!</v>
      </c>
      <c r="FZL247" s="29" t="e">
        <f t="shared" si="119"/>
        <v>#REF!</v>
      </c>
      <c r="FZM247" s="29" t="e">
        <f t="shared" si="119"/>
        <v>#REF!</v>
      </c>
      <c r="FZN247" s="29" t="e">
        <f t="shared" si="119"/>
        <v>#REF!</v>
      </c>
      <c r="FZO247" s="29" t="e">
        <f t="shared" si="119"/>
        <v>#REF!</v>
      </c>
      <c r="FZP247" s="29" t="e">
        <f t="shared" si="119"/>
        <v>#REF!</v>
      </c>
      <c r="FZQ247" s="29" t="e">
        <f t="shared" si="119"/>
        <v>#REF!</v>
      </c>
      <c r="FZR247" s="29" t="e">
        <f t="shared" si="119"/>
        <v>#REF!</v>
      </c>
      <c r="FZS247" s="29" t="e">
        <f t="shared" si="119"/>
        <v>#REF!</v>
      </c>
      <c r="FZT247" s="29" t="e">
        <f t="shared" si="119"/>
        <v>#REF!</v>
      </c>
      <c r="FZU247" s="29" t="e">
        <f t="shared" ref="FZU247:GCF247" si="120">FZY247&amp;FZZ247</f>
        <v>#REF!</v>
      </c>
      <c r="FZV247" s="29" t="e">
        <f t="shared" si="120"/>
        <v>#REF!</v>
      </c>
      <c r="FZW247" s="29" t="e">
        <f t="shared" si="120"/>
        <v>#REF!</v>
      </c>
      <c r="FZX247" s="29" t="e">
        <f t="shared" si="120"/>
        <v>#REF!</v>
      </c>
      <c r="FZY247" s="29" t="e">
        <f t="shared" si="120"/>
        <v>#REF!</v>
      </c>
      <c r="FZZ247" s="29" t="e">
        <f t="shared" si="120"/>
        <v>#REF!</v>
      </c>
      <c r="GAA247" s="29" t="e">
        <f t="shared" si="120"/>
        <v>#REF!</v>
      </c>
      <c r="GAB247" s="29" t="e">
        <f t="shared" si="120"/>
        <v>#REF!</v>
      </c>
      <c r="GAC247" s="29" t="e">
        <f t="shared" si="120"/>
        <v>#REF!</v>
      </c>
      <c r="GAD247" s="29" t="e">
        <f t="shared" si="120"/>
        <v>#REF!</v>
      </c>
      <c r="GAE247" s="29" t="e">
        <f t="shared" si="120"/>
        <v>#REF!</v>
      </c>
      <c r="GAF247" s="29" t="e">
        <f t="shared" si="120"/>
        <v>#REF!</v>
      </c>
      <c r="GAG247" s="29" t="e">
        <f t="shared" si="120"/>
        <v>#REF!</v>
      </c>
      <c r="GAH247" s="29" t="e">
        <f t="shared" si="120"/>
        <v>#REF!</v>
      </c>
      <c r="GAI247" s="29" t="e">
        <f t="shared" si="120"/>
        <v>#REF!</v>
      </c>
      <c r="GAJ247" s="29" t="e">
        <f t="shared" si="120"/>
        <v>#REF!</v>
      </c>
      <c r="GAK247" s="29" t="e">
        <f t="shared" si="120"/>
        <v>#REF!</v>
      </c>
      <c r="GAL247" s="29" t="e">
        <f t="shared" si="120"/>
        <v>#REF!</v>
      </c>
      <c r="GAM247" s="29" t="e">
        <f t="shared" si="120"/>
        <v>#REF!</v>
      </c>
      <c r="GAN247" s="29" t="e">
        <f t="shared" si="120"/>
        <v>#REF!</v>
      </c>
      <c r="GAO247" s="29" t="e">
        <f t="shared" si="120"/>
        <v>#REF!</v>
      </c>
      <c r="GAP247" s="29" t="e">
        <f t="shared" si="120"/>
        <v>#REF!</v>
      </c>
      <c r="GAQ247" s="29" t="e">
        <f t="shared" si="120"/>
        <v>#REF!</v>
      </c>
      <c r="GAR247" s="29" t="e">
        <f t="shared" si="120"/>
        <v>#REF!</v>
      </c>
      <c r="GAS247" s="29" t="e">
        <f t="shared" si="120"/>
        <v>#REF!</v>
      </c>
      <c r="GAT247" s="29" t="e">
        <f t="shared" si="120"/>
        <v>#REF!</v>
      </c>
      <c r="GAU247" s="29" t="e">
        <f t="shared" si="120"/>
        <v>#REF!</v>
      </c>
      <c r="GAV247" s="29" t="e">
        <f t="shared" si="120"/>
        <v>#REF!</v>
      </c>
      <c r="GAW247" s="29" t="e">
        <f t="shared" si="120"/>
        <v>#REF!</v>
      </c>
      <c r="GAX247" s="29" t="e">
        <f t="shared" si="120"/>
        <v>#REF!</v>
      </c>
      <c r="GAY247" s="29" t="e">
        <f t="shared" si="120"/>
        <v>#REF!</v>
      </c>
      <c r="GAZ247" s="29" t="e">
        <f t="shared" si="120"/>
        <v>#REF!</v>
      </c>
      <c r="GBA247" s="29" t="e">
        <f t="shared" si="120"/>
        <v>#REF!</v>
      </c>
      <c r="GBB247" s="29" t="e">
        <f t="shared" si="120"/>
        <v>#REF!</v>
      </c>
      <c r="GBC247" s="29" t="e">
        <f t="shared" si="120"/>
        <v>#REF!</v>
      </c>
      <c r="GBD247" s="29" t="e">
        <f t="shared" si="120"/>
        <v>#REF!</v>
      </c>
      <c r="GBE247" s="29" t="e">
        <f t="shared" si="120"/>
        <v>#REF!</v>
      </c>
      <c r="GBF247" s="29" t="e">
        <f t="shared" si="120"/>
        <v>#REF!</v>
      </c>
      <c r="GBG247" s="29" t="e">
        <f t="shared" si="120"/>
        <v>#REF!</v>
      </c>
      <c r="GBH247" s="29" t="e">
        <f t="shared" si="120"/>
        <v>#REF!</v>
      </c>
      <c r="GBI247" s="29" t="e">
        <f t="shared" si="120"/>
        <v>#REF!</v>
      </c>
      <c r="GBJ247" s="29" t="e">
        <f t="shared" si="120"/>
        <v>#REF!</v>
      </c>
      <c r="GBK247" s="29" t="e">
        <f t="shared" si="120"/>
        <v>#REF!</v>
      </c>
      <c r="GBL247" s="29" t="e">
        <f t="shared" si="120"/>
        <v>#REF!</v>
      </c>
      <c r="GBM247" s="29" t="e">
        <f t="shared" si="120"/>
        <v>#REF!</v>
      </c>
      <c r="GBN247" s="29" t="e">
        <f t="shared" si="120"/>
        <v>#REF!</v>
      </c>
      <c r="GBO247" s="29" t="e">
        <f t="shared" si="120"/>
        <v>#REF!</v>
      </c>
      <c r="GBP247" s="29" t="e">
        <f t="shared" si="120"/>
        <v>#REF!</v>
      </c>
      <c r="GBQ247" s="29" t="e">
        <f t="shared" si="120"/>
        <v>#REF!</v>
      </c>
      <c r="GBR247" s="29" t="e">
        <f t="shared" si="120"/>
        <v>#REF!</v>
      </c>
      <c r="GBS247" s="29" t="e">
        <f t="shared" si="120"/>
        <v>#REF!</v>
      </c>
      <c r="GBT247" s="29" t="e">
        <f t="shared" si="120"/>
        <v>#REF!</v>
      </c>
      <c r="GBU247" s="29" t="e">
        <f t="shared" si="120"/>
        <v>#REF!</v>
      </c>
      <c r="GBV247" s="29" t="e">
        <f t="shared" si="120"/>
        <v>#REF!</v>
      </c>
      <c r="GBW247" s="29" t="e">
        <f t="shared" si="120"/>
        <v>#REF!</v>
      </c>
      <c r="GBX247" s="29" t="e">
        <f t="shared" si="120"/>
        <v>#REF!</v>
      </c>
      <c r="GBY247" s="29" t="e">
        <f t="shared" si="120"/>
        <v>#REF!</v>
      </c>
      <c r="GBZ247" s="29" t="e">
        <f t="shared" si="120"/>
        <v>#REF!</v>
      </c>
      <c r="GCA247" s="29" t="e">
        <f t="shared" si="120"/>
        <v>#REF!</v>
      </c>
      <c r="GCB247" s="29" t="e">
        <f t="shared" si="120"/>
        <v>#REF!</v>
      </c>
      <c r="GCC247" s="29" t="e">
        <f t="shared" si="120"/>
        <v>#REF!</v>
      </c>
      <c r="GCD247" s="29" t="e">
        <f t="shared" si="120"/>
        <v>#REF!</v>
      </c>
      <c r="GCE247" s="29" t="e">
        <f t="shared" si="120"/>
        <v>#REF!</v>
      </c>
      <c r="GCF247" s="29" t="e">
        <f t="shared" si="120"/>
        <v>#REF!</v>
      </c>
      <c r="GCG247" s="29" t="e">
        <f t="shared" ref="GCG247:GER247" si="121">GCK247&amp;GCL247</f>
        <v>#REF!</v>
      </c>
      <c r="GCH247" s="29" t="e">
        <f t="shared" si="121"/>
        <v>#REF!</v>
      </c>
      <c r="GCI247" s="29" t="e">
        <f t="shared" si="121"/>
        <v>#REF!</v>
      </c>
      <c r="GCJ247" s="29" t="e">
        <f t="shared" si="121"/>
        <v>#REF!</v>
      </c>
      <c r="GCK247" s="29" t="e">
        <f t="shared" si="121"/>
        <v>#REF!</v>
      </c>
      <c r="GCL247" s="29" t="e">
        <f t="shared" si="121"/>
        <v>#REF!</v>
      </c>
      <c r="GCM247" s="29" t="e">
        <f t="shared" si="121"/>
        <v>#REF!</v>
      </c>
      <c r="GCN247" s="29" t="e">
        <f t="shared" si="121"/>
        <v>#REF!</v>
      </c>
      <c r="GCO247" s="29" t="e">
        <f t="shared" si="121"/>
        <v>#REF!</v>
      </c>
      <c r="GCP247" s="29" t="e">
        <f t="shared" si="121"/>
        <v>#REF!</v>
      </c>
      <c r="GCQ247" s="29" t="e">
        <f t="shared" si="121"/>
        <v>#REF!</v>
      </c>
      <c r="GCR247" s="29" t="e">
        <f t="shared" si="121"/>
        <v>#REF!</v>
      </c>
      <c r="GCS247" s="29" t="e">
        <f t="shared" si="121"/>
        <v>#REF!</v>
      </c>
      <c r="GCT247" s="29" t="e">
        <f t="shared" si="121"/>
        <v>#REF!</v>
      </c>
      <c r="GCU247" s="29" t="e">
        <f t="shared" si="121"/>
        <v>#REF!</v>
      </c>
      <c r="GCV247" s="29" t="e">
        <f t="shared" si="121"/>
        <v>#REF!</v>
      </c>
      <c r="GCW247" s="29" t="e">
        <f t="shared" si="121"/>
        <v>#REF!</v>
      </c>
      <c r="GCX247" s="29" t="e">
        <f t="shared" si="121"/>
        <v>#REF!</v>
      </c>
      <c r="GCY247" s="29" t="e">
        <f t="shared" si="121"/>
        <v>#REF!</v>
      </c>
      <c r="GCZ247" s="29" t="e">
        <f t="shared" si="121"/>
        <v>#REF!</v>
      </c>
      <c r="GDA247" s="29" t="e">
        <f t="shared" si="121"/>
        <v>#REF!</v>
      </c>
      <c r="GDB247" s="29" t="e">
        <f t="shared" si="121"/>
        <v>#REF!</v>
      </c>
      <c r="GDC247" s="29" t="e">
        <f t="shared" si="121"/>
        <v>#REF!</v>
      </c>
      <c r="GDD247" s="29" t="e">
        <f t="shared" si="121"/>
        <v>#REF!</v>
      </c>
      <c r="GDE247" s="29" t="e">
        <f t="shared" si="121"/>
        <v>#REF!</v>
      </c>
      <c r="GDF247" s="29" t="e">
        <f t="shared" si="121"/>
        <v>#REF!</v>
      </c>
      <c r="GDG247" s="29" t="e">
        <f t="shared" si="121"/>
        <v>#REF!</v>
      </c>
      <c r="GDH247" s="29" t="e">
        <f t="shared" si="121"/>
        <v>#REF!</v>
      </c>
      <c r="GDI247" s="29" t="e">
        <f t="shared" si="121"/>
        <v>#REF!</v>
      </c>
      <c r="GDJ247" s="29" t="e">
        <f t="shared" si="121"/>
        <v>#REF!</v>
      </c>
      <c r="GDK247" s="29" t="e">
        <f t="shared" si="121"/>
        <v>#REF!</v>
      </c>
      <c r="GDL247" s="29" t="e">
        <f t="shared" si="121"/>
        <v>#REF!</v>
      </c>
      <c r="GDM247" s="29" t="e">
        <f t="shared" si="121"/>
        <v>#REF!</v>
      </c>
      <c r="GDN247" s="29" t="e">
        <f t="shared" si="121"/>
        <v>#REF!</v>
      </c>
      <c r="GDO247" s="29" t="e">
        <f t="shared" si="121"/>
        <v>#REF!</v>
      </c>
      <c r="GDP247" s="29" t="e">
        <f t="shared" si="121"/>
        <v>#REF!</v>
      </c>
      <c r="GDQ247" s="29" t="e">
        <f t="shared" si="121"/>
        <v>#REF!</v>
      </c>
      <c r="GDR247" s="29" t="e">
        <f t="shared" si="121"/>
        <v>#REF!</v>
      </c>
      <c r="GDS247" s="29" t="e">
        <f t="shared" si="121"/>
        <v>#REF!</v>
      </c>
      <c r="GDT247" s="29" t="e">
        <f t="shared" si="121"/>
        <v>#REF!</v>
      </c>
      <c r="GDU247" s="29" t="e">
        <f t="shared" si="121"/>
        <v>#REF!</v>
      </c>
      <c r="GDV247" s="29" t="e">
        <f t="shared" si="121"/>
        <v>#REF!</v>
      </c>
      <c r="GDW247" s="29" t="e">
        <f t="shared" si="121"/>
        <v>#REF!</v>
      </c>
      <c r="GDX247" s="29" t="e">
        <f t="shared" si="121"/>
        <v>#REF!</v>
      </c>
      <c r="GDY247" s="29" t="e">
        <f t="shared" si="121"/>
        <v>#REF!</v>
      </c>
      <c r="GDZ247" s="29" t="e">
        <f t="shared" si="121"/>
        <v>#REF!</v>
      </c>
      <c r="GEA247" s="29" t="e">
        <f t="shared" si="121"/>
        <v>#REF!</v>
      </c>
      <c r="GEB247" s="29" t="e">
        <f t="shared" si="121"/>
        <v>#REF!</v>
      </c>
      <c r="GEC247" s="29" t="e">
        <f t="shared" si="121"/>
        <v>#REF!</v>
      </c>
      <c r="GED247" s="29" t="e">
        <f t="shared" si="121"/>
        <v>#REF!</v>
      </c>
      <c r="GEE247" s="29" t="e">
        <f t="shared" si="121"/>
        <v>#REF!</v>
      </c>
      <c r="GEF247" s="29" t="e">
        <f t="shared" si="121"/>
        <v>#REF!</v>
      </c>
      <c r="GEG247" s="29" t="e">
        <f t="shared" si="121"/>
        <v>#REF!</v>
      </c>
      <c r="GEH247" s="29" t="e">
        <f t="shared" si="121"/>
        <v>#REF!</v>
      </c>
      <c r="GEI247" s="29" t="e">
        <f t="shared" si="121"/>
        <v>#REF!</v>
      </c>
      <c r="GEJ247" s="29" t="e">
        <f t="shared" si="121"/>
        <v>#REF!</v>
      </c>
      <c r="GEK247" s="29" t="e">
        <f t="shared" si="121"/>
        <v>#REF!</v>
      </c>
      <c r="GEL247" s="29" t="e">
        <f t="shared" si="121"/>
        <v>#REF!</v>
      </c>
      <c r="GEM247" s="29" t="e">
        <f t="shared" si="121"/>
        <v>#REF!</v>
      </c>
      <c r="GEN247" s="29" t="e">
        <f t="shared" si="121"/>
        <v>#REF!</v>
      </c>
      <c r="GEO247" s="29" t="e">
        <f t="shared" si="121"/>
        <v>#REF!</v>
      </c>
      <c r="GEP247" s="29" t="e">
        <f t="shared" si="121"/>
        <v>#REF!</v>
      </c>
      <c r="GEQ247" s="29" t="e">
        <f t="shared" si="121"/>
        <v>#REF!</v>
      </c>
      <c r="GER247" s="29" t="e">
        <f t="shared" si="121"/>
        <v>#REF!</v>
      </c>
      <c r="GES247" s="29" t="e">
        <f t="shared" ref="GES247:GHD247" si="122">GEW247&amp;GEX247</f>
        <v>#REF!</v>
      </c>
      <c r="GET247" s="29" t="e">
        <f t="shared" si="122"/>
        <v>#REF!</v>
      </c>
      <c r="GEU247" s="29" t="e">
        <f t="shared" si="122"/>
        <v>#REF!</v>
      </c>
      <c r="GEV247" s="29" t="e">
        <f t="shared" si="122"/>
        <v>#REF!</v>
      </c>
      <c r="GEW247" s="29" t="e">
        <f t="shared" si="122"/>
        <v>#REF!</v>
      </c>
      <c r="GEX247" s="29" t="e">
        <f t="shared" si="122"/>
        <v>#REF!</v>
      </c>
      <c r="GEY247" s="29" t="e">
        <f t="shared" si="122"/>
        <v>#REF!</v>
      </c>
      <c r="GEZ247" s="29" t="e">
        <f t="shared" si="122"/>
        <v>#REF!</v>
      </c>
      <c r="GFA247" s="29" t="e">
        <f t="shared" si="122"/>
        <v>#REF!</v>
      </c>
      <c r="GFB247" s="29" t="e">
        <f t="shared" si="122"/>
        <v>#REF!</v>
      </c>
      <c r="GFC247" s="29" t="e">
        <f t="shared" si="122"/>
        <v>#REF!</v>
      </c>
      <c r="GFD247" s="29" t="e">
        <f t="shared" si="122"/>
        <v>#REF!</v>
      </c>
      <c r="GFE247" s="29" t="e">
        <f t="shared" si="122"/>
        <v>#REF!</v>
      </c>
      <c r="GFF247" s="29" t="e">
        <f t="shared" si="122"/>
        <v>#REF!</v>
      </c>
      <c r="GFG247" s="29" t="e">
        <f t="shared" si="122"/>
        <v>#REF!</v>
      </c>
      <c r="GFH247" s="29" t="e">
        <f t="shared" si="122"/>
        <v>#REF!</v>
      </c>
      <c r="GFI247" s="29" t="e">
        <f t="shared" si="122"/>
        <v>#REF!</v>
      </c>
      <c r="GFJ247" s="29" t="e">
        <f t="shared" si="122"/>
        <v>#REF!</v>
      </c>
      <c r="GFK247" s="29" t="e">
        <f t="shared" si="122"/>
        <v>#REF!</v>
      </c>
      <c r="GFL247" s="29" t="e">
        <f t="shared" si="122"/>
        <v>#REF!</v>
      </c>
      <c r="GFM247" s="29" t="e">
        <f t="shared" si="122"/>
        <v>#REF!</v>
      </c>
      <c r="GFN247" s="29" t="e">
        <f t="shared" si="122"/>
        <v>#REF!</v>
      </c>
      <c r="GFO247" s="29" t="e">
        <f t="shared" si="122"/>
        <v>#REF!</v>
      </c>
      <c r="GFP247" s="29" t="e">
        <f t="shared" si="122"/>
        <v>#REF!</v>
      </c>
      <c r="GFQ247" s="29" t="e">
        <f t="shared" si="122"/>
        <v>#REF!</v>
      </c>
      <c r="GFR247" s="29" t="e">
        <f t="shared" si="122"/>
        <v>#REF!</v>
      </c>
      <c r="GFS247" s="29" t="e">
        <f t="shared" si="122"/>
        <v>#REF!</v>
      </c>
      <c r="GFT247" s="29" t="e">
        <f t="shared" si="122"/>
        <v>#REF!</v>
      </c>
      <c r="GFU247" s="29" t="e">
        <f t="shared" si="122"/>
        <v>#REF!</v>
      </c>
      <c r="GFV247" s="29" t="e">
        <f t="shared" si="122"/>
        <v>#REF!</v>
      </c>
      <c r="GFW247" s="29" t="e">
        <f t="shared" si="122"/>
        <v>#REF!</v>
      </c>
      <c r="GFX247" s="29" t="e">
        <f t="shared" si="122"/>
        <v>#REF!</v>
      </c>
      <c r="GFY247" s="29" t="e">
        <f t="shared" si="122"/>
        <v>#REF!</v>
      </c>
      <c r="GFZ247" s="29" t="e">
        <f t="shared" si="122"/>
        <v>#REF!</v>
      </c>
      <c r="GGA247" s="29" t="e">
        <f t="shared" si="122"/>
        <v>#REF!</v>
      </c>
      <c r="GGB247" s="29" t="e">
        <f t="shared" si="122"/>
        <v>#REF!</v>
      </c>
      <c r="GGC247" s="29" t="e">
        <f t="shared" si="122"/>
        <v>#REF!</v>
      </c>
      <c r="GGD247" s="29" t="e">
        <f t="shared" si="122"/>
        <v>#REF!</v>
      </c>
      <c r="GGE247" s="29" t="e">
        <f t="shared" si="122"/>
        <v>#REF!</v>
      </c>
      <c r="GGF247" s="29" t="e">
        <f t="shared" si="122"/>
        <v>#REF!</v>
      </c>
      <c r="GGG247" s="29" t="e">
        <f t="shared" si="122"/>
        <v>#REF!</v>
      </c>
      <c r="GGH247" s="29" t="e">
        <f t="shared" si="122"/>
        <v>#REF!</v>
      </c>
      <c r="GGI247" s="29" t="e">
        <f t="shared" si="122"/>
        <v>#REF!</v>
      </c>
      <c r="GGJ247" s="29" t="e">
        <f t="shared" si="122"/>
        <v>#REF!</v>
      </c>
      <c r="GGK247" s="29" t="e">
        <f t="shared" si="122"/>
        <v>#REF!</v>
      </c>
      <c r="GGL247" s="29" t="e">
        <f t="shared" si="122"/>
        <v>#REF!</v>
      </c>
      <c r="GGM247" s="29" t="e">
        <f t="shared" si="122"/>
        <v>#REF!</v>
      </c>
      <c r="GGN247" s="29" t="e">
        <f t="shared" si="122"/>
        <v>#REF!</v>
      </c>
      <c r="GGO247" s="29" t="e">
        <f t="shared" si="122"/>
        <v>#REF!</v>
      </c>
      <c r="GGP247" s="29" t="e">
        <f t="shared" si="122"/>
        <v>#REF!</v>
      </c>
      <c r="GGQ247" s="29" t="e">
        <f t="shared" si="122"/>
        <v>#REF!</v>
      </c>
      <c r="GGR247" s="29" t="e">
        <f t="shared" si="122"/>
        <v>#REF!</v>
      </c>
      <c r="GGS247" s="29" t="e">
        <f t="shared" si="122"/>
        <v>#REF!</v>
      </c>
      <c r="GGT247" s="29" t="e">
        <f t="shared" si="122"/>
        <v>#REF!</v>
      </c>
      <c r="GGU247" s="29" t="e">
        <f t="shared" si="122"/>
        <v>#REF!</v>
      </c>
      <c r="GGV247" s="29" t="e">
        <f t="shared" si="122"/>
        <v>#REF!</v>
      </c>
      <c r="GGW247" s="29" t="e">
        <f t="shared" si="122"/>
        <v>#REF!</v>
      </c>
      <c r="GGX247" s="29" t="e">
        <f t="shared" si="122"/>
        <v>#REF!</v>
      </c>
      <c r="GGY247" s="29" t="e">
        <f t="shared" si="122"/>
        <v>#REF!</v>
      </c>
      <c r="GGZ247" s="29" t="e">
        <f t="shared" si="122"/>
        <v>#REF!</v>
      </c>
      <c r="GHA247" s="29" t="e">
        <f t="shared" si="122"/>
        <v>#REF!</v>
      </c>
      <c r="GHB247" s="29" t="e">
        <f t="shared" si="122"/>
        <v>#REF!</v>
      </c>
      <c r="GHC247" s="29" t="e">
        <f t="shared" si="122"/>
        <v>#REF!</v>
      </c>
      <c r="GHD247" s="29" t="e">
        <f t="shared" si="122"/>
        <v>#REF!</v>
      </c>
      <c r="GHE247" s="29" t="e">
        <f t="shared" ref="GHE247:GJP247" si="123">GHI247&amp;GHJ247</f>
        <v>#REF!</v>
      </c>
      <c r="GHF247" s="29" t="e">
        <f t="shared" si="123"/>
        <v>#REF!</v>
      </c>
      <c r="GHG247" s="29" t="e">
        <f t="shared" si="123"/>
        <v>#REF!</v>
      </c>
      <c r="GHH247" s="29" t="e">
        <f t="shared" si="123"/>
        <v>#REF!</v>
      </c>
      <c r="GHI247" s="29" t="e">
        <f t="shared" si="123"/>
        <v>#REF!</v>
      </c>
      <c r="GHJ247" s="29" t="e">
        <f t="shared" si="123"/>
        <v>#REF!</v>
      </c>
      <c r="GHK247" s="29" t="e">
        <f t="shared" si="123"/>
        <v>#REF!</v>
      </c>
      <c r="GHL247" s="29" t="e">
        <f t="shared" si="123"/>
        <v>#REF!</v>
      </c>
      <c r="GHM247" s="29" t="e">
        <f t="shared" si="123"/>
        <v>#REF!</v>
      </c>
      <c r="GHN247" s="29" t="e">
        <f t="shared" si="123"/>
        <v>#REF!</v>
      </c>
      <c r="GHO247" s="29" t="e">
        <f t="shared" si="123"/>
        <v>#REF!</v>
      </c>
      <c r="GHP247" s="29" t="e">
        <f t="shared" si="123"/>
        <v>#REF!</v>
      </c>
      <c r="GHQ247" s="29" t="e">
        <f t="shared" si="123"/>
        <v>#REF!</v>
      </c>
      <c r="GHR247" s="29" t="e">
        <f t="shared" si="123"/>
        <v>#REF!</v>
      </c>
      <c r="GHS247" s="29" t="e">
        <f t="shared" si="123"/>
        <v>#REF!</v>
      </c>
      <c r="GHT247" s="29" t="e">
        <f t="shared" si="123"/>
        <v>#REF!</v>
      </c>
      <c r="GHU247" s="29" t="e">
        <f t="shared" si="123"/>
        <v>#REF!</v>
      </c>
      <c r="GHV247" s="29" t="e">
        <f t="shared" si="123"/>
        <v>#REF!</v>
      </c>
      <c r="GHW247" s="29" t="e">
        <f t="shared" si="123"/>
        <v>#REF!</v>
      </c>
      <c r="GHX247" s="29" t="e">
        <f t="shared" si="123"/>
        <v>#REF!</v>
      </c>
      <c r="GHY247" s="29" t="e">
        <f t="shared" si="123"/>
        <v>#REF!</v>
      </c>
      <c r="GHZ247" s="29" t="e">
        <f t="shared" si="123"/>
        <v>#REF!</v>
      </c>
      <c r="GIA247" s="29" t="e">
        <f t="shared" si="123"/>
        <v>#REF!</v>
      </c>
      <c r="GIB247" s="29" t="e">
        <f t="shared" si="123"/>
        <v>#REF!</v>
      </c>
      <c r="GIC247" s="29" t="e">
        <f t="shared" si="123"/>
        <v>#REF!</v>
      </c>
      <c r="GID247" s="29" t="e">
        <f t="shared" si="123"/>
        <v>#REF!</v>
      </c>
      <c r="GIE247" s="29" t="e">
        <f t="shared" si="123"/>
        <v>#REF!</v>
      </c>
      <c r="GIF247" s="29" t="e">
        <f t="shared" si="123"/>
        <v>#REF!</v>
      </c>
      <c r="GIG247" s="29" t="e">
        <f t="shared" si="123"/>
        <v>#REF!</v>
      </c>
      <c r="GIH247" s="29" t="e">
        <f t="shared" si="123"/>
        <v>#REF!</v>
      </c>
      <c r="GII247" s="29" t="e">
        <f t="shared" si="123"/>
        <v>#REF!</v>
      </c>
      <c r="GIJ247" s="29" t="e">
        <f t="shared" si="123"/>
        <v>#REF!</v>
      </c>
      <c r="GIK247" s="29" t="e">
        <f t="shared" si="123"/>
        <v>#REF!</v>
      </c>
      <c r="GIL247" s="29" t="e">
        <f t="shared" si="123"/>
        <v>#REF!</v>
      </c>
      <c r="GIM247" s="29" t="e">
        <f t="shared" si="123"/>
        <v>#REF!</v>
      </c>
      <c r="GIN247" s="29" t="e">
        <f t="shared" si="123"/>
        <v>#REF!</v>
      </c>
      <c r="GIO247" s="29" t="e">
        <f t="shared" si="123"/>
        <v>#REF!</v>
      </c>
      <c r="GIP247" s="29" t="e">
        <f t="shared" si="123"/>
        <v>#REF!</v>
      </c>
      <c r="GIQ247" s="29" t="e">
        <f t="shared" si="123"/>
        <v>#REF!</v>
      </c>
      <c r="GIR247" s="29" t="e">
        <f t="shared" si="123"/>
        <v>#REF!</v>
      </c>
      <c r="GIS247" s="29" t="e">
        <f t="shared" si="123"/>
        <v>#REF!</v>
      </c>
      <c r="GIT247" s="29" t="e">
        <f t="shared" si="123"/>
        <v>#REF!</v>
      </c>
      <c r="GIU247" s="29" t="e">
        <f t="shared" si="123"/>
        <v>#REF!</v>
      </c>
      <c r="GIV247" s="29" t="e">
        <f t="shared" si="123"/>
        <v>#REF!</v>
      </c>
      <c r="GIW247" s="29" t="e">
        <f t="shared" si="123"/>
        <v>#REF!</v>
      </c>
      <c r="GIX247" s="29" t="e">
        <f t="shared" si="123"/>
        <v>#REF!</v>
      </c>
      <c r="GIY247" s="29" t="e">
        <f t="shared" si="123"/>
        <v>#REF!</v>
      </c>
      <c r="GIZ247" s="29" t="e">
        <f t="shared" si="123"/>
        <v>#REF!</v>
      </c>
      <c r="GJA247" s="29" t="e">
        <f t="shared" si="123"/>
        <v>#REF!</v>
      </c>
      <c r="GJB247" s="29" t="e">
        <f t="shared" si="123"/>
        <v>#REF!</v>
      </c>
      <c r="GJC247" s="29" t="e">
        <f t="shared" si="123"/>
        <v>#REF!</v>
      </c>
      <c r="GJD247" s="29" t="e">
        <f t="shared" si="123"/>
        <v>#REF!</v>
      </c>
      <c r="GJE247" s="29" t="e">
        <f t="shared" si="123"/>
        <v>#REF!</v>
      </c>
      <c r="GJF247" s="29" t="e">
        <f t="shared" si="123"/>
        <v>#REF!</v>
      </c>
      <c r="GJG247" s="29" t="e">
        <f t="shared" si="123"/>
        <v>#REF!</v>
      </c>
      <c r="GJH247" s="29" t="e">
        <f t="shared" si="123"/>
        <v>#REF!</v>
      </c>
      <c r="GJI247" s="29" t="e">
        <f t="shared" si="123"/>
        <v>#REF!</v>
      </c>
      <c r="GJJ247" s="29" t="e">
        <f t="shared" si="123"/>
        <v>#REF!</v>
      </c>
      <c r="GJK247" s="29" t="e">
        <f t="shared" si="123"/>
        <v>#REF!</v>
      </c>
      <c r="GJL247" s="29" t="e">
        <f t="shared" si="123"/>
        <v>#REF!</v>
      </c>
      <c r="GJM247" s="29" t="e">
        <f t="shared" si="123"/>
        <v>#REF!</v>
      </c>
      <c r="GJN247" s="29" t="e">
        <f t="shared" si="123"/>
        <v>#REF!</v>
      </c>
      <c r="GJO247" s="29" t="e">
        <f t="shared" si="123"/>
        <v>#REF!</v>
      </c>
      <c r="GJP247" s="29" t="e">
        <f t="shared" si="123"/>
        <v>#REF!</v>
      </c>
      <c r="GJQ247" s="29" t="e">
        <f t="shared" ref="GJQ247:GMB247" si="124">GJU247&amp;GJV247</f>
        <v>#REF!</v>
      </c>
      <c r="GJR247" s="29" t="e">
        <f t="shared" si="124"/>
        <v>#REF!</v>
      </c>
      <c r="GJS247" s="29" t="e">
        <f t="shared" si="124"/>
        <v>#REF!</v>
      </c>
      <c r="GJT247" s="29" t="e">
        <f t="shared" si="124"/>
        <v>#REF!</v>
      </c>
      <c r="GJU247" s="29" t="e">
        <f t="shared" si="124"/>
        <v>#REF!</v>
      </c>
      <c r="GJV247" s="29" t="e">
        <f t="shared" si="124"/>
        <v>#REF!</v>
      </c>
      <c r="GJW247" s="29" t="e">
        <f t="shared" si="124"/>
        <v>#REF!</v>
      </c>
      <c r="GJX247" s="29" t="e">
        <f t="shared" si="124"/>
        <v>#REF!</v>
      </c>
      <c r="GJY247" s="29" t="e">
        <f t="shared" si="124"/>
        <v>#REF!</v>
      </c>
      <c r="GJZ247" s="29" t="e">
        <f t="shared" si="124"/>
        <v>#REF!</v>
      </c>
      <c r="GKA247" s="29" t="e">
        <f t="shared" si="124"/>
        <v>#REF!</v>
      </c>
      <c r="GKB247" s="29" t="e">
        <f t="shared" si="124"/>
        <v>#REF!</v>
      </c>
      <c r="GKC247" s="29" t="e">
        <f t="shared" si="124"/>
        <v>#REF!</v>
      </c>
      <c r="GKD247" s="29" t="e">
        <f t="shared" si="124"/>
        <v>#REF!</v>
      </c>
      <c r="GKE247" s="29" t="e">
        <f t="shared" si="124"/>
        <v>#REF!</v>
      </c>
      <c r="GKF247" s="29" t="e">
        <f t="shared" si="124"/>
        <v>#REF!</v>
      </c>
      <c r="GKG247" s="29" t="e">
        <f t="shared" si="124"/>
        <v>#REF!</v>
      </c>
      <c r="GKH247" s="29" t="e">
        <f t="shared" si="124"/>
        <v>#REF!</v>
      </c>
      <c r="GKI247" s="29" t="e">
        <f t="shared" si="124"/>
        <v>#REF!</v>
      </c>
      <c r="GKJ247" s="29" t="e">
        <f t="shared" si="124"/>
        <v>#REF!</v>
      </c>
      <c r="GKK247" s="29" t="e">
        <f t="shared" si="124"/>
        <v>#REF!</v>
      </c>
      <c r="GKL247" s="29" t="e">
        <f t="shared" si="124"/>
        <v>#REF!</v>
      </c>
      <c r="GKM247" s="29" t="e">
        <f t="shared" si="124"/>
        <v>#REF!</v>
      </c>
      <c r="GKN247" s="29" t="e">
        <f t="shared" si="124"/>
        <v>#REF!</v>
      </c>
      <c r="GKO247" s="29" t="e">
        <f t="shared" si="124"/>
        <v>#REF!</v>
      </c>
      <c r="GKP247" s="29" t="e">
        <f t="shared" si="124"/>
        <v>#REF!</v>
      </c>
      <c r="GKQ247" s="29" t="e">
        <f t="shared" si="124"/>
        <v>#REF!</v>
      </c>
      <c r="GKR247" s="29" t="e">
        <f t="shared" si="124"/>
        <v>#REF!</v>
      </c>
      <c r="GKS247" s="29" t="e">
        <f t="shared" si="124"/>
        <v>#REF!</v>
      </c>
      <c r="GKT247" s="29" t="e">
        <f t="shared" si="124"/>
        <v>#REF!</v>
      </c>
      <c r="GKU247" s="29" t="e">
        <f t="shared" si="124"/>
        <v>#REF!</v>
      </c>
      <c r="GKV247" s="29" t="e">
        <f t="shared" si="124"/>
        <v>#REF!</v>
      </c>
      <c r="GKW247" s="29" t="e">
        <f t="shared" si="124"/>
        <v>#REF!</v>
      </c>
      <c r="GKX247" s="29" t="e">
        <f t="shared" si="124"/>
        <v>#REF!</v>
      </c>
      <c r="GKY247" s="29" t="e">
        <f t="shared" si="124"/>
        <v>#REF!</v>
      </c>
      <c r="GKZ247" s="29" t="e">
        <f t="shared" si="124"/>
        <v>#REF!</v>
      </c>
      <c r="GLA247" s="29" t="e">
        <f t="shared" si="124"/>
        <v>#REF!</v>
      </c>
      <c r="GLB247" s="29" t="e">
        <f t="shared" si="124"/>
        <v>#REF!</v>
      </c>
      <c r="GLC247" s="29" t="e">
        <f t="shared" si="124"/>
        <v>#REF!</v>
      </c>
      <c r="GLD247" s="29" t="e">
        <f t="shared" si="124"/>
        <v>#REF!</v>
      </c>
      <c r="GLE247" s="29" t="e">
        <f t="shared" si="124"/>
        <v>#REF!</v>
      </c>
      <c r="GLF247" s="29" t="e">
        <f t="shared" si="124"/>
        <v>#REF!</v>
      </c>
      <c r="GLG247" s="29" t="e">
        <f t="shared" si="124"/>
        <v>#REF!</v>
      </c>
      <c r="GLH247" s="29" t="e">
        <f t="shared" si="124"/>
        <v>#REF!</v>
      </c>
      <c r="GLI247" s="29" t="e">
        <f t="shared" si="124"/>
        <v>#REF!</v>
      </c>
      <c r="GLJ247" s="29" t="e">
        <f t="shared" si="124"/>
        <v>#REF!</v>
      </c>
      <c r="GLK247" s="29" t="e">
        <f t="shared" si="124"/>
        <v>#REF!</v>
      </c>
      <c r="GLL247" s="29" t="e">
        <f t="shared" si="124"/>
        <v>#REF!</v>
      </c>
      <c r="GLM247" s="29" t="e">
        <f t="shared" si="124"/>
        <v>#REF!</v>
      </c>
      <c r="GLN247" s="29" t="e">
        <f t="shared" si="124"/>
        <v>#REF!</v>
      </c>
      <c r="GLO247" s="29" t="e">
        <f t="shared" si="124"/>
        <v>#REF!</v>
      </c>
      <c r="GLP247" s="29" t="e">
        <f t="shared" si="124"/>
        <v>#REF!</v>
      </c>
      <c r="GLQ247" s="29" t="e">
        <f t="shared" si="124"/>
        <v>#REF!</v>
      </c>
      <c r="GLR247" s="29" t="e">
        <f t="shared" si="124"/>
        <v>#REF!</v>
      </c>
      <c r="GLS247" s="29" t="e">
        <f t="shared" si="124"/>
        <v>#REF!</v>
      </c>
      <c r="GLT247" s="29" t="e">
        <f t="shared" si="124"/>
        <v>#REF!</v>
      </c>
      <c r="GLU247" s="29" t="e">
        <f t="shared" si="124"/>
        <v>#REF!</v>
      </c>
      <c r="GLV247" s="29" t="e">
        <f t="shared" si="124"/>
        <v>#REF!</v>
      </c>
      <c r="GLW247" s="29" t="e">
        <f t="shared" si="124"/>
        <v>#REF!</v>
      </c>
      <c r="GLX247" s="29" t="e">
        <f t="shared" si="124"/>
        <v>#REF!</v>
      </c>
      <c r="GLY247" s="29" t="e">
        <f t="shared" si="124"/>
        <v>#REF!</v>
      </c>
      <c r="GLZ247" s="29" t="e">
        <f t="shared" si="124"/>
        <v>#REF!</v>
      </c>
      <c r="GMA247" s="29" t="e">
        <f t="shared" si="124"/>
        <v>#REF!</v>
      </c>
      <c r="GMB247" s="29" t="e">
        <f t="shared" si="124"/>
        <v>#REF!</v>
      </c>
      <c r="GMC247" s="29" t="e">
        <f t="shared" ref="GMC247:GON247" si="125">GMG247&amp;GMH247</f>
        <v>#REF!</v>
      </c>
      <c r="GMD247" s="29" t="e">
        <f t="shared" si="125"/>
        <v>#REF!</v>
      </c>
      <c r="GME247" s="29" t="e">
        <f t="shared" si="125"/>
        <v>#REF!</v>
      </c>
      <c r="GMF247" s="29" t="e">
        <f t="shared" si="125"/>
        <v>#REF!</v>
      </c>
      <c r="GMG247" s="29" t="e">
        <f t="shared" si="125"/>
        <v>#REF!</v>
      </c>
      <c r="GMH247" s="29" t="e">
        <f t="shared" si="125"/>
        <v>#REF!</v>
      </c>
      <c r="GMI247" s="29" t="e">
        <f t="shared" si="125"/>
        <v>#REF!</v>
      </c>
      <c r="GMJ247" s="29" t="e">
        <f t="shared" si="125"/>
        <v>#REF!</v>
      </c>
      <c r="GMK247" s="29" t="e">
        <f t="shared" si="125"/>
        <v>#REF!</v>
      </c>
      <c r="GML247" s="29" t="e">
        <f t="shared" si="125"/>
        <v>#REF!</v>
      </c>
      <c r="GMM247" s="29" t="e">
        <f t="shared" si="125"/>
        <v>#REF!</v>
      </c>
      <c r="GMN247" s="29" t="e">
        <f t="shared" si="125"/>
        <v>#REF!</v>
      </c>
      <c r="GMO247" s="29" t="e">
        <f t="shared" si="125"/>
        <v>#REF!</v>
      </c>
      <c r="GMP247" s="29" t="e">
        <f t="shared" si="125"/>
        <v>#REF!</v>
      </c>
      <c r="GMQ247" s="29" t="e">
        <f t="shared" si="125"/>
        <v>#REF!</v>
      </c>
      <c r="GMR247" s="29" t="e">
        <f t="shared" si="125"/>
        <v>#REF!</v>
      </c>
      <c r="GMS247" s="29" t="e">
        <f t="shared" si="125"/>
        <v>#REF!</v>
      </c>
      <c r="GMT247" s="29" t="e">
        <f t="shared" si="125"/>
        <v>#REF!</v>
      </c>
      <c r="GMU247" s="29" t="e">
        <f t="shared" si="125"/>
        <v>#REF!</v>
      </c>
      <c r="GMV247" s="29" t="e">
        <f t="shared" si="125"/>
        <v>#REF!</v>
      </c>
      <c r="GMW247" s="29" t="e">
        <f t="shared" si="125"/>
        <v>#REF!</v>
      </c>
      <c r="GMX247" s="29" t="e">
        <f t="shared" si="125"/>
        <v>#REF!</v>
      </c>
      <c r="GMY247" s="29" t="e">
        <f t="shared" si="125"/>
        <v>#REF!</v>
      </c>
      <c r="GMZ247" s="29" t="e">
        <f t="shared" si="125"/>
        <v>#REF!</v>
      </c>
      <c r="GNA247" s="29" t="e">
        <f t="shared" si="125"/>
        <v>#REF!</v>
      </c>
      <c r="GNB247" s="29" t="e">
        <f t="shared" si="125"/>
        <v>#REF!</v>
      </c>
      <c r="GNC247" s="29" t="e">
        <f t="shared" si="125"/>
        <v>#REF!</v>
      </c>
      <c r="GND247" s="29" t="e">
        <f t="shared" si="125"/>
        <v>#REF!</v>
      </c>
      <c r="GNE247" s="29" t="e">
        <f t="shared" si="125"/>
        <v>#REF!</v>
      </c>
      <c r="GNF247" s="29" t="e">
        <f t="shared" si="125"/>
        <v>#REF!</v>
      </c>
      <c r="GNG247" s="29" t="e">
        <f t="shared" si="125"/>
        <v>#REF!</v>
      </c>
      <c r="GNH247" s="29" t="e">
        <f t="shared" si="125"/>
        <v>#REF!</v>
      </c>
      <c r="GNI247" s="29" t="e">
        <f t="shared" si="125"/>
        <v>#REF!</v>
      </c>
      <c r="GNJ247" s="29" t="e">
        <f t="shared" si="125"/>
        <v>#REF!</v>
      </c>
      <c r="GNK247" s="29" t="e">
        <f t="shared" si="125"/>
        <v>#REF!</v>
      </c>
      <c r="GNL247" s="29" t="e">
        <f t="shared" si="125"/>
        <v>#REF!</v>
      </c>
      <c r="GNM247" s="29" t="e">
        <f t="shared" si="125"/>
        <v>#REF!</v>
      </c>
      <c r="GNN247" s="29" t="e">
        <f t="shared" si="125"/>
        <v>#REF!</v>
      </c>
      <c r="GNO247" s="29" t="e">
        <f t="shared" si="125"/>
        <v>#REF!</v>
      </c>
      <c r="GNP247" s="29" t="e">
        <f t="shared" si="125"/>
        <v>#REF!</v>
      </c>
      <c r="GNQ247" s="29" t="e">
        <f t="shared" si="125"/>
        <v>#REF!</v>
      </c>
      <c r="GNR247" s="29" t="e">
        <f t="shared" si="125"/>
        <v>#REF!</v>
      </c>
      <c r="GNS247" s="29" t="e">
        <f t="shared" si="125"/>
        <v>#REF!</v>
      </c>
      <c r="GNT247" s="29" t="e">
        <f t="shared" si="125"/>
        <v>#REF!</v>
      </c>
      <c r="GNU247" s="29" t="e">
        <f t="shared" si="125"/>
        <v>#REF!</v>
      </c>
      <c r="GNV247" s="29" t="e">
        <f t="shared" si="125"/>
        <v>#REF!</v>
      </c>
      <c r="GNW247" s="29" t="e">
        <f t="shared" si="125"/>
        <v>#REF!</v>
      </c>
      <c r="GNX247" s="29" t="e">
        <f t="shared" si="125"/>
        <v>#REF!</v>
      </c>
      <c r="GNY247" s="29" t="e">
        <f t="shared" si="125"/>
        <v>#REF!</v>
      </c>
      <c r="GNZ247" s="29" t="e">
        <f t="shared" si="125"/>
        <v>#REF!</v>
      </c>
      <c r="GOA247" s="29" t="e">
        <f t="shared" si="125"/>
        <v>#REF!</v>
      </c>
      <c r="GOB247" s="29" t="e">
        <f t="shared" si="125"/>
        <v>#REF!</v>
      </c>
      <c r="GOC247" s="29" t="e">
        <f t="shared" si="125"/>
        <v>#REF!</v>
      </c>
      <c r="GOD247" s="29" t="e">
        <f t="shared" si="125"/>
        <v>#REF!</v>
      </c>
      <c r="GOE247" s="29" t="e">
        <f t="shared" si="125"/>
        <v>#REF!</v>
      </c>
      <c r="GOF247" s="29" t="e">
        <f t="shared" si="125"/>
        <v>#REF!</v>
      </c>
      <c r="GOG247" s="29" t="e">
        <f t="shared" si="125"/>
        <v>#REF!</v>
      </c>
      <c r="GOH247" s="29" t="e">
        <f t="shared" si="125"/>
        <v>#REF!</v>
      </c>
      <c r="GOI247" s="29" t="e">
        <f t="shared" si="125"/>
        <v>#REF!</v>
      </c>
      <c r="GOJ247" s="29" t="e">
        <f t="shared" si="125"/>
        <v>#REF!</v>
      </c>
      <c r="GOK247" s="29" t="e">
        <f t="shared" si="125"/>
        <v>#REF!</v>
      </c>
      <c r="GOL247" s="29" t="e">
        <f t="shared" si="125"/>
        <v>#REF!</v>
      </c>
      <c r="GOM247" s="29" t="e">
        <f t="shared" si="125"/>
        <v>#REF!</v>
      </c>
      <c r="GON247" s="29" t="e">
        <f t="shared" si="125"/>
        <v>#REF!</v>
      </c>
      <c r="GOO247" s="29" t="e">
        <f t="shared" ref="GOO247:GQZ247" si="126">GOS247&amp;GOT247</f>
        <v>#REF!</v>
      </c>
      <c r="GOP247" s="29" t="e">
        <f t="shared" si="126"/>
        <v>#REF!</v>
      </c>
      <c r="GOQ247" s="29" t="e">
        <f t="shared" si="126"/>
        <v>#REF!</v>
      </c>
      <c r="GOR247" s="29" t="e">
        <f t="shared" si="126"/>
        <v>#REF!</v>
      </c>
      <c r="GOS247" s="29" t="e">
        <f t="shared" si="126"/>
        <v>#REF!</v>
      </c>
      <c r="GOT247" s="29" t="e">
        <f t="shared" si="126"/>
        <v>#REF!</v>
      </c>
      <c r="GOU247" s="29" t="e">
        <f t="shared" si="126"/>
        <v>#REF!</v>
      </c>
      <c r="GOV247" s="29" t="e">
        <f t="shared" si="126"/>
        <v>#REF!</v>
      </c>
      <c r="GOW247" s="29" t="e">
        <f t="shared" si="126"/>
        <v>#REF!</v>
      </c>
      <c r="GOX247" s="29" t="e">
        <f t="shared" si="126"/>
        <v>#REF!</v>
      </c>
      <c r="GOY247" s="29" t="e">
        <f t="shared" si="126"/>
        <v>#REF!</v>
      </c>
      <c r="GOZ247" s="29" t="e">
        <f t="shared" si="126"/>
        <v>#REF!</v>
      </c>
      <c r="GPA247" s="29" t="e">
        <f t="shared" si="126"/>
        <v>#REF!</v>
      </c>
      <c r="GPB247" s="29" t="e">
        <f t="shared" si="126"/>
        <v>#REF!</v>
      </c>
      <c r="GPC247" s="29" t="e">
        <f t="shared" si="126"/>
        <v>#REF!</v>
      </c>
      <c r="GPD247" s="29" t="e">
        <f t="shared" si="126"/>
        <v>#REF!</v>
      </c>
      <c r="GPE247" s="29" t="e">
        <f t="shared" si="126"/>
        <v>#REF!</v>
      </c>
      <c r="GPF247" s="29" t="e">
        <f t="shared" si="126"/>
        <v>#REF!</v>
      </c>
      <c r="GPG247" s="29" t="e">
        <f t="shared" si="126"/>
        <v>#REF!</v>
      </c>
      <c r="GPH247" s="29" t="e">
        <f t="shared" si="126"/>
        <v>#REF!</v>
      </c>
      <c r="GPI247" s="29" t="e">
        <f t="shared" si="126"/>
        <v>#REF!</v>
      </c>
      <c r="GPJ247" s="29" t="e">
        <f t="shared" si="126"/>
        <v>#REF!</v>
      </c>
      <c r="GPK247" s="29" t="e">
        <f t="shared" si="126"/>
        <v>#REF!</v>
      </c>
      <c r="GPL247" s="29" t="e">
        <f t="shared" si="126"/>
        <v>#REF!</v>
      </c>
      <c r="GPM247" s="29" t="e">
        <f t="shared" si="126"/>
        <v>#REF!</v>
      </c>
      <c r="GPN247" s="29" t="e">
        <f t="shared" si="126"/>
        <v>#REF!</v>
      </c>
      <c r="GPO247" s="29" t="e">
        <f t="shared" si="126"/>
        <v>#REF!</v>
      </c>
      <c r="GPP247" s="29" t="e">
        <f t="shared" si="126"/>
        <v>#REF!</v>
      </c>
      <c r="GPQ247" s="29" t="e">
        <f t="shared" si="126"/>
        <v>#REF!</v>
      </c>
      <c r="GPR247" s="29" t="e">
        <f t="shared" si="126"/>
        <v>#REF!</v>
      </c>
      <c r="GPS247" s="29" t="e">
        <f t="shared" si="126"/>
        <v>#REF!</v>
      </c>
      <c r="GPT247" s="29" t="e">
        <f t="shared" si="126"/>
        <v>#REF!</v>
      </c>
      <c r="GPU247" s="29" t="e">
        <f t="shared" si="126"/>
        <v>#REF!</v>
      </c>
      <c r="GPV247" s="29" t="e">
        <f t="shared" si="126"/>
        <v>#REF!</v>
      </c>
      <c r="GPW247" s="29" t="e">
        <f t="shared" si="126"/>
        <v>#REF!</v>
      </c>
      <c r="GPX247" s="29" t="e">
        <f t="shared" si="126"/>
        <v>#REF!</v>
      </c>
      <c r="GPY247" s="29" t="e">
        <f t="shared" si="126"/>
        <v>#REF!</v>
      </c>
      <c r="GPZ247" s="29" t="e">
        <f t="shared" si="126"/>
        <v>#REF!</v>
      </c>
      <c r="GQA247" s="29" t="e">
        <f t="shared" si="126"/>
        <v>#REF!</v>
      </c>
      <c r="GQB247" s="29" t="e">
        <f t="shared" si="126"/>
        <v>#REF!</v>
      </c>
      <c r="GQC247" s="29" t="e">
        <f t="shared" si="126"/>
        <v>#REF!</v>
      </c>
      <c r="GQD247" s="29" t="e">
        <f t="shared" si="126"/>
        <v>#REF!</v>
      </c>
      <c r="GQE247" s="29" t="e">
        <f t="shared" si="126"/>
        <v>#REF!</v>
      </c>
      <c r="GQF247" s="29" t="e">
        <f t="shared" si="126"/>
        <v>#REF!</v>
      </c>
      <c r="GQG247" s="29" t="e">
        <f t="shared" si="126"/>
        <v>#REF!</v>
      </c>
      <c r="GQH247" s="29" t="e">
        <f t="shared" si="126"/>
        <v>#REF!</v>
      </c>
      <c r="GQI247" s="29" t="e">
        <f t="shared" si="126"/>
        <v>#REF!</v>
      </c>
      <c r="GQJ247" s="29" t="e">
        <f t="shared" si="126"/>
        <v>#REF!</v>
      </c>
      <c r="GQK247" s="29" t="e">
        <f t="shared" si="126"/>
        <v>#REF!</v>
      </c>
      <c r="GQL247" s="29" t="e">
        <f t="shared" si="126"/>
        <v>#REF!</v>
      </c>
      <c r="GQM247" s="29" t="e">
        <f t="shared" si="126"/>
        <v>#REF!</v>
      </c>
      <c r="GQN247" s="29" t="e">
        <f t="shared" si="126"/>
        <v>#REF!</v>
      </c>
      <c r="GQO247" s="29" t="e">
        <f t="shared" si="126"/>
        <v>#REF!</v>
      </c>
      <c r="GQP247" s="29" t="e">
        <f t="shared" si="126"/>
        <v>#REF!</v>
      </c>
      <c r="GQQ247" s="29" t="e">
        <f t="shared" si="126"/>
        <v>#REF!</v>
      </c>
      <c r="GQR247" s="29" t="e">
        <f t="shared" si="126"/>
        <v>#REF!</v>
      </c>
      <c r="GQS247" s="29" t="e">
        <f t="shared" si="126"/>
        <v>#REF!</v>
      </c>
      <c r="GQT247" s="29" t="e">
        <f t="shared" si="126"/>
        <v>#REF!</v>
      </c>
      <c r="GQU247" s="29" t="e">
        <f t="shared" si="126"/>
        <v>#REF!</v>
      </c>
      <c r="GQV247" s="29" t="e">
        <f t="shared" si="126"/>
        <v>#REF!</v>
      </c>
      <c r="GQW247" s="29" t="e">
        <f t="shared" si="126"/>
        <v>#REF!</v>
      </c>
      <c r="GQX247" s="29" t="e">
        <f t="shared" si="126"/>
        <v>#REF!</v>
      </c>
      <c r="GQY247" s="29" t="e">
        <f t="shared" si="126"/>
        <v>#REF!</v>
      </c>
      <c r="GQZ247" s="29" t="e">
        <f t="shared" si="126"/>
        <v>#REF!</v>
      </c>
      <c r="GRA247" s="29" t="e">
        <f t="shared" ref="GRA247:GTL247" si="127">GRE247&amp;GRF247</f>
        <v>#REF!</v>
      </c>
      <c r="GRB247" s="29" t="e">
        <f t="shared" si="127"/>
        <v>#REF!</v>
      </c>
      <c r="GRC247" s="29" t="e">
        <f t="shared" si="127"/>
        <v>#REF!</v>
      </c>
      <c r="GRD247" s="29" t="e">
        <f t="shared" si="127"/>
        <v>#REF!</v>
      </c>
      <c r="GRE247" s="29" t="e">
        <f t="shared" si="127"/>
        <v>#REF!</v>
      </c>
      <c r="GRF247" s="29" t="e">
        <f t="shared" si="127"/>
        <v>#REF!</v>
      </c>
      <c r="GRG247" s="29" t="e">
        <f t="shared" si="127"/>
        <v>#REF!</v>
      </c>
      <c r="GRH247" s="29" t="e">
        <f t="shared" si="127"/>
        <v>#REF!</v>
      </c>
      <c r="GRI247" s="29" t="e">
        <f t="shared" si="127"/>
        <v>#REF!</v>
      </c>
      <c r="GRJ247" s="29" t="e">
        <f t="shared" si="127"/>
        <v>#REF!</v>
      </c>
      <c r="GRK247" s="29" t="e">
        <f t="shared" si="127"/>
        <v>#REF!</v>
      </c>
      <c r="GRL247" s="29" t="e">
        <f t="shared" si="127"/>
        <v>#REF!</v>
      </c>
      <c r="GRM247" s="29" t="e">
        <f t="shared" si="127"/>
        <v>#REF!</v>
      </c>
      <c r="GRN247" s="29" t="e">
        <f t="shared" si="127"/>
        <v>#REF!</v>
      </c>
      <c r="GRO247" s="29" t="e">
        <f t="shared" si="127"/>
        <v>#REF!</v>
      </c>
      <c r="GRP247" s="29" t="e">
        <f t="shared" si="127"/>
        <v>#REF!</v>
      </c>
      <c r="GRQ247" s="29" t="e">
        <f t="shared" si="127"/>
        <v>#REF!</v>
      </c>
      <c r="GRR247" s="29" t="e">
        <f t="shared" si="127"/>
        <v>#REF!</v>
      </c>
      <c r="GRS247" s="29" t="e">
        <f t="shared" si="127"/>
        <v>#REF!</v>
      </c>
      <c r="GRT247" s="29" t="e">
        <f t="shared" si="127"/>
        <v>#REF!</v>
      </c>
      <c r="GRU247" s="29" t="e">
        <f t="shared" si="127"/>
        <v>#REF!</v>
      </c>
      <c r="GRV247" s="29" t="e">
        <f t="shared" si="127"/>
        <v>#REF!</v>
      </c>
      <c r="GRW247" s="29" t="e">
        <f t="shared" si="127"/>
        <v>#REF!</v>
      </c>
      <c r="GRX247" s="29" t="e">
        <f t="shared" si="127"/>
        <v>#REF!</v>
      </c>
      <c r="GRY247" s="29" t="e">
        <f t="shared" si="127"/>
        <v>#REF!</v>
      </c>
      <c r="GRZ247" s="29" t="e">
        <f t="shared" si="127"/>
        <v>#REF!</v>
      </c>
      <c r="GSA247" s="29" t="e">
        <f t="shared" si="127"/>
        <v>#REF!</v>
      </c>
      <c r="GSB247" s="29" t="e">
        <f t="shared" si="127"/>
        <v>#REF!</v>
      </c>
      <c r="GSC247" s="29" t="e">
        <f t="shared" si="127"/>
        <v>#REF!</v>
      </c>
      <c r="GSD247" s="29" t="e">
        <f t="shared" si="127"/>
        <v>#REF!</v>
      </c>
      <c r="GSE247" s="29" t="e">
        <f t="shared" si="127"/>
        <v>#REF!</v>
      </c>
      <c r="GSF247" s="29" t="e">
        <f t="shared" si="127"/>
        <v>#REF!</v>
      </c>
      <c r="GSG247" s="29" t="e">
        <f t="shared" si="127"/>
        <v>#REF!</v>
      </c>
      <c r="GSH247" s="29" t="e">
        <f t="shared" si="127"/>
        <v>#REF!</v>
      </c>
      <c r="GSI247" s="29" t="e">
        <f t="shared" si="127"/>
        <v>#REF!</v>
      </c>
      <c r="GSJ247" s="29" t="e">
        <f t="shared" si="127"/>
        <v>#REF!</v>
      </c>
      <c r="GSK247" s="29" t="e">
        <f t="shared" si="127"/>
        <v>#REF!</v>
      </c>
      <c r="GSL247" s="29" t="e">
        <f t="shared" si="127"/>
        <v>#REF!</v>
      </c>
      <c r="GSM247" s="29" t="e">
        <f t="shared" si="127"/>
        <v>#REF!</v>
      </c>
      <c r="GSN247" s="29" t="e">
        <f t="shared" si="127"/>
        <v>#REF!</v>
      </c>
      <c r="GSO247" s="29" t="e">
        <f t="shared" si="127"/>
        <v>#REF!</v>
      </c>
      <c r="GSP247" s="29" t="e">
        <f t="shared" si="127"/>
        <v>#REF!</v>
      </c>
      <c r="GSQ247" s="29" t="e">
        <f t="shared" si="127"/>
        <v>#REF!</v>
      </c>
      <c r="GSR247" s="29" t="e">
        <f t="shared" si="127"/>
        <v>#REF!</v>
      </c>
      <c r="GSS247" s="29" t="e">
        <f t="shared" si="127"/>
        <v>#REF!</v>
      </c>
      <c r="GST247" s="29" t="e">
        <f t="shared" si="127"/>
        <v>#REF!</v>
      </c>
      <c r="GSU247" s="29" t="e">
        <f t="shared" si="127"/>
        <v>#REF!</v>
      </c>
      <c r="GSV247" s="29" t="e">
        <f t="shared" si="127"/>
        <v>#REF!</v>
      </c>
      <c r="GSW247" s="29" t="e">
        <f t="shared" si="127"/>
        <v>#REF!</v>
      </c>
      <c r="GSX247" s="29" t="e">
        <f t="shared" si="127"/>
        <v>#REF!</v>
      </c>
      <c r="GSY247" s="29" t="e">
        <f t="shared" si="127"/>
        <v>#REF!</v>
      </c>
      <c r="GSZ247" s="29" t="e">
        <f t="shared" si="127"/>
        <v>#REF!</v>
      </c>
      <c r="GTA247" s="29" t="e">
        <f t="shared" si="127"/>
        <v>#REF!</v>
      </c>
      <c r="GTB247" s="29" t="e">
        <f t="shared" si="127"/>
        <v>#REF!</v>
      </c>
      <c r="GTC247" s="29" t="e">
        <f t="shared" si="127"/>
        <v>#REF!</v>
      </c>
      <c r="GTD247" s="29" t="e">
        <f t="shared" si="127"/>
        <v>#REF!</v>
      </c>
      <c r="GTE247" s="29" t="e">
        <f t="shared" si="127"/>
        <v>#REF!</v>
      </c>
      <c r="GTF247" s="29" t="e">
        <f t="shared" si="127"/>
        <v>#REF!</v>
      </c>
      <c r="GTG247" s="29" t="e">
        <f t="shared" si="127"/>
        <v>#REF!</v>
      </c>
      <c r="GTH247" s="29" t="e">
        <f t="shared" si="127"/>
        <v>#REF!</v>
      </c>
      <c r="GTI247" s="29" t="e">
        <f t="shared" si="127"/>
        <v>#REF!</v>
      </c>
      <c r="GTJ247" s="29" t="e">
        <f t="shared" si="127"/>
        <v>#REF!</v>
      </c>
      <c r="GTK247" s="29" t="e">
        <f t="shared" si="127"/>
        <v>#REF!</v>
      </c>
      <c r="GTL247" s="29" t="e">
        <f t="shared" si="127"/>
        <v>#REF!</v>
      </c>
      <c r="GTM247" s="29" t="e">
        <f t="shared" ref="GTM247:GVX247" si="128">GTQ247&amp;GTR247</f>
        <v>#REF!</v>
      </c>
      <c r="GTN247" s="29" t="e">
        <f t="shared" si="128"/>
        <v>#REF!</v>
      </c>
      <c r="GTO247" s="29" t="e">
        <f t="shared" si="128"/>
        <v>#REF!</v>
      </c>
      <c r="GTP247" s="29" t="e">
        <f t="shared" si="128"/>
        <v>#REF!</v>
      </c>
      <c r="GTQ247" s="29" t="e">
        <f t="shared" si="128"/>
        <v>#REF!</v>
      </c>
      <c r="GTR247" s="29" t="e">
        <f t="shared" si="128"/>
        <v>#REF!</v>
      </c>
      <c r="GTS247" s="29" t="e">
        <f t="shared" si="128"/>
        <v>#REF!</v>
      </c>
      <c r="GTT247" s="29" t="e">
        <f t="shared" si="128"/>
        <v>#REF!</v>
      </c>
      <c r="GTU247" s="29" t="e">
        <f t="shared" si="128"/>
        <v>#REF!</v>
      </c>
      <c r="GTV247" s="29" t="e">
        <f t="shared" si="128"/>
        <v>#REF!</v>
      </c>
      <c r="GTW247" s="29" t="e">
        <f t="shared" si="128"/>
        <v>#REF!</v>
      </c>
      <c r="GTX247" s="29" t="e">
        <f t="shared" si="128"/>
        <v>#REF!</v>
      </c>
      <c r="GTY247" s="29" t="e">
        <f t="shared" si="128"/>
        <v>#REF!</v>
      </c>
      <c r="GTZ247" s="29" t="e">
        <f t="shared" si="128"/>
        <v>#REF!</v>
      </c>
      <c r="GUA247" s="29" t="e">
        <f t="shared" si="128"/>
        <v>#REF!</v>
      </c>
      <c r="GUB247" s="29" t="e">
        <f t="shared" si="128"/>
        <v>#REF!</v>
      </c>
      <c r="GUC247" s="29" t="e">
        <f t="shared" si="128"/>
        <v>#REF!</v>
      </c>
      <c r="GUD247" s="29" t="e">
        <f t="shared" si="128"/>
        <v>#REF!</v>
      </c>
      <c r="GUE247" s="29" t="e">
        <f t="shared" si="128"/>
        <v>#REF!</v>
      </c>
      <c r="GUF247" s="29" t="e">
        <f t="shared" si="128"/>
        <v>#REF!</v>
      </c>
      <c r="GUG247" s="29" t="e">
        <f t="shared" si="128"/>
        <v>#REF!</v>
      </c>
      <c r="GUH247" s="29" t="e">
        <f t="shared" si="128"/>
        <v>#REF!</v>
      </c>
      <c r="GUI247" s="29" t="e">
        <f t="shared" si="128"/>
        <v>#REF!</v>
      </c>
      <c r="GUJ247" s="29" t="e">
        <f t="shared" si="128"/>
        <v>#REF!</v>
      </c>
      <c r="GUK247" s="29" t="e">
        <f t="shared" si="128"/>
        <v>#REF!</v>
      </c>
      <c r="GUL247" s="29" t="e">
        <f t="shared" si="128"/>
        <v>#REF!</v>
      </c>
      <c r="GUM247" s="29" t="e">
        <f t="shared" si="128"/>
        <v>#REF!</v>
      </c>
      <c r="GUN247" s="29" t="e">
        <f t="shared" si="128"/>
        <v>#REF!</v>
      </c>
      <c r="GUO247" s="29" t="e">
        <f t="shared" si="128"/>
        <v>#REF!</v>
      </c>
      <c r="GUP247" s="29" t="e">
        <f t="shared" si="128"/>
        <v>#REF!</v>
      </c>
      <c r="GUQ247" s="29" t="e">
        <f t="shared" si="128"/>
        <v>#REF!</v>
      </c>
      <c r="GUR247" s="29" t="e">
        <f t="shared" si="128"/>
        <v>#REF!</v>
      </c>
      <c r="GUS247" s="29" t="e">
        <f t="shared" si="128"/>
        <v>#REF!</v>
      </c>
      <c r="GUT247" s="29" t="e">
        <f t="shared" si="128"/>
        <v>#REF!</v>
      </c>
      <c r="GUU247" s="29" t="e">
        <f t="shared" si="128"/>
        <v>#REF!</v>
      </c>
      <c r="GUV247" s="29" t="e">
        <f t="shared" si="128"/>
        <v>#REF!</v>
      </c>
      <c r="GUW247" s="29" t="e">
        <f t="shared" si="128"/>
        <v>#REF!</v>
      </c>
      <c r="GUX247" s="29" t="e">
        <f t="shared" si="128"/>
        <v>#REF!</v>
      </c>
      <c r="GUY247" s="29" t="e">
        <f t="shared" si="128"/>
        <v>#REF!</v>
      </c>
      <c r="GUZ247" s="29" t="e">
        <f t="shared" si="128"/>
        <v>#REF!</v>
      </c>
      <c r="GVA247" s="29" t="e">
        <f t="shared" si="128"/>
        <v>#REF!</v>
      </c>
      <c r="GVB247" s="29" t="e">
        <f t="shared" si="128"/>
        <v>#REF!</v>
      </c>
      <c r="GVC247" s="29" t="e">
        <f t="shared" si="128"/>
        <v>#REF!</v>
      </c>
      <c r="GVD247" s="29" t="e">
        <f t="shared" si="128"/>
        <v>#REF!</v>
      </c>
      <c r="GVE247" s="29" t="e">
        <f t="shared" si="128"/>
        <v>#REF!</v>
      </c>
      <c r="GVF247" s="29" t="e">
        <f t="shared" si="128"/>
        <v>#REF!</v>
      </c>
      <c r="GVG247" s="29" t="e">
        <f t="shared" si="128"/>
        <v>#REF!</v>
      </c>
      <c r="GVH247" s="29" t="e">
        <f t="shared" si="128"/>
        <v>#REF!</v>
      </c>
      <c r="GVI247" s="29" t="e">
        <f t="shared" si="128"/>
        <v>#REF!</v>
      </c>
      <c r="GVJ247" s="29" t="e">
        <f t="shared" si="128"/>
        <v>#REF!</v>
      </c>
      <c r="GVK247" s="29" t="e">
        <f t="shared" si="128"/>
        <v>#REF!</v>
      </c>
      <c r="GVL247" s="29" t="e">
        <f t="shared" si="128"/>
        <v>#REF!</v>
      </c>
      <c r="GVM247" s="29" t="e">
        <f t="shared" si="128"/>
        <v>#REF!</v>
      </c>
      <c r="GVN247" s="29" t="e">
        <f t="shared" si="128"/>
        <v>#REF!</v>
      </c>
      <c r="GVO247" s="29" t="e">
        <f t="shared" si="128"/>
        <v>#REF!</v>
      </c>
      <c r="GVP247" s="29" t="e">
        <f t="shared" si="128"/>
        <v>#REF!</v>
      </c>
      <c r="GVQ247" s="29" t="e">
        <f t="shared" si="128"/>
        <v>#REF!</v>
      </c>
      <c r="GVR247" s="29" t="e">
        <f t="shared" si="128"/>
        <v>#REF!</v>
      </c>
      <c r="GVS247" s="29" t="e">
        <f t="shared" si="128"/>
        <v>#REF!</v>
      </c>
      <c r="GVT247" s="29" t="e">
        <f t="shared" si="128"/>
        <v>#REF!</v>
      </c>
      <c r="GVU247" s="29" t="e">
        <f t="shared" si="128"/>
        <v>#REF!</v>
      </c>
      <c r="GVV247" s="29" t="e">
        <f t="shared" si="128"/>
        <v>#REF!</v>
      </c>
      <c r="GVW247" s="29" t="e">
        <f t="shared" si="128"/>
        <v>#REF!</v>
      </c>
      <c r="GVX247" s="29" t="e">
        <f t="shared" si="128"/>
        <v>#REF!</v>
      </c>
      <c r="GVY247" s="29" t="e">
        <f t="shared" ref="GVY247:GYJ247" si="129">GWC247&amp;GWD247</f>
        <v>#REF!</v>
      </c>
      <c r="GVZ247" s="29" t="e">
        <f t="shared" si="129"/>
        <v>#REF!</v>
      </c>
      <c r="GWA247" s="29" t="e">
        <f t="shared" si="129"/>
        <v>#REF!</v>
      </c>
      <c r="GWB247" s="29" t="e">
        <f t="shared" si="129"/>
        <v>#REF!</v>
      </c>
      <c r="GWC247" s="29" t="e">
        <f t="shared" si="129"/>
        <v>#REF!</v>
      </c>
      <c r="GWD247" s="29" t="e">
        <f t="shared" si="129"/>
        <v>#REF!</v>
      </c>
      <c r="GWE247" s="29" t="e">
        <f t="shared" si="129"/>
        <v>#REF!</v>
      </c>
      <c r="GWF247" s="29" t="e">
        <f t="shared" si="129"/>
        <v>#REF!</v>
      </c>
      <c r="GWG247" s="29" t="e">
        <f t="shared" si="129"/>
        <v>#REF!</v>
      </c>
      <c r="GWH247" s="29" t="e">
        <f t="shared" si="129"/>
        <v>#REF!</v>
      </c>
      <c r="GWI247" s="29" t="e">
        <f t="shared" si="129"/>
        <v>#REF!</v>
      </c>
      <c r="GWJ247" s="29" t="e">
        <f t="shared" si="129"/>
        <v>#REF!</v>
      </c>
      <c r="GWK247" s="29" t="e">
        <f t="shared" si="129"/>
        <v>#REF!</v>
      </c>
      <c r="GWL247" s="29" t="e">
        <f t="shared" si="129"/>
        <v>#REF!</v>
      </c>
      <c r="GWM247" s="29" t="e">
        <f t="shared" si="129"/>
        <v>#REF!</v>
      </c>
      <c r="GWN247" s="29" t="e">
        <f t="shared" si="129"/>
        <v>#REF!</v>
      </c>
      <c r="GWO247" s="29" t="e">
        <f t="shared" si="129"/>
        <v>#REF!</v>
      </c>
      <c r="GWP247" s="29" t="e">
        <f t="shared" si="129"/>
        <v>#REF!</v>
      </c>
      <c r="GWQ247" s="29" t="e">
        <f t="shared" si="129"/>
        <v>#REF!</v>
      </c>
      <c r="GWR247" s="29" t="e">
        <f t="shared" si="129"/>
        <v>#REF!</v>
      </c>
      <c r="GWS247" s="29" t="e">
        <f t="shared" si="129"/>
        <v>#REF!</v>
      </c>
      <c r="GWT247" s="29" t="e">
        <f t="shared" si="129"/>
        <v>#REF!</v>
      </c>
      <c r="GWU247" s="29" t="e">
        <f t="shared" si="129"/>
        <v>#REF!</v>
      </c>
      <c r="GWV247" s="29" t="e">
        <f t="shared" si="129"/>
        <v>#REF!</v>
      </c>
      <c r="GWW247" s="29" t="e">
        <f t="shared" si="129"/>
        <v>#REF!</v>
      </c>
      <c r="GWX247" s="29" t="e">
        <f t="shared" si="129"/>
        <v>#REF!</v>
      </c>
      <c r="GWY247" s="29" t="e">
        <f t="shared" si="129"/>
        <v>#REF!</v>
      </c>
      <c r="GWZ247" s="29" t="e">
        <f t="shared" si="129"/>
        <v>#REF!</v>
      </c>
      <c r="GXA247" s="29" t="e">
        <f t="shared" si="129"/>
        <v>#REF!</v>
      </c>
      <c r="GXB247" s="29" t="e">
        <f t="shared" si="129"/>
        <v>#REF!</v>
      </c>
      <c r="GXC247" s="29" t="e">
        <f t="shared" si="129"/>
        <v>#REF!</v>
      </c>
      <c r="GXD247" s="29" t="e">
        <f t="shared" si="129"/>
        <v>#REF!</v>
      </c>
      <c r="GXE247" s="29" t="e">
        <f t="shared" si="129"/>
        <v>#REF!</v>
      </c>
      <c r="GXF247" s="29" t="e">
        <f t="shared" si="129"/>
        <v>#REF!</v>
      </c>
      <c r="GXG247" s="29" t="e">
        <f t="shared" si="129"/>
        <v>#REF!</v>
      </c>
      <c r="GXH247" s="29" t="e">
        <f t="shared" si="129"/>
        <v>#REF!</v>
      </c>
      <c r="GXI247" s="29" t="e">
        <f t="shared" si="129"/>
        <v>#REF!</v>
      </c>
      <c r="GXJ247" s="29" t="e">
        <f t="shared" si="129"/>
        <v>#REF!</v>
      </c>
      <c r="GXK247" s="29" t="e">
        <f t="shared" si="129"/>
        <v>#REF!</v>
      </c>
      <c r="GXL247" s="29" t="e">
        <f t="shared" si="129"/>
        <v>#REF!</v>
      </c>
      <c r="GXM247" s="29" t="e">
        <f t="shared" si="129"/>
        <v>#REF!</v>
      </c>
      <c r="GXN247" s="29" t="e">
        <f t="shared" si="129"/>
        <v>#REF!</v>
      </c>
      <c r="GXO247" s="29" t="e">
        <f t="shared" si="129"/>
        <v>#REF!</v>
      </c>
      <c r="GXP247" s="29" t="e">
        <f t="shared" si="129"/>
        <v>#REF!</v>
      </c>
      <c r="GXQ247" s="29" t="e">
        <f t="shared" si="129"/>
        <v>#REF!</v>
      </c>
      <c r="GXR247" s="29" t="e">
        <f t="shared" si="129"/>
        <v>#REF!</v>
      </c>
      <c r="GXS247" s="29" t="e">
        <f t="shared" si="129"/>
        <v>#REF!</v>
      </c>
      <c r="GXT247" s="29" t="e">
        <f t="shared" si="129"/>
        <v>#REF!</v>
      </c>
      <c r="GXU247" s="29" t="e">
        <f t="shared" si="129"/>
        <v>#REF!</v>
      </c>
      <c r="GXV247" s="29" t="e">
        <f t="shared" si="129"/>
        <v>#REF!</v>
      </c>
      <c r="GXW247" s="29" t="e">
        <f t="shared" si="129"/>
        <v>#REF!</v>
      </c>
      <c r="GXX247" s="29" t="e">
        <f t="shared" si="129"/>
        <v>#REF!</v>
      </c>
      <c r="GXY247" s="29" t="e">
        <f t="shared" si="129"/>
        <v>#REF!</v>
      </c>
      <c r="GXZ247" s="29" t="e">
        <f t="shared" si="129"/>
        <v>#REF!</v>
      </c>
      <c r="GYA247" s="29" t="e">
        <f t="shared" si="129"/>
        <v>#REF!</v>
      </c>
      <c r="GYB247" s="29" t="e">
        <f t="shared" si="129"/>
        <v>#REF!</v>
      </c>
      <c r="GYC247" s="29" t="e">
        <f t="shared" si="129"/>
        <v>#REF!</v>
      </c>
      <c r="GYD247" s="29" t="e">
        <f t="shared" si="129"/>
        <v>#REF!</v>
      </c>
      <c r="GYE247" s="29" t="e">
        <f t="shared" si="129"/>
        <v>#REF!</v>
      </c>
      <c r="GYF247" s="29" t="e">
        <f t="shared" si="129"/>
        <v>#REF!</v>
      </c>
      <c r="GYG247" s="29" t="e">
        <f t="shared" si="129"/>
        <v>#REF!</v>
      </c>
      <c r="GYH247" s="29" t="e">
        <f t="shared" si="129"/>
        <v>#REF!</v>
      </c>
      <c r="GYI247" s="29" t="e">
        <f t="shared" si="129"/>
        <v>#REF!</v>
      </c>
      <c r="GYJ247" s="29" t="e">
        <f t="shared" si="129"/>
        <v>#REF!</v>
      </c>
      <c r="GYK247" s="29" t="e">
        <f t="shared" ref="GYK247:HAV247" si="130">GYO247&amp;GYP247</f>
        <v>#REF!</v>
      </c>
      <c r="GYL247" s="29" t="e">
        <f t="shared" si="130"/>
        <v>#REF!</v>
      </c>
      <c r="GYM247" s="29" t="e">
        <f t="shared" si="130"/>
        <v>#REF!</v>
      </c>
      <c r="GYN247" s="29" t="e">
        <f t="shared" si="130"/>
        <v>#REF!</v>
      </c>
      <c r="GYO247" s="29" t="e">
        <f t="shared" si="130"/>
        <v>#REF!</v>
      </c>
      <c r="GYP247" s="29" t="e">
        <f t="shared" si="130"/>
        <v>#REF!</v>
      </c>
      <c r="GYQ247" s="29" t="e">
        <f t="shared" si="130"/>
        <v>#REF!</v>
      </c>
      <c r="GYR247" s="29" t="e">
        <f t="shared" si="130"/>
        <v>#REF!</v>
      </c>
      <c r="GYS247" s="29" t="e">
        <f t="shared" si="130"/>
        <v>#REF!</v>
      </c>
      <c r="GYT247" s="29" t="e">
        <f t="shared" si="130"/>
        <v>#REF!</v>
      </c>
      <c r="GYU247" s="29" t="e">
        <f t="shared" si="130"/>
        <v>#REF!</v>
      </c>
      <c r="GYV247" s="29" t="e">
        <f t="shared" si="130"/>
        <v>#REF!</v>
      </c>
      <c r="GYW247" s="29" t="e">
        <f t="shared" si="130"/>
        <v>#REF!</v>
      </c>
      <c r="GYX247" s="29" t="e">
        <f t="shared" si="130"/>
        <v>#REF!</v>
      </c>
      <c r="GYY247" s="29" t="e">
        <f t="shared" si="130"/>
        <v>#REF!</v>
      </c>
      <c r="GYZ247" s="29" t="e">
        <f t="shared" si="130"/>
        <v>#REF!</v>
      </c>
      <c r="GZA247" s="29" t="e">
        <f t="shared" si="130"/>
        <v>#REF!</v>
      </c>
      <c r="GZB247" s="29" t="e">
        <f t="shared" si="130"/>
        <v>#REF!</v>
      </c>
      <c r="GZC247" s="29" t="e">
        <f t="shared" si="130"/>
        <v>#REF!</v>
      </c>
      <c r="GZD247" s="29" t="e">
        <f t="shared" si="130"/>
        <v>#REF!</v>
      </c>
      <c r="GZE247" s="29" t="e">
        <f t="shared" si="130"/>
        <v>#REF!</v>
      </c>
      <c r="GZF247" s="29" t="e">
        <f t="shared" si="130"/>
        <v>#REF!</v>
      </c>
      <c r="GZG247" s="29" t="e">
        <f t="shared" si="130"/>
        <v>#REF!</v>
      </c>
      <c r="GZH247" s="29" t="e">
        <f t="shared" si="130"/>
        <v>#REF!</v>
      </c>
      <c r="GZI247" s="29" t="e">
        <f t="shared" si="130"/>
        <v>#REF!</v>
      </c>
      <c r="GZJ247" s="29" t="e">
        <f t="shared" si="130"/>
        <v>#REF!</v>
      </c>
      <c r="GZK247" s="29" t="e">
        <f t="shared" si="130"/>
        <v>#REF!</v>
      </c>
      <c r="GZL247" s="29" t="e">
        <f t="shared" si="130"/>
        <v>#REF!</v>
      </c>
      <c r="GZM247" s="29" t="e">
        <f t="shared" si="130"/>
        <v>#REF!</v>
      </c>
      <c r="GZN247" s="29" t="e">
        <f t="shared" si="130"/>
        <v>#REF!</v>
      </c>
      <c r="GZO247" s="29" t="e">
        <f t="shared" si="130"/>
        <v>#REF!</v>
      </c>
      <c r="GZP247" s="29" t="e">
        <f t="shared" si="130"/>
        <v>#REF!</v>
      </c>
      <c r="GZQ247" s="29" t="e">
        <f t="shared" si="130"/>
        <v>#REF!</v>
      </c>
      <c r="GZR247" s="29" t="e">
        <f t="shared" si="130"/>
        <v>#REF!</v>
      </c>
      <c r="GZS247" s="29" t="e">
        <f t="shared" si="130"/>
        <v>#REF!</v>
      </c>
      <c r="GZT247" s="29" t="e">
        <f t="shared" si="130"/>
        <v>#REF!</v>
      </c>
      <c r="GZU247" s="29" t="e">
        <f t="shared" si="130"/>
        <v>#REF!</v>
      </c>
      <c r="GZV247" s="29" t="e">
        <f t="shared" si="130"/>
        <v>#REF!</v>
      </c>
      <c r="GZW247" s="29" t="e">
        <f t="shared" si="130"/>
        <v>#REF!</v>
      </c>
      <c r="GZX247" s="29" t="e">
        <f t="shared" si="130"/>
        <v>#REF!</v>
      </c>
      <c r="GZY247" s="29" t="e">
        <f t="shared" si="130"/>
        <v>#REF!</v>
      </c>
      <c r="GZZ247" s="29" t="e">
        <f t="shared" si="130"/>
        <v>#REF!</v>
      </c>
      <c r="HAA247" s="29" t="e">
        <f t="shared" si="130"/>
        <v>#REF!</v>
      </c>
      <c r="HAB247" s="29" t="e">
        <f t="shared" si="130"/>
        <v>#REF!</v>
      </c>
      <c r="HAC247" s="29" t="e">
        <f t="shared" si="130"/>
        <v>#REF!</v>
      </c>
      <c r="HAD247" s="29" t="e">
        <f t="shared" si="130"/>
        <v>#REF!</v>
      </c>
      <c r="HAE247" s="29" t="e">
        <f t="shared" si="130"/>
        <v>#REF!</v>
      </c>
      <c r="HAF247" s="29" t="e">
        <f t="shared" si="130"/>
        <v>#REF!</v>
      </c>
      <c r="HAG247" s="29" t="e">
        <f t="shared" si="130"/>
        <v>#REF!</v>
      </c>
      <c r="HAH247" s="29" t="e">
        <f t="shared" si="130"/>
        <v>#REF!</v>
      </c>
      <c r="HAI247" s="29" t="e">
        <f t="shared" si="130"/>
        <v>#REF!</v>
      </c>
      <c r="HAJ247" s="29" t="e">
        <f t="shared" si="130"/>
        <v>#REF!</v>
      </c>
      <c r="HAK247" s="29" t="e">
        <f t="shared" si="130"/>
        <v>#REF!</v>
      </c>
      <c r="HAL247" s="29" t="e">
        <f t="shared" si="130"/>
        <v>#REF!</v>
      </c>
      <c r="HAM247" s="29" t="e">
        <f t="shared" si="130"/>
        <v>#REF!</v>
      </c>
      <c r="HAN247" s="29" t="e">
        <f t="shared" si="130"/>
        <v>#REF!</v>
      </c>
      <c r="HAO247" s="29" t="e">
        <f t="shared" si="130"/>
        <v>#REF!</v>
      </c>
      <c r="HAP247" s="29" t="e">
        <f t="shared" si="130"/>
        <v>#REF!</v>
      </c>
      <c r="HAQ247" s="29" t="e">
        <f t="shared" si="130"/>
        <v>#REF!</v>
      </c>
      <c r="HAR247" s="29" t="e">
        <f t="shared" si="130"/>
        <v>#REF!</v>
      </c>
      <c r="HAS247" s="29" t="e">
        <f t="shared" si="130"/>
        <v>#REF!</v>
      </c>
      <c r="HAT247" s="29" t="e">
        <f t="shared" si="130"/>
        <v>#REF!</v>
      </c>
      <c r="HAU247" s="29" t="e">
        <f t="shared" si="130"/>
        <v>#REF!</v>
      </c>
      <c r="HAV247" s="29" t="e">
        <f t="shared" si="130"/>
        <v>#REF!</v>
      </c>
      <c r="HAW247" s="29" t="e">
        <f t="shared" ref="HAW247:HDH247" si="131">HBA247&amp;HBB247</f>
        <v>#REF!</v>
      </c>
      <c r="HAX247" s="29" t="e">
        <f t="shared" si="131"/>
        <v>#REF!</v>
      </c>
      <c r="HAY247" s="29" t="e">
        <f t="shared" si="131"/>
        <v>#REF!</v>
      </c>
      <c r="HAZ247" s="29" t="e">
        <f t="shared" si="131"/>
        <v>#REF!</v>
      </c>
      <c r="HBA247" s="29" t="e">
        <f t="shared" si="131"/>
        <v>#REF!</v>
      </c>
      <c r="HBB247" s="29" t="e">
        <f t="shared" si="131"/>
        <v>#REF!</v>
      </c>
      <c r="HBC247" s="29" t="e">
        <f t="shared" si="131"/>
        <v>#REF!</v>
      </c>
      <c r="HBD247" s="29" t="e">
        <f t="shared" si="131"/>
        <v>#REF!</v>
      </c>
      <c r="HBE247" s="29" t="e">
        <f t="shared" si="131"/>
        <v>#REF!</v>
      </c>
      <c r="HBF247" s="29" t="e">
        <f t="shared" si="131"/>
        <v>#REF!</v>
      </c>
      <c r="HBG247" s="29" t="e">
        <f t="shared" si="131"/>
        <v>#REF!</v>
      </c>
      <c r="HBH247" s="29" t="e">
        <f t="shared" si="131"/>
        <v>#REF!</v>
      </c>
      <c r="HBI247" s="29" t="e">
        <f t="shared" si="131"/>
        <v>#REF!</v>
      </c>
      <c r="HBJ247" s="29" t="e">
        <f t="shared" si="131"/>
        <v>#REF!</v>
      </c>
      <c r="HBK247" s="29" t="e">
        <f t="shared" si="131"/>
        <v>#REF!</v>
      </c>
      <c r="HBL247" s="29" t="e">
        <f t="shared" si="131"/>
        <v>#REF!</v>
      </c>
      <c r="HBM247" s="29" t="e">
        <f t="shared" si="131"/>
        <v>#REF!</v>
      </c>
      <c r="HBN247" s="29" t="e">
        <f t="shared" si="131"/>
        <v>#REF!</v>
      </c>
      <c r="HBO247" s="29" t="e">
        <f t="shared" si="131"/>
        <v>#REF!</v>
      </c>
      <c r="HBP247" s="29" t="e">
        <f t="shared" si="131"/>
        <v>#REF!</v>
      </c>
      <c r="HBQ247" s="29" t="e">
        <f t="shared" si="131"/>
        <v>#REF!</v>
      </c>
      <c r="HBR247" s="29" t="e">
        <f t="shared" si="131"/>
        <v>#REF!</v>
      </c>
      <c r="HBS247" s="29" t="e">
        <f t="shared" si="131"/>
        <v>#REF!</v>
      </c>
      <c r="HBT247" s="29" t="e">
        <f t="shared" si="131"/>
        <v>#REF!</v>
      </c>
      <c r="HBU247" s="29" t="e">
        <f t="shared" si="131"/>
        <v>#REF!</v>
      </c>
      <c r="HBV247" s="29" t="e">
        <f t="shared" si="131"/>
        <v>#REF!</v>
      </c>
      <c r="HBW247" s="29" t="e">
        <f t="shared" si="131"/>
        <v>#REF!</v>
      </c>
      <c r="HBX247" s="29" t="e">
        <f t="shared" si="131"/>
        <v>#REF!</v>
      </c>
      <c r="HBY247" s="29" t="e">
        <f t="shared" si="131"/>
        <v>#REF!</v>
      </c>
      <c r="HBZ247" s="29" t="e">
        <f t="shared" si="131"/>
        <v>#REF!</v>
      </c>
      <c r="HCA247" s="29" t="e">
        <f t="shared" si="131"/>
        <v>#REF!</v>
      </c>
      <c r="HCB247" s="29" t="e">
        <f t="shared" si="131"/>
        <v>#REF!</v>
      </c>
      <c r="HCC247" s="29" t="e">
        <f t="shared" si="131"/>
        <v>#REF!</v>
      </c>
      <c r="HCD247" s="29" t="e">
        <f t="shared" si="131"/>
        <v>#REF!</v>
      </c>
      <c r="HCE247" s="29" t="e">
        <f t="shared" si="131"/>
        <v>#REF!</v>
      </c>
      <c r="HCF247" s="29" t="e">
        <f t="shared" si="131"/>
        <v>#REF!</v>
      </c>
      <c r="HCG247" s="29" t="e">
        <f t="shared" si="131"/>
        <v>#REF!</v>
      </c>
      <c r="HCH247" s="29" t="e">
        <f t="shared" si="131"/>
        <v>#REF!</v>
      </c>
      <c r="HCI247" s="29" t="e">
        <f t="shared" si="131"/>
        <v>#REF!</v>
      </c>
      <c r="HCJ247" s="29" t="e">
        <f t="shared" si="131"/>
        <v>#REF!</v>
      </c>
      <c r="HCK247" s="29" t="e">
        <f t="shared" si="131"/>
        <v>#REF!</v>
      </c>
      <c r="HCL247" s="29" t="e">
        <f t="shared" si="131"/>
        <v>#REF!</v>
      </c>
      <c r="HCM247" s="29" t="e">
        <f t="shared" si="131"/>
        <v>#REF!</v>
      </c>
      <c r="HCN247" s="29" t="e">
        <f t="shared" si="131"/>
        <v>#REF!</v>
      </c>
      <c r="HCO247" s="29" t="e">
        <f t="shared" si="131"/>
        <v>#REF!</v>
      </c>
      <c r="HCP247" s="29" t="e">
        <f t="shared" si="131"/>
        <v>#REF!</v>
      </c>
      <c r="HCQ247" s="29" t="e">
        <f t="shared" si="131"/>
        <v>#REF!</v>
      </c>
      <c r="HCR247" s="29" t="e">
        <f t="shared" si="131"/>
        <v>#REF!</v>
      </c>
      <c r="HCS247" s="29" t="e">
        <f t="shared" si="131"/>
        <v>#REF!</v>
      </c>
      <c r="HCT247" s="29" t="e">
        <f t="shared" si="131"/>
        <v>#REF!</v>
      </c>
      <c r="HCU247" s="29" t="e">
        <f t="shared" si="131"/>
        <v>#REF!</v>
      </c>
      <c r="HCV247" s="29" t="e">
        <f t="shared" si="131"/>
        <v>#REF!</v>
      </c>
      <c r="HCW247" s="29" t="e">
        <f t="shared" si="131"/>
        <v>#REF!</v>
      </c>
      <c r="HCX247" s="29" t="e">
        <f t="shared" si="131"/>
        <v>#REF!</v>
      </c>
      <c r="HCY247" s="29" t="e">
        <f t="shared" si="131"/>
        <v>#REF!</v>
      </c>
      <c r="HCZ247" s="29" t="e">
        <f t="shared" si="131"/>
        <v>#REF!</v>
      </c>
      <c r="HDA247" s="29" t="e">
        <f t="shared" si="131"/>
        <v>#REF!</v>
      </c>
      <c r="HDB247" s="29" t="e">
        <f t="shared" si="131"/>
        <v>#REF!</v>
      </c>
      <c r="HDC247" s="29" t="e">
        <f t="shared" si="131"/>
        <v>#REF!</v>
      </c>
      <c r="HDD247" s="29" t="e">
        <f t="shared" si="131"/>
        <v>#REF!</v>
      </c>
      <c r="HDE247" s="29" t="e">
        <f t="shared" si="131"/>
        <v>#REF!</v>
      </c>
      <c r="HDF247" s="29" t="e">
        <f t="shared" si="131"/>
        <v>#REF!</v>
      </c>
      <c r="HDG247" s="29" t="e">
        <f t="shared" si="131"/>
        <v>#REF!</v>
      </c>
      <c r="HDH247" s="29" t="e">
        <f t="shared" si="131"/>
        <v>#REF!</v>
      </c>
      <c r="HDI247" s="29" t="e">
        <f t="shared" ref="HDI247:HFT247" si="132">HDM247&amp;HDN247</f>
        <v>#REF!</v>
      </c>
      <c r="HDJ247" s="29" t="e">
        <f t="shared" si="132"/>
        <v>#REF!</v>
      </c>
      <c r="HDK247" s="29" t="e">
        <f t="shared" si="132"/>
        <v>#REF!</v>
      </c>
      <c r="HDL247" s="29" t="e">
        <f t="shared" si="132"/>
        <v>#REF!</v>
      </c>
      <c r="HDM247" s="29" t="e">
        <f t="shared" si="132"/>
        <v>#REF!</v>
      </c>
      <c r="HDN247" s="29" t="e">
        <f t="shared" si="132"/>
        <v>#REF!</v>
      </c>
      <c r="HDO247" s="29" t="e">
        <f t="shared" si="132"/>
        <v>#REF!</v>
      </c>
      <c r="HDP247" s="29" t="e">
        <f t="shared" si="132"/>
        <v>#REF!</v>
      </c>
      <c r="HDQ247" s="29" t="e">
        <f t="shared" si="132"/>
        <v>#REF!</v>
      </c>
      <c r="HDR247" s="29" t="e">
        <f t="shared" si="132"/>
        <v>#REF!</v>
      </c>
      <c r="HDS247" s="29" t="e">
        <f t="shared" si="132"/>
        <v>#REF!</v>
      </c>
      <c r="HDT247" s="29" t="e">
        <f t="shared" si="132"/>
        <v>#REF!</v>
      </c>
      <c r="HDU247" s="29" t="e">
        <f t="shared" si="132"/>
        <v>#REF!</v>
      </c>
      <c r="HDV247" s="29" t="e">
        <f t="shared" si="132"/>
        <v>#REF!</v>
      </c>
      <c r="HDW247" s="29" t="e">
        <f t="shared" si="132"/>
        <v>#REF!</v>
      </c>
      <c r="HDX247" s="29" t="e">
        <f t="shared" si="132"/>
        <v>#REF!</v>
      </c>
      <c r="HDY247" s="29" t="e">
        <f t="shared" si="132"/>
        <v>#REF!</v>
      </c>
      <c r="HDZ247" s="29" t="e">
        <f t="shared" si="132"/>
        <v>#REF!</v>
      </c>
      <c r="HEA247" s="29" t="e">
        <f t="shared" si="132"/>
        <v>#REF!</v>
      </c>
      <c r="HEB247" s="29" t="e">
        <f t="shared" si="132"/>
        <v>#REF!</v>
      </c>
      <c r="HEC247" s="29" t="e">
        <f t="shared" si="132"/>
        <v>#REF!</v>
      </c>
      <c r="HED247" s="29" t="e">
        <f t="shared" si="132"/>
        <v>#REF!</v>
      </c>
      <c r="HEE247" s="29" t="e">
        <f t="shared" si="132"/>
        <v>#REF!</v>
      </c>
      <c r="HEF247" s="29" t="e">
        <f t="shared" si="132"/>
        <v>#REF!</v>
      </c>
      <c r="HEG247" s="29" t="e">
        <f t="shared" si="132"/>
        <v>#REF!</v>
      </c>
      <c r="HEH247" s="29" t="e">
        <f t="shared" si="132"/>
        <v>#REF!</v>
      </c>
      <c r="HEI247" s="29" t="e">
        <f t="shared" si="132"/>
        <v>#REF!</v>
      </c>
      <c r="HEJ247" s="29" t="e">
        <f t="shared" si="132"/>
        <v>#REF!</v>
      </c>
      <c r="HEK247" s="29" t="e">
        <f t="shared" si="132"/>
        <v>#REF!</v>
      </c>
      <c r="HEL247" s="29" t="e">
        <f t="shared" si="132"/>
        <v>#REF!</v>
      </c>
      <c r="HEM247" s="29" t="e">
        <f t="shared" si="132"/>
        <v>#REF!</v>
      </c>
      <c r="HEN247" s="29" t="e">
        <f t="shared" si="132"/>
        <v>#REF!</v>
      </c>
      <c r="HEO247" s="29" t="e">
        <f t="shared" si="132"/>
        <v>#REF!</v>
      </c>
      <c r="HEP247" s="29" t="e">
        <f t="shared" si="132"/>
        <v>#REF!</v>
      </c>
      <c r="HEQ247" s="29" t="e">
        <f t="shared" si="132"/>
        <v>#REF!</v>
      </c>
      <c r="HER247" s="29" t="e">
        <f t="shared" si="132"/>
        <v>#REF!</v>
      </c>
      <c r="HES247" s="29" t="e">
        <f t="shared" si="132"/>
        <v>#REF!</v>
      </c>
      <c r="HET247" s="29" t="e">
        <f t="shared" si="132"/>
        <v>#REF!</v>
      </c>
      <c r="HEU247" s="29" t="e">
        <f t="shared" si="132"/>
        <v>#REF!</v>
      </c>
      <c r="HEV247" s="29" t="e">
        <f t="shared" si="132"/>
        <v>#REF!</v>
      </c>
      <c r="HEW247" s="29" t="e">
        <f t="shared" si="132"/>
        <v>#REF!</v>
      </c>
      <c r="HEX247" s="29" t="e">
        <f t="shared" si="132"/>
        <v>#REF!</v>
      </c>
      <c r="HEY247" s="29" t="e">
        <f t="shared" si="132"/>
        <v>#REF!</v>
      </c>
      <c r="HEZ247" s="29" t="e">
        <f t="shared" si="132"/>
        <v>#REF!</v>
      </c>
      <c r="HFA247" s="29" t="e">
        <f t="shared" si="132"/>
        <v>#REF!</v>
      </c>
      <c r="HFB247" s="29" t="e">
        <f t="shared" si="132"/>
        <v>#REF!</v>
      </c>
      <c r="HFC247" s="29" t="e">
        <f t="shared" si="132"/>
        <v>#REF!</v>
      </c>
      <c r="HFD247" s="29" t="e">
        <f t="shared" si="132"/>
        <v>#REF!</v>
      </c>
      <c r="HFE247" s="29" t="e">
        <f t="shared" si="132"/>
        <v>#REF!</v>
      </c>
      <c r="HFF247" s="29" t="e">
        <f t="shared" si="132"/>
        <v>#REF!</v>
      </c>
      <c r="HFG247" s="29" t="e">
        <f t="shared" si="132"/>
        <v>#REF!</v>
      </c>
      <c r="HFH247" s="29" t="e">
        <f t="shared" si="132"/>
        <v>#REF!</v>
      </c>
      <c r="HFI247" s="29" t="e">
        <f t="shared" si="132"/>
        <v>#REF!</v>
      </c>
      <c r="HFJ247" s="29" t="e">
        <f t="shared" si="132"/>
        <v>#REF!</v>
      </c>
      <c r="HFK247" s="29" t="e">
        <f t="shared" si="132"/>
        <v>#REF!</v>
      </c>
      <c r="HFL247" s="29" t="e">
        <f t="shared" si="132"/>
        <v>#REF!</v>
      </c>
      <c r="HFM247" s="29" t="e">
        <f t="shared" si="132"/>
        <v>#REF!</v>
      </c>
      <c r="HFN247" s="29" t="e">
        <f t="shared" si="132"/>
        <v>#REF!</v>
      </c>
      <c r="HFO247" s="29" t="e">
        <f t="shared" si="132"/>
        <v>#REF!</v>
      </c>
      <c r="HFP247" s="29" t="e">
        <f t="shared" si="132"/>
        <v>#REF!</v>
      </c>
      <c r="HFQ247" s="29" t="e">
        <f t="shared" si="132"/>
        <v>#REF!</v>
      </c>
      <c r="HFR247" s="29" t="e">
        <f t="shared" si="132"/>
        <v>#REF!</v>
      </c>
      <c r="HFS247" s="29" t="e">
        <f t="shared" si="132"/>
        <v>#REF!</v>
      </c>
      <c r="HFT247" s="29" t="e">
        <f t="shared" si="132"/>
        <v>#REF!</v>
      </c>
      <c r="HFU247" s="29" t="e">
        <f t="shared" ref="HFU247:HIF247" si="133">HFY247&amp;HFZ247</f>
        <v>#REF!</v>
      </c>
      <c r="HFV247" s="29" t="e">
        <f t="shared" si="133"/>
        <v>#REF!</v>
      </c>
      <c r="HFW247" s="29" t="e">
        <f t="shared" si="133"/>
        <v>#REF!</v>
      </c>
      <c r="HFX247" s="29" t="e">
        <f t="shared" si="133"/>
        <v>#REF!</v>
      </c>
      <c r="HFY247" s="29" t="e">
        <f t="shared" si="133"/>
        <v>#REF!</v>
      </c>
      <c r="HFZ247" s="29" t="e">
        <f t="shared" si="133"/>
        <v>#REF!</v>
      </c>
      <c r="HGA247" s="29" t="e">
        <f t="shared" si="133"/>
        <v>#REF!</v>
      </c>
      <c r="HGB247" s="29" t="e">
        <f t="shared" si="133"/>
        <v>#REF!</v>
      </c>
      <c r="HGC247" s="29" t="e">
        <f t="shared" si="133"/>
        <v>#REF!</v>
      </c>
      <c r="HGD247" s="29" t="e">
        <f t="shared" si="133"/>
        <v>#REF!</v>
      </c>
      <c r="HGE247" s="29" t="e">
        <f t="shared" si="133"/>
        <v>#REF!</v>
      </c>
      <c r="HGF247" s="29" t="e">
        <f t="shared" si="133"/>
        <v>#REF!</v>
      </c>
      <c r="HGG247" s="29" t="e">
        <f t="shared" si="133"/>
        <v>#REF!</v>
      </c>
      <c r="HGH247" s="29" t="e">
        <f t="shared" si="133"/>
        <v>#REF!</v>
      </c>
      <c r="HGI247" s="29" t="e">
        <f t="shared" si="133"/>
        <v>#REF!</v>
      </c>
      <c r="HGJ247" s="29" t="e">
        <f t="shared" si="133"/>
        <v>#REF!</v>
      </c>
      <c r="HGK247" s="29" t="e">
        <f t="shared" si="133"/>
        <v>#REF!</v>
      </c>
      <c r="HGL247" s="29" t="e">
        <f t="shared" si="133"/>
        <v>#REF!</v>
      </c>
      <c r="HGM247" s="29" t="e">
        <f t="shared" si="133"/>
        <v>#REF!</v>
      </c>
      <c r="HGN247" s="29" t="e">
        <f t="shared" si="133"/>
        <v>#REF!</v>
      </c>
      <c r="HGO247" s="29" t="e">
        <f t="shared" si="133"/>
        <v>#REF!</v>
      </c>
      <c r="HGP247" s="29" t="e">
        <f t="shared" si="133"/>
        <v>#REF!</v>
      </c>
      <c r="HGQ247" s="29" t="e">
        <f t="shared" si="133"/>
        <v>#REF!</v>
      </c>
      <c r="HGR247" s="29" t="e">
        <f t="shared" si="133"/>
        <v>#REF!</v>
      </c>
      <c r="HGS247" s="29" t="e">
        <f t="shared" si="133"/>
        <v>#REF!</v>
      </c>
      <c r="HGT247" s="29" t="e">
        <f t="shared" si="133"/>
        <v>#REF!</v>
      </c>
      <c r="HGU247" s="29" t="e">
        <f t="shared" si="133"/>
        <v>#REF!</v>
      </c>
      <c r="HGV247" s="29" t="e">
        <f t="shared" si="133"/>
        <v>#REF!</v>
      </c>
      <c r="HGW247" s="29" t="e">
        <f t="shared" si="133"/>
        <v>#REF!</v>
      </c>
      <c r="HGX247" s="29" t="e">
        <f t="shared" si="133"/>
        <v>#REF!</v>
      </c>
      <c r="HGY247" s="29" t="e">
        <f t="shared" si="133"/>
        <v>#REF!</v>
      </c>
      <c r="HGZ247" s="29" t="e">
        <f t="shared" si="133"/>
        <v>#REF!</v>
      </c>
      <c r="HHA247" s="29" t="e">
        <f t="shared" si="133"/>
        <v>#REF!</v>
      </c>
      <c r="HHB247" s="29" t="e">
        <f t="shared" si="133"/>
        <v>#REF!</v>
      </c>
      <c r="HHC247" s="29" t="e">
        <f t="shared" si="133"/>
        <v>#REF!</v>
      </c>
      <c r="HHD247" s="29" t="e">
        <f t="shared" si="133"/>
        <v>#REF!</v>
      </c>
      <c r="HHE247" s="29" t="e">
        <f t="shared" si="133"/>
        <v>#REF!</v>
      </c>
      <c r="HHF247" s="29" t="e">
        <f t="shared" si="133"/>
        <v>#REF!</v>
      </c>
      <c r="HHG247" s="29" t="e">
        <f t="shared" si="133"/>
        <v>#REF!</v>
      </c>
      <c r="HHH247" s="29" t="e">
        <f t="shared" si="133"/>
        <v>#REF!</v>
      </c>
      <c r="HHI247" s="29" t="e">
        <f t="shared" si="133"/>
        <v>#REF!</v>
      </c>
      <c r="HHJ247" s="29" t="e">
        <f t="shared" si="133"/>
        <v>#REF!</v>
      </c>
      <c r="HHK247" s="29" t="e">
        <f t="shared" si="133"/>
        <v>#REF!</v>
      </c>
      <c r="HHL247" s="29" t="e">
        <f t="shared" si="133"/>
        <v>#REF!</v>
      </c>
      <c r="HHM247" s="29" t="e">
        <f t="shared" si="133"/>
        <v>#REF!</v>
      </c>
      <c r="HHN247" s="29" t="e">
        <f t="shared" si="133"/>
        <v>#REF!</v>
      </c>
      <c r="HHO247" s="29" t="e">
        <f t="shared" si="133"/>
        <v>#REF!</v>
      </c>
      <c r="HHP247" s="29" t="e">
        <f t="shared" si="133"/>
        <v>#REF!</v>
      </c>
      <c r="HHQ247" s="29" t="e">
        <f t="shared" si="133"/>
        <v>#REF!</v>
      </c>
      <c r="HHR247" s="29" t="e">
        <f t="shared" si="133"/>
        <v>#REF!</v>
      </c>
      <c r="HHS247" s="29" t="e">
        <f t="shared" si="133"/>
        <v>#REF!</v>
      </c>
      <c r="HHT247" s="29" t="e">
        <f t="shared" si="133"/>
        <v>#REF!</v>
      </c>
      <c r="HHU247" s="29" t="e">
        <f t="shared" si="133"/>
        <v>#REF!</v>
      </c>
      <c r="HHV247" s="29" t="e">
        <f t="shared" si="133"/>
        <v>#REF!</v>
      </c>
      <c r="HHW247" s="29" t="e">
        <f t="shared" si="133"/>
        <v>#REF!</v>
      </c>
      <c r="HHX247" s="29" t="e">
        <f t="shared" si="133"/>
        <v>#REF!</v>
      </c>
      <c r="HHY247" s="29" t="e">
        <f t="shared" si="133"/>
        <v>#REF!</v>
      </c>
      <c r="HHZ247" s="29" t="e">
        <f t="shared" si="133"/>
        <v>#REF!</v>
      </c>
      <c r="HIA247" s="29" t="e">
        <f t="shared" si="133"/>
        <v>#REF!</v>
      </c>
      <c r="HIB247" s="29" t="e">
        <f t="shared" si="133"/>
        <v>#REF!</v>
      </c>
      <c r="HIC247" s="29" t="e">
        <f t="shared" si="133"/>
        <v>#REF!</v>
      </c>
      <c r="HID247" s="29" t="e">
        <f t="shared" si="133"/>
        <v>#REF!</v>
      </c>
      <c r="HIE247" s="29" t="e">
        <f t="shared" si="133"/>
        <v>#REF!</v>
      </c>
      <c r="HIF247" s="29" t="e">
        <f t="shared" si="133"/>
        <v>#REF!</v>
      </c>
      <c r="HIG247" s="29" t="e">
        <f t="shared" ref="HIG247:HKR247" si="134">HIK247&amp;HIL247</f>
        <v>#REF!</v>
      </c>
      <c r="HIH247" s="29" t="e">
        <f t="shared" si="134"/>
        <v>#REF!</v>
      </c>
      <c r="HII247" s="29" t="e">
        <f t="shared" si="134"/>
        <v>#REF!</v>
      </c>
      <c r="HIJ247" s="29" t="e">
        <f t="shared" si="134"/>
        <v>#REF!</v>
      </c>
      <c r="HIK247" s="29" t="e">
        <f t="shared" si="134"/>
        <v>#REF!</v>
      </c>
      <c r="HIL247" s="29" t="e">
        <f t="shared" si="134"/>
        <v>#REF!</v>
      </c>
      <c r="HIM247" s="29" t="e">
        <f t="shared" si="134"/>
        <v>#REF!</v>
      </c>
      <c r="HIN247" s="29" t="e">
        <f t="shared" si="134"/>
        <v>#REF!</v>
      </c>
      <c r="HIO247" s="29" t="e">
        <f t="shared" si="134"/>
        <v>#REF!</v>
      </c>
      <c r="HIP247" s="29" t="e">
        <f t="shared" si="134"/>
        <v>#REF!</v>
      </c>
      <c r="HIQ247" s="29" t="e">
        <f t="shared" si="134"/>
        <v>#REF!</v>
      </c>
      <c r="HIR247" s="29" t="e">
        <f t="shared" si="134"/>
        <v>#REF!</v>
      </c>
      <c r="HIS247" s="29" t="e">
        <f t="shared" si="134"/>
        <v>#REF!</v>
      </c>
      <c r="HIT247" s="29" t="e">
        <f t="shared" si="134"/>
        <v>#REF!</v>
      </c>
      <c r="HIU247" s="29" t="e">
        <f t="shared" si="134"/>
        <v>#REF!</v>
      </c>
      <c r="HIV247" s="29" t="e">
        <f t="shared" si="134"/>
        <v>#REF!</v>
      </c>
      <c r="HIW247" s="29" t="e">
        <f t="shared" si="134"/>
        <v>#REF!</v>
      </c>
      <c r="HIX247" s="29" t="e">
        <f t="shared" si="134"/>
        <v>#REF!</v>
      </c>
      <c r="HIY247" s="29" t="e">
        <f t="shared" si="134"/>
        <v>#REF!</v>
      </c>
      <c r="HIZ247" s="29" t="e">
        <f t="shared" si="134"/>
        <v>#REF!</v>
      </c>
      <c r="HJA247" s="29" t="e">
        <f t="shared" si="134"/>
        <v>#REF!</v>
      </c>
      <c r="HJB247" s="29" t="e">
        <f t="shared" si="134"/>
        <v>#REF!</v>
      </c>
      <c r="HJC247" s="29" t="e">
        <f t="shared" si="134"/>
        <v>#REF!</v>
      </c>
      <c r="HJD247" s="29" t="e">
        <f t="shared" si="134"/>
        <v>#REF!</v>
      </c>
      <c r="HJE247" s="29" t="e">
        <f t="shared" si="134"/>
        <v>#REF!</v>
      </c>
      <c r="HJF247" s="29" t="e">
        <f t="shared" si="134"/>
        <v>#REF!</v>
      </c>
      <c r="HJG247" s="29" t="e">
        <f t="shared" si="134"/>
        <v>#REF!</v>
      </c>
      <c r="HJH247" s="29" t="e">
        <f t="shared" si="134"/>
        <v>#REF!</v>
      </c>
      <c r="HJI247" s="29" t="e">
        <f t="shared" si="134"/>
        <v>#REF!</v>
      </c>
      <c r="HJJ247" s="29" t="e">
        <f t="shared" si="134"/>
        <v>#REF!</v>
      </c>
      <c r="HJK247" s="29" t="e">
        <f t="shared" si="134"/>
        <v>#REF!</v>
      </c>
      <c r="HJL247" s="29" t="e">
        <f t="shared" si="134"/>
        <v>#REF!</v>
      </c>
      <c r="HJM247" s="29" t="e">
        <f t="shared" si="134"/>
        <v>#REF!</v>
      </c>
      <c r="HJN247" s="29" t="e">
        <f t="shared" si="134"/>
        <v>#REF!</v>
      </c>
      <c r="HJO247" s="29" t="e">
        <f t="shared" si="134"/>
        <v>#REF!</v>
      </c>
      <c r="HJP247" s="29" t="e">
        <f t="shared" si="134"/>
        <v>#REF!</v>
      </c>
      <c r="HJQ247" s="29" t="e">
        <f t="shared" si="134"/>
        <v>#REF!</v>
      </c>
      <c r="HJR247" s="29" t="e">
        <f t="shared" si="134"/>
        <v>#REF!</v>
      </c>
      <c r="HJS247" s="29" t="e">
        <f t="shared" si="134"/>
        <v>#REF!</v>
      </c>
      <c r="HJT247" s="29" t="e">
        <f t="shared" si="134"/>
        <v>#REF!</v>
      </c>
      <c r="HJU247" s="29" t="e">
        <f t="shared" si="134"/>
        <v>#REF!</v>
      </c>
      <c r="HJV247" s="29" t="e">
        <f t="shared" si="134"/>
        <v>#REF!</v>
      </c>
      <c r="HJW247" s="29" t="e">
        <f t="shared" si="134"/>
        <v>#REF!</v>
      </c>
      <c r="HJX247" s="29" t="e">
        <f t="shared" si="134"/>
        <v>#REF!</v>
      </c>
      <c r="HJY247" s="29" t="e">
        <f t="shared" si="134"/>
        <v>#REF!</v>
      </c>
      <c r="HJZ247" s="29" t="e">
        <f t="shared" si="134"/>
        <v>#REF!</v>
      </c>
      <c r="HKA247" s="29" t="e">
        <f t="shared" si="134"/>
        <v>#REF!</v>
      </c>
      <c r="HKB247" s="29" t="e">
        <f t="shared" si="134"/>
        <v>#REF!</v>
      </c>
      <c r="HKC247" s="29" t="e">
        <f t="shared" si="134"/>
        <v>#REF!</v>
      </c>
      <c r="HKD247" s="29" t="e">
        <f t="shared" si="134"/>
        <v>#REF!</v>
      </c>
      <c r="HKE247" s="29" t="e">
        <f t="shared" si="134"/>
        <v>#REF!</v>
      </c>
      <c r="HKF247" s="29" t="e">
        <f t="shared" si="134"/>
        <v>#REF!</v>
      </c>
      <c r="HKG247" s="29" t="e">
        <f t="shared" si="134"/>
        <v>#REF!</v>
      </c>
      <c r="HKH247" s="29" t="e">
        <f t="shared" si="134"/>
        <v>#REF!</v>
      </c>
      <c r="HKI247" s="29" t="e">
        <f t="shared" si="134"/>
        <v>#REF!</v>
      </c>
      <c r="HKJ247" s="29" t="e">
        <f t="shared" si="134"/>
        <v>#REF!</v>
      </c>
      <c r="HKK247" s="29" t="e">
        <f t="shared" si="134"/>
        <v>#REF!</v>
      </c>
      <c r="HKL247" s="29" t="e">
        <f t="shared" si="134"/>
        <v>#REF!</v>
      </c>
      <c r="HKM247" s="29" t="e">
        <f t="shared" si="134"/>
        <v>#REF!</v>
      </c>
      <c r="HKN247" s="29" t="e">
        <f t="shared" si="134"/>
        <v>#REF!</v>
      </c>
      <c r="HKO247" s="29" t="e">
        <f t="shared" si="134"/>
        <v>#REF!</v>
      </c>
      <c r="HKP247" s="29" t="e">
        <f t="shared" si="134"/>
        <v>#REF!</v>
      </c>
      <c r="HKQ247" s="29" t="e">
        <f t="shared" si="134"/>
        <v>#REF!</v>
      </c>
      <c r="HKR247" s="29" t="e">
        <f t="shared" si="134"/>
        <v>#REF!</v>
      </c>
      <c r="HKS247" s="29" t="e">
        <f t="shared" ref="HKS247:HND247" si="135">HKW247&amp;HKX247</f>
        <v>#REF!</v>
      </c>
      <c r="HKT247" s="29" t="e">
        <f t="shared" si="135"/>
        <v>#REF!</v>
      </c>
      <c r="HKU247" s="29" t="e">
        <f t="shared" si="135"/>
        <v>#REF!</v>
      </c>
      <c r="HKV247" s="29" t="e">
        <f t="shared" si="135"/>
        <v>#REF!</v>
      </c>
      <c r="HKW247" s="29" t="e">
        <f t="shared" si="135"/>
        <v>#REF!</v>
      </c>
      <c r="HKX247" s="29" t="e">
        <f t="shared" si="135"/>
        <v>#REF!</v>
      </c>
      <c r="HKY247" s="29" t="e">
        <f t="shared" si="135"/>
        <v>#REF!</v>
      </c>
      <c r="HKZ247" s="29" t="e">
        <f t="shared" si="135"/>
        <v>#REF!</v>
      </c>
      <c r="HLA247" s="29" t="e">
        <f t="shared" si="135"/>
        <v>#REF!</v>
      </c>
      <c r="HLB247" s="29" t="e">
        <f t="shared" si="135"/>
        <v>#REF!</v>
      </c>
      <c r="HLC247" s="29" t="e">
        <f t="shared" si="135"/>
        <v>#REF!</v>
      </c>
      <c r="HLD247" s="29" t="e">
        <f t="shared" si="135"/>
        <v>#REF!</v>
      </c>
      <c r="HLE247" s="29" t="e">
        <f t="shared" si="135"/>
        <v>#REF!</v>
      </c>
      <c r="HLF247" s="29" t="e">
        <f t="shared" si="135"/>
        <v>#REF!</v>
      </c>
      <c r="HLG247" s="29" t="e">
        <f t="shared" si="135"/>
        <v>#REF!</v>
      </c>
      <c r="HLH247" s="29" t="e">
        <f t="shared" si="135"/>
        <v>#REF!</v>
      </c>
      <c r="HLI247" s="29" t="e">
        <f t="shared" si="135"/>
        <v>#REF!</v>
      </c>
      <c r="HLJ247" s="29" t="e">
        <f t="shared" si="135"/>
        <v>#REF!</v>
      </c>
      <c r="HLK247" s="29" t="e">
        <f t="shared" si="135"/>
        <v>#REF!</v>
      </c>
      <c r="HLL247" s="29" t="e">
        <f t="shared" si="135"/>
        <v>#REF!</v>
      </c>
      <c r="HLM247" s="29" t="e">
        <f t="shared" si="135"/>
        <v>#REF!</v>
      </c>
      <c r="HLN247" s="29" t="e">
        <f t="shared" si="135"/>
        <v>#REF!</v>
      </c>
      <c r="HLO247" s="29" t="e">
        <f t="shared" si="135"/>
        <v>#REF!</v>
      </c>
      <c r="HLP247" s="29" t="e">
        <f t="shared" si="135"/>
        <v>#REF!</v>
      </c>
      <c r="HLQ247" s="29" t="e">
        <f t="shared" si="135"/>
        <v>#REF!</v>
      </c>
      <c r="HLR247" s="29" t="e">
        <f t="shared" si="135"/>
        <v>#REF!</v>
      </c>
      <c r="HLS247" s="29" t="e">
        <f t="shared" si="135"/>
        <v>#REF!</v>
      </c>
      <c r="HLT247" s="29" t="e">
        <f t="shared" si="135"/>
        <v>#REF!</v>
      </c>
      <c r="HLU247" s="29" t="e">
        <f t="shared" si="135"/>
        <v>#REF!</v>
      </c>
      <c r="HLV247" s="29" t="e">
        <f t="shared" si="135"/>
        <v>#REF!</v>
      </c>
      <c r="HLW247" s="29" t="e">
        <f t="shared" si="135"/>
        <v>#REF!</v>
      </c>
      <c r="HLX247" s="29" t="e">
        <f t="shared" si="135"/>
        <v>#REF!</v>
      </c>
      <c r="HLY247" s="29" t="e">
        <f t="shared" si="135"/>
        <v>#REF!</v>
      </c>
      <c r="HLZ247" s="29" t="e">
        <f t="shared" si="135"/>
        <v>#REF!</v>
      </c>
      <c r="HMA247" s="29" t="e">
        <f t="shared" si="135"/>
        <v>#REF!</v>
      </c>
      <c r="HMB247" s="29" t="e">
        <f t="shared" si="135"/>
        <v>#REF!</v>
      </c>
      <c r="HMC247" s="29" t="e">
        <f t="shared" si="135"/>
        <v>#REF!</v>
      </c>
      <c r="HMD247" s="29" t="e">
        <f t="shared" si="135"/>
        <v>#REF!</v>
      </c>
      <c r="HME247" s="29" t="e">
        <f t="shared" si="135"/>
        <v>#REF!</v>
      </c>
      <c r="HMF247" s="29" t="e">
        <f t="shared" si="135"/>
        <v>#REF!</v>
      </c>
      <c r="HMG247" s="29" t="e">
        <f t="shared" si="135"/>
        <v>#REF!</v>
      </c>
      <c r="HMH247" s="29" t="e">
        <f t="shared" si="135"/>
        <v>#REF!</v>
      </c>
      <c r="HMI247" s="29" t="e">
        <f t="shared" si="135"/>
        <v>#REF!</v>
      </c>
      <c r="HMJ247" s="29" t="e">
        <f t="shared" si="135"/>
        <v>#REF!</v>
      </c>
      <c r="HMK247" s="29" t="e">
        <f t="shared" si="135"/>
        <v>#REF!</v>
      </c>
      <c r="HML247" s="29" t="e">
        <f t="shared" si="135"/>
        <v>#REF!</v>
      </c>
      <c r="HMM247" s="29" t="e">
        <f t="shared" si="135"/>
        <v>#REF!</v>
      </c>
      <c r="HMN247" s="29" t="e">
        <f t="shared" si="135"/>
        <v>#REF!</v>
      </c>
      <c r="HMO247" s="29" t="e">
        <f t="shared" si="135"/>
        <v>#REF!</v>
      </c>
      <c r="HMP247" s="29" t="e">
        <f t="shared" si="135"/>
        <v>#REF!</v>
      </c>
      <c r="HMQ247" s="29" t="e">
        <f t="shared" si="135"/>
        <v>#REF!</v>
      </c>
      <c r="HMR247" s="29" t="e">
        <f t="shared" si="135"/>
        <v>#REF!</v>
      </c>
      <c r="HMS247" s="29" t="e">
        <f t="shared" si="135"/>
        <v>#REF!</v>
      </c>
      <c r="HMT247" s="29" t="e">
        <f t="shared" si="135"/>
        <v>#REF!</v>
      </c>
      <c r="HMU247" s="29" t="e">
        <f t="shared" si="135"/>
        <v>#REF!</v>
      </c>
      <c r="HMV247" s="29" t="e">
        <f t="shared" si="135"/>
        <v>#REF!</v>
      </c>
      <c r="HMW247" s="29" t="e">
        <f t="shared" si="135"/>
        <v>#REF!</v>
      </c>
      <c r="HMX247" s="29" t="e">
        <f t="shared" si="135"/>
        <v>#REF!</v>
      </c>
      <c r="HMY247" s="29" t="e">
        <f t="shared" si="135"/>
        <v>#REF!</v>
      </c>
      <c r="HMZ247" s="29" t="e">
        <f t="shared" si="135"/>
        <v>#REF!</v>
      </c>
      <c r="HNA247" s="29" t="e">
        <f t="shared" si="135"/>
        <v>#REF!</v>
      </c>
      <c r="HNB247" s="29" t="e">
        <f t="shared" si="135"/>
        <v>#REF!</v>
      </c>
      <c r="HNC247" s="29" t="e">
        <f t="shared" si="135"/>
        <v>#REF!</v>
      </c>
      <c r="HND247" s="29" t="e">
        <f t="shared" si="135"/>
        <v>#REF!</v>
      </c>
      <c r="HNE247" s="29" t="e">
        <f t="shared" ref="HNE247:HPP247" si="136">HNI247&amp;HNJ247</f>
        <v>#REF!</v>
      </c>
      <c r="HNF247" s="29" t="e">
        <f t="shared" si="136"/>
        <v>#REF!</v>
      </c>
      <c r="HNG247" s="29" t="e">
        <f t="shared" si="136"/>
        <v>#REF!</v>
      </c>
      <c r="HNH247" s="29" t="e">
        <f t="shared" si="136"/>
        <v>#REF!</v>
      </c>
      <c r="HNI247" s="29" t="e">
        <f t="shared" si="136"/>
        <v>#REF!</v>
      </c>
      <c r="HNJ247" s="29" t="e">
        <f t="shared" si="136"/>
        <v>#REF!</v>
      </c>
      <c r="HNK247" s="29" t="e">
        <f t="shared" si="136"/>
        <v>#REF!</v>
      </c>
      <c r="HNL247" s="29" t="e">
        <f t="shared" si="136"/>
        <v>#REF!</v>
      </c>
      <c r="HNM247" s="29" t="e">
        <f t="shared" si="136"/>
        <v>#REF!</v>
      </c>
      <c r="HNN247" s="29" t="e">
        <f t="shared" si="136"/>
        <v>#REF!</v>
      </c>
      <c r="HNO247" s="29" t="e">
        <f t="shared" si="136"/>
        <v>#REF!</v>
      </c>
      <c r="HNP247" s="29" t="e">
        <f t="shared" si="136"/>
        <v>#REF!</v>
      </c>
      <c r="HNQ247" s="29" t="e">
        <f t="shared" si="136"/>
        <v>#REF!</v>
      </c>
      <c r="HNR247" s="29" t="e">
        <f t="shared" si="136"/>
        <v>#REF!</v>
      </c>
      <c r="HNS247" s="29" t="e">
        <f t="shared" si="136"/>
        <v>#REF!</v>
      </c>
      <c r="HNT247" s="29" t="e">
        <f t="shared" si="136"/>
        <v>#REF!</v>
      </c>
      <c r="HNU247" s="29" t="e">
        <f t="shared" si="136"/>
        <v>#REF!</v>
      </c>
      <c r="HNV247" s="29" t="e">
        <f t="shared" si="136"/>
        <v>#REF!</v>
      </c>
      <c r="HNW247" s="29" t="e">
        <f t="shared" si="136"/>
        <v>#REF!</v>
      </c>
      <c r="HNX247" s="29" t="e">
        <f t="shared" si="136"/>
        <v>#REF!</v>
      </c>
      <c r="HNY247" s="29" t="e">
        <f t="shared" si="136"/>
        <v>#REF!</v>
      </c>
      <c r="HNZ247" s="29" t="e">
        <f t="shared" si="136"/>
        <v>#REF!</v>
      </c>
      <c r="HOA247" s="29" t="e">
        <f t="shared" si="136"/>
        <v>#REF!</v>
      </c>
      <c r="HOB247" s="29" t="e">
        <f t="shared" si="136"/>
        <v>#REF!</v>
      </c>
      <c r="HOC247" s="29" t="e">
        <f t="shared" si="136"/>
        <v>#REF!</v>
      </c>
      <c r="HOD247" s="29" t="e">
        <f t="shared" si="136"/>
        <v>#REF!</v>
      </c>
      <c r="HOE247" s="29" t="e">
        <f t="shared" si="136"/>
        <v>#REF!</v>
      </c>
      <c r="HOF247" s="29" t="e">
        <f t="shared" si="136"/>
        <v>#REF!</v>
      </c>
      <c r="HOG247" s="29" t="e">
        <f t="shared" si="136"/>
        <v>#REF!</v>
      </c>
      <c r="HOH247" s="29" t="e">
        <f t="shared" si="136"/>
        <v>#REF!</v>
      </c>
      <c r="HOI247" s="29" t="e">
        <f t="shared" si="136"/>
        <v>#REF!</v>
      </c>
      <c r="HOJ247" s="29" t="e">
        <f t="shared" si="136"/>
        <v>#REF!</v>
      </c>
      <c r="HOK247" s="29" t="e">
        <f t="shared" si="136"/>
        <v>#REF!</v>
      </c>
      <c r="HOL247" s="29" t="e">
        <f t="shared" si="136"/>
        <v>#REF!</v>
      </c>
      <c r="HOM247" s="29" t="e">
        <f t="shared" si="136"/>
        <v>#REF!</v>
      </c>
      <c r="HON247" s="29" t="e">
        <f t="shared" si="136"/>
        <v>#REF!</v>
      </c>
      <c r="HOO247" s="29" t="e">
        <f t="shared" si="136"/>
        <v>#REF!</v>
      </c>
      <c r="HOP247" s="29" t="e">
        <f t="shared" si="136"/>
        <v>#REF!</v>
      </c>
      <c r="HOQ247" s="29" t="e">
        <f t="shared" si="136"/>
        <v>#REF!</v>
      </c>
      <c r="HOR247" s="29" t="e">
        <f t="shared" si="136"/>
        <v>#REF!</v>
      </c>
      <c r="HOS247" s="29" t="e">
        <f t="shared" si="136"/>
        <v>#REF!</v>
      </c>
      <c r="HOT247" s="29" t="e">
        <f t="shared" si="136"/>
        <v>#REF!</v>
      </c>
      <c r="HOU247" s="29" t="e">
        <f t="shared" si="136"/>
        <v>#REF!</v>
      </c>
      <c r="HOV247" s="29" t="e">
        <f t="shared" si="136"/>
        <v>#REF!</v>
      </c>
      <c r="HOW247" s="29" t="e">
        <f t="shared" si="136"/>
        <v>#REF!</v>
      </c>
      <c r="HOX247" s="29" t="e">
        <f t="shared" si="136"/>
        <v>#REF!</v>
      </c>
      <c r="HOY247" s="29" t="e">
        <f t="shared" si="136"/>
        <v>#REF!</v>
      </c>
      <c r="HOZ247" s="29" t="e">
        <f t="shared" si="136"/>
        <v>#REF!</v>
      </c>
      <c r="HPA247" s="29" t="e">
        <f t="shared" si="136"/>
        <v>#REF!</v>
      </c>
      <c r="HPB247" s="29" t="e">
        <f t="shared" si="136"/>
        <v>#REF!</v>
      </c>
      <c r="HPC247" s="29" t="e">
        <f t="shared" si="136"/>
        <v>#REF!</v>
      </c>
      <c r="HPD247" s="29" t="e">
        <f t="shared" si="136"/>
        <v>#REF!</v>
      </c>
      <c r="HPE247" s="29" t="e">
        <f t="shared" si="136"/>
        <v>#REF!</v>
      </c>
      <c r="HPF247" s="29" t="e">
        <f t="shared" si="136"/>
        <v>#REF!</v>
      </c>
      <c r="HPG247" s="29" t="e">
        <f t="shared" si="136"/>
        <v>#REF!</v>
      </c>
      <c r="HPH247" s="29" t="e">
        <f t="shared" si="136"/>
        <v>#REF!</v>
      </c>
      <c r="HPI247" s="29" t="e">
        <f t="shared" si="136"/>
        <v>#REF!</v>
      </c>
      <c r="HPJ247" s="29" t="e">
        <f t="shared" si="136"/>
        <v>#REF!</v>
      </c>
      <c r="HPK247" s="29" t="e">
        <f t="shared" si="136"/>
        <v>#REF!</v>
      </c>
      <c r="HPL247" s="29" t="e">
        <f t="shared" si="136"/>
        <v>#REF!</v>
      </c>
      <c r="HPM247" s="29" t="e">
        <f t="shared" si="136"/>
        <v>#REF!</v>
      </c>
      <c r="HPN247" s="29" t="e">
        <f t="shared" si="136"/>
        <v>#REF!</v>
      </c>
      <c r="HPO247" s="29" t="e">
        <f t="shared" si="136"/>
        <v>#REF!</v>
      </c>
      <c r="HPP247" s="29" t="e">
        <f t="shared" si="136"/>
        <v>#REF!</v>
      </c>
      <c r="HPQ247" s="29" t="e">
        <f t="shared" ref="HPQ247:HSB247" si="137">HPU247&amp;HPV247</f>
        <v>#REF!</v>
      </c>
      <c r="HPR247" s="29" t="e">
        <f t="shared" si="137"/>
        <v>#REF!</v>
      </c>
      <c r="HPS247" s="29" t="e">
        <f t="shared" si="137"/>
        <v>#REF!</v>
      </c>
      <c r="HPT247" s="29" t="e">
        <f t="shared" si="137"/>
        <v>#REF!</v>
      </c>
      <c r="HPU247" s="29" t="e">
        <f t="shared" si="137"/>
        <v>#REF!</v>
      </c>
      <c r="HPV247" s="29" t="e">
        <f t="shared" si="137"/>
        <v>#REF!</v>
      </c>
      <c r="HPW247" s="29" t="e">
        <f t="shared" si="137"/>
        <v>#REF!</v>
      </c>
      <c r="HPX247" s="29" t="e">
        <f t="shared" si="137"/>
        <v>#REF!</v>
      </c>
      <c r="HPY247" s="29" t="e">
        <f t="shared" si="137"/>
        <v>#REF!</v>
      </c>
      <c r="HPZ247" s="29" t="e">
        <f t="shared" si="137"/>
        <v>#REF!</v>
      </c>
      <c r="HQA247" s="29" t="e">
        <f t="shared" si="137"/>
        <v>#REF!</v>
      </c>
      <c r="HQB247" s="29" t="e">
        <f t="shared" si="137"/>
        <v>#REF!</v>
      </c>
      <c r="HQC247" s="29" t="e">
        <f t="shared" si="137"/>
        <v>#REF!</v>
      </c>
      <c r="HQD247" s="29" t="e">
        <f t="shared" si="137"/>
        <v>#REF!</v>
      </c>
      <c r="HQE247" s="29" t="e">
        <f t="shared" si="137"/>
        <v>#REF!</v>
      </c>
      <c r="HQF247" s="29" t="e">
        <f t="shared" si="137"/>
        <v>#REF!</v>
      </c>
      <c r="HQG247" s="29" t="e">
        <f t="shared" si="137"/>
        <v>#REF!</v>
      </c>
      <c r="HQH247" s="29" t="e">
        <f t="shared" si="137"/>
        <v>#REF!</v>
      </c>
      <c r="HQI247" s="29" t="e">
        <f t="shared" si="137"/>
        <v>#REF!</v>
      </c>
      <c r="HQJ247" s="29" t="e">
        <f t="shared" si="137"/>
        <v>#REF!</v>
      </c>
      <c r="HQK247" s="29" t="e">
        <f t="shared" si="137"/>
        <v>#REF!</v>
      </c>
      <c r="HQL247" s="29" t="e">
        <f t="shared" si="137"/>
        <v>#REF!</v>
      </c>
      <c r="HQM247" s="29" t="e">
        <f t="shared" si="137"/>
        <v>#REF!</v>
      </c>
      <c r="HQN247" s="29" t="e">
        <f t="shared" si="137"/>
        <v>#REF!</v>
      </c>
      <c r="HQO247" s="29" t="e">
        <f t="shared" si="137"/>
        <v>#REF!</v>
      </c>
      <c r="HQP247" s="29" t="e">
        <f t="shared" si="137"/>
        <v>#REF!</v>
      </c>
      <c r="HQQ247" s="29" t="e">
        <f t="shared" si="137"/>
        <v>#REF!</v>
      </c>
      <c r="HQR247" s="29" t="e">
        <f t="shared" si="137"/>
        <v>#REF!</v>
      </c>
      <c r="HQS247" s="29" t="e">
        <f t="shared" si="137"/>
        <v>#REF!</v>
      </c>
      <c r="HQT247" s="29" t="e">
        <f t="shared" si="137"/>
        <v>#REF!</v>
      </c>
      <c r="HQU247" s="29" t="e">
        <f t="shared" si="137"/>
        <v>#REF!</v>
      </c>
      <c r="HQV247" s="29" t="e">
        <f t="shared" si="137"/>
        <v>#REF!</v>
      </c>
      <c r="HQW247" s="29" t="e">
        <f t="shared" si="137"/>
        <v>#REF!</v>
      </c>
      <c r="HQX247" s="29" t="e">
        <f t="shared" si="137"/>
        <v>#REF!</v>
      </c>
      <c r="HQY247" s="29" t="e">
        <f t="shared" si="137"/>
        <v>#REF!</v>
      </c>
      <c r="HQZ247" s="29" t="e">
        <f t="shared" si="137"/>
        <v>#REF!</v>
      </c>
      <c r="HRA247" s="29" t="e">
        <f t="shared" si="137"/>
        <v>#REF!</v>
      </c>
      <c r="HRB247" s="29" t="e">
        <f t="shared" si="137"/>
        <v>#REF!</v>
      </c>
      <c r="HRC247" s="29" t="e">
        <f t="shared" si="137"/>
        <v>#REF!</v>
      </c>
      <c r="HRD247" s="29" t="e">
        <f t="shared" si="137"/>
        <v>#REF!</v>
      </c>
      <c r="HRE247" s="29" t="e">
        <f t="shared" si="137"/>
        <v>#REF!</v>
      </c>
      <c r="HRF247" s="29" t="e">
        <f t="shared" si="137"/>
        <v>#REF!</v>
      </c>
      <c r="HRG247" s="29" t="e">
        <f t="shared" si="137"/>
        <v>#REF!</v>
      </c>
      <c r="HRH247" s="29" t="e">
        <f t="shared" si="137"/>
        <v>#REF!</v>
      </c>
      <c r="HRI247" s="29" t="e">
        <f t="shared" si="137"/>
        <v>#REF!</v>
      </c>
      <c r="HRJ247" s="29" t="e">
        <f t="shared" si="137"/>
        <v>#REF!</v>
      </c>
      <c r="HRK247" s="29" t="e">
        <f t="shared" si="137"/>
        <v>#REF!</v>
      </c>
      <c r="HRL247" s="29" t="e">
        <f t="shared" si="137"/>
        <v>#REF!</v>
      </c>
      <c r="HRM247" s="29" t="e">
        <f t="shared" si="137"/>
        <v>#REF!</v>
      </c>
      <c r="HRN247" s="29" t="e">
        <f t="shared" si="137"/>
        <v>#REF!</v>
      </c>
      <c r="HRO247" s="29" t="e">
        <f t="shared" si="137"/>
        <v>#REF!</v>
      </c>
      <c r="HRP247" s="29" t="e">
        <f t="shared" si="137"/>
        <v>#REF!</v>
      </c>
      <c r="HRQ247" s="29" t="e">
        <f t="shared" si="137"/>
        <v>#REF!</v>
      </c>
      <c r="HRR247" s="29" t="e">
        <f t="shared" si="137"/>
        <v>#REF!</v>
      </c>
      <c r="HRS247" s="29" t="e">
        <f t="shared" si="137"/>
        <v>#REF!</v>
      </c>
      <c r="HRT247" s="29" t="e">
        <f t="shared" si="137"/>
        <v>#REF!</v>
      </c>
      <c r="HRU247" s="29" t="e">
        <f t="shared" si="137"/>
        <v>#REF!</v>
      </c>
      <c r="HRV247" s="29" t="e">
        <f t="shared" si="137"/>
        <v>#REF!</v>
      </c>
      <c r="HRW247" s="29" t="e">
        <f t="shared" si="137"/>
        <v>#REF!</v>
      </c>
      <c r="HRX247" s="29" t="e">
        <f t="shared" si="137"/>
        <v>#REF!</v>
      </c>
      <c r="HRY247" s="29" t="e">
        <f t="shared" si="137"/>
        <v>#REF!</v>
      </c>
      <c r="HRZ247" s="29" t="e">
        <f t="shared" si="137"/>
        <v>#REF!</v>
      </c>
      <c r="HSA247" s="29" t="e">
        <f t="shared" si="137"/>
        <v>#REF!</v>
      </c>
      <c r="HSB247" s="29" t="e">
        <f t="shared" si="137"/>
        <v>#REF!</v>
      </c>
      <c r="HSC247" s="29" t="e">
        <f t="shared" ref="HSC247:HUN247" si="138">HSG247&amp;HSH247</f>
        <v>#REF!</v>
      </c>
      <c r="HSD247" s="29" t="e">
        <f t="shared" si="138"/>
        <v>#REF!</v>
      </c>
      <c r="HSE247" s="29" t="e">
        <f t="shared" si="138"/>
        <v>#REF!</v>
      </c>
      <c r="HSF247" s="29" t="e">
        <f t="shared" si="138"/>
        <v>#REF!</v>
      </c>
      <c r="HSG247" s="29" t="e">
        <f t="shared" si="138"/>
        <v>#REF!</v>
      </c>
      <c r="HSH247" s="29" t="e">
        <f t="shared" si="138"/>
        <v>#REF!</v>
      </c>
      <c r="HSI247" s="29" t="e">
        <f t="shared" si="138"/>
        <v>#REF!</v>
      </c>
      <c r="HSJ247" s="29" t="e">
        <f t="shared" si="138"/>
        <v>#REF!</v>
      </c>
      <c r="HSK247" s="29" t="e">
        <f t="shared" si="138"/>
        <v>#REF!</v>
      </c>
      <c r="HSL247" s="29" t="e">
        <f t="shared" si="138"/>
        <v>#REF!</v>
      </c>
      <c r="HSM247" s="29" t="e">
        <f t="shared" si="138"/>
        <v>#REF!</v>
      </c>
      <c r="HSN247" s="29" t="e">
        <f t="shared" si="138"/>
        <v>#REF!</v>
      </c>
      <c r="HSO247" s="29" t="e">
        <f t="shared" si="138"/>
        <v>#REF!</v>
      </c>
      <c r="HSP247" s="29" t="e">
        <f t="shared" si="138"/>
        <v>#REF!</v>
      </c>
      <c r="HSQ247" s="29" t="e">
        <f t="shared" si="138"/>
        <v>#REF!</v>
      </c>
      <c r="HSR247" s="29" t="e">
        <f t="shared" si="138"/>
        <v>#REF!</v>
      </c>
      <c r="HSS247" s="29" t="e">
        <f t="shared" si="138"/>
        <v>#REF!</v>
      </c>
      <c r="HST247" s="29" t="e">
        <f t="shared" si="138"/>
        <v>#REF!</v>
      </c>
      <c r="HSU247" s="29" t="e">
        <f t="shared" si="138"/>
        <v>#REF!</v>
      </c>
      <c r="HSV247" s="29" t="e">
        <f t="shared" si="138"/>
        <v>#REF!</v>
      </c>
      <c r="HSW247" s="29" t="e">
        <f t="shared" si="138"/>
        <v>#REF!</v>
      </c>
      <c r="HSX247" s="29" t="e">
        <f t="shared" si="138"/>
        <v>#REF!</v>
      </c>
      <c r="HSY247" s="29" t="e">
        <f t="shared" si="138"/>
        <v>#REF!</v>
      </c>
      <c r="HSZ247" s="29" t="e">
        <f t="shared" si="138"/>
        <v>#REF!</v>
      </c>
      <c r="HTA247" s="29" t="e">
        <f t="shared" si="138"/>
        <v>#REF!</v>
      </c>
      <c r="HTB247" s="29" t="e">
        <f t="shared" si="138"/>
        <v>#REF!</v>
      </c>
      <c r="HTC247" s="29" t="e">
        <f t="shared" si="138"/>
        <v>#REF!</v>
      </c>
      <c r="HTD247" s="29" t="e">
        <f t="shared" si="138"/>
        <v>#REF!</v>
      </c>
      <c r="HTE247" s="29" t="e">
        <f t="shared" si="138"/>
        <v>#REF!</v>
      </c>
      <c r="HTF247" s="29" t="e">
        <f t="shared" si="138"/>
        <v>#REF!</v>
      </c>
      <c r="HTG247" s="29" t="e">
        <f t="shared" si="138"/>
        <v>#REF!</v>
      </c>
      <c r="HTH247" s="29" t="e">
        <f t="shared" si="138"/>
        <v>#REF!</v>
      </c>
      <c r="HTI247" s="29" t="e">
        <f t="shared" si="138"/>
        <v>#REF!</v>
      </c>
      <c r="HTJ247" s="29" t="e">
        <f t="shared" si="138"/>
        <v>#REF!</v>
      </c>
      <c r="HTK247" s="29" t="e">
        <f t="shared" si="138"/>
        <v>#REF!</v>
      </c>
      <c r="HTL247" s="29" t="e">
        <f t="shared" si="138"/>
        <v>#REF!</v>
      </c>
      <c r="HTM247" s="29" t="e">
        <f t="shared" si="138"/>
        <v>#REF!</v>
      </c>
      <c r="HTN247" s="29" t="e">
        <f t="shared" si="138"/>
        <v>#REF!</v>
      </c>
      <c r="HTO247" s="29" t="e">
        <f t="shared" si="138"/>
        <v>#REF!</v>
      </c>
      <c r="HTP247" s="29" t="e">
        <f t="shared" si="138"/>
        <v>#REF!</v>
      </c>
      <c r="HTQ247" s="29" t="e">
        <f t="shared" si="138"/>
        <v>#REF!</v>
      </c>
      <c r="HTR247" s="29" t="e">
        <f t="shared" si="138"/>
        <v>#REF!</v>
      </c>
      <c r="HTS247" s="29" t="e">
        <f t="shared" si="138"/>
        <v>#REF!</v>
      </c>
      <c r="HTT247" s="29" t="e">
        <f t="shared" si="138"/>
        <v>#REF!</v>
      </c>
      <c r="HTU247" s="29" t="e">
        <f t="shared" si="138"/>
        <v>#REF!</v>
      </c>
      <c r="HTV247" s="29" t="e">
        <f t="shared" si="138"/>
        <v>#REF!</v>
      </c>
      <c r="HTW247" s="29" t="e">
        <f t="shared" si="138"/>
        <v>#REF!</v>
      </c>
      <c r="HTX247" s="29" t="e">
        <f t="shared" si="138"/>
        <v>#REF!</v>
      </c>
      <c r="HTY247" s="29" t="e">
        <f t="shared" si="138"/>
        <v>#REF!</v>
      </c>
      <c r="HTZ247" s="29" t="e">
        <f t="shared" si="138"/>
        <v>#REF!</v>
      </c>
      <c r="HUA247" s="29" t="e">
        <f t="shared" si="138"/>
        <v>#REF!</v>
      </c>
      <c r="HUB247" s="29" t="e">
        <f t="shared" si="138"/>
        <v>#REF!</v>
      </c>
      <c r="HUC247" s="29" t="e">
        <f t="shared" si="138"/>
        <v>#REF!</v>
      </c>
      <c r="HUD247" s="29" t="e">
        <f t="shared" si="138"/>
        <v>#REF!</v>
      </c>
      <c r="HUE247" s="29" t="e">
        <f t="shared" si="138"/>
        <v>#REF!</v>
      </c>
      <c r="HUF247" s="29" t="e">
        <f t="shared" si="138"/>
        <v>#REF!</v>
      </c>
      <c r="HUG247" s="29" t="e">
        <f t="shared" si="138"/>
        <v>#REF!</v>
      </c>
      <c r="HUH247" s="29" t="e">
        <f t="shared" si="138"/>
        <v>#REF!</v>
      </c>
      <c r="HUI247" s="29" t="e">
        <f t="shared" si="138"/>
        <v>#REF!</v>
      </c>
      <c r="HUJ247" s="29" t="e">
        <f t="shared" si="138"/>
        <v>#REF!</v>
      </c>
      <c r="HUK247" s="29" t="e">
        <f t="shared" si="138"/>
        <v>#REF!</v>
      </c>
      <c r="HUL247" s="29" t="e">
        <f t="shared" si="138"/>
        <v>#REF!</v>
      </c>
      <c r="HUM247" s="29" t="e">
        <f t="shared" si="138"/>
        <v>#REF!</v>
      </c>
      <c r="HUN247" s="29" t="e">
        <f t="shared" si="138"/>
        <v>#REF!</v>
      </c>
      <c r="HUO247" s="29" t="e">
        <f t="shared" ref="HUO247:HWZ247" si="139">HUS247&amp;HUT247</f>
        <v>#REF!</v>
      </c>
      <c r="HUP247" s="29" t="e">
        <f t="shared" si="139"/>
        <v>#REF!</v>
      </c>
      <c r="HUQ247" s="29" t="e">
        <f t="shared" si="139"/>
        <v>#REF!</v>
      </c>
      <c r="HUR247" s="29" t="e">
        <f t="shared" si="139"/>
        <v>#REF!</v>
      </c>
      <c r="HUS247" s="29" t="e">
        <f t="shared" si="139"/>
        <v>#REF!</v>
      </c>
      <c r="HUT247" s="29" t="e">
        <f t="shared" si="139"/>
        <v>#REF!</v>
      </c>
      <c r="HUU247" s="29" t="e">
        <f t="shared" si="139"/>
        <v>#REF!</v>
      </c>
      <c r="HUV247" s="29" t="e">
        <f t="shared" si="139"/>
        <v>#REF!</v>
      </c>
      <c r="HUW247" s="29" t="e">
        <f t="shared" si="139"/>
        <v>#REF!</v>
      </c>
      <c r="HUX247" s="29" t="e">
        <f t="shared" si="139"/>
        <v>#REF!</v>
      </c>
      <c r="HUY247" s="29" t="e">
        <f t="shared" si="139"/>
        <v>#REF!</v>
      </c>
      <c r="HUZ247" s="29" t="e">
        <f t="shared" si="139"/>
        <v>#REF!</v>
      </c>
      <c r="HVA247" s="29" t="e">
        <f t="shared" si="139"/>
        <v>#REF!</v>
      </c>
      <c r="HVB247" s="29" t="e">
        <f t="shared" si="139"/>
        <v>#REF!</v>
      </c>
      <c r="HVC247" s="29" t="e">
        <f t="shared" si="139"/>
        <v>#REF!</v>
      </c>
      <c r="HVD247" s="29" t="e">
        <f t="shared" si="139"/>
        <v>#REF!</v>
      </c>
      <c r="HVE247" s="29" t="e">
        <f t="shared" si="139"/>
        <v>#REF!</v>
      </c>
      <c r="HVF247" s="29" t="e">
        <f t="shared" si="139"/>
        <v>#REF!</v>
      </c>
      <c r="HVG247" s="29" t="e">
        <f t="shared" si="139"/>
        <v>#REF!</v>
      </c>
      <c r="HVH247" s="29" t="e">
        <f t="shared" si="139"/>
        <v>#REF!</v>
      </c>
      <c r="HVI247" s="29" t="e">
        <f t="shared" si="139"/>
        <v>#REF!</v>
      </c>
      <c r="HVJ247" s="29" t="e">
        <f t="shared" si="139"/>
        <v>#REF!</v>
      </c>
      <c r="HVK247" s="29" t="e">
        <f t="shared" si="139"/>
        <v>#REF!</v>
      </c>
      <c r="HVL247" s="29" t="e">
        <f t="shared" si="139"/>
        <v>#REF!</v>
      </c>
      <c r="HVM247" s="29" t="e">
        <f t="shared" si="139"/>
        <v>#REF!</v>
      </c>
      <c r="HVN247" s="29" t="e">
        <f t="shared" si="139"/>
        <v>#REF!</v>
      </c>
      <c r="HVO247" s="29" t="e">
        <f t="shared" si="139"/>
        <v>#REF!</v>
      </c>
      <c r="HVP247" s="29" t="e">
        <f t="shared" si="139"/>
        <v>#REF!</v>
      </c>
      <c r="HVQ247" s="29" t="e">
        <f t="shared" si="139"/>
        <v>#REF!</v>
      </c>
      <c r="HVR247" s="29" t="e">
        <f t="shared" si="139"/>
        <v>#REF!</v>
      </c>
      <c r="HVS247" s="29" t="e">
        <f t="shared" si="139"/>
        <v>#REF!</v>
      </c>
      <c r="HVT247" s="29" t="e">
        <f t="shared" si="139"/>
        <v>#REF!</v>
      </c>
      <c r="HVU247" s="29" t="e">
        <f t="shared" si="139"/>
        <v>#REF!</v>
      </c>
      <c r="HVV247" s="29" t="e">
        <f t="shared" si="139"/>
        <v>#REF!</v>
      </c>
      <c r="HVW247" s="29" t="e">
        <f t="shared" si="139"/>
        <v>#REF!</v>
      </c>
      <c r="HVX247" s="29" t="e">
        <f t="shared" si="139"/>
        <v>#REF!</v>
      </c>
      <c r="HVY247" s="29" t="e">
        <f t="shared" si="139"/>
        <v>#REF!</v>
      </c>
      <c r="HVZ247" s="29" t="e">
        <f t="shared" si="139"/>
        <v>#REF!</v>
      </c>
      <c r="HWA247" s="29" t="e">
        <f t="shared" si="139"/>
        <v>#REF!</v>
      </c>
      <c r="HWB247" s="29" t="e">
        <f t="shared" si="139"/>
        <v>#REF!</v>
      </c>
      <c r="HWC247" s="29" t="e">
        <f t="shared" si="139"/>
        <v>#REF!</v>
      </c>
      <c r="HWD247" s="29" t="e">
        <f t="shared" si="139"/>
        <v>#REF!</v>
      </c>
      <c r="HWE247" s="29" t="e">
        <f t="shared" si="139"/>
        <v>#REF!</v>
      </c>
      <c r="HWF247" s="29" t="e">
        <f t="shared" si="139"/>
        <v>#REF!</v>
      </c>
      <c r="HWG247" s="29" t="e">
        <f t="shared" si="139"/>
        <v>#REF!</v>
      </c>
      <c r="HWH247" s="29" t="e">
        <f t="shared" si="139"/>
        <v>#REF!</v>
      </c>
      <c r="HWI247" s="29" t="e">
        <f t="shared" si="139"/>
        <v>#REF!</v>
      </c>
      <c r="HWJ247" s="29" t="e">
        <f t="shared" si="139"/>
        <v>#REF!</v>
      </c>
      <c r="HWK247" s="29" t="e">
        <f t="shared" si="139"/>
        <v>#REF!</v>
      </c>
      <c r="HWL247" s="29" t="e">
        <f t="shared" si="139"/>
        <v>#REF!</v>
      </c>
      <c r="HWM247" s="29" t="e">
        <f t="shared" si="139"/>
        <v>#REF!</v>
      </c>
      <c r="HWN247" s="29" t="e">
        <f t="shared" si="139"/>
        <v>#REF!</v>
      </c>
      <c r="HWO247" s="29" t="e">
        <f t="shared" si="139"/>
        <v>#REF!</v>
      </c>
      <c r="HWP247" s="29" t="e">
        <f t="shared" si="139"/>
        <v>#REF!</v>
      </c>
      <c r="HWQ247" s="29" t="e">
        <f t="shared" si="139"/>
        <v>#REF!</v>
      </c>
      <c r="HWR247" s="29" t="e">
        <f t="shared" si="139"/>
        <v>#REF!</v>
      </c>
      <c r="HWS247" s="29" t="e">
        <f t="shared" si="139"/>
        <v>#REF!</v>
      </c>
      <c r="HWT247" s="29" t="e">
        <f t="shared" si="139"/>
        <v>#REF!</v>
      </c>
      <c r="HWU247" s="29" t="e">
        <f t="shared" si="139"/>
        <v>#REF!</v>
      </c>
      <c r="HWV247" s="29" t="e">
        <f t="shared" si="139"/>
        <v>#REF!</v>
      </c>
      <c r="HWW247" s="29" t="e">
        <f t="shared" si="139"/>
        <v>#REF!</v>
      </c>
      <c r="HWX247" s="29" t="e">
        <f t="shared" si="139"/>
        <v>#REF!</v>
      </c>
      <c r="HWY247" s="29" t="e">
        <f t="shared" si="139"/>
        <v>#REF!</v>
      </c>
      <c r="HWZ247" s="29" t="e">
        <f t="shared" si="139"/>
        <v>#REF!</v>
      </c>
      <c r="HXA247" s="29" t="e">
        <f t="shared" ref="HXA247:HZL247" si="140">HXE247&amp;HXF247</f>
        <v>#REF!</v>
      </c>
      <c r="HXB247" s="29" t="e">
        <f t="shared" si="140"/>
        <v>#REF!</v>
      </c>
      <c r="HXC247" s="29" t="e">
        <f t="shared" si="140"/>
        <v>#REF!</v>
      </c>
      <c r="HXD247" s="29" t="e">
        <f t="shared" si="140"/>
        <v>#REF!</v>
      </c>
      <c r="HXE247" s="29" t="e">
        <f t="shared" si="140"/>
        <v>#REF!</v>
      </c>
      <c r="HXF247" s="29" t="e">
        <f t="shared" si="140"/>
        <v>#REF!</v>
      </c>
      <c r="HXG247" s="29" t="e">
        <f t="shared" si="140"/>
        <v>#REF!</v>
      </c>
      <c r="HXH247" s="29" t="e">
        <f t="shared" si="140"/>
        <v>#REF!</v>
      </c>
      <c r="HXI247" s="29" t="e">
        <f t="shared" si="140"/>
        <v>#REF!</v>
      </c>
      <c r="HXJ247" s="29" t="e">
        <f t="shared" si="140"/>
        <v>#REF!</v>
      </c>
      <c r="HXK247" s="29" t="e">
        <f t="shared" si="140"/>
        <v>#REF!</v>
      </c>
      <c r="HXL247" s="29" t="e">
        <f t="shared" si="140"/>
        <v>#REF!</v>
      </c>
      <c r="HXM247" s="29" t="e">
        <f t="shared" si="140"/>
        <v>#REF!</v>
      </c>
      <c r="HXN247" s="29" t="e">
        <f t="shared" si="140"/>
        <v>#REF!</v>
      </c>
      <c r="HXO247" s="29" t="e">
        <f t="shared" si="140"/>
        <v>#REF!</v>
      </c>
      <c r="HXP247" s="29" t="e">
        <f t="shared" si="140"/>
        <v>#REF!</v>
      </c>
      <c r="HXQ247" s="29" t="e">
        <f t="shared" si="140"/>
        <v>#REF!</v>
      </c>
      <c r="HXR247" s="29" t="e">
        <f t="shared" si="140"/>
        <v>#REF!</v>
      </c>
      <c r="HXS247" s="29" t="e">
        <f t="shared" si="140"/>
        <v>#REF!</v>
      </c>
      <c r="HXT247" s="29" t="e">
        <f t="shared" si="140"/>
        <v>#REF!</v>
      </c>
      <c r="HXU247" s="29" t="e">
        <f t="shared" si="140"/>
        <v>#REF!</v>
      </c>
      <c r="HXV247" s="29" t="e">
        <f t="shared" si="140"/>
        <v>#REF!</v>
      </c>
      <c r="HXW247" s="29" t="e">
        <f t="shared" si="140"/>
        <v>#REF!</v>
      </c>
      <c r="HXX247" s="29" t="e">
        <f t="shared" si="140"/>
        <v>#REF!</v>
      </c>
      <c r="HXY247" s="29" t="e">
        <f t="shared" si="140"/>
        <v>#REF!</v>
      </c>
      <c r="HXZ247" s="29" t="e">
        <f t="shared" si="140"/>
        <v>#REF!</v>
      </c>
      <c r="HYA247" s="29" t="e">
        <f t="shared" si="140"/>
        <v>#REF!</v>
      </c>
      <c r="HYB247" s="29" t="e">
        <f t="shared" si="140"/>
        <v>#REF!</v>
      </c>
      <c r="HYC247" s="29" t="e">
        <f t="shared" si="140"/>
        <v>#REF!</v>
      </c>
      <c r="HYD247" s="29" t="e">
        <f t="shared" si="140"/>
        <v>#REF!</v>
      </c>
      <c r="HYE247" s="29" t="e">
        <f t="shared" si="140"/>
        <v>#REF!</v>
      </c>
      <c r="HYF247" s="29" t="e">
        <f t="shared" si="140"/>
        <v>#REF!</v>
      </c>
      <c r="HYG247" s="29" t="e">
        <f t="shared" si="140"/>
        <v>#REF!</v>
      </c>
      <c r="HYH247" s="29" t="e">
        <f t="shared" si="140"/>
        <v>#REF!</v>
      </c>
      <c r="HYI247" s="29" t="e">
        <f t="shared" si="140"/>
        <v>#REF!</v>
      </c>
      <c r="HYJ247" s="29" t="e">
        <f t="shared" si="140"/>
        <v>#REF!</v>
      </c>
      <c r="HYK247" s="29" t="e">
        <f t="shared" si="140"/>
        <v>#REF!</v>
      </c>
      <c r="HYL247" s="29" t="e">
        <f t="shared" si="140"/>
        <v>#REF!</v>
      </c>
      <c r="HYM247" s="29" t="e">
        <f t="shared" si="140"/>
        <v>#REF!</v>
      </c>
      <c r="HYN247" s="29" t="e">
        <f t="shared" si="140"/>
        <v>#REF!</v>
      </c>
      <c r="HYO247" s="29" t="e">
        <f t="shared" si="140"/>
        <v>#REF!</v>
      </c>
      <c r="HYP247" s="29" t="e">
        <f t="shared" si="140"/>
        <v>#REF!</v>
      </c>
      <c r="HYQ247" s="29" t="e">
        <f t="shared" si="140"/>
        <v>#REF!</v>
      </c>
      <c r="HYR247" s="29" t="e">
        <f t="shared" si="140"/>
        <v>#REF!</v>
      </c>
      <c r="HYS247" s="29" t="e">
        <f t="shared" si="140"/>
        <v>#REF!</v>
      </c>
      <c r="HYT247" s="29" t="e">
        <f t="shared" si="140"/>
        <v>#REF!</v>
      </c>
      <c r="HYU247" s="29" t="e">
        <f t="shared" si="140"/>
        <v>#REF!</v>
      </c>
      <c r="HYV247" s="29" t="e">
        <f t="shared" si="140"/>
        <v>#REF!</v>
      </c>
      <c r="HYW247" s="29" t="e">
        <f t="shared" si="140"/>
        <v>#REF!</v>
      </c>
      <c r="HYX247" s="29" t="e">
        <f t="shared" si="140"/>
        <v>#REF!</v>
      </c>
      <c r="HYY247" s="29" t="e">
        <f t="shared" si="140"/>
        <v>#REF!</v>
      </c>
      <c r="HYZ247" s="29" t="e">
        <f t="shared" si="140"/>
        <v>#REF!</v>
      </c>
      <c r="HZA247" s="29" t="e">
        <f t="shared" si="140"/>
        <v>#REF!</v>
      </c>
      <c r="HZB247" s="29" t="e">
        <f t="shared" si="140"/>
        <v>#REF!</v>
      </c>
      <c r="HZC247" s="29" t="e">
        <f t="shared" si="140"/>
        <v>#REF!</v>
      </c>
      <c r="HZD247" s="29" t="e">
        <f t="shared" si="140"/>
        <v>#REF!</v>
      </c>
      <c r="HZE247" s="29" t="e">
        <f t="shared" si="140"/>
        <v>#REF!</v>
      </c>
      <c r="HZF247" s="29" t="e">
        <f t="shared" si="140"/>
        <v>#REF!</v>
      </c>
      <c r="HZG247" s="29" t="e">
        <f t="shared" si="140"/>
        <v>#REF!</v>
      </c>
      <c r="HZH247" s="29" t="e">
        <f t="shared" si="140"/>
        <v>#REF!</v>
      </c>
      <c r="HZI247" s="29" t="e">
        <f t="shared" si="140"/>
        <v>#REF!</v>
      </c>
      <c r="HZJ247" s="29" t="e">
        <f t="shared" si="140"/>
        <v>#REF!</v>
      </c>
      <c r="HZK247" s="29" t="e">
        <f t="shared" si="140"/>
        <v>#REF!</v>
      </c>
      <c r="HZL247" s="29" t="e">
        <f t="shared" si="140"/>
        <v>#REF!</v>
      </c>
      <c r="HZM247" s="29" t="e">
        <f t="shared" ref="HZM247:IBX247" si="141">HZQ247&amp;HZR247</f>
        <v>#REF!</v>
      </c>
      <c r="HZN247" s="29" t="e">
        <f t="shared" si="141"/>
        <v>#REF!</v>
      </c>
      <c r="HZO247" s="29" t="e">
        <f t="shared" si="141"/>
        <v>#REF!</v>
      </c>
      <c r="HZP247" s="29" t="e">
        <f t="shared" si="141"/>
        <v>#REF!</v>
      </c>
      <c r="HZQ247" s="29" t="e">
        <f t="shared" si="141"/>
        <v>#REF!</v>
      </c>
      <c r="HZR247" s="29" t="e">
        <f t="shared" si="141"/>
        <v>#REF!</v>
      </c>
      <c r="HZS247" s="29" t="e">
        <f t="shared" si="141"/>
        <v>#REF!</v>
      </c>
      <c r="HZT247" s="29" t="e">
        <f t="shared" si="141"/>
        <v>#REF!</v>
      </c>
      <c r="HZU247" s="29" t="e">
        <f t="shared" si="141"/>
        <v>#REF!</v>
      </c>
      <c r="HZV247" s="29" t="e">
        <f t="shared" si="141"/>
        <v>#REF!</v>
      </c>
      <c r="HZW247" s="29" t="e">
        <f t="shared" si="141"/>
        <v>#REF!</v>
      </c>
      <c r="HZX247" s="29" t="e">
        <f t="shared" si="141"/>
        <v>#REF!</v>
      </c>
      <c r="HZY247" s="29" t="e">
        <f t="shared" si="141"/>
        <v>#REF!</v>
      </c>
      <c r="HZZ247" s="29" t="e">
        <f t="shared" si="141"/>
        <v>#REF!</v>
      </c>
      <c r="IAA247" s="29" t="e">
        <f t="shared" si="141"/>
        <v>#REF!</v>
      </c>
      <c r="IAB247" s="29" t="e">
        <f t="shared" si="141"/>
        <v>#REF!</v>
      </c>
      <c r="IAC247" s="29" t="e">
        <f t="shared" si="141"/>
        <v>#REF!</v>
      </c>
      <c r="IAD247" s="29" t="e">
        <f t="shared" si="141"/>
        <v>#REF!</v>
      </c>
      <c r="IAE247" s="29" t="e">
        <f t="shared" si="141"/>
        <v>#REF!</v>
      </c>
      <c r="IAF247" s="29" t="e">
        <f t="shared" si="141"/>
        <v>#REF!</v>
      </c>
      <c r="IAG247" s="29" t="e">
        <f t="shared" si="141"/>
        <v>#REF!</v>
      </c>
      <c r="IAH247" s="29" t="e">
        <f t="shared" si="141"/>
        <v>#REF!</v>
      </c>
      <c r="IAI247" s="29" t="e">
        <f t="shared" si="141"/>
        <v>#REF!</v>
      </c>
      <c r="IAJ247" s="29" t="e">
        <f t="shared" si="141"/>
        <v>#REF!</v>
      </c>
      <c r="IAK247" s="29" t="e">
        <f t="shared" si="141"/>
        <v>#REF!</v>
      </c>
      <c r="IAL247" s="29" t="e">
        <f t="shared" si="141"/>
        <v>#REF!</v>
      </c>
      <c r="IAM247" s="29" t="e">
        <f t="shared" si="141"/>
        <v>#REF!</v>
      </c>
      <c r="IAN247" s="29" t="e">
        <f t="shared" si="141"/>
        <v>#REF!</v>
      </c>
      <c r="IAO247" s="29" t="e">
        <f t="shared" si="141"/>
        <v>#REF!</v>
      </c>
      <c r="IAP247" s="29" t="e">
        <f t="shared" si="141"/>
        <v>#REF!</v>
      </c>
      <c r="IAQ247" s="29" t="e">
        <f t="shared" si="141"/>
        <v>#REF!</v>
      </c>
      <c r="IAR247" s="29" t="e">
        <f t="shared" si="141"/>
        <v>#REF!</v>
      </c>
      <c r="IAS247" s="29" t="e">
        <f t="shared" si="141"/>
        <v>#REF!</v>
      </c>
      <c r="IAT247" s="29" t="e">
        <f t="shared" si="141"/>
        <v>#REF!</v>
      </c>
      <c r="IAU247" s="29" t="e">
        <f t="shared" si="141"/>
        <v>#REF!</v>
      </c>
      <c r="IAV247" s="29" t="e">
        <f t="shared" si="141"/>
        <v>#REF!</v>
      </c>
      <c r="IAW247" s="29" t="e">
        <f t="shared" si="141"/>
        <v>#REF!</v>
      </c>
      <c r="IAX247" s="29" t="e">
        <f t="shared" si="141"/>
        <v>#REF!</v>
      </c>
      <c r="IAY247" s="29" t="e">
        <f t="shared" si="141"/>
        <v>#REF!</v>
      </c>
      <c r="IAZ247" s="29" t="e">
        <f t="shared" si="141"/>
        <v>#REF!</v>
      </c>
      <c r="IBA247" s="29" t="e">
        <f t="shared" si="141"/>
        <v>#REF!</v>
      </c>
      <c r="IBB247" s="29" t="e">
        <f t="shared" si="141"/>
        <v>#REF!</v>
      </c>
      <c r="IBC247" s="29" t="e">
        <f t="shared" si="141"/>
        <v>#REF!</v>
      </c>
      <c r="IBD247" s="29" t="e">
        <f t="shared" si="141"/>
        <v>#REF!</v>
      </c>
      <c r="IBE247" s="29" t="e">
        <f t="shared" si="141"/>
        <v>#REF!</v>
      </c>
      <c r="IBF247" s="29" t="e">
        <f t="shared" si="141"/>
        <v>#REF!</v>
      </c>
      <c r="IBG247" s="29" t="e">
        <f t="shared" si="141"/>
        <v>#REF!</v>
      </c>
      <c r="IBH247" s="29" t="e">
        <f t="shared" si="141"/>
        <v>#REF!</v>
      </c>
      <c r="IBI247" s="29" t="e">
        <f t="shared" si="141"/>
        <v>#REF!</v>
      </c>
      <c r="IBJ247" s="29" t="e">
        <f t="shared" si="141"/>
        <v>#REF!</v>
      </c>
      <c r="IBK247" s="29" t="e">
        <f t="shared" si="141"/>
        <v>#REF!</v>
      </c>
      <c r="IBL247" s="29" t="e">
        <f t="shared" si="141"/>
        <v>#REF!</v>
      </c>
      <c r="IBM247" s="29" t="e">
        <f t="shared" si="141"/>
        <v>#REF!</v>
      </c>
      <c r="IBN247" s="29" t="e">
        <f t="shared" si="141"/>
        <v>#REF!</v>
      </c>
      <c r="IBO247" s="29" t="e">
        <f t="shared" si="141"/>
        <v>#REF!</v>
      </c>
      <c r="IBP247" s="29" t="e">
        <f t="shared" si="141"/>
        <v>#REF!</v>
      </c>
      <c r="IBQ247" s="29" t="e">
        <f t="shared" si="141"/>
        <v>#REF!</v>
      </c>
      <c r="IBR247" s="29" t="e">
        <f t="shared" si="141"/>
        <v>#REF!</v>
      </c>
      <c r="IBS247" s="29" t="e">
        <f t="shared" si="141"/>
        <v>#REF!</v>
      </c>
      <c r="IBT247" s="29" t="e">
        <f t="shared" si="141"/>
        <v>#REF!</v>
      </c>
      <c r="IBU247" s="29" t="e">
        <f t="shared" si="141"/>
        <v>#REF!</v>
      </c>
      <c r="IBV247" s="29" t="e">
        <f t="shared" si="141"/>
        <v>#REF!</v>
      </c>
      <c r="IBW247" s="29" t="e">
        <f t="shared" si="141"/>
        <v>#REF!</v>
      </c>
      <c r="IBX247" s="29" t="e">
        <f t="shared" si="141"/>
        <v>#REF!</v>
      </c>
      <c r="IBY247" s="29" t="e">
        <f t="shared" ref="IBY247:IEJ247" si="142">ICC247&amp;ICD247</f>
        <v>#REF!</v>
      </c>
      <c r="IBZ247" s="29" t="e">
        <f t="shared" si="142"/>
        <v>#REF!</v>
      </c>
      <c r="ICA247" s="29" t="e">
        <f t="shared" si="142"/>
        <v>#REF!</v>
      </c>
      <c r="ICB247" s="29" t="e">
        <f t="shared" si="142"/>
        <v>#REF!</v>
      </c>
      <c r="ICC247" s="29" t="e">
        <f t="shared" si="142"/>
        <v>#REF!</v>
      </c>
      <c r="ICD247" s="29" t="e">
        <f t="shared" si="142"/>
        <v>#REF!</v>
      </c>
      <c r="ICE247" s="29" t="e">
        <f t="shared" si="142"/>
        <v>#REF!</v>
      </c>
      <c r="ICF247" s="29" t="e">
        <f t="shared" si="142"/>
        <v>#REF!</v>
      </c>
      <c r="ICG247" s="29" t="e">
        <f t="shared" si="142"/>
        <v>#REF!</v>
      </c>
      <c r="ICH247" s="29" t="e">
        <f t="shared" si="142"/>
        <v>#REF!</v>
      </c>
      <c r="ICI247" s="29" t="e">
        <f t="shared" si="142"/>
        <v>#REF!</v>
      </c>
      <c r="ICJ247" s="29" t="e">
        <f t="shared" si="142"/>
        <v>#REF!</v>
      </c>
      <c r="ICK247" s="29" t="e">
        <f t="shared" si="142"/>
        <v>#REF!</v>
      </c>
      <c r="ICL247" s="29" t="e">
        <f t="shared" si="142"/>
        <v>#REF!</v>
      </c>
      <c r="ICM247" s="29" t="e">
        <f t="shared" si="142"/>
        <v>#REF!</v>
      </c>
      <c r="ICN247" s="29" t="e">
        <f t="shared" si="142"/>
        <v>#REF!</v>
      </c>
      <c r="ICO247" s="29" t="e">
        <f t="shared" si="142"/>
        <v>#REF!</v>
      </c>
      <c r="ICP247" s="29" t="e">
        <f t="shared" si="142"/>
        <v>#REF!</v>
      </c>
      <c r="ICQ247" s="29" t="e">
        <f t="shared" si="142"/>
        <v>#REF!</v>
      </c>
      <c r="ICR247" s="29" t="e">
        <f t="shared" si="142"/>
        <v>#REF!</v>
      </c>
      <c r="ICS247" s="29" t="e">
        <f t="shared" si="142"/>
        <v>#REF!</v>
      </c>
      <c r="ICT247" s="29" t="e">
        <f t="shared" si="142"/>
        <v>#REF!</v>
      </c>
      <c r="ICU247" s="29" t="e">
        <f t="shared" si="142"/>
        <v>#REF!</v>
      </c>
      <c r="ICV247" s="29" t="e">
        <f t="shared" si="142"/>
        <v>#REF!</v>
      </c>
      <c r="ICW247" s="29" t="e">
        <f t="shared" si="142"/>
        <v>#REF!</v>
      </c>
      <c r="ICX247" s="29" t="e">
        <f t="shared" si="142"/>
        <v>#REF!</v>
      </c>
      <c r="ICY247" s="29" t="e">
        <f t="shared" si="142"/>
        <v>#REF!</v>
      </c>
      <c r="ICZ247" s="29" t="e">
        <f t="shared" si="142"/>
        <v>#REF!</v>
      </c>
      <c r="IDA247" s="29" t="e">
        <f t="shared" si="142"/>
        <v>#REF!</v>
      </c>
      <c r="IDB247" s="29" t="e">
        <f t="shared" si="142"/>
        <v>#REF!</v>
      </c>
      <c r="IDC247" s="29" t="e">
        <f t="shared" si="142"/>
        <v>#REF!</v>
      </c>
      <c r="IDD247" s="29" t="e">
        <f t="shared" si="142"/>
        <v>#REF!</v>
      </c>
      <c r="IDE247" s="29" t="e">
        <f t="shared" si="142"/>
        <v>#REF!</v>
      </c>
      <c r="IDF247" s="29" t="e">
        <f t="shared" si="142"/>
        <v>#REF!</v>
      </c>
      <c r="IDG247" s="29" t="e">
        <f t="shared" si="142"/>
        <v>#REF!</v>
      </c>
      <c r="IDH247" s="29" t="e">
        <f t="shared" si="142"/>
        <v>#REF!</v>
      </c>
      <c r="IDI247" s="29" t="e">
        <f t="shared" si="142"/>
        <v>#REF!</v>
      </c>
      <c r="IDJ247" s="29" t="e">
        <f t="shared" si="142"/>
        <v>#REF!</v>
      </c>
      <c r="IDK247" s="29" t="e">
        <f t="shared" si="142"/>
        <v>#REF!</v>
      </c>
      <c r="IDL247" s="29" t="e">
        <f t="shared" si="142"/>
        <v>#REF!</v>
      </c>
      <c r="IDM247" s="29" t="e">
        <f t="shared" si="142"/>
        <v>#REF!</v>
      </c>
      <c r="IDN247" s="29" t="e">
        <f t="shared" si="142"/>
        <v>#REF!</v>
      </c>
      <c r="IDO247" s="29" t="e">
        <f t="shared" si="142"/>
        <v>#REF!</v>
      </c>
      <c r="IDP247" s="29" t="e">
        <f t="shared" si="142"/>
        <v>#REF!</v>
      </c>
      <c r="IDQ247" s="29" t="e">
        <f t="shared" si="142"/>
        <v>#REF!</v>
      </c>
      <c r="IDR247" s="29" t="e">
        <f t="shared" si="142"/>
        <v>#REF!</v>
      </c>
      <c r="IDS247" s="29" t="e">
        <f t="shared" si="142"/>
        <v>#REF!</v>
      </c>
      <c r="IDT247" s="29" t="e">
        <f t="shared" si="142"/>
        <v>#REF!</v>
      </c>
      <c r="IDU247" s="29" t="e">
        <f t="shared" si="142"/>
        <v>#REF!</v>
      </c>
      <c r="IDV247" s="29" t="e">
        <f t="shared" si="142"/>
        <v>#REF!</v>
      </c>
      <c r="IDW247" s="29" t="e">
        <f t="shared" si="142"/>
        <v>#REF!</v>
      </c>
      <c r="IDX247" s="29" t="e">
        <f t="shared" si="142"/>
        <v>#REF!</v>
      </c>
      <c r="IDY247" s="29" t="e">
        <f t="shared" si="142"/>
        <v>#REF!</v>
      </c>
      <c r="IDZ247" s="29" t="e">
        <f t="shared" si="142"/>
        <v>#REF!</v>
      </c>
      <c r="IEA247" s="29" t="e">
        <f t="shared" si="142"/>
        <v>#REF!</v>
      </c>
      <c r="IEB247" s="29" t="e">
        <f t="shared" si="142"/>
        <v>#REF!</v>
      </c>
      <c r="IEC247" s="29" t="e">
        <f t="shared" si="142"/>
        <v>#REF!</v>
      </c>
      <c r="IED247" s="29" t="e">
        <f t="shared" si="142"/>
        <v>#REF!</v>
      </c>
      <c r="IEE247" s="29" t="e">
        <f t="shared" si="142"/>
        <v>#REF!</v>
      </c>
      <c r="IEF247" s="29" t="e">
        <f t="shared" si="142"/>
        <v>#REF!</v>
      </c>
      <c r="IEG247" s="29" t="e">
        <f t="shared" si="142"/>
        <v>#REF!</v>
      </c>
      <c r="IEH247" s="29" t="e">
        <f t="shared" si="142"/>
        <v>#REF!</v>
      </c>
      <c r="IEI247" s="29" t="e">
        <f t="shared" si="142"/>
        <v>#REF!</v>
      </c>
      <c r="IEJ247" s="29" t="e">
        <f t="shared" si="142"/>
        <v>#REF!</v>
      </c>
      <c r="IEK247" s="29" t="e">
        <f t="shared" ref="IEK247:IGV247" si="143">IEO247&amp;IEP247</f>
        <v>#REF!</v>
      </c>
      <c r="IEL247" s="29" t="e">
        <f t="shared" si="143"/>
        <v>#REF!</v>
      </c>
      <c r="IEM247" s="29" t="e">
        <f t="shared" si="143"/>
        <v>#REF!</v>
      </c>
      <c r="IEN247" s="29" t="e">
        <f t="shared" si="143"/>
        <v>#REF!</v>
      </c>
      <c r="IEO247" s="29" t="e">
        <f t="shared" si="143"/>
        <v>#REF!</v>
      </c>
      <c r="IEP247" s="29" t="e">
        <f t="shared" si="143"/>
        <v>#REF!</v>
      </c>
      <c r="IEQ247" s="29" t="e">
        <f t="shared" si="143"/>
        <v>#REF!</v>
      </c>
      <c r="IER247" s="29" t="e">
        <f t="shared" si="143"/>
        <v>#REF!</v>
      </c>
      <c r="IES247" s="29" t="e">
        <f t="shared" si="143"/>
        <v>#REF!</v>
      </c>
      <c r="IET247" s="29" t="e">
        <f t="shared" si="143"/>
        <v>#REF!</v>
      </c>
      <c r="IEU247" s="29" t="e">
        <f t="shared" si="143"/>
        <v>#REF!</v>
      </c>
      <c r="IEV247" s="29" t="e">
        <f t="shared" si="143"/>
        <v>#REF!</v>
      </c>
      <c r="IEW247" s="29" t="e">
        <f t="shared" si="143"/>
        <v>#REF!</v>
      </c>
      <c r="IEX247" s="29" t="e">
        <f t="shared" si="143"/>
        <v>#REF!</v>
      </c>
      <c r="IEY247" s="29" t="e">
        <f t="shared" si="143"/>
        <v>#REF!</v>
      </c>
      <c r="IEZ247" s="29" t="e">
        <f t="shared" si="143"/>
        <v>#REF!</v>
      </c>
      <c r="IFA247" s="29" t="e">
        <f t="shared" si="143"/>
        <v>#REF!</v>
      </c>
      <c r="IFB247" s="29" t="e">
        <f t="shared" si="143"/>
        <v>#REF!</v>
      </c>
      <c r="IFC247" s="29" t="e">
        <f t="shared" si="143"/>
        <v>#REF!</v>
      </c>
      <c r="IFD247" s="29" t="e">
        <f t="shared" si="143"/>
        <v>#REF!</v>
      </c>
      <c r="IFE247" s="29" t="e">
        <f t="shared" si="143"/>
        <v>#REF!</v>
      </c>
      <c r="IFF247" s="29" t="e">
        <f t="shared" si="143"/>
        <v>#REF!</v>
      </c>
      <c r="IFG247" s="29" t="e">
        <f t="shared" si="143"/>
        <v>#REF!</v>
      </c>
      <c r="IFH247" s="29" t="e">
        <f t="shared" si="143"/>
        <v>#REF!</v>
      </c>
      <c r="IFI247" s="29" t="e">
        <f t="shared" si="143"/>
        <v>#REF!</v>
      </c>
      <c r="IFJ247" s="29" t="e">
        <f t="shared" si="143"/>
        <v>#REF!</v>
      </c>
      <c r="IFK247" s="29" t="e">
        <f t="shared" si="143"/>
        <v>#REF!</v>
      </c>
      <c r="IFL247" s="29" t="e">
        <f t="shared" si="143"/>
        <v>#REF!</v>
      </c>
      <c r="IFM247" s="29" t="e">
        <f t="shared" si="143"/>
        <v>#REF!</v>
      </c>
      <c r="IFN247" s="29" t="e">
        <f t="shared" si="143"/>
        <v>#REF!</v>
      </c>
      <c r="IFO247" s="29" t="e">
        <f t="shared" si="143"/>
        <v>#REF!</v>
      </c>
      <c r="IFP247" s="29" t="e">
        <f t="shared" si="143"/>
        <v>#REF!</v>
      </c>
      <c r="IFQ247" s="29" t="e">
        <f t="shared" si="143"/>
        <v>#REF!</v>
      </c>
      <c r="IFR247" s="29" t="e">
        <f t="shared" si="143"/>
        <v>#REF!</v>
      </c>
      <c r="IFS247" s="29" t="e">
        <f t="shared" si="143"/>
        <v>#REF!</v>
      </c>
      <c r="IFT247" s="29" t="e">
        <f t="shared" si="143"/>
        <v>#REF!</v>
      </c>
      <c r="IFU247" s="29" t="e">
        <f t="shared" si="143"/>
        <v>#REF!</v>
      </c>
      <c r="IFV247" s="29" t="e">
        <f t="shared" si="143"/>
        <v>#REF!</v>
      </c>
      <c r="IFW247" s="29" t="e">
        <f t="shared" si="143"/>
        <v>#REF!</v>
      </c>
      <c r="IFX247" s="29" t="e">
        <f t="shared" si="143"/>
        <v>#REF!</v>
      </c>
      <c r="IFY247" s="29" t="e">
        <f t="shared" si="143"/>
        <v>#REF!</v>
      </c>
      <c r="IFZ247" s="29" t="e">
        <f t="shared" si="143"/>
        <v>#REF!</v>
      </c>
      <c r="IGA247" s="29" t="e">
        <f t="shared" si="143"/>
        <v>#REF!</v>
      </c>
      <c r="IGB247" s="29" t="e">
        <f t="shared" si="143"/>
        <v>#REF!</v>
      </c>
      <c r="IGC247" s="29" t="e">
        <f t="shared" si="143"/>
        <v>#REF!</v>
      </c>
      <c r="IGD247" s="29" t="e">
        <f t="shared" si="143"/>
        <v>#REF!</v>
      </c>
      <c r="IGE247" s="29" t="e">
        <f t="shared" si="143"/>
        <v>#REF!</v>
      </c>
      <c r="IGF247" s="29" t="e">
        <f t="shared" si="143"/>
        <v>#REF!</v>
      </c>
      <c r="IGG247" s="29" t="e">
        <f t="shared" si="143"/>
        <v>#REF!</v>
      </c>
      <c r="IGH247" s="29" t="e">
        <f t="shared" si="143"/>
        <v>#REF!</v>
      </c>
      <c r="IGI247" s="29" t="e">
        <f t="shared" si="143"/>
        <v>#REF!</v>
      </c>
      <c r="IGJ247" s="29" t="e">
        <f t="shared" si="143"/>
        <v>#REF!</v>
      </c>
      <c r="IGK247" s="29" t="e">
        <f t="shared" si="143"/>
        <v>#REF!</v>
      </c>
      <c r="IGL247" s="29" t="e">
        <f t="shared" si="143"/>
        <v>#REF!</v>
      </c>
      <c r="IGM247" s="29" t="e">
        <f t="shared" si="143"/>
        <v>#REF!</v>
      </c>
      <c r="IGN247" s="29" t="e">
        <f t="shared" si="143"/>
        <v>#REF!</v>
      </c>
      <c r="IGO247" s="29" t="e">
        <f t="shared" si="143"/>
        <v>#REF!</v>
      </c>
      <c r="IGP247" s="29" t="e">
        <f t="shared" si="143"/>
        <v>#REF!</v>
      </c>
      <c r="IGQ247" s="29" t="e">
        <f t="shared" si="143"/>
        <v>#REF!</v>
      </c>
      <c r="IGR247" s="29" t="e">
        <f t="shared" si="143"/>
        <v>#REF!</v>
      </c>
      <c r="IGS247" s="29" t="e">
        <f t="shared" si="143"/>
        <v>#REF!</v>
      </c>
      <c r="IGT247" s="29" t="e">
        <f t="shared" si="143"/>
        <v>#REF!</v>
      </c>
      <c r="IGU247" s="29" t="e">
        <f t="shared" si="143"/>
        <v>#REF!</v>
      </c>
      <c r="IGV247" s="29" t="e">
        <f t="shared" si="143"/>
        <v>#REF!</v>
      </c>
      <c r="IGW247" s="29" t="e">
        <f t="shared" ref="IGW247:IJH247" si="144">IHA247&amp;IHB247</f>
        <v>#REF!</v>
      </c>
      <c r="IGX247" s="29" t="e">
        <f t="shared" si="144"/>
        <v>#REF!</v>
      </c>
      <c r="IGY247" s="29" t="e">
        <f t="shared" si="144"/>
        <v>#REF!</v>
      </c>
      <c r="IGZ247" s="29" t="e">
        <f t="shared" si="144"/>
        <v>#REF!</v>
      </c>
      <c r="IHA247" s="29" t="e">
        <f t="shared" si="144"/>
        <v>#REF!</v>
      </c>
      <c r="IHB247" s="29" t="e">
        <f t="shared" si="144"/>
        <v>#REF!</v>
      </c>
      <c r="IHC247" s="29" t="e">
        <f t="shared" si="144"/>
        <v>#REF!</v>
      </c>
      <c r="IHD247" s="29" t="e">
        <f t="shared" si="144"/>
        <v>#REF!</v>
      </c>
      <c r="IHE247" s="29" t="e">
        <f t="shared" si="144"/>
        <v>#REF!</v>
      </c>
      <c r="IHF247" s="29" t="e">
        <f t="shared" si="144"/>
        <v>#REF!</v>
      </c>
      <c r="IHG247" s="29" t="e">
        <f t="shared" si="144"/>
        <v>#REF!</v>
      </c>
      <c r="IHH247" s="29" t="e">
        <f t="shared" si="144"/>
        <v>#REF!</v>
      </c>
      <c r="IHI247" s="29" t="e">
        <f t="shared" si="144"/>
        <v>#REF!</v>
      </c>
      <c r="IHJ247" s="29" t="e">
        <f t="shared" si="144"/>
        <v>#REF!</v>
      </c>
      <c r="IHK247" s="29" t="e">
        <f t="shared" si="144"/>
        <v>#REF!</v>
      </c>
      <c r="IHL247" s="29" t="e">
        <f t="shared" si="144"/>
        <v>#REF!</v>
      </c>
      <c r="IHM247" s="29" t="e">
        <f t="shared" si="144"/>
        <v>#REF!</v>
      </c>
      <c r="IHN247" s="29" t="e">
        <f t="shared" si="144"/>
        <v>#REF!</v>
      </c>
      <c r="IHO247" s="29" t="e">
        <f t="shared" si="144"/>
        <v>#REF!</v>
      </c>
      <c r="IHP247" s="29" t="e">
        <f t="shared" si="144"/>
        <v>#REF!</v>
      </c>
      <c r="IHQ247" s="29" t="e">
        <f t="shared" si="144"/>
        <v>#REF!</v>
      </c>
      <c r="IHR247" s="29" t="e">
        <f t="shared" si="144"/>
        <v>#REF!</v>
      </c>
      <c r="IHS247" s="29" t="e">
        <f t="shared" si="144"/>
        <v>#REF!</v>
      </c>
      <c r="IHT247" s="29" t="e">
        <f t="shared" si="144"/>
        <v>#REF!</v>
      </c>
      <c r="IHU247" s="29" t="e">
        <f t="shared" si="144"/>
        <v>#REF!</v>
      </c>
      <c r="IHV247" s="29" t="e">
        <f t="shared" si="144"/>
        <v>#REF!</v>
      </c>
      <c r="IHW247" s="29" t="e">
        <f t="shared" si="144"/>
        <v>#REF!</v>
      </c>
      <c r="IHX247" s="29" t="e">
        <f t="shared" si="144"/>
        <v>#REF!</v>
      </c>
      <c r="IHY247" s="29" t="e">
        <f t="shared" si="144"/>
        <v>#REF!</v>
      </c>
      <c r="IHZ247" s="29" t="e">
        <f t="shared" si="144"/>
        <v>#REF!</v>
      </c>
      <c r="IIA247" s="29" t="e">
        <f t="shared" si="144"/>
        <v>#REF!</v>
      </c>
      <c r="IIB247" s="29" t="e">
        <f t="shared" si="144"/>
        <v>#REF!</v>
      </c>
      <c r="IIC247" s="29" t="e">
        <f t="shared" si="144"/>
        <v>#REF!</v>
      </c>
      <c r="IID247" s="29" t="e">
        <f t="shared" si="144"/>
        <v>#REF!</v>
      </c>
      <c r="IIE247" s="29" t="e">
        <f t="shared" si="144"/>
        <v>#REF!</v>
      </c>
      <c r="IIF247" s="29" t="e">
        <f t="shared" si="144"/>
        <v>#REF!</v>
      </c>
      <c r="IIG247" s="29" t="e">
        <f t="shared" si="144"/>
        <v>#REF!</v>
      </c>
      <c r="IIH247" s="29" t="e">
        <f t="shared" si="144"/>
        <v>#REF!</v>
      </c>
      <c r="III247" s="29" t="e">
        <f t="shared" si="144"/>
        <v>#REF!</v>
      </c>
      <c r="IIJ247" s="29" t="e">
        <f t="shared" si="144"/>
        <v>#REF!</v>
      </c>
      <c r="IIK247" s="29" t="e">
        <f t="shared" si="144"/>
        <v>#REF!</v>
      </c>
      <c r="IIL247" s="29" t="e">
        <f t="shared" si="144"/>
        <v>#REF!</v>
      </c>
      <c r="IIM247" s="29" t="e">
        <f t="shared" si="144"/>
        <v>#REF!</v>
      </c>
      <c r="IIN247" s="29" t="e">
        <f t="shared" si="144"/>
        <v>#REF!</v>
      </c>
      <c r="IIO247" s="29" t="e">
        <f t="shared" si="144"/>
        <v>#REF!</v>
      </c>
      <c r="IIP247" s="29" t="e">
        <f t="shared" si="144"/>
        <v>#REF!</v>
      </c>
      <c r="IIQ247" s="29" t="e">
        <f t="shared" si="144"/>
        <v>#REF!</v>
      </c>
      <c r="IIR247" s="29" t="e">
        <f t="shared" si="144"/>
        <v>#REF!</v>
      </c>
      <c r="IIS247" s="29" t="e">
        <f t="shared" si="144"/>
        <v>#REF!</v>
      </c>
      <c r="IIT247" s="29" t="e">
        <f t="shared" si="144"/>
        <v>#REF!</v>
      </c>
      <c r="IIU247" s="29" t="e">
        <f t="shared" si="144"/>
        <v>#REF!</v>
      </c>
      <c r="IIV247" s="29" t="e">
        <f t="shared" si="144"/>
        <v>#REF!</v>
      </c>
      <c r="IIW247" s="29" t="e">
        <f t="shared" si="144"/>
        <v>#REF!</v>
      </c>
      <c r="IIX247" s="29" t="e">
        <f t="shared" si="144"/>
        <v>#REF!</v>
      </c>
      <c r="IIY247" s="29" t="e">
        <f t="shared" si="144"/>
        <v>#REF!</v>
      </c>
      <c r="IIZ247" s="29" t="e">
        <f t="shared" si="144"/>
        <v>#REF!</v>
      </c>
      <c r="IJA247" s="29" t="e">
        <f t="shared" si="144"/>
        <v>#REF!</v>
      </c>
      <c r="IJB247" s="29" t="e">
        <f t="shared" si="144"/>
        <v>#REF!</v>
      </c>
      <c r="IJC247" s="29" t="e">
        <f t="shared" si="144"/>
        <v>#REF!</v>
      </c>
      <c r="IJD247" s="29" t="e">
        <f t="shared" si="144"/>
        <v>#REF!</v>
      </c>
      <c r="IJE247" s="29" t="e">
        <f t="shared" si="144"/>
        <v>#REF!</v>
      </c>
      <c r="IJF247" s="29" t="e">
        <f t="shared" si="144"/>
        <v>#REF!</v>
      </c>
      <c r="IJG247" s="29" t="e">
        <f t="shared" si="144"/>
        <v>#REF!</v>
      </c>
      <c r="IJH247" s="29" t="e">
        <f t="shared" si="144"/>
        <v>#REF!</v>
      </c>
      <c r="IJI247" s="29" t="e">
        <f t="shared" ref="IJI247:ILT247" si="145">IJM247&amp;IJN247</f>
        <v>#REF!</v>
      </c>
      <c r="IJJ247" s="29" t="e">
        <f t="shared" si="145"/>
        <v>#REF!</v>
      </c>
      <c r="IJK247" s="29" t="e">
        <f t="shared" si="145"/>
        <v>#REF!</v>
      </c>
      <c r="IJL247" s="29" t="e">
        <f t="shared" si="145"/>
        <v>#REF!</v>
      </c>
      <c r="IJM247" s="29" t="e">
        <f t="shared" si="145"/>
        <v>#REF!</v>
      </c>
      <c r="IJN247" s="29" t="e">
        <f t="shared" si="145"/>
        <v>#REF!</v>
      </c>
      <c r="IJO247" s="29" t="e">
        <f t="shared" si="145"/>
        <v>#REF!</v>
      </c>
      <c r="IJP247" s="29" t="e">
        <f t="shared" si="145"/>
        <v>#REF!</v>
      </c>
      <c r="IJQ247" s="29" t="e">
        <f t="shared" si="145"/>
        <v>#REF!</v>
      </c>
      <c r="IJR247" s="29" t="e">
        <f t="shared" si="145"/>
        <v>#REF!</v>
      </c>
      <c r="IJS247" s="29" t="e">
        <f t="shared" si="145"/>
        <v>#REF!</v>
      </c>
      <c r="IJT247" s="29" t="e">
        <f t="shared" si="145"/>
        <v>#REF!</v>
      </c>
      <c r="IJU247" s="29" t="e">
        <f t="shared" si="145"/>
        <v>#REF!</v>
      </c>
      <c r="IJV247" s="29" t="e">
        <f t="shared" si="145"/>
        <v>#REF!</v>
      </c>
      <c r="IJW247" s="29" t="e">
        <f t="shared" si="145"/>
        <v>#REF!</v>
      </c>
      <c r="IJX247" s="29" t="e">
        <f t="shared" si="145"/>
        <v>#REF!</v>
      </c>
      <c r="IJY247" s="29" t="e">
        <f t="shared" si="145"/>
        <v>#REF!</v>
      </c>
      <c r="IJZ247" s="29" t="e">
        <f t="shared" si="145"/>
        <v>#REF!</v>
      </c>
      <c r="IKA247" s="29" t="e">
        <f t="shared" si="145"/>
        <v>#REF!</v>
      </c>
      <c r="IKB247" s="29" t="e">
        <f t="shared" si="145"/>
        <v>#REF!</v>
      </c>
      <c r="IKC247" s="29" t="e">
        <f t="shared" si="145"/>
        <v>#REF!</v>
      </c>
      <c r="IKD247" s="29" t="e">
        <f t="shared" si="145"/>
        <v>#REF!</v>
      </c>
      <c r="IKE247" s="29" t="e">
        <f t="shared" si="145"/>
        <v>#REF!</v>
      </c>
      <c r="IKF247" s="29" t="e">
        <f t="shared" si="145"/>
        <v>#REF!</v>
      </c>
      <c r="IKG247" s="29" t="e">
        <f t="shared" si="145"/>
        <v>#REF!</v>
      </c>
      <c r="IKH247" s="29" t="e">
        <f t="shared" si="145"/>
        <v>#REF!</v>
      </c>
      <c r="IKI247" s="29" t="e">
        <f t="shared" si="145"/>
        <v>#REF!</v>
      </c>
      <c r="IKJ247" s="29" t="e">
        <f t="shared" si="145"/>
        <v>#REF!</v>
      </c>
      <c r="IKK247" s="29" t="e">
        <f t="shared" si="145"/>
        <v>#REF!</v>
      </c>
      <c r="IKL247" s="29" t="e">
        <f t="shared" si="145"/>
        <v>#REF!</v>
      </c>
      <c r="IKM247" s="29" t="e">
        <f t="shared" si="145"/>
        <v>#REF!</v>
      </c>
      <c r="IKN247" s="29" t="e">
        <f t="shared" si="145"/>
        <v>#REF!</v>
      </c>
      <c r="IKO247" s="29" t="e">
        <f t="shared" si="145"/>
        <v>#REF!</v>
      </c>
      <c r="IKP247" s="29" t="e">
        <f t="shared" si="145"/>
        <v>#REF!</v>
      </c>
      <c r="IKQ247" s="29" t="e">
        <f t="shared" si="145"/>
        <v>#REF!</v>
      </c>
      <c r="IKR247" s="29" t="e">
        <f t="shared" si="145"/>
        <v>#REF!</v>
      </c>
      <c r="IKS247" s="29" t="e">
        <f t="shared" si="145"/>
        <v>#REF!</v>
      </c>
      <c r="IKT247" s="29" t="e">
        <f t="shared" si="145"/>
        <v>#REF!</v>
      </c>
      <c r="IKU247" s="29" t="e">
        <f t="shared" si="145"/>
        <v>#REF!</v>
      </c>
      <c r="IKV247" s="29" t="e">
        <f t="shared" si="145"/>
        <v>#REF!</v>
      </c>
      <c r="IKW247" s="29" t="e">
        <f t="shared" si="145"/>
        <v>#REF!</v>
      </c>
      <c r="IKX247" s="29" t="e">
        <f t="shared" si="145"/>
        <v>#REF!</v>
      </c>
      <c r="IKY247" s="29" t="e">
        <f t="shared" si="145"/>
        <v>#REF!</v>
      </c>
      <c r="IKZ247" s="29" t="e">
        <f t="shared" si="145"/>
        <v>#REF!</v>
      </c>
      <c r="ILA247" s="29" t="e">
        <f t="shared" si="145"/>
        <v>#REF!</v>
      </c>
      <c r="ILB247" s="29" t="e">
        <f t="shared" si="145"/>
        <v>#REF!</v>
      </c>
      <c r="ILC247" s="29" t="e">
        <f t="shared" si="145"/>
        <v>#REF!</v>
      </c>
      <c r="ILD247" s="29" t="e">
        <f t="shared" si="145"/>
        <v>#REF!</v>
      </c>
      <c r="ILE247" s="29" t="e">
        <f t="shared" si="145"/>
        <v>#REF!</v>
      </c>
      <c r="ILF247" s="29" t="e">
        <f t="shared" si="145"/>
        <v>#REF!</v>
      </c>
      <c r="ILG247" s="29" t="e">
        <f t="shared" si="145"/>
        <v>#REF!</v>
      </c>
      <c r="ILH247" s="29" t="e">
        <f t="shared" si="145"/>
        <v>#REF!</v>
      </c>
      <c r="ILI247" s="29" t="e">
        <f t="shared" si="145"/>
        <v>#REF!</v>
      </c>
      <c r="ILJ247" s="29" t="e">
        <f t="shared" si="145"/>
        <v>#REF!</v>
      </c>
      <c r="ILK247" s="29" t="e">
        <f t="shared" si="145"/>
        <v>#REF!</v>
      </c>
      <c r="ILL247" s="29" t="e">
        <f t="shared" si="145"/>
        <v>#REF!</v>
      </c>
      <c r="ILM247" s="29" t="e">
        <f t="shared" si="145"/>
        <v>#REF!</v>
      </c>
      <c r="ILN247" s="29" t="e">
        <f t="shared" si="145"/>
        <v>#REF!</v>
      </c>
      <c r="ILO247" s="29" t="e">
        <f t="shared" si="145"/>
        <v>#REF!</v>
      </c>
      <c r="ILP247" s="29" t="e">
        <f t="shared" si="145"/>
        <v>#REF!</v>
      </c>
      <c r="ILQ247" s="29" t="e">
        <f t="shared" si="145"/>
        <v>#REF!</v>
      </c>
      <c r="ILR247" s="29" t="e">
        <f t="shared" si="145"/>
        <v>#REF!</v>
      </c>
      <c r="ILS247" s="29" t="e">
        <f t="shared" si="145"/>
        <v>#REF!</v>
      </c>
      <c r="ILT247" s="29" t="e">
        <f t="shared" si="145"/>
        <v>#REF!</v>
      </c>
      <c r="ILU247" s="29" t="e">
        <f t="shared" ref="ILU247:IOF247" si="146">ILY247&amp;ILZ247</f>
        <v>#REF!</v>
      </c>
      <c r="ILV247" s="29" t="e">
        <f t="shared" si="146"/>
        <v>#REF!</v>
      </c>
      <c r="ILW247" s="29" t="e">
        <f t="shared" si="146"/>
        <v>#REF!</v>
      </c>
      <c r="ILX247" s="29" t="e">
        <f t="shared" si="146"/>
        <v>#REF!</v>
      </c>
      <c r="ILY247" s="29" t="e">
        <f t="shared" si="146"/>
        <v>#REF!</v>
      </c>
      <c r="ILZ247" s="29" t="e">
        <f t="shared" si="146"/>
        <v>#REF!</v>
      </c>
      <c r="IMA247" s="29" t="e">
        <f t="shared" si="146"/>
        <v>#REF!</v>
      </c>
      <c r="IMB247" s="29" t="e">
        <f t="shared" si="146"/>
        <v>#REF!</v>
      </c>
      <c r="IMC247" s="29" t="e">
        <f t="shared" si="146"/>
        <v>#REF!</v>
      </c>
      <c r="IMD247" s="29" t="e">
        <f t="shared" si="146"/>
        <v>#REF!</v>
      </c>
      <c r="IME247" s="29" t="e">
        <f t="shared" si="146"/>
        <v>#REF!</v>
      </c>
      <c r="IMF247" s="29" t="e">
        <f t="shared" si="146"/>
        <v>#REF!</v>
      </c>
      <c r="IMG247" s="29" t="e">
        <f t="shared" si="146"/>
        <v>#REF!</v>
      </c>
      <c r="IMH247" s="29" t="e">
        <f t="shared" si="146"/>
        <v>#REF!</v>
      </c>
      <c r="IMI247" s="29" t="e">
        <f t="shared" si="146"/>
        <v>#REF!</v>
      </c>
      <c r="IMJ247" s="29" t="e">
        <f t="shared" si="146"/>
        <v>#REF!</v>
      </c>
      <c r="IMK247" s="29" t="e">
        <f t="shared" si="146"/>
        <v>#REF!</v>
      </c>
      <c r="IML247" s="29" t="e">
        <f t="shared" si="146"/>
        <v>#REF!</v>
      </c>
      <c r="IMM247" s="29" t="e">
        <f t="shared" si="146"/>
        <v>#REF!</v>
      </c>
      <c r="IMN247" s="29" t="e">
        <f t="shared" si="146"/>
        <v>#REF!</v>
      </c>
      <c r="IMO247" s="29" t="e">
        <f t="shared" si="146"/>
        <v>#REF!</v>
      </c>
      <c r="IMP247" s="29" t="e">
        <f t="shared" si="146"/>
        <v>#REF!</v>
      </c>
      <c r="IMQ247" s="29" t="e">
        <f t="shared" si="146"/>
        <v>#REF!</v>
      </c>
      <c r="IMR247" s="29" t="e">
        <f t="shared" si="146"/>
        <v>#REF!</v>
      </c>
      <c r="IMS247" s="29" t="e">
        <f t="shared" si="146"/>
        <v>#REF!</v>
      </c>
      <c r="IMT247" s="29" t="e">
        <f t="shared" si="146"/>
        <v>#REF!</v>
      </c>
      <c r="IMU247" s="29" t="e">
        <f t="shared" si="146"/>
        <v>#REF!</v>
      </c>
      <c r="IMV247" s="29" t="e">
        <f t="shared" si="146"/>
        <v>#REF!</v>
      </c>
      <c r="IMW247" s="29" t="e">
        <f t="shared" si="146"/>
        <v>#REF!</v>
      </c>
      <c r="IMX247" s="29" t="e">
        <f t="shared" si="146"/>
        <v>#REF!</v>
      </c>
      <c r="IMY247" s="29" t="e">
        <f t="shared" si="146"/>
        <v>#REF!</v>
      </c>
      <c r="IMZ247" s="29" t="e">
        <f t="shared" si="146"/>
        <v>#REF!</v>
      </c>
      <c r="INA247" s="29" t="e">
        <f t="shared" si="146"/>
        <v>#REF!</v>
      </c>
      <c r="INB247" s="29" t="e">
        <f t="shared" si="146"/>
        <v>#REF!</v>
      </c>
      <c r="INC247" s="29" t="e">
        <f t="shared" si="146"/>
        <v>#REF!</v>
      </c>
      <c r="IND247" s="29" t="e">
        <f t="shared" si="146"/>
        <v>#REF!</v>
      </c>
      <c r="INE247" s="29" t="e">
        <f t="shared" si="146"/>
        <v>#REF!</v>
      </c>
      <c r="INF247" s="29" t="e">
        <f t="shared" si="146"/>
        <v>#REF!</v>
      </c>
      <c r="ING247" s="29" t="e">
        <f t="shared" si="146"/>
        <v>#REF!</v>
      </c>
      <c r="INH247" s="29" t="e">
        <f t="shared" si="146"/>
        <v>#REF!</v>
      </c>
      <c r="INI247" s="29" t="e">
        <f t="shared" si="146"/>
        <v>#REF!</v>
      </c>
      <c r="INJ247" s="29" t="e">
        <f t="shared" si="146"/>
        <v>#REF!</v>
      </c>
      <c r="INK247" s="29" t="e">
        <f t="shared" si="146"/>
        <v>#REF!</v>
      </c>
      <c r="INL247" s="29" t="e">
        <f t="shared" si="146"/>
        <v>#REF!</v>
      </c>
      <c r="INM247" s="29" t="e">
        <f t="shared" si="146"/>
        <v>#REF!</v>
      </c>
      <c r="INN247" s="29" t="e">
        <f t="shared" si="146"/>
        <v>#REF!</v>
      </c>
      <c r="INO247" s="29" t="e">
        <f t="shared" si="146"/>
        <v>#REF!</v>
      </c>
      <c r="INP247" s="29" t="e">
        <f t="shared" si="146"/>
        <v>#REF!</v>
      </c>
      <c r="INQ247" s="29" t="e">
        <f t="shared" si="146"/>
        <v>#REF!</v>
      </c>
      <c r="INR247" s="29" t="e">
        <f t="shared" si="146"/>
        <v>#REF!</v>
      </c>
      <c r="INS247" s="29" t="e">
        <f t="shared" si="146"/>
        <v>#REF!</v>
      </c>
      <c r="INT247" s="29" t="e">
        <f t="shared" si="146"/>
        <v>#REF!</v>
      </c>
      <c r="INU247" s="29" t="e">
        <f t="shared" si="146"/>
        <v>#REF!</v>
      </c>
      <c r="INV247" s="29" t="e">
        <f t="shared" si="146"/>
        <v>#REF!</v>
      </c>
      <c r="INW247" s="29" t="e">
        <f t="shared" si="146"/>
        <v>#REF!</v>
      </c>
      <c r="INX247" s="29" t="e">
        <f t="shared" si="146"/>
        <v>#REF!</v>
      </c>
      <c r="INY247" s="29" t="e">
        <f t="shared" si="146"/>
        <v>#REF!</v>
      </c>
      <c r="INZ247" s="29" t="e">
        <f t="shared" si="146"/>
        <v>#REF!</v>
      </c>
      <c r="IOA247" s="29" t="e">
        <f t="shared" si="146"/>
        <v>#REF!</v>
      </c>
      <c r="IOB247" s="29" t="e">
        <f t="shared" si="146"/>
        <v>#REF!</v>
      </c>
      <c r="IOC247" s="29" t="e">
        <f t="shared" si="146"/>
        <v>#REF!</v>
      </c>
      <c r="IOD247" s="29" t="e">
        <f t="shared" si="146"/>
        <v>#REF!</v>
      </c>
      <c r="IOE247" s="29" t="e">
        <f t="shared" si="146"/>
        <v>#REF!</v>
      </c>
      <c r="IOF247" s="29" t="e">
        <f t="shared" si="146"/>
        <v>#REF!</v>
      </c>
      <c r="IOG247" s="29" t="e">
        <f t="shared" ref="IOG247:IQR247" si="147">IOK247&amp;IOL247</f>
        <v>#REF!</v>
      </c>
      <c r="IOH247" s="29" t="e">
        <f t="shared" si="147"/>
        <v>#REF!</v>
      </c>
      <c r="IOI247" s="29" t="e">
        <f t="shared" si="147"/>
        <v>#REF!</v>
      </c>
      <c r="IOJ247" s="29" t="e">
        <f t="shared" si="147"/>
        <v>#REF!</v>
      </c>
      <c r="IOK247" s="29" t="e">
        <f t="shared" si="147"/>
        <v>#REF!</v>
      </c>
      <c r="IOL247" s="29" t="e">
        <f t="shared" si="147"/>
        <v>#REF!</v>
      </c>
      <c r="IOM247" s="29" t="e">
        <f t="shared" si="147"/>
        <v>#REF!</v>
      </c>
      <c r="ION247" s="29" t="e">
        <f t="shared" si="147"/>
        <v>#REF!</v>
      </c>
      <c r="IOO247" s="29" t="e">
        <f t="shared" si="147"/>
        <v>#REF!</v>
      </c>
      <c r="IOP247" s="29" t="e">
        <f t="shared" si="147"/>
        <v>#REF!</v>
      </c>
      <c r="IOQ247" s="29" t="e">
        <f t="shared" si="147"/>
        <v>#REF!</v>
      </c>
      <c r="IOR247" s="29" t="e">
        <f t="shared" si="147"/>
        <v>#REF!</v>
      </c>
      <c r="IOS247" s="29" t="e">
        <f t="shared" si="147"/>
        <v>#REF!</v>
      </c>
      <c r="IOT247" s="29" t="e">
        <f t="shared" si="147"/>
        <v>#REF!</v>
      </c>
      <c r="IOU247" s="29" t="e">
        <f t="shared" si="147"/>
        <v>#REF!</v>
      </c>
      <c r="IOV247" s="29" t="e">
        <f t="shared" si="147"/>
        <v>#REF!</v>
      </c>
      <c r="IOW247" s="29" t="e">
        <f t="shared" si="147"/>
        <v>#REF!</v>
      </c>
      <c r="IOX247" s="29" t="e">
        <f t="shared" si="147"/>
        <v>#REF!</v>
      </c>
      <c r="IOY247" s="29" t="e">
        <f t="shared" si="147"/>
        <v>#REF!</v>
      </c>
      <c r="IOZ247" s="29" t="e">
        <f t="shared" si="147"/>
        <v>#REF!</v>
      </c>
      <c r="IPA247" s="29" t="e">
        <f t="shared" si="147"/>
        <v>#REF!</v>
      </c>
      <c r="IPB247" s="29" t="e">
        <f t="shared" si="147"/>
        <v>#REF!</v>
      </c>
      <c r="IPC247" s="29" t="e">
        <f t="shared" si="147"/>
        <v>#REF!</v>
      </c>
      <c r="IPD247" s="29" t="e">
        <f t="shared" si="147"/>
        <v>#REF!</v>
      </c>
      <c r="IPE247" s="29" t="e">
        <f t="shared" si="147"/>
        <v>#REF!</v>
      </c>
      <c r="IPF247" s="29" t="e">
        <f t="shared" si="147"/>
        <v>#REF!</v>
      </c>
      <c r="IPG247" s="29" t="e">
        <f t="shared" si="147"/>
        <v>#REF!</v>
      </c>
      <c r="IPH247" s="29" t="e">
        <f t="shared" si="147"/>
        <v>#REF!</v>
      </c>
      <c r="IPI247" s="29" t="e">
        <f t="shared" si="147"/>
        <v>#REF!</v>
      </c>
      <c r="IPJ247" s="29" t="e">
        <f t="shared" si="147"/>
        <v>#REF!</v>
      </c>
      <c r="IPK247" s="29" t="e">
        <f t="shared" si="147"/>
        <v>#REF!</v>
      </c>
      <c r="IPL247" s="29" t="e">
        <f t="shared" si="147"/>
        <v>#REF!</v>
      </c>
      <c r="IPM247" s="29" t="e">
        <f t="shared" si="147"/>
        <v>#REF!</v>
      </c>
      <c r="IPN247" s="29" t="e">
        <f t="shared" si="147"/>
        <v>#REF!</v>
      </c>
      <c r="IPO247" s="29" t="e">
        <f t="shared" si="147"/>
        <v>#REF!</v>
      </c>
      <c r="IPP247" s="29" t="e">
        <f t="shared" si="147"/>
        <v>#REF!</v>
      </c>
      <c r="IPQ247" s="29" t="e">
        <f t="shared" si="147"/>
        <v>#REF!</v>
      </c>
      <c r="IPR247" s="29" t="e">
        <f t="shared" si="147"/>
        <v>#REF!</v>
      </c>
      <c r="IPS247" s="29" t="e">
        <f t="shared" si="147"/>
        <v>#REF!</v>
      </c>
      <c r="IPT247" s="29" t="e">
        <f t="shared" si="147"/>
        <v>#REF!</v>
      </c>
      <c r="IPU247" s="29" t="e">
        <f t="shared" si="147"/>
        <v>#REF!</v>
      </c>
      <c r="IPV247" s="29" t="e">
        <f t="shared" si="147"/>
        <v>#REF!</v>
      </c>
      <c r="IPW247" s="29" t="e">
        <f t="shared" si="147"/>
        <v>#REF!</v>
      </c>
      <c r="IPX247" s="29" t="e">
        <f t="shared" si="147"/>
        <v>#REF!</v>
      </c>
      <c r="IPY247" s="29" t="e">
        <f t="shared" si="147"/>
        <v>#REF!</v>
      </c>
      <c r="IPZ247" s="29" t="e">
        <f t="shared" si="147"/>
        <v>#REF!</v>
      </c>
      <c r="IQA247" s="29" t="e">
        <f t="shared" si="147"/>
        <v>#REF!</v>
      </c>
      <c r="IQB247" s="29" t="e">
        <f t="shared" si="147"/>
        <v>#REF!</v>
      </c>
      <c r="IQC247" s="29" t="e">
        <f t="shared" si="147"/>
        <v>#REF!</v>
      </c>
      <c r="IQD247" s="29" t="e">
        <f t="shared" si="147"/>
        <v>#REF!</v>
      </c>
      <c r="IQE247" s="29" t="e">
        <f t="shared" si="147"/>
        <v>#REF!</v>
      </c>
      <c r="IQF247" s="29" t="e">
        <f t="shared" si="147"/>
        <v>#REF!</v>
      </c>
      <c r="IQG247" s="29" t="e">
        <f t="shared" si="147"/>
        <v>#REF!</v>
      </c>
      <c r="IQH247" s="29" t="e">
        <f t="shared" si="147"/>
        <v>#REF!</v>
      </c>
      <c r="IQI247" s="29" t="e">
        <f t="shared" si="147"/>
        <v>#REF!</v>
      </c>
      <c r="IQJ247" s="29" t="e">
        <f t="shared" si="147"/>
        <v>#REF!</v>
      </c>
      <c r="IQK247" s="29" t="e">
        <f t="shared" si="147"/>
        <v>#REF!</v>
      </c>
      <c r="IQL247" s="29" t="e">
        <f t="shared" si="147"/>
        <v>#REF!</v>
      </c>
      <c r="IQM247" s="29" t="e">
        <f t="shared" si="147"/>
        <v>#REF!</v>
      </c>
      <c r="IQN247" s="29" t="e">
        <f t="shared" si="147"/>
        <v>#REF!</v>
      </c>
      <c r="IQO247" s="29" t="e">
        <f t="shared" si="147"/>
        <v>#REF!</v>
      </c>
      <c r="IQP247" s="29" t="e">
        <f t="shared" si="147"/>
        <v>#REF!</v>
      </c>
      <c r="IQQ247" s="29" t="e">
        <f t="shared" si="147"/>
        <v>#REF!</v>
      </c>
      <c r="IQR247" s="29" t="e">
        <f t="shared" si="147"/>
        <v>#REF!</v>
      </c>
      <c r="IQS247" s="29" t="e">
        <f t="shared" ref="IQS247:ITD247" si="148">IQW247&amp;IQX247</f>
        <v>#REF!</v>
      </c>
      <c r="IQT247" s="29" t="e">
        <f t="shared" si="148"/>
        <v>#REF!</v>
      </c>
      <c r="IQU247" s="29" t="e">
        <f t="shared" si="148"/>
        <v>#REF!</v>
      </c>
      <c r="IQV247" s="29" t="e">
        <f t="shared" si="148"/>
        <v>#REF!</v>
      </c>
      <c r="IQW247" s="29" t="e">
        <f t="shared" si="148"/>
        <v>#REF!</v>
      </c>
      <c r="IQX247" s="29" t="e">
        <f t="shared" si="148"/>
        <v>#REF!</v>
      </c>
      <c r="IQY247" s="29" t="e">
        <f t="shared" si="148"/>
        <v>#REF!</v>
      </c>
      <c r="IQZ247" s="29" t="e">
        <f t="shared" si="148"/>
        <v>#REF!</v>
      </c>
      <c r="IRA247" s="29" t="e">
        <f t="shared" si="148"/>
        <v>#REF!</v>
      </c>
      <c r="IRB247" s="29" t="e">
        <f t="shared" si="148"/>
        <v>#REF!</v>
      </c>
      <c r="IRC247" s="29" t="e">
        <f t="shared" si="148"/>
        <v>#REF!</v>
      </c>
      <c r="IRD247" s="29" t="e">
        <f t="shared" si="148"/>
        <v>#REF!</v>
      </c>
      <c r="IRE247" s="29" t="e">
        <f t="shared" si="148"/>
        <v>#REF!</v>
      </c>
      <c r="IRF247" s="29" t="e">
        <f t="shared" si="148"/>
        <v>#REF!</v>
      </c>
      <c r="IRG247" s="29" t="e">
        <f t="shared" si="148"/>
        <v>#REF!</v>
      </c>
      <c r="IRH247" s="29" t="e">
        <f t="shared" si="148"/>
        <v>#REF!</v>
      </c>
      <c r="IRI247" s="29" t="e">
        <f t="shared" si="148"/>
        <v>#REF!</v>
      </c>
      <c r="IRJ247" s="29" t="e">
        <f t="shared" si="148"/>
        <v>#REF!</v>
      </c>
      <c r="IRK247" s="29" t="e">
        <f t="shared" si="148"/>
        <v>#REF!</v>
      </c>
      <c r="IRL247" s="29" t="e">
        <f t="shared" si="148"/>
        <v>#REF!</v>
      </c>
      <c r="IRM247" s="29" t="e">
        <f t="shared" si="148"/>
        <v>#REF!</v>
      </c>
      <c r="IRN247" s="29" t="e">
        <f t="shared" si="148"/>
        <v>#REF!</v>
      </c>
      <c r="IRO247" s="29" t="e">
        <f t="shared" si="148"/>
        <v>#REF!</v>
      </c>
      <c r="IRP247" s="29" t="e">
        <f t="shared" si="148"/>
        <v>#REF!</v>
      </c>
      <c r="IRQ247" s="29" t="e">
        <f t="shared" si="148"/>
        <v>#REF!</v>
      </c>
      <c r="IRR247" s="29" t="e">
        <f t="shared" si="148"/>
        <v>#REF!</v>
      </c>
      <c r="IRS247" s="29" t="e">
        <f t="shared" si="148"/>
        <v>#REF!</v>
      </c>
      <c r="IRT247" s="29" t="e">
        <f t="shared" si="148"/>
        <v>#REF!</v>
      </c>
      <c r="IRU247" s="29" t="e">
        <f t="shared" si="148"/>
        <v>#REF!</v>
      </c>
      <c r="IRV247" s="29" t="e">
        <f t="shared" si="148"/>
        <v>#REF!</v>
      </c>
      <c r="IRW247" s="29" t="e">
        <f t="shared" si="148"/>
        <v>#REF!</v>
      </c>
      <c r="IRX247" s="29" t="e">
        <f t="shared" si="148"/>
        <v>#REF!</v>
      </c>
      <c r="IRY247" s="29" t="e">
        <f t="shared" si="148"/>
        <v>#REF!</v>
      </c>
      <c r="IRZ247" s="29" t="e">
        <f t="shared" si="148"/>
        <v>#REF!</v>
      </c>
      <c r="ISA247" s="29" t="e">
        <f t="shared" si="148"/>
        <v>#REF!</v>
      </c>
      <c r="ISB247" s="29" t="e">
        <f t="shared" si="148"/>
        <v>#REF!</v>
      </c>
      <c r="ISC247" s="29" t="e">
        <f t="shared" si="148"/>
        <v>#REF!</v>
      </c>
      <c r="ISD247" s="29" t="e">
        <f t="shared" si="148"/>
        <v>#REF!</v>
      </c>
      <c r="ISE247" s="29" t="e">
        <f t="shared" si="148"/>
        <v>#REF!</v>
      </c>
      <c r="ISF247" s="29" t="e">
        <f t="shared" si="148"/>
        <v>#REF!</v>
      </c>
      <c r="ISG247" s="29" t="e">
        <f t="shared" si="148"/>
        <v>#REF!</v>
      </c>
      <c r="ISH247" s="29" t="e">
        <f t="shared" si="148"/>
        <v>#REF!</v>
      </c>
      <c r="ISI247" s="29" t="e">
        <f t="shared" si="148"/>
        <v>#REF!</v>
      </c>
      <c r="ISJ247" s="29" t="e">
        <f t="shared" si="148"/>
        <v>#REF!</v>
      </c>
      <c r="ISK247" s="29" t="e">
        <f t="shared" si="148"/>
        <v>#REF!</v>
      </c>
      <c r="ISL247" s="29" t="e">
        <f t="shared" si="148"/>
        <v>#REF!</v>
      </c>
      <c r="ISM247" s="29" t="e">
        <f t="shared" si="148"/>
        <v>#REF!</v>
      </c>
      <c r="ISN247" s="29" t="e">
        <f t="shared" si="148"/>
        <v>#REF!</v>
      </c>
      <c r="ISO247" s="29" t="e">
        <f t="shared" si="148"/>
        <v>#REF!</v>
      </c>
      <c r="ISP247" s="29" t="e">
        <f t="shared" si="148"/>
        <v>#REF!</v>
      </c>
      <c r="ISQ247" s="29" t="e">
        <f t="shared" si="148"/>
        <v>#REF!</v>
      </c>
      <c r="ISR247" s="29" t="e">
        <f t="shared" si="148"/>
        <v>#REF!</v>
      </c>
      <c r="ISS247" s="29" t="e">
        <f t="shared" si="148"/>
        <v>#REF!</v>
      </c>
      <c r="IST247" s="29" t="e">
        <f t="shared" si="148"/>
        <v>#REF!</v>
      </c>
      <c r="ISU247" s="29" t="e">
        <f t="shared" si="148"/>
        <v>#REF!</v>
      </c>
      <c r="ISV247" s="29" t="e">
        <f t="shared" si="148"/>
        <v>#REF!</v>
      </c>
      <c r="ISW247" s="29" t="e">
        <f t="shared" si="148"/>
        <v>#REF!</v>
      </c>
      <c r="ISX247" s="29" t="e">
        <f t="shared" si="148"/>
        <v>#REF!</v>
      </c>
      <c r="ISY247" s="29" t="e">
        <f t="shared" si="148"/>
        <v>#REF!</v>
      </c>
      <c r="ISZ247" s="29" t="e">
        <f t="shared" si="148"/>
        <v>#REF!</v>
      </c>
      <c r="ITA247" s="29" t="e">
        <f t="shared" si="148"/>
        <v>#REF!</v>
      </c>
      <c r="ITB247" s="29" t="e">
        <f t="shared" si="148"/>
        <v>#REF!</v>
      </c>
      <c r="ITC247" s="29" t="e">
        <f t="shared" si="148"/>
        <v>#REF!</v>
      </c>
      <c r="ITD247" s="29" t="e">
        <f t="shared" si="148"/>
        <v>#REF!</v>
      </c>
      <c r="ITE247" s="29" t="e">
        <f t="shared" ref="ITE247:IVP247" si="149">ITI247&amp;ITJ247</f>
        <v>#REF!</v>
      </c>
      <c r="ITF247" s="29" t="e">
        <f t="shared" si="149"/>
        <v>#REF!</v>
      </c>
      <c r="ITG247" s="29" t="e">
        <f t="shared" si="149"/>
        <v>#REF!</v>
      </c>
      <c r="ITH247" s="29" t="e">
        <f t="shared" si="149"/>
        <v>#REF!</v>
      </c>
      <c r="ITI247" s="29" t="e">
        <f t="shared" si="149"/>
        <v>#REF!</v>
      </c>
      <c r="ITJ247" s="29" t="e">
        <f t="shared" si="149"/>
        <v>#REF!</v>
      </c>
      <c r="ITK247" s="29" t="e">
        <f t="shared" si="149"/>
        <v>#REF!</v>
      </c>
      <c r="ITL247" s="29" t="e">
        <f t="shared" si="149"/>
        <v>#REF!</v>
      </c>
      <c r="ITM247" s="29" t="e">
        <f t="shared" si="149"/>
        <v>#REF!</v>
      </c>
      <c r="ITN247" s="29" t="e">
        <f t="shared" si="149"/>
        <v>#REF!</v>
      </c>
      <c r="ITO247" s="29" t="e">
        <f t="shared" si="149"/>
        <v>#REF!</v>
      </c>
      <c r="ITP247" s="29" t="e">
        <f t="shared" si="149"/>
        <v>#REF!</v>
      </c>
      <c r="ITQ247" s="29" t="e">
        <f t="shared" si="149"/>
        <v>#REF!</v>
      </c>
      <c r="ITR247" s="29" t="e">
        <f t="shared" si="149"/>
        <v>#REF!</v>
      </c>
      <c r="ITS247" s="29" t="e">
        <f t="shared" si="149"/>
        <v>#REF!</v>
      </c>
      <c r="ITT247" s="29" t="e">
        <f t="shared" si="149"/>
        <v>#REF!</v>
      </c>
      <c r="ITU247" s="29" t="e">
        <f t="shared" si="149"/>
        <v>#REF!</v>
      </c>
      <c r="ITV247" s="29" t="e">
        <f t="shared" si="149"/>
        <v>#REF!</v>
      </c>
      <c r="ITW247" s="29" t="e">
        <f t="shared" si="149"/>
        <v>#REF!</v>
      </c>
      <c r="ITX247" s="29" t="e">
        <f t="shared" si="149"/>
        <v>#REF!</v>
      </c>
      <c r="ITY247" s="29" t="e">
        <f t="shared" si="149"/>
        <v>#REF!</v>
      </c>
      <c r="ITZ247" s="29" t="e">
        <f t="shared" si="149"/>
        <v>#REF!</v>
      </c>
      <c r="IUA247" s="29" t="e">
        <f t="shared" si="149"/>
        <v>#REF!</v>
      </c>
      <c r="IUB247" s="29" t="e">
        <f t="shared" si="149"/>
        <v>#REF!</v>
      </c>
      <c r="IUC247" s="29" t="e">
        <f t="shared" si="149"/>
        <v>#REF!</v>
      </c>
      <c r="IUD247" s="29" t="e">
        <f t="shared" si="149"/>
        <v>#REF!</v>
      </c>
      <c r="IUE247" s="29" t="e">
        <f t="shared" si="149"/>
        <v>#REF!</v>
      </c>
      <c r="IUF247" s="29" t="e">
        <f t="shared" si="149"/>
        <v>#REF!</v>
      </c>
      <c r="IUG247" s="29" t="e">
        <f t="shared" si="149"/>
        <v>#REF!</v>
      </c>
      <c r="IUH247" s="29" t="e">
        <f t="shared" si="149"/>
        <v>#REF!</v>
      </c>
      <c r="IUI247" s="29" t="e">
        <f t="shared" si="149"/>
        <v>#REF!</v>
      </c>
      <c r="IUJ247" s="29" t="e">
        <f t="shared" si="149"/>
        <v>#REF!</v>
      </c>
      <c r="IUK247" s="29" t="e">
        <f t="shared" si="149"/>
        <v>#REF!</v>
      </c>
      <c r="IUL247" s="29" t="e">
        <f t="shared" si="149"/>
        <v>#REF!</v>
      </c>
      <c r="IUM247" s="29" t="e">
        <f t="shared" si="149"/>
        <v>#REF!</v>
      </c>
      <c r="IUN247" s="29" t="e">
        <f t="shared" si="149"/>
        <v>#REF!</v>
      </c>
      <c r="IUO247" s="29" t="e">
        <f t="shared" si="149"/>
        <v>#REF!</v>
      </c>
      <c r="IUP247" s="29" t="e">
        <f t="shared" si="149"/>
        <v>#REF!</v>
      </c>
      <c r="IUQ247" s="29" t="e">
        <f t="shared" si="149"/>
        <v>#REF!</v>
      </c>
      <c r="IUR247" s="29" t="e">
        <f t="shared" si="149"/>
        <v>#REF!</v>
      </c>
      <c r="IUS247" s="29" t="e">
        <f t="shared" si="149"/>
        <v>#REF!</v>
      </c>
      <c r="IUT247" s="29" t="e">
        <f t="shared" si="149"/>
        <v>#REF!</v>
      </c>
      <c r="IUU247" s="29" t="e">
        <f t="shared" si="149"/>
        <v>#REF!</v>
      </c>
      <c r="IUV247" s="29" t="e">
        <f t="shared" si="149"/>
        <v>#REF!</v>
      </c>
      <c r="IUW247" s="29" t="e">
        <f t="shared" si="149"/>
        <v>#REF!</v>
      </c>
      <c r="IUX247" s="29" t="e">
        <f t="shared" si="149"/>
        <v>#REF!</v>
      </c>
      <c r="IUY247" s="29" t="e">
        <f t="shared" si="149"/>
        <v>#REF!</v>
      </c>
      <c r="IUZ247" s="29" t="e">
        <f t="shared" si="149"/>
        <v>#REF!</v>
      </c>
      <c r="IVA247" s="29" t="e">
        <f t="shared" si="149"/>
        <v>#REF!</v>
      </c>
      <c r="IVB247" s="29" t="e">
        <f t="shared" si="149"/>
        <v>#REF!</v>
      </c>
      <c r="IVC247" s="29" t="e">
        <f t="shared" si="149"/>
        <v>#REF!</v>
      </c>
      <c r="IVD247" s="29" t="e">
        <f t="shared" si="149"/>
        <v>#REF!</v>
      </c>
      <c r="IVE247" s="29" t="e">
        <f t="shared" si="149"/>
        <v>#REF!</v>
      </c>
      <c r="IVF247" s="29" t="e">
        <f t="shared" si="149"/>
        <v>#REF!</v>
      </c>
      <c r="IVG247" s="29" t="e">
        <f t="shared" si="149"/>
        <v>#REF!</v>
      </c>
      <c r="IVH247" s="29" t="e">
        <f t="shared" si="149"/>
        <v>#REF!</v>
      </c>
      <c r="IVI247" s="29" t="e">
        <f t="shared" si="149"/>
        <v>#REF!</v>
      </c>
      <c r="IVJ247" s="29" t="e">
        <f t="shared" si="149"/>
        <v>#REF!</v>
      </c>
      <c r="IVK247" s="29" t="e">
        <f t="shared" si="149"/>
        <v>#REF!</v>
      </c>
      <c r="IVL247" s="29" t="e">
        <f t="shared" si="149"/>
        <v>#REF!</v>
      </c>
      <c r="IVM247" s="29" t="e">
        <f t="shared" si="149"/>
        <v>#REF!</v>
      </c>
      <c r="IVN247" s="29" t="e">
        <f t="shared" si="149"/>
        <v>#REF!</v>
      </c>
      <c r="IVO247" s="29" t="e">
        <f t="shared" si="149"/>
        <v>#REF!</v>
      </c>
      <c r="IVP247" s="29" t="e">
        <f t="shared" si="149"/>
        <v>#REF!</v>
      </c>
      <c r="IVQ247" s="29" t="e">
        <f t="shared" ref="IVQ247:IYB247" si="150">IVU247&amp;IVV247</f>
        <v>#REF!</v>
      </c>
      <c r="IVR247" s="29" t="e">
        <f t="shared" si="150"/>
        <v>#REF!</v>
      </c>
      <c r="IVS247" s="29" t="e">
        <f t="shared" si="150"/>
        <v>#REF!</v>
      </c>
      <c r="IVT247" s="29" t="e">
        <f t="shared" si="150"/>
        <v>#REF!</v>
      </c>
      <c r="IVU247" s="29" t="e">
        <f t="shared" si="150"/>
        <v>#REF!</v>
      </c>
      <c r="IVV247" s="29" t="e">
        <f t="shared" si="150"/>
        <v>#REF!</v>
      </c>
      <c r="IVW247" s="29" t="e">
        <f t="shared" si="150"/>
        <v>#REF!</v>
      </c>
      <c r="IVX247" s="29" t="e">
        <f t="shared" si="150"/>
        <v>#REF!</v>
      </c>
      <c r="IVY247" s="29" t="e">
        <f t="shared" si="150"/>
        <v>#REF!</v>
      </c>
      <c r="IVZ247" s="29" t="e">
        <f t="shared" si="150"/>
        <v>#REF!</v>
      </c>
      <c r="IWA247" s="29" t="e">
        <f t="shared" si="150"/>
        <v>#REF!</v>
      </c>
      <c r="IWB247" s="29" t="e">
        <f t="shared" si="150"/>
        <v>#REF!</v>
      </c>
      <c r="IWC247" s="29" t="e">
        <f t="shared" si="150"/>
        <v>#REF!</v>
      </c>
      <c r="IWD247" s="29" t="e">
        <f t="shared" si="150"/>
        <v>#REF!</v>
      </c>
      <c r="IWE247" s="29" t="e">
        <f t="shared" si="150"/>
        <v>#REF!</v>
      </c>
      <c r="IWF247" s="29" t="e">
        <f t="shared" si="150"/>
        <v>#REF!</v>
      </c>
      <c r="IWG247" s="29" t="e">
        <f t="shared" si="150"/>
        <v>#REF!</v>
      </c>
      <c r="IWH247" s="29" t="e">
        <f t="shared" si="150"/>
        <v>#REF!</v>
      </c>
      <c r="IWI247" s="29" t="e">
        <f t="shared" si="150"/>
        <v>#REF!</v>
      </c>
      <c r="IWJ247" s="29" t="e">
        <f t="shared" si="150"/>
        <v>#REF!</v>
      </c>
      <c r="IWK247" s="29" t="e">
        <f t="shared" si="150"/>
        <v>#REF!</v>
      </c>
      <c r="IWL247" s="29" t="e">
        <f t="shared" si="150"/>
        <v>#REF!</v>
      </c>
      <c r="IWM247" s="29" t="e">
        <f t="shared" si="150"/>
        <v>#REF!</v>
      </c>
      <c r="IWN247" s="29" t="e">
        <f t="shared" si="150"/>
        <v>#REF!</v>
      </c>
      <c r="IWO247" s="29" t="e">
        <f t="shared" si="150"/>
        <v>#REF!</v>
      </c>
      <c r="IWP247" s="29" t="e">
        <f t="shared" si="150"/>
        <v>#REF!</v>
      </c>
      <c r="IWQ247" s="29" t="e">
        <f t="shared" si="150"/>
        <v>#REF!</v>
      </c>
      <c r="IWR247" s="29" t="e">
        <f t="shared" si="150"/>
        <v>#REF!</v>
      </c>
      <c r="IWS247" s="29" t="e">
        <f t="shared" si="150"/>
        <v>#REF!</v>
      </c>
      <c r="IWT247" s="29" t="e">
        <f t="shared" si="150"/>
        <v>#REF!</v>
      </c>
      <c r="IWU247" s="29" t="e">
        <f t="shared" si="150"/>
        <v>#REF!</v>
      </c>
      <c r="IWV247" s="29" t="e">
        <f t="shared" si="150"/>
        <v>#REF!</v>
      </c>
      <c r="IWW247" s="29" t="e">
        <f t="shared" si="150"/>
        <v>#REF!</v>
      </c>
      <c r="IWX247" s="29" t="e">
        <f t="shared" si="150"/>
        <v>#REF!</v>
      </c>
      <c r="IWY247" s="29" t="e">
        <f t="shared" si="150"/>
        <v>#REF!</v>
      </c>
      <c r="IWZ247" s="29" t="e">
        <f t="shared" si="150"/>
        <v>#REF!</v>
      </c>
      <c r="IXA247" s="29" t="e">
        <f t="shared" si="150"/>
        <v>#REF!</v>
      </c>
      <c r="IXB247" s="29" t="e">
        <f t="shared" si="150"/>
        <v>#REF!</v>
      </c>
      <c r="IXC247" s="29" t="e">
        <f t="shared" si="150"/>
        <v>#REF!</v>
      </c>
      <c r="IXD247" s="29" t="e">
        <f t="shared" si="150"/>
        <v>#REF!</v>
      </c>
      <c r="IXE247" s="29" t="e">
        <f t="shared" si="150"/>
        <v>#REF!</v>
      </c>
      <c r="IXF247" s="29" t="e">
        <f t="shared" si="150"/>
        <v>#REF!</v>
      </c>
      <c r="IXG247" s="29" t="e">
        <f t="shared" si="150"/>
        <v>#REF!</v>
      </c>
      <c r="IXH247" s="29" t="e">
        <f t="shared" si="150"/>
        <v>#REF!</v>
      </c>
      <c r="IXI247" s="29" t="e">
        <f t="shared" si="150"/>
        <v>#REF!</v>
      </c>
      <c r="IXJ247" s="29" t="e">
        <f t="shared" si="150"/>
        <v>#REF!</v>
      </c>
      <c r="IXK247" s="29" t="e">
        <f t="shared" si="150"/>
        <v>#REF!</v>
      </c>
      <c r="IXL247" s="29" t="e">
        <f t="shared" si="150"/>
        <v>#REF!</v>
      </c>
      <c r="IXM247" s="29" t="e">
        <f t="shared" si="150"/>
        <v>#REF!</v>
      </c>
      <c r="IXN247" s="29" t="e">
        <f t="shared" si="150"/>
        <v>#REF!</v>
      </c>
      <c r="IXO247" s="29" t="e">
        <f t="shared" si="150"/>
        <v>#REF!</v>
      </c>
      <c r="IXP247" s="29" t="e">
        <f t="shared" si="150"/>
        <v>#REF!</v>
      </c>
      <c r="IXQ247" s="29" t="e">
        <f t="shared" si="150"/>
        <v>#REF!</v>
      </c>
      <c r="IXR247" s="29" t="e">
        <f t="shared" si="150"/>
        <v>#REF!</v>
      </c>
      <c r="IXS247" s="29" t="e">
        <f t="shared" si="150"/>
        <v>#REF!</v>
      </c>
      <c r="IXT247" s="29" t="e">
        <f t="shared" si="150"/>
        <v>#REF!</v>
      </c>
      <c r="IXU247" s="29" t="e">
        <f t="shared" si="150"/>
        <v>#REF!</v>
      </c>
      <c r="IXV247" s="29" t="e">
        <f t="shared" si="150"/>
        <v>#REF!</v>
      </c>
      <c r="IXW247" s="29" t="e">
        <f t="shared" si="150"/>
        <v>#REF!</v>
      </c>
      <c r="IXX247" s="29" t="e">
        <f t="shared" si="150"/>
        <v>#REF!</v>
      </c>
      <c r="IXY247" s="29" t="e">
        <f t="shared" si="150"/>
        <v>#REF!</v>
      </c>
      <c r="IXZ247" s="29" t="e">
        <f t="shared" si="150"/>
        <v>#REF!</v>
      </c>
      <c r="IYA247" s="29" t="e">
        <f t="shared" si="150"/>
        <v>#REF!</v>
      </c>
      <c r="IYB247" s="29" t="e">
        <f t="shared" si="150"/>
        <v>#REF!</v>
      </c>
      <c r="IYC247" s="29" t="e">
        <f t="shared" ref="IYC247:JAN247" si="151">IYG247&amp;IYH247</f>
        <v>#REF!</v>
      </c>
      <c r="IYD247" s="29" t="e">
        <f t="shared" si="151"/>
        <v>#REF!</v>
      </c>
      <c r="IYE247" s="29" t="e">
        <f t="shared" si="151"/>
        <v>#REF!</v>
      </c>
      <c r="IYF247" s="29" t="e">
        <f t="shared" si="151"/>
        <v>#REF!</v>
      </c>
      <c r="IYG247" s="29" t="e">
        <f t="shared" si="151"/>
        <v>#REF!</v>
      </c>
      <c r="IYH247" s="29" t="e">
        <f t="shared" si="151"/>
        <v>#REF!</v>
      </c>
      <c r="IYI247" s="29" t="e">
        <f t="shared" si="151"/>
        <v>#REF!</v>
      </c>
      <c r="IYJ247" s="29" t="e">
        <f t="shared" si="151"/>
        <v>#REF!</v>
      </c>
      <c r="IYK247" s="29" t="e">
        <f t="shared" si="151"/>
        <v>#REF!</v>
      </c>
      <c r="IYL247" s="29" t="e">
        <f t="shared" si="151"/>
        <v>#REF!</v>
      </c>
      <c r="IYM247" s="29" t="e">
        <f t="shared" si="151"/>
        <v>#REF!</v>
      </c>
      <c r="IYN247" s="29" t="e">
        <f t="shared" si="151"/>
        <v>#REF!</v>
      </c>
      <c r="IYO247" s="29" t="e">
        <f t="shared" si="151"/>
        <v>#REF!</v>
      </c>
      <c r="IYP247" s="29" t="e">
        <f t="shared" si="151"/>
        <v>#REF!</v>
      </c>
      <c r="IYQ247" s="29" t="e">
        <f t="shared" si="151"/>
        <v>#REF!</v>
      </c>
      <c r="IYR247" s="29" t="e">
        <f t="shared" si="151"/>
        <v>#REF!</v>
      </c>
      <c r="IYS247" s="29" t="e">
        <f t="shared" si="151"/>
        <v>#REF!</v>
      </c>
      <c r="IYT247" s="29" t="e">
        <f t="shared" si="151"/>
        <v>#REF!</v>
      </c>
      <c r="IYU247" s="29" t="e">
        <f t="shared" si="151"/>
        <v>#REF!</v>
      </c>
      <c r="IYV247" s="29" t="e">
        <f t="shared" si="151"/>
        <v>#REF!</v>
      </c>
      <c r="IYW247" s="29" t="e">
        <f t="shared" si="151"/>
        <v>#REF!</v>
      </c>
      <c r="IYX247" s="29" t="e">
        <f t="shared" si="151"/>
        <v>#REF!</v>
      </c>
      <c r="IYY247" s="29" t="e">
        <f t="shared" si="151"/>
        <v>#REF!</v>
      </c>
      <c r="IYZ247" s="29" t="e">
        <f t="shared" si="151"/>
        <v>#REF!</v>
      </c>
      <c r="IZA247" s="29" t="e">
        <f t="shared" si="151"/>
        <v>#REF!</v>
      </c>
      <c r="IZB247" s="29" t="e">
        <f t="shared" si="151"/>
        <v>#REF!</v>
      </c>
      <c r="IZC247" s="29" t="e">
        <f t="shared" si="151"/>
        <v>#REF!</v>
      </c>
      <c r="IZD247" s="29" t="e">
        <f t="shared" si="151"/>
        <v>#REF!</v>
      </c>
      <c r="IZE247" s="29" t="e">
        <f t="shared" si="151"/>
        <v>#REF!</v>
      </c>
      <c r="IZF247" s="29" t="e">
        <f t="shared" si="151"/>
        <v>#REF!</v>
      </c>
      <c r="IZG247" s="29" t="e">
        <f t="shared" si="151"/>
        <v>#REF!</v>
      </c>
      <c r="IZH247" s="29" t="e">
        <f t="shared" si="151"/>
        <v>#REF!</v>
      </c>
      <c r="IZI247" s="29" t="e">
        <f t="shared" si="151"/>
        <v>#REF!</v>
      </c>
      <c r="IZJ247" s="29" t="e">
        <f t="shared" si="151"/>
        <v>#REF!</v>
      </c>
      <c r="IZK247" s="29" t="e">
        <f t="shared" si="151"/>
        <v>#REF!</v>
      </c>
      <c r="IZL247" s="29" t="e">
        <f t="shared" si="151"/>
        <v>#REF!</v>
      </c>
      <c r="IZM247" s="29" t="e">
        <f t="shared" si="151"/>
        <v>#REF!</v>
      </c>
      <c r="IZN247" s="29" t="e">
        <f t="shared" si="151"/>
        <v>#REF!</v>
      </c>
      <c r="IZO247" s="29" t="e">
        <f t="shared" si="151"/>
        <v>#REF!</v>
      </c>
      <c r="IZP247" s="29" t="e">
        <f t="shared" si="151"/>
        <v>#REF!</v>
      </c>
      <c r="IZQ247" s="29" t="e">
        <f t="shared" si="151"/>
        <v>#REF!</v>
      </c>
      <c r="IZR247" s="29" t="e">
        <f t="shared" si="151"/>
        <v>#REF!</v>
      </c>
      <c r="IZS247" s="29" t="e">
        <f t="shared" si="151"/>
        <v>#REF!</v>
      </c>
      <c r="IZT247" s="29" t="e">
        <f t="shared" si="151"/>
        <v>#REF!</v>
      </c>
      <c r="IZU247" s="29" t="e">
        <f t="shared" si="151"/>
        <v>#REF!</v>
      </c>
      <c r="IZV247" s="29" t="e">
        <f t="shared" si="151"/>
        <v>#REF!</v>
      </c>
      <c r="IZW247" s="29" t="e">
        <f t="shared" si="151"/>
        <v>#REF!</v>
      </c>
      <c r="IZX247" s="29" t="e">
        <f t="shared" si="151"/>
        <v>#REF!</v>
      </c>
      <c r="IZY247" s="29" t="e">
        <f t="shared" si="151"/>
        <v>#REF!</v>
      </c>
      <c r="IZZ247" s="29" t="e">
        <f t="shared" si="151"/>
        <v>#REF!</v>
      </c>
      <c r="JAA247" s="29" t="e">
        <f t="shared" si="151"/>
        <v>#REF!</v>
      </c>
      <c r="JAB247" s="29" t="e">
        <f t="shared" si="151"/>
        <v>#REF!</v>
      </c>
      <c r="JAC247" s="29" t="e">
        <f t="shared" si="151"/>
        <v>#REF!</v>
      </c>
      <c r="JAD247" s="29" t="e">
        <f t="shared" si="151"/>
        <v>#REF!</v>
      </c>
      <c r="JAE247" s="29" t="e">
        <f t="shared" si="151"/>
        <v>#REF!</v>
      </c>
      <c r="JAF247" s="29" t="e">
        <f t="shared" si="151"/>
        <v>#REF!</v>
      </c>
      <c r="JAG247" s="29" t="e">
        <f t="shared" si="151"/>
        <v>#REF!</v>
      </c>
      <c r="JAH247" s="29" t="e">
        <f t="shared" si="151"/>
        <v>#REF!</v>
      </c>
      <c r="JAI247" s="29" t="e">
        <f t="shared" si="151"/>
        <v>#REF!</v>
      </c>
      <c r="JAJ247" s="29" t="e">
        <f t="shared" si="151"/>
        <v>#REF!</v>
      </c>
      <c r="JAK247" s="29" t="e">
        <f t="shared" si="151"/>
        <v>#REF!</v>
      </c>
      <c r="JAL247" s="29" t="e">
        <f t="shared" si="151"/>
        <v>#REF!</v>
      </c>
      <c r="JAM247" s="29" t="e">
        <f t="shared" si="151"/>
        <v>#REF!</v>
      </c>
      <c r="JAN247" s="29" t="e">
        <f t="shared" si="151"/>
        <v>#REF!</v>
      </c>
      <c r="JAO247" s="29" t="e">
        <f t="shared" ref="JAO247:JCZ247" si="152">JAS247&amp;JAT247</f>
        <v>#REF!</v>
      </c>
      <c r="JAP247" s="29" t="e">
        <f t="shared" si="152"/>
        <v>#REF!</v>
      </c>
      <c r="JAQ247" s="29" t="e">
        <f t="shared" si="152"/>
        <v>#REF!</v>
      </c>
      <c r="JAR247" s="29" t="e">
        <f t="shared" si="152"/>
        <v>#REF!</v>
      </c>
      <c r="JAS247" s="29" t="e">
        <f t="shared" si="152"/>
        <v>#REF!</v>
      </c>
      <c r="JAT247" s="29" t="e">
        <f t="shared" si="152"/>
        <v>#REF!</v>
      </c>
      <c r="JAU247" s="29" t="e">
        <f t="shared" si="152"/>
        <v>#REF!</v>
      </c>
      <c r="JAV247" s="29" t="e">
        <f t="shared" si="152"/>
        <v>#REF!</v>
      </c>
      <c r="JAW247" s="29" t="e">
        <f t="shared" si="152"/>
        <v>#REF!</v>
      </c>
      <c r="JAX247" s="29" t="e">
        <f t="shared" si="152"/>
        <v>#REF!</v>
      </c>
      <c r="JAY247" s="29" t="e">
        <f t="shared" si="152"/>
        <v>#REF!</v>
      </c>
      <c r="JAZ247" s="29" t="e">
        <f t="shared" si="152"/>
        <v>#REF!</v>
      </c>
      <c r="JBA247" s="29" t="e">
        <f t="shared" si="152"/>
        <v>#REF!</v>
      </c>
      <c r="JBB247" s="29" t="e">
        <f t="shared" si="152"/>
        <v>#REF!</v>
      </c>
      <c r="JBC247" s="29" t="e">
        <f t="shared" si="152"/>
        <v>#REF!</v>
      </c>
      <c r="JBD247" s="29" t="e">
        <f t="shared" si="152"/>
        <v>#REF!</v>
      </c>
      <c r="JBE247" s="29" t="e">
        <f t="shared" si="152"/>
        <v>#REF!</v>
      </c>
      <c r="JBF247" s="29" t="e">
        <f t="shared" si="152"/>
        <v>#REF!</v>
      </c>
      <c r="JBG247" s="29" t="e">
        <f t="shared" si="152"/>
        <v>#REF!</v>
      </c>
      <c r="JBH247" s="29" t="e">
        <f t="shared" si="152"/>
        <v>#REF!</v>
      </c>
      <c r="JBI247" s="29" t="e">
        <f t="shared" si="152"/>
        <v>#REF!</v>
      </c>
      <c r="JBJ247" s="29" t="e">
        <f t="shared" si="152"/>
        <v>#REF!</v>
      </c>
      <c r="JBK247" s="29" t="e">
        <f t="shared" si="152"/>
        <v>#REF!</v>
      </c>
      <c r="JBL247" s="29" t="e">
        <f t="shared" si="152"/>
        <v>#REF!</v>
      </c>
      <c r="JBM247" s="29" t="e">
        <f t="shared" si="152"/>
        <v>#REF!</v>
      </c>
      <c r="JBN247" s="29" t="e">
        <f t="shared" si="152"/>
        <v>#REF!</v>
      </c>
      <c r="JBO247" s="29" t="e">
        <f t="shared" si="152"/>
        <v>#REF!</v>
      </c>
      <c r="JBP247" s="29" t="e">
        <f t="shared" si="152"/>
        <v>#REF!</v>
      </c>
      <c r="JBQ247" s="29" t="e">
        <f t="shared" si="152"/>
        <v>#REF!</v>
      </c>
      <c r="JBR247" s="29" t="e">
        <f t="shared" si="152"/>
        <v>#REF!</v>
      </c>
      <c r="JBS247" s="29" t="e">
        <f t="shared" si="152"/>
        <v>#REF!</v>
      </c>
      <c r="JBT247" s="29" t="e">
        <f t="shared" si="152"/>
        <v>#REF!</v>
      </c>
      <c r="JBU247" s="29" t="e">
        <f t="shared" si="152"/>
        <v>#REF!</v>
      </c>
      <c r="JBV247" s="29" t="e">
        <f t="shared" si="152"/>
        <v>#REF!</v>
      </c>
      <c r="JBW247" s="29" t="e">
        <f t="shared" si="152"/>
        <v>#REF!</v>
      </c>
      <c r="JBX247" s="29" t="e">
        <f t="shared" si="152"/>
        <v>#REF!</v>
      </c>
      <c r="JBY247" s="29" t="e">
        <f t="shared" si="152"/>
        <v>#REF!</v>
      </c>
      <c r="JBZ247" s="29" t="e">
        <f t="shared" si="152"/>
        <v>#REF!</v>
      </c>
      <c r="JCA247" s="29" t="e">
        <f t="shared" si="152"/>
        <v>#REF!</v>
      </c>
      <c r="JCB247" s="29" t="e">
        <f t="shared" si="152"/>
        <v>#REF!</v>
      </c>
      <c r="JCC247" s="29" t="e">
        <f t="shared" si="152"/>
        <v>#REF!</v>
      </c>
      <c r="JCD247" s="29" t="e">
        <f t="shared" si="152"/>
        <v>#REF!</v>
      </c>
      <c r="JCE247" s="29" t="e">
        <f t="shared" si="152"/>
        <v>#REF!</v>
      </c>
      <c r="JCF247" s="29" t="e">
        <f t="shared" si="152"/>
        <v>#REF!</v>
      </c>
      <c r="JCG247" s="29" t="e">
        <f t="shared" si="152"/>
        <v>#REF!</v>
      </c>
      <c r="JCH247" s="29" t="e">
        <f t="shared" si="152"/>
        <v>#REF!</v>
      </c>
      <c r="JCI247" s="29" t="e">
        <f t="shared" si="152"/>
        <v>#REF!</v>
      </c>
      <c r="JCJ247" s="29" t="e">
        <f t="shared" si="152"/>
        <v>#REF!</v>
      </c>
      <c r="JCK247" s="29" t="e">
        <f t="shared" si="152"/>
        <v>#REF!</v>
      </c>
      <c r="JCL247" s="29" t="e">
        <f t="shared" si="152"/>
        <v>#REF!</v>
      </c>
      <c r="JCM247" s="29" t="e">
        <f t="shared" si="152"/>
        <v>#REF!</v>
      </c>
      <c r="JCN247" s="29" t="e">
        <f t="shared" si="152"/>
        <v>#REF!</v>
      </c>
      <c r="JCO247" s="29" t="e">
        <f t="shared" si="152"/>
        <v>#REF!</v>
      </c>
      <c r="JCP247" s="29" t="e">
        <f t="shared" si="152"/>
        <v>#REF!</v>
      </c>
      <c r="JCQ247" s="29" t="e">
        <f t="shared" si="152"/>
        <v>#REF!</v>
      </c>
      <c r="JCR247" s="29" t="e">
        <f t="shared" si="152"/>
        <v>#REF!</v>
      </c>
      <c r="JCS247" s="29" t="e">
        <f t="shared" si="152"/>
        <v>#REF!</v>
      </c>
      <c r="JCT247" s="29" t="e">
        <f t="shared" si="152"/>
        <v>#REF!</v>
      </c>
      <c r="JCU247" s="29" t="e">
        <f t="shared" si="152"/>
        <v>#REF!</v>
      </c>
      <c r="JCV247" s="29" t="e">
        <f t="shared" si="152"/>
        <v>#REF!</v>
      </c>
      <c r="JCW247" s="29" t="e">
        <f t="shared" si="152"/>
        <v>#REF!</v>
      </c>
      <c r="JCX247" s="29" t="e">
        <f t="shared" si="152"/>
        <v>#REF!</v>
      </c>
      <c r="JCY247" s="29" t="e">
        <f t="shared" si="152"/>
        <v>#REF!</v>
      </c>
      <c r="JCZ247" s="29" t="e">
        <f t="shared" si="152"/>
        <v>#REF!</v>
      </c>
      <c r="JDA247" s="29" t="e">
        <f t="shared" ref="JDA247:JFL247" si="153">JDE247&amp;JDF247</f>
        <v>#REF!</v>
      </c>
      <c r="JDB247" s="29" t="e">
        <f t="shared" si="153"/>
        <v>#REF!</v>
      </c>
      <c r="JDC247" s="29" t="e">
        <f t="shared" si="153"/>
        <v>#REF!</v>
      </c>
      <c r="JDD247" s="29" t="e">
        <f t="shared" si="153"/>
        <v>#REF!</v>
      </c>
      <c r="JDE247" s="29" t="e">
        <f t="shared" si="153"/>
        <v>#REF!</v>
      </c>
      <c r="JDF247" s="29" t="e">
        <f t="shared" si="153"/>
        <v>#REF!</v>
      </c>
      <c r="JDG247" s="29" t="e">
        <f t="shared" si="153"/>
        <v>#REF!</v>
      </c>
      <c r="JDH247" s="29" t="e">
        <f t="shared" si="153"/>
        <v>#REF!</v>
      </c>
      <c r="JDI247" s="29" t="e">
        <f t="shared" si="153"/>
        <v>#REF!</v>
      </c>
      <c r="JDJ247" s="29" t="e">
        <f t="shared" si="153"/>
        <v>#REF!</v>
      </c>
      <c r="JDK247" s="29" t="e">
        <f t="shared" si="153"/>
        <v>#REF!</v>
      </c>
      <c r="JDL247" s="29" t="e">
        <f t="shared" si="153"/>
        <v>#REF!</v>
      </c>
      <c r="JDM247" s="29" t="e">
        <f t="shared" si="153"/>
        <v>#REF!</v>
      </c>
      <c r="JDN247" s="29" t="e">
        <f t="shared" si="153"/>
        <v>#REF!</v>
      </c>
      <c r="JDO247" s="29" t="e">
        <f t="shared" si="153"/>
        <v>#REF!</v>
      </c>
      <c r="JDP247" s="29" t="e">
        <f t="shared" si="153"/>
        <v>#REF!</v>
      </c>
      <c r="JDQ247" s="29" t="e">
        <f t="shared" si="153"/>
        <v>#REF!</v>
      </c>
      <c r="JDR247" s="29" t="e">
        <f t="shared" si="153"/>
        <v>#REF!</v>
      </c>
      <c r="JDS247" s="29" t="e">
        <f t="shared" si="153"/>
        <v>#REF!</v>
      </c>
      <c r="JDT247" s="29" t="e">
        <f t="shared" si="153"/>
        <v>#REF!</v>
      </c>
      <c r="JDU247" s="29" t="e">
        <f t="shared" si="153"/>
        <v>#REF!</v>
      </c>
      <c r="JDV247" s="29" t="e">
        <f t="shared" si="153"/>
        <v>#REF!</v>
      </c>
      <c r="JDW247" s="29" t="e">
        <f t="shared" si="153"/>
        <v>#REF!</v>
      </c>
      <c r="JDX247" s="29" t="e">
        <f t="shared" si="153"/>
        <v>#REF!</v>
      </c>
      <c r="JDY247" s="29" t="e">
        <f t="shared" si="153"/>
        <v>#REF!</v>
      </c>
      <c r="JDZ247" s="29" t="e">
        <f t="shared" si="153"/>
        <v>#REF!</v>
      </c>
      <c r="JEA247" s="29" t="e">
        <f t="shared" si="153"/>
        <v>#REF!</v>
      </c>
      <c r="JEB247" s="29" t="e">
        <f t="shared" si="153"/>
        <v>#REF!</v>
      </c>
      <c r="JEC247" s="29" t="e">
        <f t="shared" si="153"/>
        <v>#REF!</v>
      </c>
      <c r="JED247" s="29" t="e">
        <f t="shared" si="153"/>
        <v>#REF!</v>
      </c>
      <c r="JEE247" s="29" t="e">
        <f t="shared" si="153"/>
        <v>#REF!</v>
      </c>
      <c r="JEF247" s="29" t="e">
        <f t="shared" si="153"/>
        <v>#REF!</v>
      </c>
      <c r="JEG247" s="29" t="e">
        <f t="shared" si="153"/>
        <v>#REF!</v>
      </c>
      <c r="JEH247" s="29" t="e">
        <f t="shared" si="153"/>
        <v>#REF!</v>
      </c>
      <c r="JEI247" s="29" t="e">
        <f t="shared" si="153"/>
        <v>#REF!</v>
      </c>
      <c r="JEJ247" s="29" t="e">
        <f t="shared" si="153"/>
        <v>#REF!</v>
      </c>
      <c r="JEK247" s="29" t="e">
        <f t="shared" si="153"/>
        <v>#REF!</v>
      </c>
      <c r="JEL247" s="29" t="e">
        <f t="shared" si="153"/>
        <v>#REF!</v>
      </c>
      <c r="JEM247" s="29" t="e">
        <f t="shared" si="153"/>
        <v>#REF!</v>
      </c>
      <c r="JEN247" s="29" t="e">
        <f t="shared" si="153"/>
        <v>#REF!</v>
      </c>
      <c r="JEO247" s="29" t="e">
        <f t="shared" si="153"/>
        <v>#REF!</v>
      </c>
      <c r="JEP247" s="29" t="e">
        <f t="shared" si="153"/>
        <v>#REF!</v>
      </c>
      <c r="JEQ247" s="29" t="e">
        <f t="shared" si="153"/>
        <v>#REF!</v>
      </c>
      <c r="JER247" s="29" t="e">
        <f t="shared" si="153"/>
        <v>#REF!</v>
      </c>
      <c r="JES247" s="29" t="e">
        <f t="shared" si="153"/>
        <v>#REF!</v>
      </c>
      <c r="JET247" s="29" t="e">
        <f t="shared" si="153"/>
        <v>#REF!</v>
      </c>
      <c r="JEU247" s="29" t="e">
        <f t="shared" si="153"/>
        <v>#REF!</v>
      </c>
      <c r="JEV247" s="29" t="e">
        <f t="shared" si="153"/>
        <v>#REF!</v>
      </c>
      <c r="JEW247" s="29" t="e">
        <f t="shared" si="153"/>
        <v>#REF!</v>
      </c>
      <c r="JEX247" s="29" t="e">
        <f t="shared" si="153"/>
        <v>#REF!</v>
      </c>
      <c r="JEY247" s="29" t="e">
        <f t="shared" si="153"/>
        <v>#REF!</v>
      </c>
      <c r="JEZ247" s="29" t="e">
        <f t="shared" si="153"/>
        <v>#REF!</v>
      </c>
      <c r="JFA247" s="29" t="e">
        <f t="shared" si="153"/>
        <v>#REF!</v>
      </c>
      <c r="JFB247" s="29" t="e">
        <f t="shared" si="153"/>
        <v>#REF!</v>
      </c>
      <c r="JFC247" s="29" t="e">
        <f t="shared" si="153"/>
        <v>#REF!</v>
      </c>
      <c r="JFD247" s="29" t="e">
        <f t="shared" si="153"/>
        <v>#REF!</v>
      </c>
      <c r="JFE247" s="29" t="e">
        <f t="shared" si="153"/>
        <v>#REF!</v>
      </c>
      <c r="JFF247" s="29" t="e">
        <f t="shared" si="153"/>
        <v>#REF!</v>
      </c>
      <c r="JFG247" s="29" t="e">
        <f t="shared" si="153"/>
        <v>#REF!</v>
      </c>
      <c r="JFH247" s="29" t="e">
        <f t="shared" si="153"/>
        <v>#REF!</v>
      </c>
      <c r="JFI247" s="29" t="e">
        <f t="shared" si="153"/>
        <v>#REF!</v>
      </c>
      <c r="JFJ247" s="29" t="e">
        <f t="shared" si="153"/>
        <v>#REF!</v>
      </c>
      <c r="JFK247" s="29" t="e">
        <f t="shared" si="153"/>
        <v>#REF!</v>
      </c>
      <c r="JFL247" s="29" t="e">
        <f t="shared" si="153"/>
        <v>#REF!</v>
      </c>
      <c r="JFM247" s="29" t="e">
        <f t="shared" ref="JFM247:JHX247" si="154">JFQ247&amp;JFR247</f>
        <v>#REF!</v>
      </c>
      <c r="JFN247" s="29" t="e">
        <f t="shared" si="154"/>
        <v>#REF!</v>
      </c>
      <c r="JFO247" s="29" t="e">
        <f t="shared" si="154"/>
        <v>#REF!</v>
      </c>
      <c r="JFP247" s="29" t="e">
        <f t="shared" si="154"/>
        <v>#REF!</v>
      </c>
      <c r="JFQ247" s="29" t="e">
        <f t="shared" si="154"/>
        <v>#REF!</v>
      </c>
      <c r="JFR247" s="29" t="e">
        <f t="shared" si="154"/>
        <v>#REF!</v>
      </c>
      <c r="JFS247" s="29" t="e">
        <f t="shared" si="154"/>
        <v>#REF!</v>
      </c>
      <c r="JFT247" s="29" t="e">
        <f t="shared" si="154"/>
        <v>#REF!</v>
      </c>
      <c r="JFU247" s="29" t="e">
        <f t="shared" si="154"/>
        <v>#REF!</v>
      </c>
      <c r="JFV247" s="29" t="e">
        <f t="shared" si="154"/>
        <v>#REF!</v>
      </c>
      <c r="JFW247" s="29" t="e">
        <f t="shared" si="154"/>
        <v>#REF!</v>
      </c>
      <c r="JFX247" s="29" t="e">
        <f t="shared" si="154"/>
        <v>#REF!</v>
      </c>
      <c r="JFY247" s="29" t="e">
        <f t="shared" si="154"/>
        <v>#REF!</v>
      </c>
      <c r="JFZ247" s="29" t="e">
        <f t="shared" si="154"/>
        <v>#REF!</v>
      </c>
      <c r="JGA247" s="29" t="e">
        <f t="shared" si="154"/>
        <v>#REF!</v>
      </c>
      <c r="JGB247" s="29" t="e">
        <f t="shared" si="154"/>
        <v>#REF!</v>
      </c>
      <c r="JGC247" s="29" t="e">
        <f t="shared" si="154"/>
        <v>#REF!</v>
      </c>
      <c r="JGD247" s="29" t="e">
        <f t="shared" si="154"/>
        <v>#REF!</v>
      </c>
      <c r="JGE247" s="29" t="e">
        <f t="shared" si="154"/>
        <v>#REF!</v>
      </c>
      <c r="JGF247" s="29" t="e">
        <f t="shared" si="154"/>
        <v>#REF!</v>
      </c>
      <c r="JGG247" s="29" t="e">
        <f t="shared" si="154"/>
        <v>#REF!</v>
      </c>
      <c r="JGH247" s="29" t="e">
        <f t="shared" si="154"/>
        <v>#REF!</v>
      </c>
      <c r="JGI247" s="29" t="e">
        <f t="shared" si="154"/>
        <v>#REF!</v>
      </c>
      <c r="JGJ247" s="29" t="e">
        <f t="shared" si="154"/>
        <v>#REF!</v>
      </c>
      <c r="JGK247" s="29" t="e">
        <f t="shared" si="154"/>
        <v>#REF!</v>
      </c>
      <c r="JGL247" s="29" t="e">
        <f t="shared" si="154"/>
        <v>#REF!</v>
      </c>
      <c r="JGM247" s="29" t="e">
        <f t="shared" si="154"/>
        <v>#REF!</v>
      </c>
      <c r="JGN247" s="29" t="e">
        <f t="shared" si="154"/>
        <v>#REF!</v>
      </c>
      <c r="JGO247" s="29" t="e">
        <f t="shared" si="154"/>
        <v>#REF!</v>
      </c>
      <c r="JGP247" s="29" t="e">
        <f t="shared" si="154"/>
        <v>#REF!</v>
      </c>
      <c r="JGQ247" s="29" t="e">
        <f t="shared" si="154"/>
        <v>#REF!</v>
      </c>
      <c r="JGR247" s="29" t="e">
        <f t="shared" si="154"/>
        <v>#REF!</v>
      </c>
      <c r="JGS247" s="29" t="e">
        <f t="shared" si="154"/>
        <v>#REF!</v>
      </c>
      <c r="JGT247" s="29" t="e">
        <f t="shared" si="154"/>
        <v>#REF!</v>
      </c>
      <c r="JGU247" s="29" t="e">
        <f t="shared" si="154"/>
        <v>#REF!</v>
      </c>
      <c r="JGV247" s="29" t="e">
        <f t="shared" si="154"/>
        <v>#REF!</v>
      </c>
      <c r="JGW247" s="29" t="e">
        <f t="shared" si="154"/>
        <v>#REF!</v>
      </c>
      <c r="JGX247" s="29" t="e">
        <f t="shared" si="154"/>
        <v>#REF!</v>
      </c>
      <c r="JGY247" s="29" t="e">
        <f t="shared" si="154"/>
        <v>#REF!</v>
      </c>
      <c r="JGZ247" s="29" t="e">
        <f t="shared" si="154"/>
        <v>#REF!</v>
      </c>
      <c r="JHA247" s="29" t="e">
        <f t="shared" si="154"/>
        <v>#REF!</v>
      </c>
      <c r="JHB247" s="29" t="e">
        <f t="shared" si="154"/>
        <v>#REF!</v>
      </c>
      <c r="JHC247" s="29" t="e">
        <f t="shared" si="154"/>
        <v>#REF!</v>
      </c>
      <c r="JHD247" s="29" t="e">
        <f t="shared" si="154"/>
        <v>#REF!</v>
      </c>
      <c r="JHE247" s="29" t="e">
        <f t="shared" si="154"/>
        <v>#REF!</v>
      </c>
      <c r="JHF247" s="29" t="e">
        <f t="shared" si="154"/>
        <v>#REF!</v>
      </c>
      <c r="JHG247" s="29" t="e">
        <f t="shared" si="154"/>
        <v>#REF!</v>
      </c>
      <c r="JHH247" s="29" t="e">
        <f t="shared" si="154"/>
        <v>#REF!</v>
      </c>
      <c r="JHI247" s="29" t="e">
        <f t="shared" si="154"/>
        <v>#REF!</v>
      </c>
      <c r="JHJ247" s="29" t="e">
        <f t="shared" si="154"/>
        <v>#REF!</v>
      </c>
      <c r="JHK247" s="29" t="e">
        <f t="shared" si="154"/>
        <v>#REF!</v>
      </c>
      <c r="JHL247" s="29" t="e">
        <f t="shared" si="154"/>
        <v>#REF!</v>
      </c>
      <c r="JHM247" s="29" t="e">
        <f t="shared" si="154"/>
        <v>#REF!</v>
      </c>
      <c r="JHN247" s="29" t="e">
        <f t="shared" si="154"/>
        <v>#REF!</v>
      </c>
      <c r="JHO247" s="29" t="e">
        <f t="shared" si="154"/>
        <v>#REF!</v>
      </c>
      <c r="JHP247" s="29" t="e">
        <f t="shared" si="154"/>
        <v>#REF!</v>
      </c>
      <c r="JHQ247" s="29" t="e">
        <f t="shared" si="154"/>
        <v>#REF!</v>
      </c>
      <c r="JHR247" s="29" t="e">
        <f t="shared" si="154"/>
        <v>#REF!</v>
      </c>
      <c r="JHS247" s="29" t="e">
        <f t="shared" si="154"/>
        <v>#REF!</v>
      </c>
      <c r="JHT247" s="29" t="e">
        <f t="shared" si="154"/>
        <v>#REF!</v>
      </c>
      <c r="JHU247" s="29" t="e">
        <f t="shared" si="154"/>
        <v>#REF!</v>
      </c>
      <c r="JHV247" s="29" t="e">
        <f t="shared" si="154"/>
        <v>#REF!</v>
      </c>
      <c r="JHW247" s="29" t="e">
        <f t="shared" si="154"/>
        <v>#REF!</v>
      </c>
      <c r="JHX247" s="29" t="e">
        <f t="shared" si="154"/>
        <v>#REF!</v>
      </c>
      <c r="JHY247" s="29" t="e">
        <f t="shared" ref="JHY247:JKJ247" si="155">JIC247&amp;JID247</f>
        <v>#REF!</v>
      </c>
      <c r="JHZ247" s="29" t="e">
        <f t="shared" si="155"/>
        <v>#REF!</v>
      </c>
      <c r="JIA247" s="29" t="e">
        <f t="shared" si="155"/>
        <v>#REF!</v>
      </c>
      <c r="JIB247" s="29" t="e">
        <f t="shared" si="155"/>
        <v>#REF!</v>
      </c>
      <c r="JIC247" s="29" t="e">
        <f t="shared" si="155"/>
        <v>#REF!</v>
      </c>
      <c r="JID247" s="29" t="e">
        <f t="shared" si="155"/>
        <v>#REF!</v>
      </c>
      <c r="JIE247" s="29" t="e">
        <f t="shared" si="155"/>
        <v>#REF!</v>
      </c>
      <c r="JIF247" s="29" t="e">
        <f t="shared" si="155"/>
        <v>#REF!</v>
      </c>
      <c r="JIG247" s="29" t="e">
        <f t="shared" si="155"/>
        <v>#REF!</v>
      </c>
      <c r="JIH247" s="29" t="e">
        <f t="shared" si="155"/>
        <v>#REF!</v>
      </c>
      <c r="JII247" s="29" t="e">
        <f t="shared" si="155"/>
        <v>#REF!</v>
      </c>
      <c r="JIJ247" s="29" t="e">
        <f t="shared" si="155"/>
        <v>#REF!</v>
      </c>
      <c r="JIK247" s="29" t="e">
        <f t="shared" si="155"/>
        <v>#REF!</v>
      </c>
      <c r="JIL247" s="29" t="e">
        <f t="shared" si="155"/>
        <v>#REF!</v>
      </c>
      <c r="JIM247" s="29" t="e">
        <f t="shared" si="155"/>
        <v>#REF!</v>
      </c>
      <c r="JIN247" s="29" t="e">
        <f t="shared" si="155"/>
        <v>#REF!</v>
      </c>
      <c r="JIO247" s="29" t="e">
        <f t="shared" si="155"/>
        <v>#REF!</v>
      </c>
      <c r="JIP247" s="29" t="e">
        <f t="shared" si="155"/>
        <v>#REF!</v>
      </c>
      <c r="JIQ247" s="29" t="e">
        <f t="shared" si="155"/>
        <v>#REF!</v>
      </c>
      <c r="JIR247" s="29" t="e">
        <f t="shared" si="155"/>
        <v>#REF!</v>
      </c>
      <c r="JIS247" s="29" t="e">
        <f t="shared" si="155"/>
        <v>#REF!</v>
      </c>
      <c r="JIT247" s="29" t="e">
        <f t="shared" si="155"/>
        <v>#REF!</v>
      </c>
      <c r="JIU247" s="29" t="e">
        <f t="shared" si="155"/>
        <v>#REF!</v>
      </c>
      <c r="JIV247" s="29" t="e">
        <f t="shared" si="155"/>
        <v>#REF!</v>
      </c>
      <c r="JIW247" s="29" t="e">
        <f t="shared" si="155"/>
        <v>#REF!</v>
      </c>
      <c r="JIX247" s="29" t="e">
        <f t="shared" si="155"/>
        <v>#REF!</v>
      </c>
      <c r="JIY247" s="29" t="e">
        <f t="shared" si="155"/>
        <v>#REF!</v>
      </c>
      <c r="JIZ247" s="29" t="e">
        <f t="shared" si="155"/>
        <v>#REF!</v>
      </c>
      <c r="JJA247" s="29" t="e">
        <f t="shared" si="155"/>
        <v>#REF!</v>
      </c>
      <c r="JJB247" s="29" t="e">
        <f t="shared" si="155"/>
        <v>#REF!</v>
      </c>
      <c r="JJC247" s="29" t="e">
        <f t="shared" si="155"/>
        <v>#REF!</v>
      </c>
      <c r="JJD247" s="29" t="e">
        <f t="shared" si="155"/>
        <v>#REF!</v>
      </c>
      <c r="JJE247" s="29" t="e">
        <f t="shared" si="155"/>
        <v>#REF!</v>
      </c>
      <c r="JJF247" s="29" t="e">
        <f t="shared" si="155"/>
        <v>#REF!</v>
      </c>
      <c r="JJG247" s="29" t="e">
        <f t="shared" si="155"/>
        <v>#REF!</v>
      </c>
      <c r="JJH247" s="29" t="e">
        <f t="shared" si="155"/>
        <v>#REF!</v>
      </c>
      <c r="JJI247" s="29" t="e">
        <f t="shared" si="155"/>
        <v>#REF!</v>
      </c>
      <c r="JJJ247" s="29" t="e">
        <f t="shared" si="155"/>
        <v>#REF!</v>
      </c>
      <c r="JJK247" s="29" t="e">
        <f t="shared" si="155"/>
        <v>#REF!</v>
      </c>
      <c r="JJL247" s="29" t="e">
        <f t="shared" si="155"/>
        <v>#REF!</v>
      </c>
      <c r="JJM247" s="29" t="e">
        <f t="shared" si="155"/>
        <v>#REF!</v>
      </c>
      <c r="JJN247" s="29" t="e">
        <f t="shared" si="155"/>
        <v>#REF!</v>
      </c>
      <c r="JJO247" s="29" t="e">
        <f t="shared" si="155"/>
        <v>#REF!</v>
      </c>
      <c r="JJP247" s="29" t="e">
        <f t="shared" si="155"/>
        <v>#REF!</v>
      </c>
      <c r="JJQ247" s="29" t="e">
        <f t="shared" si="155"/>
        <v>#REF!</v>
      </c>
      <c r="JJR247" s="29" t="e">
        <f t="shared" si="155"/>
        <v>#REF!</v>
      </c>
      <c r="JJS247" s="29" t="e">
        <f t="shared" si="155"/>
        <v>#REF!</v>
      </c>
      <c r="JJT247" s="29" t="e">
        <f t="shared" si="155"/>
        <v>#REF!</v>
      </c>
      <c r="JJU247" s="29" t="e">
        <f t="shared" si="155"/>
        <v>#REF!</v>
      </c>
      <c r="JJV247" s="29" t="e">
        <f t="shared" si="155"/>
        <v>#REF!</v>
      </c>
      <c r="JJW247" s="29" t="e">
        <f t="shared" si="155"/>
        <v>#REF!</v>
      </c>
      <c r="JJX247" s="29" t="e">
        <f t="shared" si="155"/>
        <v>#REF!</v>
      </c>
      <c r="JJY247" s="29" t="e">
        <f t="shared" si="155"/>
        <v>#REF!</v>
      </c>
      <c r="JJZ247" s="29" t="e">
        <f t="shared" si="155"/>
        <v>#REF!</v>
      </c>
      <c r="JKA247" s="29" t="e">
        <f t="shared" si="155"/>
        <v>#REF!</v>
      </c>
      <c r="JKB247" s="29" t="e">
        <f t="shared" si="155"/>
        <v>#REF!</v>
      </c>
      <c r="JKC247" s="29" t="e">
        <f t="shared" si="155"/>
        <v>#REF!</v>
      </c>
      <c r="JKD247" s="29" t="e">
        <f t="shared" si="155"/>
        <v>#REF!</v>
      </c>
      <c r="JKE247" s="29" t="e">
        <f t="shared" si="155"/>
        <v>#REF!</v>
      </c>
      <c r="JKF247" s="29" t="e">
        <f t="shared" si="155"/>
        <v>#REF!</v>
      </c>
      <c r="JKG247" s="29" t="e">
        <f t="shared" si="155"/>
        <v>#REF!</v>
      </c>
      <c r="JKH247" s="29" t="e">
        <f t="shared" si="155"/>
        <v>#REF!</v>
      </c>
      <c r="JKI247" s="29" t="e">
        <f t="shared" si="155"/>
        <v>#REF!</v>
      </c>
      <c r="JKJ247" s="29" t="e">
        <f t="shared" si="155"/>
        <v>#REF!</v>
      </c>
      <c r="JKK247" s="29" t="e">
        <f t="shared" ref="JKK247:JMV247" si="156">JKO247&amp;JKP247</f>
        <v>#REF!</v>
      </c>
      <c r="JKL247" s="29" t="e">
        <f t="shared" si="156"/>
        <v>#REF!</v>
      </c>
      <c r="JKM247" s="29" t="e">
        <f t="shared" si="156"/>
        <v>#REF!</v>
      </c>
      <c r="JKN247" s="29" t="e">
        <f t="shared" si="156"/>
        <v>#REF!</v>
      </c>
      <c r="JKO247" s="29" t="e">
        <f t="shared" si="156"/>
        <v>#REF!</v>
      </c>
      <c r="JKP247" s="29" t="e">
        <f t="shared" si="156"/>
        <v>#REF!</v>
      </c>
      <c r="JKQ247" s="29" t="e">
        <f t="shared" si="156"/>
        <v>#REF!</v>
      </c>
      <c r="JKR247" s="29" t="e">
        <f t="shared" si="156"/>
        <v>#REF!</v>
      </c>
      <c r="JKS247" s="29" t="e">
        <f t="shared" si="156"/>
        <v>#REF!</v>
      </c>
      <c r="JKT247" s="29" t="e">
        <f t="shared" si="156"/>
        <v>#REF!</v>
      </c>
      <c r="JKU247" s="29" t="e">
        <f t="shared" si="156"/>
        <v>#REF!</v>
      </c>
      <c r="JKV247" s="29" t="e">
        <f t="shared" si="156"/>
        <v>#REF!</v>
      </c>
      <c r="JKW247" s="29" t="e">
        <f t="shared" si="156"/>
        <v>#REF!</v>
      </c>
      <c r="JKX247" s="29" t="e">
        <f t="shared" si="156"/>
        <v>#REF!</v>
      </c>
      <c r="JKY247" s="29" t="e">
        <f t="shared" si="156"/>
        <v>#REF!</v>
      </c>
      <c r="JKZ247" s="29" t="e">
        <f t="shared" si="156"/>
        <v>#REF!</v>
      </c>
      <c r="JLA247" s="29" t="e">
        <f t="shared" si="156"/>
        <v>#REF!</v>
      </c>
      <c r="JLB247" s="29" t="e">
        <f t="shared" si="156"/>
        <v>#REF!</v>
      </c>
      <c r="JLC247" s="29" t="e">
        <f t="shared" si="156"/>
        <v>#REF!</v>
      </c>
      <c r="JLD247" s="29" t="e">
        <f t="shared" si="156"/>
        <v>#REF!</v>
      </c>
      <c r="JLE247" s="29" t="e">
        <f t="shared" si="156"/>
        <v>#REF!</v>
      </c>
      <c r="JLF247" s="29" t="e">
        <f t="shared" si="156"/>
        <v>#REF!</v>
      </c>
      <c r="JLG247" s="29" t="e">
        <f t="shared" si="156"/>
        <v>#REF!</v>
      </c>
      <c r="JLH247" s="29" t="e">
        <f t="shared" si="156"/>
        <v>#REF!</v>
      </c>
      <c r="JLI247" s="29" t="e">
        <f t="shared" si="156"/>
        <v>#REF!</v>
      </c>
      <c r="JLJ247" s="29" t="e">
        <f t="shared" si="156"/>
        <v>#REF!</v>
      </c>
      <c r="JLK247" s="29" t="e">
        <f t="shared" si="156"/>
        <v>#REF!</v>
      </c>
      <c r="JLL247" s="29" t="e">
        <f t="shared" si="156"/>
        <v>#REF!</v>
      </c>
      <c r="JLM247" s="29" t="e">
        <f t="shared" si="156"/>
        <v>#REF!</v>
      </c>
      <c r="JLN247" s="29" t="e">
        <f t="shared" si="156"/>
        <v>#REF!</v>
      </c>
      <c r="JLO247" s="29" t="e">
        <f t="shared" si="156"/>
        <v>#REF!</v>
      </c>
      <c r="JLP247" s="29" t="e">
        <f t="shared" si="156"/>
        <v>#REF!</v>
      </c>
      <c r="JLQ247" s="29" t="e">
        <f t="shared" si="156"/>
        <v>#REF!</v>
      </c>
      <c r="JLR247" s="29" t="e">
        <f t="shared" si="156"/>
        <v>#REF!</v>
      </c>
      <c r="JLS247" s="29" t="e">
        <f t="shared" si="156"/>
        <v>#REF!</v>
      </c>
      <c r="JLT247" s="29" t="e">
        <f t="shared" si="156"/>
        <v>#REF!</v>
      </c>
      <c r="JLU247" s="29" t="e">
        <f t="shared" si="156"/>
        <v>#REF!</v>
      </c>
      <c r="JLV247" s="29" t="e">
        <f t="shared" si="156"/>
        <v>#REF!</v>
      </c>
      <c r="JLW247" s="29" t="e">
        <f t="shared" si="156"/>
        <v>#REF!</v>
      </c>
      <c r="JLX247" s="29" t="e">
        <f t="shared" si="156"/>
        <v>#REF!</v>
      </c>
      <c r="JLY247" s="29" t="e">
        <f t="shared" si="156"/>
        <v>#REF!</v>
      </c>
      <c r="JLZ247" s="29" t="e">
        <f t="shared" si="156"/>
        <v>#REF!</v>
      </c>
      <c r="JMA247" s="29" t="e">
        <f t="shared" si="156"/>
        <v>#REF!</v>
      </c>
      <c r="JMB247" s="29" t="e">
        <f t="shared" si="156"/>
        <v>#REF!</v>
      </c>
      <c r="JMC247" s="29" t="e">
        <f t="shared" si="156"/>
        <v>#REF!</v>
      </c>
      <c r="JMD247" s="29" t="e">
        <f t="shared" si="156"/>
        <v>#REF!</v>
      </c>
      <c r="JME247" s="29" t="e">
        <f t="shared" si="156"/>
        <v>#REF!</v>
      </c>
      <c r="JMF247" s="29" t="e">
        <f t="shared" si="156"/>
        <v>#REF!</v>
      </c>
      <c r="JMG247" s="29" t="e">
        <f t="shared" si="156"/>
        <v>#REF!</v>
      </c>
      <c r="JMH247" s="29" t="e">
        <f t="shared" si="156"/>
        <v>#REF!</v>
      </c>
      <c r="JMI247" s="29" t="e">
        <f t="shared" si="156"/>
        <v>#REF!</v>
      </c>
      <c r="JMJ247" s="29" t="e">
        <f t="shared" si="156"/>
        <v>#REF!</v>
      </c>
      <c r="JMK247" s="29" t="e">
        <f t="shared" si="156"/>
        <v>#REF!</v>
      </c>
      <c r="JML247" s="29" t="e">
        <f t="shared" si="156"/>
        <v>#REF!</v>
      </c>
      <c r="JMM247" s="29" t="e">
        <f t="shared" si="156"/>
        <v>#REF!</v>
      </c>
      <c r="JMN247" s="29" t="e">
        <f t="shared" si="156"/>
        <v>#REF!</v>
      </c>
      <c r="JMO247" s="29" t="e">
        <f t="shared" si="156"/>
        <v>#REF!</v>
      </c>
      <c r="JMP247" s="29" t="e">
        <f t="shared" si="156"/>
        <v>#REF!</v>
      </c>
      <c r="JMQ247" s="29" t="e">
        <f t="shared" si="156"/>
        <v>#REF!</v>
      </c>
      <c r="JMR247" s="29" t="e">
        <f t="shared" si="156"/>
        <v>#REF!</v>
      </c>
      <c r="JMS247" s="29" t="e">
        <f t="shared" si="156"/>
        <v>#REF!</v>
      </c>
      <c r="JMT247" s="29" t="e">
        <f t="shared" si="156"/>
        <v>#REF!</v>
      </c>
      <c r="JMU247" s="29" t="e">
        <f t="shared" si="156"/>
        <v>#REF!</v>
      </c>
      <c r="JMV247" s="29" t="e">
        <f t="shared" si="156"/>
        <v>#REF!</v>
      </c>
      <c r="JMW247" s="29" t="e">
        <f t="shared" ref="JMW247:JPH247" si="157">JNA247&amp;JNB247</f>
        <v>#REF!</v>
      </c>
      <c r="JMX247" s="29" t="e">
        <f t="shared" si="157"/>
        <v>#REF!</v>
      </c>
      <c r="JMY247" s="29" t="e">
        <f t="shared" si="157"/>
        <v>#REF!</v>
      </c>
      <c r="JMZ247" s="29" t="e">
        <f t="shared" si="157"/>
        <v>#REF!</v>
      </c>
      <c r="JNA247" s="29" t="e">
        <f t="shared" si="157"/>
        <v>#REF!</v>
      </c>
      <c r="JNB247" s="29" t="e">
        <f t="shared" si="157"/>
        <v>#REF!</v>
      </c>
      <c r="JNC247" s="29" t="e">
        <f t="shared" si="157"/>
        <v>#REF!</v>
      </c>
      <c r="JND247" s="29" t="e">
        <f t="shared" si="157"/>
        <v>#REF!</v>
      </c>
      <c r="JNE247" s="29" t="e">
        <f t="shared" si="157"/>
        <v>#REF!</v>
      </c>
      <c r="JNF247" s="29" t="e">
        <f t="shared" si="157"/>
        <v>#REF!</v>
      </c>
      <c r="JNG247" s="29" t="e">
        <f t="shared" si="157"/>
        <v>#REF!</v>
      </c>
      <c r="JNH247" s="29" t="e">
        <f t="shared" si="157"/>
        <v>#REF!</v>
      </c>
      <c r="JNI247" s="29" t="e">
        <f t="shared" si="157"/>
        <v>#REF!</v>
      </c>
      <c r="JNJ247" s="29" t="e">
        <f t="shared" si="157"/>
        <v>#REF!</v>
      </c>
      <c r="JNK247" s="29" t="e">
        <f t="shared" si="157"/>
        <v>#REF!</v>
      </c>
      <c r="JNL247" s="29" t="e">
        <f t="shared" si="157"/>
        <v>#REF!</v>
      </c>
      <c r="JNM247" s="29" t="e">
        <f t="shared" si="157"/>
        <v>#REF!</v>
      </c>
      <c r="JNN247" s="29" t="e">
        <f t="shared" si="157"/>
        <v>#REF!</v>
      </c>
      <c r="JNO247" s="29" t="e">
        <f t="shared" si="157"/>
        <v>#REF!</v>
      </c>
      <c r="JNP247" s="29" t="e">
        <f t="shared" si="157"/>
        <v>#REF!</v>
      </c>
      <c r="JNQ247" s="29" t="e">
        <f t="shared" si="157"/>
        <v>#REF!</v>
      </c>
      <c r="JNR247" s="29" t="e">
        <f t="shared" si="157"/>
        <v>#REF!</v>
      </c>
      <c r="JNS247" s="29" t="e">
        <f t="shared" si="157"/>
        <v>#REF!</v>
      </c>
      <c r="JNT247" s="29" t="e">
        <f t="shared" si="157"/>
        <v>#REF!</v>
      </c>
      <c r="JNU247" s="29" t="e">
        <f t="shared" si="157"/>
        <v>#REF!</v>
      </c>
      <c r="JNV247" s="29" t="e">
        <f t="shared" si="157"/>
        <v>#REF!</v>
      </c>
      <c r="JNW247" s="29" t="e">
        <f t="shared" si="157"/>
        <v>#REF!</v>
      </c>
      <c r="JNX247" s="29" t="e">
        <f t="shared" si="157"/>
        <v>#REF!</v>
      </c>
      <c r="JNY247" s="29" t="e">
        <f t="shared" si="157"/>
        <v>#REF!</v>
      </c>
      <c r="JNZ247" s="29" t="e">
        <f t="shared" si="157"/>
        <v>#REF!</v>
      </c>
      <c r="JOA247" s="29" t="e">
        <f t="shared" si="157"/>
        <v>#REF!</v>
      </c>
      <c r="JOB247" s="29" t="e">
        <f t="shared" si="157"/>
        <v>#REF!</v>
      </c>
      <c r="JOC247" s="29" t="e">
        <f t="shared" si="157"/>
        <v>#REF!</v>
      </c>
      <c r="JOD247" s="29" t="e">
        <f t="shared" si="157"/>
        <v>#REF!</v>
      </c>
      <c r="JOE247" s="29" t="e">
        <f t="shared" si="157"/>
        <v>#REF!</v>
      </c>
      <c r="JOF247" s="29" t="e">
        <f t="shared" si="157"/>
        <v>#REF!</v>
      </c>
      <c r="JOG247" s="29" t="e">
        <f t="shared" si="157"/>
        <v>#REF!</v>
      </c>
      <c r="JOH247" s="29" t="e">
        <f t="shared" si="157"/>
        <v>#REF!</v>
      </c>
      <c r="JOI247" s="29" t="e">
        <f t="shared" si="157"/>
        <v>#REF!</v>
      </c>
      <c r="JOJ247" s="29" t="e">
        <f t="shared" si="157"/>
        <v>#REF!</v>
      </c>
      <c r="JOK247" s="29" t="e">
        <f t="shared" si="157"/>
        <v>#REF!</v>
      </c>
      <c r="JOL247" s="29" t="e">
        <f t="shared" si="157"/>
        <v>#REF!</v>
      </c>
      <c r="JOM247" s="29" t="e">
        <f t="shared" si="157"/>
        <v>#REF!</v>
      </c>
      <c r="JON247" s="29" t="e">
        <f t="shared" si="157"/>
        <v>#REF!</v>
      </c>
      <c r="JOO247" s="29" t="e">
        <f t="shared" si="157"/>
        <v>#REF!</v>
      </c>
      <c r="JOP247" s="29" t="e">
        <f t="shared" si="157"/>
        <v>#REF!</v>
      </c>
      <c r="JOQ247" s="29" t="e">
        <f t="shared" si="157"/>
        <v>#REF!</v>
      </c>
      <c r="JOR247" s="29" t="e">
        <f t="shared" si="157"/>
        <v>#REF!</v>
      </c>
      <c r="JOS247" s="29" t="e">
        <f t="shared" si="157"/>
        <v>#REF!</v>
      </c>
      <c r="JOT247" s="29" t="e">
        <f t="shared" si="157"/>
        <v>#REF!</v>
      </c>
      <c r="JOU247" s="29" t="e">
        <f t="shared" si="157"/>
        <v>#REF!</v>
      </c>
      <c r="JOV247" s="29" t="e">
        <f t="shared" si="157"/>
        <v>#REF!</v>
      </c>
      <c r="JOW247" s="29" t="e">
        <f t="shared" si="157"/>
        <v>#REF!</v>
      </c>
      <c r="JOX247" s="29" t="e">
        <f t="shared" si="157"/>
        <v>#REF!</v>
      </c>
      <c r="JOY247" s="29" t="e">
        <f t="shared" si="157"/>
        <v>#REF!</v>
      </c>
      <c r="JOZ247" s="29" t="e">
        <f t="shared" si="157"/>
        <v>#REF!</v>
      </c>
      <c r="JPA247" s="29" t="e">
        <f t="shared" si="157"/>
        <v>#REF!</v>
      </c>
      <c r="JPB247" s="29" t="e">
        <f t="shared" si="157"/>
        <v>#REF!</v>
      </c>
      <c r="JPC247" s="29" t="e">
        <f t="shared" si="157"/>
        <v>#REF!</v>
      </c>
      <c r="JPD247" s="29" t="e">
        <f t="shared" si="157"/>
        <v>#REF!</v>
      </c>
      <c r="JPE247" s="29" t="e">
        <f t="shared" si="157"/>
        <v>#REF!</v>
      </c>
      <c r="JPF247" s="29" t="e">
        <f t="shared" si="157"/>
        <v>#REF!</v>
      </c>
      <c r="JPG247" s="29" t="e">
        <f t="shared" si="157"/>
        <v>#REF!</v>
      </c>
      <c r="JPH247" s="29" t="e">
        <f t="shared" si="157"/>
        <v>#REF!</v>
      </c>
      <c r="JPI247" s="29" t="e">
        <f t="shared" ref="JPI247:JRT247" si="158">JPM247&amp;JPN247</f>
        <v>#REF!</v>
      </c>
      <c r="JPJ247" s="29" t="e">
        <f t="shared" si="158"/>
        <v>#REF!</v>
      </c>
      <c r="JPK247" s="29" t="e">
        <f t="shared" si="158"/>
        <v>#REF!</v>
      </c>
      <c r="JPL247" s="29" t="e">
        <f t="shared" si="158"/>
        <v>#REF!</v>
      </c>
      <c r="JPM247" s="29" t="e">
        <f t="shared" si="158"/>
        <v>#REF!</v>
      </c>
      <c r="JPN247" s="29" t="e">
        <f t="shared" si="158"/>
        <v>#REF!</v>
      </c>
      <c r="JPO247" s="29" t="e">
        <f t="shared" si="158"/>
        <v>#REF!</v>
      </c>
      <c r="JPP247" s="29" t="e">
        <f t="shared" si="158"/>
        <v>#REF!</v>
      </c>
      <c r="JPQ247" s="29" t="e">
        <f t="shared" si="158"/>
        <v>#REF!</v>
      </c>
      <c r="JPR247" s="29" t="e">
        <f t="shared" si="158"/>
        <v>#REF!</v>
      </c>
      <c r="JPS247" s="29" t="e">
        <f t="shared" si="158"/>
        <v>#REF!</v>
      </c>
      <c r="JPT247" s="29" t="e">
        <f t="shared" si="158"/>
        <v>#REF!</v>
      </c>
      <c r="JPU247" s="29" t="e">
        <f t="shared" si="158"/>
        <v>#REF!</v>
      </c>
      <c r="JPV247" s="29" t="e">
        <f t="shared" si="158"/>
        <v>#REF!</v>
      </c>
      <c r="JPW247" s="29" t="e">
        <f t="shared" si="158"/>
        <v>#REF!</v>
      </c>
      <c r="JPX247" s="29" t="e">
        <f t="shared" si="158"/>
        <v>#REF!</v>
      </c>
      <c r="JPY247" s="29" t="e">
        <f t="shared" si="158"/>
        <v>#REF!</v>
      </c>
      <c r="JPZ247" s="29" t="e">
        <f t="shared" si="158"/>
        <v>#REF!</v>
      </c>
      <c r="JQA247" s="29" t="e">
        <f t="shared" si="158"/>
        <v>#REF!</v>
      </c>
      <c r="JQB247" s="29" t="e">
        <f t="shared" si="158"/>
        <v>#REF!</v>
      </c>
      <c r="JQC247" s="29" t="e">
        <f t="shared" si="158"/>
        <v>#REF!</v>
      </c>
      <c r="JQD247" s="29" t="e">
        <f t="shared" si="158"/>
        <v>#REF!</v>
      </c>
      <c r="JQE247" s="29" t="e">
        <f t="shared" si="158"/>
        <v>#REF!</v>
      </c>
      <c r="JQF247" s="29" t="e">
        <f t="shared" si="158"/>
        <v>#REF!</v>
      </c>
      <c r="JQG247" s="29" t="e">
        <f t="shared" si="158"/>
        <v>#REF!</v>
      </c>
      <c r="JQH247" s="29" t="e">
        <f t="shared" si="158"/>
        <v>#REF!</v>
      </c>
      <c r="JQI247" s="29" t="e">
        <f t="shared" si="158"/>
        <v>#REF!</v>
      </c>
      <c r="JQJ247" s="29" t="e">
        <f t="shared" si="158"/>
        <v>#REF!</v>
      </c>
      <c r="JQK247" s="29" t="e">
        <f t="shared" si="158"/>
        <v>#REF!</v>
      </c>
      <c r="JQL247" s="29" t="e">
        <f t="shared" si="158"/>
        <v>#REF!</v>
      </c>
      <c r="JQM247" s="29" t="e">
        <f t="shared" si="158"/>
        <v>#REF!</v>
      </c>
      <c r="JQN247" s="29" t="e">
        <f t="shared" si="158"/>
        <v>#REF!</v>
      </c>
      <c r="JQO247" s="29" t="e">
        <f t="shared" si="158"/>
        <v>#REF!</v>
      </c>
      <c r="JQP247" s="29" t="e">
        <f t="shared" si="158"/>
        <v>#REF!</v>
      </c>
      <c r="JQQ247" s="29" t="e">
        <f t="shared" si="158"/>
        <v>#REF!</v>
      </c>
      <c r="JQR247" s="29" t="e">
        <f t="shared" si="158"/>
        <v>#REF!</v>
      </c>
      <c r="JQS247" s="29" t="e">
        <f t="shared" si="158"/>
        <v>#REF!</v>
      </c>
      <c r="JQT247" s="29" t="e">
        <f t="shared" si="158"/>
        <v>#REF!</v>
      </c>
      <c r="JQU247" s="29" t="e">
        <f t="shared" si="158"/>
        <v>#REF!</v>
      </c>
      <c r="JQV247" s="29" t="e">
        <f t="shared" si="158"/>
        <v>#REF!</v>
      </c>
      <c r="JQW247" s="29" t="e">
        <f t="shared" si="158"/>
        <v>#REF!</v>
      </c>
      <c r="JQX247" s="29" t="e">
        <f t="shared" si="158"/>
        <v>#REF!</v>
      </c>
      <c r="JQY247" s="29" t="e">
        <f t="shared" si="158"/>
        <v>#REF!</v>
      </c>
      <c r="JQZ247" s="29" t="e">
        <f t="shared" si="158"/>
        <v>#REF!</v>
      </c>
      <c r="JRA247" s="29" t="e">
        <f t="shared" si="158"/>
        <v>#REF!</v>
      </c>
      <c r="JRB247" s="29" t="e">
        <f t="shared" si="158"/>
        <v>#REF!</v>
      </c>
      <c r="JRC247" s="29" t="e">
        <f t="shared" si="158"/>
        <v>#REF!</v>
      </c>
      <c r="JRD247" s="29" t="e">
        <f t="shared" si="158"/>
        <v>#REF!</v>
      </c>
      <c r="JRE247" s="29" t="e">
        <f t="shared" si="158"/>
        <v>#REF!</v>
      </c>
      <c r="JRF247" s="29" t="e">
        <f t="shared" si="158"/>
        <v>#REF!</v>
      </c>
      <c r="JRG247" s="29" t="e">
        <f t="shared" si="158"/>
        <v>#REF!</v>
      </c>
      <c r="JRH247" s="29" t="e">
        <f t="shared" si="158"/>
        <v>#REF!</v>
      </c>
      <c r="JRI247" s="29" t="e">
        <f t="shared" si="158"/>
        <v>#REF!</v>
      </c>
      <c r="JRJ247" s="29" t="e">
        <f t="shared" si="158"/>
        <v>#REF!</v>
      </c>
      <c r="JRK247" s="29" t="e">
        <f t="shared" si="158"/>
        <v>#REF!</v>
      </c>
      <c r="JRL247" s="29" t="e">
        <f t="shared" si="158"/>
        <v>#REF!</v>
      </c>
      <c r="JRM247" s="29" t="e">
        <f t="shared" si="158"/>
        <v>#REF!</v>
      </c>
      <c r="JRN247" s="29" t="e">
        <f t="shared" si="158"/>
        <v>#REF!</v>
      </c>
      <c r="JRO247" s="29" t="e">
        <f t="shared" si="158"/>
        <v>#REF!</v>
      </c>
      <c r="JRP247" s="29" t="e">
        <f t="shared" si="158"/>
        <v>#REF!</v>
      </c>
      <c r="JRQ247" s="29" t="e">
        <f t="shared" si="158"/>
        <v>#REF!</v>
      </c>
      <c r="JRR247" s="29" t="e">
        <f t="shared" si="158"/>
        <v>#REF!</v>
      </c>
      <c r="JRS247" s="29" t="e">
        <f t="shared" si="158"/>
        <v>#REF!</v>
      </c>
      <c r="JRT247" s="29" t="e">
        <f t="shared" si="158"/>
        <v>#REF!</v>
      </c>
      <c r="JRU247" s="29" t="e">
        <f t="shared" ref="JRU247:JUF247" si="159">JRY247&amp;JRZ247</f>
        <v>#REF!</v>
      </c>
      <c r="JRV247" s="29" t="e">
        <f t="shared" si="159"/>
        <v>#REF!</v>
      </c>
      <c r="JRW247" s="29" t="e">
        <f t="shared" si="159"/>
        <v>#REF!</v>
      </c>
      <c r="JRX247" s="29" t="e">
        <f t="shared" si="159"/>
        <v>#REF!</v>
      </c>
      <c r="JRY247" s="29" t="e">
        <f t="shared" si="159"/>
        <v>#REF!</v>
      </c>
      <c r="JRZ247" s="29" t="e">
        <f t="shared" si="159"/>
        <v>#REF!</v>
      </c>
      <c r="JSA247" s="29" t="e">
        <f t="shared" si="159"/>
        <v>#REF!</v>
      </c>
      <c r="JSB247" s="29" t="e">
        <f t="shared" si="159"/>
        <v>#REF!</v>
      </c>
      <c r="JSC247" s="29" t="e">
        <f t="shared" si="159"/>
        <v>#REF!</v>
      </c>
      <c r="JSD247" s="29" t="e">
        <f t="shared" si="159"/>
        <v>#REF!</v>
      </c>
      <c r="JSE247" s="29" t="e">
        <f t="shared" si="159"/>
        <v>#REF!</v>
      </c>
      <c r="JSF247" s="29" t="e">
        <f t="shared" si="159"/>
        <v>#REF!</v>
      </c>
      <c r="JSG247" s="29" t="e">
        <f t="shared" si="159"/>
        <v>#REF!</v>
      </c>
      <c r="JSH247" s="29" t="e">
        <f t="shared" si="159"/>
        <v>#REF!</v>
      </c>
      <c r="JSI247" s="29" t="e">
        <f t="shared" si="159"/>
        <v>#REF!</v>
      </c>
      <c r="JSJ247" s="29" t="e">
        <f t="shared" si="159"/>
        <v>#REF!</v>
      </c>
      <c r="JSK247" s="29" t="e">
        <f t="shared" si="159"/>
        <v>#REF!</v>
      </c>
      <c r="JSL247" s="29" t="e">
        <f t="shared" si="159"/>
        <v>#REF!</v>
      </c>
      <c r="JSM247" s="29" t="e">
        <f t="shared" si="159"/>
        <v>#REF!</v>
      </c>
      <c r="JSN247" s="29" t="e">
        <f t="shared" si="159"/>
        <v>#REF!</v>
      </c>
      <c r="JSO247" s="29" t="e">
        <f t="shared" si="159"/>
        <v>#REF!</v>
      </c>
      <c r="JSP247" s="29" t="e">
        <f t="shared" si="159"/>
        <v>#REF!</v>
      </c>
      <c r="JSQ247" s="29" t="e">
        <f t="shared" si="159"/>
        <v>#REF!</v>
      </c>
      <c r="JSR247" s="29" t="e">
        <f t="shared" si="159"/>
        <v>#REF!</v>
      </c>
      <c r="JSS247" s="29" t="e">
        <f t="shared" si="159"/>
        <v>#REF!</v>
      </c>
      <c r="JST247" s="29" t="e">
        <f t="shared" si="159"/>
        <v>#REF!</v>
      </c>
      <c r="JSU247" s="29" t="e">
        <f t="shared" si="159"/>
        <v>#REF!</v>
      </c>
      <c r="JSV247" s="29" t="e">
        <f t="shared" si="159"/>
        <v>#REF!</v>
      </c>
      <c r="JSW247" s="29" t="e">
        <f t="shared" si="159"/>
        <v>#REF!</v>
      </c>
      <c r="JSX247" s="29" t="e">
        <f t="shared" si="159"/>
        <v>#REF!</v>
      </c>
      <c r="JSY247" s="29" t="e">
        <f t="shared" si="159"/>
        <v>#REF!</v>
      </c>
      <c r="JSZ247" s="29" t="e">
        <f t="shared" si="159"/>
        <v>#REF!</v>
      </c>
      <c r="JTA247" s="29" t="e">
        <f t="shared" si="159"/>
        <v>#REF!</v>
      </c>
      <c r="JTB247" s="29" t="e">
        <f t="shared" si="159"/>
        <v>#REF!</v>
      </c>
      <c r="JTC247" s="29" t="e">
        <f t="shared" si="159"/>
        <v>#REF!</v>
      </c>
      <c r="JTD247" s="29" t="e">
        <f t="shared" si="159"/>
        <v>#REF!</v>
      </c>
      <c r="JTE247" s="29" t="e">
        <f t="shared" si="159"/>
        <v>#REF!</v>
      </c>
      <c r="JTF247" s="29" t="e">
        <f t="shared" si="159"/>
        <v>#REF!</v>
      </c>
      <c r="JTG247" s="29" t="e">
        <f t="shared" si="159"/>
        <v>#REF!</v>
      </c>
      <c r="JTH247" s="29" t="e">
        <f t="shared" si="159"/>
        <v>#REF!</v>
      </c>
      <c r="JTI247" s="29" t="e">
        <f t="shared" si="159"/>
        <v>#REF!</v>
      </c>
      <c r="JTJ247" s="29" t="e">
        <f t="shared" si="159"/>
        <v>#REF!</v>
      </c>
      <c r="JTK247" s="29" t="e">
        <f t="shared" si="159"/>
        <v>#REF!</v>
      </c>
      <c r="JTL247" s="29" t="e">
        <f t="shared" si="159"/>
        <v>#REF!</v>
      </c>
      <c r="JTM247" s="29" t="e">
        <f t="shared" si="159"/>
        <v>#REF!</v>
      </c>
      <c r="JTN247" s="29" t="e">
        <f t="shared" si="159"/>
        <v>#REF!</v>
      </c>
      <c r="JTO247" s="29" t="e">
        <f t="shared" si="159"/>
        <v>#REF!</v>
      </c>
      <c r="JTP247" s="29" t="e">
        <f t="shared" si="159"/>
        <v>#REF!</v>
      </c>
      <c r="JTQ247" s="29" t="e">
        <f t="shared" si="159"/>
        <v>#REF!</v>
      </c>
      <c r="JTR247" s="29" t="e">
        <f t="shared" si="159"/>
        <v>#REF!</v>
      </c>
      <c r="JTS247" s="29" t="e">
        <f t="shared" si="159"/>
        <v>#REF!</v>
      </c>
      <c r="JTT247" s="29" t="e">
        <f t="shared" si="159"/>
        <v>#REF!</v>
      </c>
      <c r="JTU247" s="29" t="e">
        <f t="shared" si="159"/>
        <v>#REF!</v>
      </c>
      <c r="JTV247" s="29" t="e">
        <f t="shared" si="159"/>
        <v>#REF!</v>
      </c>
      <c r="JTW247" s="29" t="e">
        <f t="shared" si="159"/>
        <v>#REF!</v>
      </c>
      <c r="JTX247" s="29" t="e">
        <f t="shared" si="159"/>
        <v>#REF!</v>
      </c>
      <c r="JTY247" s="29" t="e">
        <f t="shared" si="159"/>
        <v>#REF!</v>
      </c>
      <c r="JTZ247" s="29" t="e">
        <f t="shared" si="159"/>
        <v>#REF!</v>
      </c>
      <c r="JUA247" s="29" t="e">
        <f t="shared" si="159"/>
        <v>#REF!</v>
      </c>
      <c r="JUB247" s="29" t="e">
        <f t="shared" si="159"/>
        <v>#REF!</v>
      </c>
      <c r="JUC247" s="29" t="e">
        <f t="shared" si="159"/>
        <v>#REF!</v>
      </c>
      <c r="JUD247" s="29" t="e">
        <f t="shared" si="159"/>
        <v>#REF!</v>
      </c>
      <c r="JUE247" s="29" t="e">
        <f t="shared" si="159"/>
        <v>#REF!</v>
      </c>
      <c r="JUF247" s="29" t="e">
        <f t="shared" si="159"/>
        <v>#REF!</v>
      </c>
      <c r="JUG247" s="29" t="e">
        <f t="shared" ref="JUG247:JWR247" si="160">JUK247&amp;JUL247</f>
        <v>#REF!</v>
      </c>
      <c r="JUH247" s="29" t="e">
        <f t="shared" si="160"/>
        <v>#REF!</v>
      </c>
      <c r="JUI247" s="29" t="e">
        <f t="shared" si="160"/>
        <v>#REF!</v>
      </c>
      <c r="JUJ247" s="29" t="e">
        <f t="shared" si="160"/>
        <v>#REF!</v>
      </c>
      <c r="JUK247" s="29" t="e">
        <f t="shared" si="160"/>
        <v>#REF!</v>
      </c>
      <c r="JUL247" s="29" t="e">
        <f t="shared" si="160"/>
        <v>#REF!</v>
      </c>
      <c r="JUM247" s="29" t="e">
        <f t="shared" si="160"/>
        <v>#REF!</v>
      </c>
      <c r="JUN247" s="29" t="e">
        <f t="shared" si="160"/>
        <v>#REF!</v>
      </c>
      <c r="JUO247" s="29" t="e">
        <f t="shared" si="160"/>
        <v>#REF!</v>
      </c>
      <c r="JUP247" s="29" t="e">
        <f t="shared" si="160"/>
        <v>#REF!</v>
      </c>
      <c r="JUQ247" s="29" t="e">
        <f t="shared" si="160"/>
        <v>#REF!</v>
      </c>
      <c r="JUR247" s="29" t="e">
        <f t="shared" si="160"/>
        <v>#REF!</v>
      </c>
      <c r="JUS247" s="29" t="e">
        <f t="shared" si="160"/>
        <v>#REF!</v>
      </c>
      <c r="JUT247" s="29" t="e">
        <f t="shared" si="160"/>
        <v>#REF!</v>
      </c>
      <c r="JUU247" s="29" t="e">
        <f t="shared" si="160"/>
        <v>#REF!</v>
      </c>
      <c r="JUV247" s="29" t="e">
        <f t="shared" si="160"/>
        <v>#REF!</v>
      </c>
      <c r="JUW247" s="29" t="e">
        <f t="shared" si="160"/>
        <v>#REF!</v>
      </c>
      <c r="JUX247" s="29" t="e">
        <f t="shared" si="160"/>
        <v>#REF!</v>
      </c>
      <c r="JUY247" s="29" t="e">
        <f t="shared" si="160"/>
        <v>#REF!</v>
      </c>
      <c r="JUZ247" s="29" t="e">
        <f t="shared" si="160"/>
        <v>#REF!</v>
      </c>
      <c r="JVA247" s="29" t="e">
        <f t="shared" si="160"/>
        <v>#REF!</v>
      </c>
      <c r="JVB247" s="29" t="e">
        <f t="shared" si="160"/>
        <v>#REF!</v>
      </c>
      <c r="JVC247" s="29" t="e">
        <f t="shared" si="160"/>
        <v>#REF!</v>
      </c>
      <c r="JVD247" s="29" t="e">
        <f t="shared" si="160"/>
        <v>#REF!</v>
      </c>
      <c r="JVE247" s="29" t="e">
        <f t="shared" si="160"/>
        <v>#REF!</v>
      </c>
      <c r="JVF247" s="29" t="e">
        <f t="shared" si="160"/>
        <v>#REF!</v>
      </c>
      <c r="JVG247" s="29" t="e">
        <f t="shared" si="160"/>
        <v>#REF!</v>
      </c>
      <c r="JVH247" s="29" t="e">
        <f t="shared" si="160"/>
        <v>#REF!</v>
      </c>
      <c r="JVI247" s="29" t="e">
        <f t="shared" si="160"/>
        <v>#REF!</v>
      </c>
      <c r="JVJ247" s="29" t="e">
        <f t="shared" si="160"/>
        <v>#REF!</v>
      </c>
      <c r="JVK247" s="29" t="e">
        <f t="shared" si="160"/>
        <v>#REF!</v>
      </c>
      <c r="JVL247" s="29" t="e">
        <f t="shared" si="160"/>
        <v>#REF!</v>
      </c>
      <c r="JVM247" s="29" t="e">
        <f t="shared" si="160"/>
        <v>#REF!</v>
      </c>
      <c r="JVN247" s="29" t="e">
        <f t="shared" si="160"/>
        <v>#REF!</v>
      </c>
      <c r="JVO247" s="29" t="e">
        <f t="shared" si="160"/>
        <v>#REF!</v>
      </c>
      <c r="JVP247" s="29" t="e">
        <f t="shared" si="160"/>
        <v>#REF!</v>
      </c>
      <c r="JVQ247" s="29" t="e">
        <f t="shared" si="160"/>
        <v>#REF!</v>
      </c>
      <c r="JVR247" s="29" t="e">
        <f t="shared" si="160"/>
        <v>#REF!</v>
      </c>
      <c r="JVS247" s="29" t="e">
        <f t="shared" si="160"/>
        <v>#REF!</v>
      </c>
      <c r="JVT247" s="29" t="e">
        <f t="shared" si="160"/>
        <v>#REF!</v>
      </c>
      <c r="JVU247" s="29" t="e">
        <f t="shared" si="160"/>
        <v>#REF!</v>
      </c>
      <c r="JVV247" s="29" t="e">
        <f t="shared" si="160"/>
        <v>#REF!</v>
      </c>
      <c r="JVW247" s="29" t="e">
        <f t="shared" si="160"/>
        <v>#REF!</v>
      </c>
      <c r="JVX247" s="29" t="e">
        <f t="shared" si="160"/>
        <v>#REF!</v>
      </c>
      <c r="JVY247" s="29" t="e">
        <f t="shared" si="160"/>
        <v>#REF!</v>
      </c>
      <c r="JVZ247" s="29" t="e">
        <f t="shared" si="160"/>
        <v>#REF!</v>
      </c>
      <c r="JWA247" s="29" t="e">
        <f t="shared" si="160"/>
        <v>#REF!</v>
      </c>
      <c r="JWB247" s="29" t="e">
        <f t="shared" si="160"/>
        <v>#REF!</v>
      </c>
      <c r="JWC247" s="29" t="e">
        <f t="shared" si="160"/>
        <v>#REF!</v>
      </c>
      <c r="JWD247" s="29" t="e">
        <f t="shared" si="160"/>
        <v>#REF!</v>
      </c>
      <c r="JWE247" s="29" t="e">
        <f t="shared" si="160"/>
        <v>#REF!</v>
      </c>
      <c r="JWF247" s="29" t="e">
        <f t="shared" si="160"/>
        <v>#REF!</v>
      </c>
      <c r="JWG247" s="29" t="e">
        <f t="shared" si="160"/>
        <v>#REF!</v>
      </c>
      <c r="JWH247" s="29" t="e">
        <f t="shared" si="160"/>
        <v>#REF!</v>
      </c>
      <c r="JWI247" s="29" t="e">
        <f t="shared" si="160"/>
        <v>#REF!</v>
      </c>
      <c r="JWJ247" s="29" t="e">
        <f t="shared" si="160"/>
        <v>#REF!</v>
      </c>
      <c r="JWK247" s="29" t="e">
        <f t="shared" si="160"/>
        <v>#REF!</v>
      </c>
      <c r="JWL247" s="29" t="e">
        <f t="shared" si="160"/>
        <v>#REF!</v>
      </c>
      <c r="JWM247" s="29" t="e">
        <f t="shared" si="160"/>
        <v>#REF!</v>
      </c>
      <c r="JWN247" s="29" t="e">
        <f t="shared" si="160"/>
        <v>#REF!</v>
      </c>
      <c r="JWO247" s="29" t="e">
        <f t="shared" si="160"/>
        <v>#REF!</v>
      </c>
      <c r="JWP247" s="29" t="e">
        <f t="shared" si="160"/>
        <v>#REF!</v>
      </c>
      <c r="JWQ247" s="29" t="e">
        <f t="shared" si="160"/>
        <v>#REF!</v>
      </c>
      <c r="JWR247" s="29" t="e">
        <f t="shared" si="160"/>
        <v>#REF!</v>
      </c>
      <c r="JWS247" s="29" t="e">
        <f t="shared" ref="JWS247:JZD247" si="161">JWW247&amp;JWX247</f>
        <v>#REF!</v>
      </c>
      <c r="JWT247" s="29" t="e">
        <f t="shared" si="161"/>
        <v>#REF!</v>
      </c>
      <c r="JWU247" s="29" t="e">
        <f t="shared" si="161"/>
        <v>#REF!</v>
      </c>
      <c r="JWV247" s="29" t="e">
        <f t="shared" si="161"/>
        <v>#REF!</v>
      </c>
      <c r="JWW247" s="29" t="e">
        <f t="shared" si="161"/>
        <v>#REF!</v>
      </c>
      <c r="JWX247" s="29" t="e">
        <f t="shared" si="161"/>
        <v>#REF!</v>
      </c>
      <c r="JWY247" s="29" t="e">
        <f t="shared" si="161"/>
        <v>#REF!</v>
      </c>
      <c r="JWZ247" s="29" t="e">
        <f t="shared" si="161"/>
        <v>#REF!</v>
      </c>
      <c r="JXA247" s="29" t="e">
        <f t="shared" si="161"/>
        <v>#REF!</v>
      </c>
      <c r="JXB247" s="29" t="e">
        <f t="shared" si="161"/>
        <v>#REF!</v>
      </c>
      <c r="JXC247" s="29" t="e">
        <f t="shared" si="161"/>
        <v>#REF!</v>
      </c>
      <c r="JXD247" s="29" t="e">
        <f t="shared" si="161"/>
        <v>#REF!</v>
      </c>
      <c r="JXE247" s="29" t="e">
        <f t="shared" si="161"/>
        <v>#REF!</v>
      </c>
      <c r="JXF247" s="29" t="e">
        <f t="shared" si="161"/>
        <v>#REF!</v>
      </c>
      <c r="JXG247" s="29" t="e">
        <f t="shared" si="161"/>
        <v>#REF!</v>
      </c>
      <c r="JXH247" s="29" t="e">
        <f t="shared" si="161"/>
        <v>#REF!</v>
      </c>
      <c r="JXI247" s="29" t="e">
        <f t="shared" si="161"/>
        <v>#REF!</v>
      </c>
      <c r="JXJ247" s="29" t="e">
        <f t="shared" si="161"/>
        <v>#REF!</v>
      </c>
      <c r="JXK247" s="29" t="e">
        <f t="shared" si="161"/>
        <v>#REF!</v>
      </c>
      <c r="JXL247" s="29" t="e">
        <f t="shared" si="161"/>
        <v>#REF!</v>
      </c>
      <c r="JXM247" s="29" t="e">
        <f t="shared" si="161"/>
        <v>#REF!</v>
      </c>
      <c r="JXN247" s="29" t="e">
        <f t="shared" si="161"/>
        <v>#REF!</v>
      </c>
      <c r="JXO247" s="29" t="e">
        <f t="shared" si="161"/>
        <v>#REF!</v>
      </c>
      <c r="JXP247" s="29" t="e">
        <f t="shared" si="161"/>
        <v>#REF!</v>
      </c>
      <c r="JXQ247" s="29" t="e">
        <f t="shared" si="161"/>
        <v>#REF!</v>
      </c>
      <c r="JXR247" s="29" t="e">
        <f t="shared" si="161"/>
        <v>#REF!</v>
      </c>
      <c r="JXS247" s="29" t="e">
        <f t="shared" si="161"/>
        <v>#REF!</v>
      </c>
      <c r="JXT247" s="29" t="e">
        <f t="shared" si="161"/>
        <v>#REF!</v>
      </c>
      <c r="JXU247" s="29" t="e">
        <f t="shared" si="161"/>
        <v>#REF!</v>
      </c>
      <c r="JXV247" s="29" t="e">
        <f t="shared" si="161"/>
        <v>#REF!</v>
      </c>
      <c r="JXW247" s="29" t="e">
        <f t="shared" si="161"/>
        <v>#REF!</v>
      </c>
      <c r="JXX247" s="29" t="e">
        <f t="shared" si="161"/>
        <v>#REF!</v>
      </c>
      <c r="JXY247" s="29" t="e">
        <f t="shared" si="161"/>
        <v>#REF!</v>
      </c>
      <c r="JXZ247" s="29" t="e">
        <f t="shared" si="161"/>
        <v>#REF!</v>
      </c>
      <c r="JYA247" s="29" t="e">
        <f t="shared" si="161"/>
        <v>#REF!</v>
      </c>
      <c r="JYB247" s="29" t="e">
        <f t="shared" si="161"/>
        <v>#REF!</v>
      </c>
      <c r="JYC247" s="29" t="e">
        <f t="shared" si="161"/>
        <v>#REF!</v>
      </c>
      <c r="JYD247" s="29" t="e">
        <f t="shared" si="161"/>
        <v>#REF!</v>
      </c>
      <c r="JYE247" s="29" t="e">
        <f t="shared" si="161"/>
        <v>#REF!</v>
      </c>
      <c r="JYF247" s="29" t="e">
        <f t="shared" si="161"/>
        <v>#REF!</v>
      </c>
      <c r="JYG247" s="29" t="e">
        <f t="shared" si="161"/>
        <v>#REF!</v>
      </c>
      <c r="JYH247" s="29" t="e">
        <f t="shared" si="161"/>
        <v>#REF!</v>
      </c>
      <c r="JYI247" s="29" t="e">
        <f t="shared" si="161"/>
        <v>#REF!</v>
      </c>
      <c r="JYJ247" s="29" t="e">
        <f t="shared" si="161"/>
        <v>#REF!</v>
      </c>
      <c r="JYK247" s="29" t="e">
        <f t="shared" si="161"/>
        <v>#REF!</v>
      </c>
      <c r="JYL247" s="29" t="e">
        <f t="shared" si="161"/>
        <v>#REF!</v>
      </c>
      <c r="JYM247" s="29" t="e">
        <f t="shared" si="161"/>
        <v>#REF!</v>
      </c>
      <c r="JYN247" s="29" t="e">
        <f t="shared" si="161"/>
        <v>#REF!</v>
      </c>
      <c r="JYO247" s="29" t="e">
        <f t="shared" si="161"/>
        <v>#REF!</v>
      </c>
      <c r="JYP247" s="29" t="e">
        <f t="shared" si="161"/>
        <v>#REF!</v>
      </c>
      <c r="JYQ247" s="29" t="e">
        <f t="shared" si="161"/>
        <v>#REF!</v>
      </c>
      <c r="JYR247" s="29" t="e">
        <f t="shared" si="161"/>
        <v>#REF!</v>
      </c>
      <c r="JYS247" s="29" t="e">
        <f t="shared" si="161"/>
        <v>#REF!</v>
      </c>
      <c r="JYT247" s="29" t="e">
        <f t="shared" si="161"/>
        <v>#REF!</v>
      </c>
      <c r="JYU247" s="29" t="e">
        <f t="shared" si="161"/>
        <v>#REF!</v>
      </c>
      <c r="JYV247" s="29" t="e">
        <f t="shared" si="161"/>
        <v>#REF!</v>
      </c>
      <c r="JYW247" s="29" t="e">
        <f t="shared" si="161"/>
        <v>#REF!</v>
      </c>
      <c r="JYX247" s="29" t="e">
        <f t="shared" si="161"/>
        <v>#REF!</v>
      </c>
      <c r="JYY247" s="29" t="e">
        <f t="shared" si="161"/>
        <v>#REF!</v>
      </c>
      <c r="JYZ247" s="29" t="e">
        <f t="shared" si="161"/>
        <v>#REF!</v>
      </c>
      <c r="JZA247" s="29" t="e">
        <f t="shared" si="161"/>
        <v>#REF!</v>
      </c>
      <c r="JZB247" s="29" t="e">
        <f t="shared" si="161"/>
        <v>#REF!</v>
      </c>
      <c r="JZC247" s="29" t="e">
        <f t="shared" si="161"/>
        <v>#REF!</v>
      </c>
      <c r="JZD247" s="29" t="e">
        <f t="shared" si="161"/>
        <v>#REF!</v>
      </c>
      <c r="JZE247" s="29" t="e">
        <f t="shared" ref="JZE247:KBP247" si="162">JZI247&amp;JZJ247</f>
        <v>#REF!</v>
      </c>
      <c r="JZF247" s="29" t="e">
        <f t="shared" si="162"/>
        <v>#REF!</v>
      </c>
      <c r="JZG247" s="29" t="e">
        <f t="shared" si="162"/>
        <v>#REF!</v>
      </c>
      <c r="JZH247" s="29" t="e">
        <f t="shared" si="162"/>
        <v>#REF!</v>
      </c>
      <c r="JZI247" s="29" t="e">
        <f t="shared" si="162"/>
        <v>#REF!</v>
      </c>
      <c r="JZJ247" s="29" t="e">
        <f t="shared" si="162"/>
        <v>#REF!</v>
      </c>
      <c r="JZK247" s="29" t="e">
        <f t="shared" si="162"/>
        <v>#REF!</v>
      </c>
      <c r="JZL247" s="29" t="e">
        <f t="shared" si="162"/>
        <v>#REF!</v>
      </c>
      <c r="JZM247" s="29" t="e">
        <f t="shared" si="162"/>
        <v>#REF!</v>
      </c>
      <c r="JZN247" s="29" t="e">
        <f t="shared" si="162"/>
        <v>#REF!</v>
      </c>
      <c r="JZO247" s="29" t="e">
        <f t="shared" si="162"/>
        <v>#REF!</v>
      </c>
      <c r="JZP247" s="29" t="e">
        <f t="shared" si="162"/>
        <v>#REF!</v>
      </c>
      <c r="JZQ247" s="29" t="e">
        <f t="shared" si="162"/>
        <v>#REF!</v>
      </c>
      <c r="JZR247" s="29" t="e">
        <f t="shared" si="162"/>
        <v>#REF!</v>
      </c>
      <c r="JZS247" s="29" t="e">
        <f t="shared" si="162"/>
        <v>#REF!</v>
      </c>
      <c r="JZT247" s="29" t="e">
        <f t="shared" si="162"/>
        <v>#REF!</v>
      </c>
      <c r="JZU247" s="29" t="e">
        <f t="shared" si="162"/>
        <v>#REF!</v>
      </c>
      <c r="JZV247" s="29" t="e">
        <f t="shared" si="162"/>
        <v>#REF!</v>
      </c>
      <c r="JZW247" s="29" t="e">
        <f t="shared" si="162"/>
        <v>#REF!</v>
      </c>
      <c r="JZX247" s="29" t="e">
        <f t="shared" si="162"/>
        <v>#REF!</v>
      </c>
      <c r="JZY247" s="29" t="e">
        <f t="shared" si="162"/>
        <v>#REF!</v>
      </c>
      <c r="JZZ247" s="29" t="e">
        <f t="shared" si="162"/>
        <v>#REF!</v>
      </c>
      <c r="KAA247" s="29" t="e">
        <f t="shared" si="162"/>
        <v>#REF!</v>
      </c>
      <c r="KAB247" s="29" t="e">
        <f t="shared" si="162"/>
        <v>#REF!</v>
      </c>
      <c r="KAC247" s="29" t="e">
        <f t="shared" si="162"/>
        <v>#REF!</v>
      </c>
      <c r="KAD247" s="29" t="e">
        <f t="shared" si="162"/>
        <v>#REF!</v>
      </c>
      <c r="KAE247" s="29" t="e">
        <f t="shared" si="162"/>
        <v>#REF!</v>
      </c>
      <c r="KAF247" s="29" t="e">
        <f t="shared" si="162"/>
        <v>#REF!</v>
      </c>
      <c r="KAG247" s="29" t="e">
        <f t="shared" si="162"/>
        <v>#REF!</v>
      </c>
      <c r="KAH247" s="29" t="e">
        <f t="shared" si="162"/>
        <v>#REF!</v>
      </c>
      <c r="KAI247" s="29" t="e">
        <f t="shared" si="162"/>
        <v>#REF!</v>
      </c>
      <c r="KAJ247" s="29" t="e">
        <f t="shared" si="162"/>
        <v>#REF!</v>
      </c>
      <c r="KAK247" s="29" t="e">
        <f t="shared" si="162"/>
        <v>#REF!</v>
      </c>
      <c r="KAL247" s="29" t="e">
        <f t="shared" si="162"/>
        <v>#REF!</v>
      </c>
      <c r="KAM247" s="29" t="e">
        <f t="shared" si="162"/>
        <v>#REF!</v>
      </c>
      <c r="KAN247" s="29" t="e">
        <f t="shared" si="162"/>
        <v>#REF!</v>
      </c>
      <c r="KAO247" s="29" t="e">
        <f t="shared" si="162"/>
        <v>#REF!</v>
      </c>
      <c r="KAP247" s="29" t="e">
        <f t="shared" si="162"/>
        <v>#REF!</v>
      </c>
      <c r="KAQ247" s="29" t="e">
        <f t="shared" si="162"/>
        <v>#REF!</v>
      </c>
      <c r="KAR247" s="29" t="e">
        <f t="shared" si="162"/>
        <v>#REF!</v>
      </c>
      <c r="KAS247" s="29" t="e">
        <f t="shared" si="162"/>
        <v>#REF!</v>
      </c>
      <c r="KAT247" s="29" t="e">
        <f t="shared" si="162"/>
        <v>#REF!</v>
      </c>
      <c r="KAU247" s="29" t="e">
        <f t="shared" si="162"/>
        <v>#REF!</v>
      </c>
      <c r="KAV247" s="29" t="e">
        <f t="shared" si="162"/>
        <v>#REF!</v>
      </c>
      <c r="KAW247" s="29" t="e">
        <f t="shared" si="162"/>
        <v>#REF!</v>
      </c>
      <c r="KAX247" s="29" t="e">
        <f t="shared" si="162"/>
        <v>#REF!</v>
      </c>
      <c r="KAY247" s="29" t="e">
        <f t="shared" si="162"/>
        <v>#REF!</v>
      </c>
      <c r="KAZ247" s="29" t="e">
        <f t="shared" si="162"/>
        <v>#REF!</v>
      </c>
      <c r="KBA247" s="29" t="e">
        <f t="shared" si="162"/>
        <v>#REF!</v>
      </c>
      <c r="KBB247" s="29" t="e">
        <f t="shared" si="162"/>
        <v>#REF!</v>
      </c>
      <c r="KBC247" s="29" t="e">
        <f t="shared" si="162"/>
        <v>#REF!</v>
      </c>
      <c r="KBD247" s="29" t="e">
        <f t="shared" si="162"/>
        <v>#REF!</v>
      </c>
      <c r="KBE247" s="29" t="e">
        <f t="shared" si="162"/>
        <v>#REF!</v>
      </c>
      <c r="KBF247" s="29" t="e">
        <f t="shared" si="162"/>
        <v>#REF!</v>
      </c>
      <c r="KBG247" s="29" t="e">
        <f t="shared" si="162"/>
        <v>#REF!</v>
      </c>
      <c r="KBH247" s="29" t="e">
        <f t="shared" si="162"/>
        <v>#REF!</v>
      </c>
      <c r="KBI247" s="29" t="e">
        <f t="shared" si="162"/>
        <v>#REF!</v>
      </c>
      <c r="KBJ247" s="29" t="e">
        <f t="shared" si="162"/>
        <v>#REF!</v>
      </c>
      <c r="KBK247" s="29" t="e">
        <f t="shared" si="162"/>
        <v>#REF!</v>
      </c>
      <c r="KBL247" s="29" t="e">
        <f t="shared" si="162"/>
        <v>#REF!</v>
      </c>
      <c r="KBM247" s="29" t="e">
        <f t="shared" si="162"/>
        <v>#REF!</v>
      </c>
      <c r="KBN247" s="29" t="e">
        <f t="shared" si="162"/>
        <v>#REF!</v>
      </c>
      <c r="KBO247" s="29" t="e">
        <f t="shared" si="162"/>
        <v>#REF!</v>
      </c>
      <c r="KBP247" s="29" t="e">
        <f t="shared" si="162"/>
        <v>#REF!</v>
      </c>
      <c r="KBQ247" s="29" t="e">
        <f t="shared" ref="KBQ247:KEB247" si="163">KBU247&amp;KBV247</f>
        <v>#REF!</v>
      </c>
      <c r="KBR247" s="29" t="e">
        <f t="shared" si="163"/>
        <v>#REF!</v>
      </c>
      <c r="KBS247" s="29" t="e">
        <f t="shared" si="163"/>
        <v>#REF!</v>
      </c>
      <c r="KBT247" s="29" t="e">
        <f t="shared" si="163"/>
        <v>#REF!</v>
      </c>
      <c r="KBU247" s="29" t="e">
        <f t="shared" si="163"/>
        <v>#REF!</v>
      </c>
      <c r="KBV247" s="29" t="e">
        <f t="shared" si="163"/>
        <v>#REF!</v>
      </c>
      <c r="KBW247" s="29" t="e">
        <f t="shared" si="163"/>
        <v>#REF!</v>
      </c>
      <c r="KBX247" s="29" t="e">
        <f t="shared" si="163"/>
        <v>#REF!</v>
      </c>
      <c r="KBY247" s="29" t="e">
        <f t="shared" si="163"/>
        <v>#REF!</v>
      </c>
      <c r="KBZ247" s="29" t="e">
        <f t="shared" si="163"/>
        <v>#REF!</v>
      </c>
      <c r="KCA247" s="29" t="e">
        <f t="shared" si="163"/>
        <v>#REF!</v>
      </c>
      <c r="KCB247" s="29" t="e">
        <f t="shared" si="163"/>
        <v>#REF!</v>
      </c>
      <c r="KCC247" s="29" t="e">
        <f t="shared" si="163"/>
        <v>#REF!</v>
      </c>
      <c r="KCD247" s="29" t="e">
        <f t="shared" si="163"/>
        <v>#REF!</v>
      </c>
      <c r="KCE247" s="29" t="e">
        <f t="shared" si="163"/>
        <v>#REF!</v>
      </c>
      <c r="KCF247" s="29" t="e">
        <f t="shared" si="163"/>
        <v>#REF!</v>
      </c>
      <c r="KCG247" s="29" t="e">
        <f t="shared" si="163"/>
        <v>#REF!</v>
      </c>
      <c r="KCH247" s="29" t="e">
        <f t="shared" si="163"/>
        <v>#REF!</v>
      </c>
      <c r="KCI247" s="29" t="e">
        <f t="shared" si="163"/>
        <v>#REF!</v>
      </c>
      <c r="KCJ247" s="29" t="e">
        <f t="shared" si="163"/>
        <v>#REF!</v>
      </c>
      <c r="KCK247" s="29" t="e">
        <f t="shared" si="163"/>
        <v>#REF!</v>
      </c>
      <c r="KCL247" s="29" t="e">
        <f t="shared" si="163"/>
        <v>#REF!</v>
      </c>
      <c r="KCM247" s="29" t="e">
        <f t="shared" si="163"/>
        <v>#REF!</v>
      </c>
      <c r="KCN247" s="29" t="e">
        <f t="shared" si="163"/>
        <v>#REF!</v>
      </c>
      <c r="KCO247" s="29" t="e">
        <f t="shared" si="163"/>
        <v>#REF!</v>
      </c>
      <c r="KCP247" s="29" t="e">
        <f t="shared" si="163"/>
        <v>#REF!</v>
      </c>
      <c r="KCQ247" s="29" t="e">
        <f t="shared" si="163"/>
        <v>#REF!</v>
      </c>
      <c r="KCR247" s="29" t="e">
        <f t="shared" si="163"/>
        <v>#REF!</v>
      </c>
      <c r="KCS247" s="29" t="e">
        <f t="shared" si="163"/>
        <v>#REF!</v>
      </c>
      <c r="KCT247" s="29" t="e">
        <f t="shared" si="163"/>
        <v>#REF!</v>
      </c>
      <c r="KCU247" s="29" t="e">
        <f t="shared" si="163"/>
        <v>#REF!</v>
      </c>
      <c r="KCV247" s="29" t="e">
        <f t="shared" si="163"/>
        <v>#REF!</v>
      </c>
      <c r="KCW247" s="29" t="e">
        <f t="shared" si="163"/>
        <v>#REF!</v>
      </c>
      <c r="KCX247" s="29" t="e">
        <f t="shared" si="163"/>
        <v>#REF!</v>
      </c>
      <c r="KCY247" s="29" t="e">
        <f t="shared" si="163"/>
        <v>#REF!</v>
      </c>
      <c r="KCZ247" s="29" t="e">
        <f t="shared" si="163"/>
        <v>#REF!</v>
      </c>
      <c r="KDA247" s="29" t="e">
        <f t="shared" si="163"/>
        <v>#REF!</v>
      </c>
      <c r="KDB247" s="29" t="e">
        <f t="shared" si="163"/>
        <v>#REF!</v>
      </c>
      <c r="KDC247" s="29" t="e">
        <f t="shared" si="163"/>
        <v>#REF!</v>
      </c>
      <c r="KDD247" s="29" t="e">
        <f t="shared" si="163"/>
        <v>#REF!</v>
      </c>
      <c r="KDE247" s="29" t="e">
        <f t="shared" si="163"/>
        <v>#REF!</v>
      </c>
      <c r="KDF247" s="29" t="e">
        <f t="shared" si="163"/>
        <v>#REF!</v>
      </c>
      <c r="KDG247" s="29" t="e">
        <f t="shared" si="163"/>
        <v>#REF!</v>
      </c>
      <c r="KDH247" s="29" t="e">
        <f t="shared" si="163"/>
        <v>#REF!</v>
      </c>
      <c r="KDI247" s="29" t="e">
        <f t="shared" si="163"/>
        <v>#REF!</v>
      </c>
      <c r="KDJ247" s="29" t="e">
        <f t="shared" si="163"/>
        <v>#REF!</v>
      </c>
      <c r="KDK247" s="29" t="e">
        <f t="shared" si="163"/>
        <v>#REF!</v>
      </c>
      <c r="KDL247" s="29" t="e">
        <f t="shared" si="163"/>
        <v>#REF!</v>
      </c>
      <c r="KDM247" s="29" t="e">
        <f t="shared" si="163"/>
        <v>#REF!</v>
      </c>
      <c r="KDN247" s="29" t="e">
        <f t="shared" si="163"/>
        <v>#REF!</v>
      </c>
      <c r="KDO247" s="29" t="e">
        <f t="shared" si="163"/>
        <v>#REF!</v>
      </c>
      <c r="KDP247" s="29" t="e">
        <f t="shared" si="163"/>
        <v>#REF!</v>
      </c>
      <c r="KDQ247" s="29" t="e">
        <f t="shared" si="163"/>
        <v>#REF!</v>
      </c>
      <c r="KDR247" s="29" t="e">
        <f t="shared" si="163"/>
        <v>#REF!</v>
      </c>
      <c r="KDS247" s="29" t="e">
        <f t="shared" si="163"/>
        <v>#REF!</v>
      </c>
      <c r="KDT247" s="29" t="e">
        <f t="shared" si="163"/>
        <v>#REF!</v>
      </c>
      <c r="KDU247" s="29" t="e">
        <f t="shared" si="163"/>
        <v>#REF!</v>
      </c>
      <c r="KDV247" s="29" t="e">
        <f t="shared" si="163"/>
        <v>#REF!</v>
      </c>
      <c r="KDW247" s="29" t="e">
        <f t="shared" si="163"/>
        <v>#REF!</v>
      </c>
      <c r="KDX247" s="29" t="e">
        <f t="shared" si="163"/>
        <v>#REF!</v>
      </c>
      <c r="KDY247" s="29" t="e">
        <f t="shared" si="163"/>
        <v>#REF!</v>
      </c>
      <c r="KDZ247" s="29" t="e">
        <f t="shared" si="163"/>
        <v>#REF!</v>
      </c>
      <c r="KEA247" s="29" t="e">
        <f t="shared" si="163"/>
        <v>#REF!</v>
      </c>
      <c r="KEB247" s="29" t="e">
        <f t="shared" si="163"/>
        <v>#REF!</v>
      </c>
      <c r="KEC247" s="29" t="e">
        <f t="shared" ref="KEC247:KGN247" si="164">KEG247&amp;KEH247</f>
        <v>#REF!</v>
      </c>
      <c r="KED247" s="29" t="e">
        <f t="shared" si="164"/>
        <v>#REF!</v>
      </c>
      <c r="KEE247" s="29" t="e">
        <f t="shared" si="164"/>
        <v>#REF!</v>
      </c>
      <c r="KEF247" s="29" t="e">
        <f t="shared" si="164"/>
        <v>#REF!</v>
      </c>
      <c r="KEG247" s="29" t="e">
        <f t="shared" si="164"/>
        <v>#REF!</v>
      </c>
      <c r="KEH247" s="29" t="e">
        <f t="shared" si="164"/>
        <v>#REF!</v>
      </c>
      <c r="KEI247" s="29" t="e">
        <f t="shared" si="164"/>
        <v>#REF!</v>
      </c>
      <c r="KEJ247" s="29" t="e">
        <f t="shared" si="164"/>
        <v>#REF!</v>
      </c>
      <c r="KEK247" s="29" t="e">
        <f t="shared" si="164"/>
        <v>#REF!</v>
      </c>
      <c r="KEL247" s="29" t="e">
        <f t="shared" si="164"/>
        <v>#REF!</v>
      </c>
      <c r="KEM247" s="29" t="e">
        <f t="shared" si="164"/>
        <v>#REF!</v>
      </c>
      <c r="KEN247" s="29" t="e">
        <f t="shared" si="164"/>
        <v>#REF!</v>
      </c>
      <c r="KEO247" s="29" t="e">
        <f t="shared" si="164"/>
        <v>#REF!</v>
      </c>
      <c r="KEP247" s="29" t="e">
        <f t="shared" si="164"/>
        <v>#REF!</v>
      </c>
      <c r="KEQ247" s="29" t="e">
        <f t="shared" si="164"/>
        <v>#REF!</v>
      </c>
      <c r="KER247" s="29" t="e">
        <f t="shared" si="164"/>
        <v>#REF!</v>
      </c>
      <c r="KES247" s="29" t="e">
        <f t="shared" si="164"/>
        <v>#REF!</v>
      </c>
      <c r="KET247" s="29" t="e">
        <f t="shared" si="164"/>
        <v>#REF!</v>
      </c>
      <c r="KEU247" s="29" t="e">
        <f t="shared" si="164"/>
        <v>#REF!</v>
      </c>
      <c r="KEV247" s="29" t="e">
        <f t="shared" si="164"/>
        <v>#REF!</v>
      </c>
      <c r="KEW247" s="29" t="e">
        <f t="shared" si="164"/>
        <v>#REF!</v>
      </c>
      <c r="KEX247" s="29" t="e">
        <f t="shared" si="164"/>
        <v>#REF!</v>
      </c>
      <c r="KEY247" s="29" t="e">
        <f t="shared" si="164"/>
        <v>#REF!</v>
      </c>
      <c r="KEZ247" s="29" t="e">
        <f t="shared" si="164"/>
        <v>#REF!</v>
      </c>
      <c r="KFA247" s="29" t="e">
        <f t="shared" si="164"/>
        <v>#REF!</v>
      </c>
      <c r="KFB247" s="29" t="e">
        <f t="shared" si="164"/>
        <v>#REF!</v>
      </c>
      <c r="KFC247" s="29" t="e">
        <f t="shared" si="164"/>
        <v>#REF!</v>
      </c>
      <c r="KFD247" s="29" t="e">
        <f t="shared" si="164"/>
        <v>#REF!</v>
      </c>
      <c r="KFE247" s="29" t="e">
        <f t="shared" si="164"/>
        <v>#REF!</v>
      </c>
      <c r="KFF247" s="29" t="e">
        <f t="shared" si="164"/>
        <v>#REF!</v>
      </c>
      <c r="KFG247" s="29" t="e">
        <f t="shared" si="164"/>
        <v>#REF!</v>
      </c>
      <c r="KFH247" s="29" t="e">
        <f t="shared" si="164"/>
        <v>#REF!</v>
      </c>
      <c r="KFI247" s="29" t="e">
        <f t="shared" si="164"/>
        <v>#REF!</v>
      </c>
      <c r="KFJ247" s="29" t="e">
        <f t="shared" si="164"/>
        <v>#REF!</v>
      </c>
      <c r="KFK247" s="29" t="e">
        <f t="shared" si="164"/>
        <v>#REF!</v>
      </c>
      <c r="KFL247" s="29" t="e">
        <f t="shared" si="164"/>
        <v>#REF!</v>
      </c>
      <c r="KFM247" s="29" t="e">
        <f t="shared" si="164"/>
        <v>#REF!</v>
      </c>
      <c r="KFN247" s="29" t="e">
        <f t="shared" si="164"/>
        <v>#REF!</v>
      </c>
      <c r="KFO247" s="29" t="e">
        <f t="shared" si="164"/>
        <v>#REF!</v>
      </c>
      <c r="KFP247" s="29" t="e">
        <f t="shared" si="164"/>
        <v>#REF!</v>
      </c>
      <c r="KFQ247" s="29" t="e">
        <f t="shared" si="164"/>
        <v>#REF!</v>
      </c>
      <c r="KFR247" s="29" t="e">
        <f t="shared" si="164"/>
        <v>#REF!</v>
      </c>
      <c r="KFS247" s="29" t="e">
        <f t="shared" si="164"/>
        <v>#REF!</v>
      </c>
      <c r="KFT247" s="29" t="e">
        <f t="shared" si="164"/>
        <v>#REF!</v>
      </c>
      <c r="KFU247" s="29" t="e">
        <f t="shared" si="164"/>
        <v>#REF!</v>
      </c>
      <c r="KFV247" s="29" t="e">
        <f t="shared" si="164"/>
        <v>#REF!</v>
      </c>
      <c r="KFW247" s="29" t="e">
        <f t="shared" si="164"/>
        <v>#REF!</v>
      </c>
      <c r="KFX247" s="29" t="e">
        <f t="shared" si="164"/>
        <v>#REF!</v>
      </c>
      <c r="KFY247" s="29" t="e">
        <f t="shared" si="164"/>
        <v>#REF!</v>
      </c>
      <c r="KFZ247" s="29" t="e">
        <f t="shared" si="164"/>
        <v>#REF!</v>
      </c>
      <c r="KGA247" s="29" t="e">
        <f t="shared" si="164"/>
        <v>#REF!</v>
      </c>
      <c r="KGB247" s="29" t="e">
        <f t="shared" si="164"/>
        <v>#REF!</v>
      </c>
      <c r="KGC247" s="29" t="e">
        <f t="shared" si="164"/>
        <v>#REF!</v>
      </c>
      <c r="KGD247" s="29" t="e">
        <f t="shared" si="164"/>
        <v>#REF!</v>
      </c>
      <c r="KGE247" s="29" t="e">
        <f t="shared" si="164"/>
        <v>#REF!</v>
      </c>
      <c r="KGF247" s="29" t="e">
        <f t="shared" si="164"/>
        <v>#REF!</v>
      </c>
      <c r="KGG247" s="29" t="e">
        <f t="shared" si="164"/>
        <v>#REF!</v>
      </c>
      <c r="KGH247" s="29" t="e">
        <f t="shared" si="164"/>
        <v>#REF!</v>
      </c>
      <c r="KGI247" s="29" t="e">
        <f t="shared" si="164"/>
        <v>#REF!</v>
      </c>
      <c r="KGJ247" s="29" t="e">
        <f t="shared" si="164"/>
        <v>#REF!</v>
      </c>
      <c r="KGK247" s="29" t="e">
        <f t="shared" si="164"/>
        <v>#REF!</v>
      </c>
      <c r="KGL247" s="29" t="e">
        <f t="shared" si="164"/>
        <v>#REF!</v>
      </c>
      <c r="KGM247" s="29" t="e">
        <f t="shared" si="164"/>
        <v>#REF!</v>
      </c>
      <c r="KGN247" s="29" t="e">
        <f t="shared" si="164"/>
        <v>#REF!</v>
      </c>
      <c r="KGO247" s="29" t="e">
        <f t="shared" ref="KGO247:KIZ247" si="165">KGS247&amp;KGT247</f>
        <v>#REF!</v>
      </c>
      <c r="KGP247" s="29" t="e">
        <f t="shared" si="165"/>
        <v>#REF!</v>
      </c>
      <c r="KGQ247" s="29" t="e">
        <f t="shared" si="165"/>
        <v>#REF!</v>
      </c>
      <c r="KGR247" s="29" t="e">
        <f t="shared" si="165"/>
        <v>#REF!</v>
      </c>
      <c r="KGS247" s="29" t="e">
        <f t="shared" si="165"/>
        <v>#REF!</v>
      </c>
      <c r="KGT247" s="29" t="e">
        <f t="shared" si="165"/>
        <v>#REF!</v>
      </c>
      <c r="KGU247" s="29" t="e">
        <f t="shared" si="165"/>
        <v>#REF!</v>
      </c>
      <c r="KGV247" s="29" t="e">
        <f t="shared" si="165"/>
        <v>#REF!</v>
      </c>
      <c r="KGW247" s="29" t="e">
        <f t="shared" si="165"/>
        <v>#REF!</v>
      </c>
      <c r="KGX247" s="29" t="e">
        <f t="shared" si="165"/>
        <v>#REF!</v>
      </c>
      <c r="KGY247" s="29" t="e">
        <f t="shared" si="165"/>
        <v>#REF!</v>
      </c>
      <c r="KGZ247" s="29" t="e">
        <f t="shared" si="165"/>
        <v>#REF!</v>
      </c>
      <c r="KHA247" s="29" t="e">
        <f t="shared" si="165"/>
        <v>#REF!</v>
      </c>
      <c r="KHB247" s="29" t="e">
        <f t="shared" si="165"/>
        <v>#REF!</v>
      </c>
      <c r="KHC247" s="29" t="e">
        <f t="shared" si="165"/>
        <v>#REF!</v>
      </c>
      <c r="KHD247" s="29" t="e">
        <f t="shared" si="165"/>
        <v>#REF!</v>
      </c>
      <c r="KHE247" s="29" t="e">
        <f t="shared" si="165"/>
        <v>#REF!</v>
      </c>
      <c r="KHF247" s="29" t="e">
        <f t="shared" si="165"/>
        <v>#REF!</v>
      </c>
      <c r="KHG247" s="29" t="e">
        <f t="shared" si="165"/>
        <v>#REF!</v>
      </c>
      <c r="KHH247" s="29" t="e">
        <f t="shared" si="165"/>
        <v>#REF!</v>
      </c>
      <c r="KHI247" s="29" t="e">
        <f t="shared" si="165"/>
        <v>#REF!</v>
      </c>
      <c r="KHJ247" s="29" t="e">
        <f t="shared" si="165"/>
        <v>#REF!</v>
      </c>
      <c r="KHK247" s="29" t="e">
        <f t="shared" si="165"/>
        <v>#REF!</v>
      </c>
      <c r="KHL247" s="29" t="e">
        <f t="shared" si="165"/>
        <v>#REF!</v>
      </c>
      <c r="KHM247" s="29" t="e">
        <f t="shared" si="165"/>
        <v>#REF!</v>
      </c>
      <c r="KHN247" s="29" t="e">
        <f t="shared" si="165"/>
        <v>#REF!</v>
      </c>
      <c r="KHO247" s="29" t="e">
        <f t="shared" si="165"/>
        <v>#REF!</v>
      </c>
      <c r="KHP247" s="29" t="e">
        <f t="shared" si="165"/>
        <v>#REF!</v>
      </c>
      <c r="KHQ247" s="29" t="e">
        <f t="shared" si="165"/>
        <v>#REF!</v>
      </c>
      <c r="KHR247" s="29" t="e">
        <f t="shared" si="165"/>
        <v>#REF!</v>
      </c>
      <c r="KHS247" s="29" t="e">
        <f t="shared" si="165"/>
        <v>#REF!</v>
      </c>
      <c r="KHT247" s="29" t="e">
        <f t="shared" si="165"/>
        <v>#REF!</v>
      </c>
      <c r="KHU247" s="29" t="e">
        <f t="shared" si="165"/>
        <v>#REF!</v>
      </c>
      <c r="KHV247" s="29" t="e">
        <f t="shared" si="165"/>
        <v>#REF!</v>
      </c>
      <c r="KHW247" s="29" t="e">
        <f t="shared" si="165"/>
        <v>#REF!</v>
      </c>
      <c r="KHX247" s="29" t="e">
        <f t="shared" si="165"/>
        <v>#REF!</v>
      </c>
      <c r="KHY247" s="29" t="e">
        <f t="shared" si="165"/>
        <v>#REF!</v>
      </c>
      <c r="KHZ247" s="29" t="e">
        <f t="shared" si="165"/>
        <v>#REF!</v>
      </c>
      <c r="KIA247" s="29" t="e">
        <f t="shared" si="165"/>
        <v>#REF!</v>
      </c>
      <c r="KIB247" s="29" t="e">
        <f t="shared" si="165"/>
        <v>#REF!</v>
      </c>
      <c r="KIC247" s="29" t="e">
        <f t="shared" si="165"/>
        <v>#REF!</v>
      </c>
      <c r="KID247" s="29" t="e">
        <f t="shared" si="165"/>
        <v>#REF!</v>
      </c>
      <c r="KIE247" s="29" t="e">
        <f t="shared" si="165"/>
        <v>#REF!</v>
      </c>
      <c r="KIF247" s="29" t="e">
        <f t="shared" si="165"/>
        <v>#REF!</v>
      </c>
      <c r="KIG247" s="29" t="e">
        <f t="shared" si="165"/>
        <v>#REF!</v>
      </c>
      <c r="KIH247" s="29" t="e">
        <f t="shared" si="165"/>
        <v>#REF!</v>
      </c>
      <c r="KII247" s="29" t="e">
        <f t="shared" si="165"/>
        <v>#REF!</v>
      </c>
      <c r="KIJ247" s="29" t="e">
        <f t="shared" si="165"/>
        <v>#REF!</v>
      </c>
      <c r="KIK247" s="29" t="e">
        <f t="shared" si="165"/>
        <v>#REF!</v>
      </c>
      <c r="KIL247" s="29" t="e">
        <f t="shared" si="165"/>
        <v>#REF!</v>
      </c>
      <c r="KIM247" s="29" t="e">
        <f t="shared" si="165"/>
        <v>#REF!</v>
      </c>
      <c r="KIN247" s="29" t="e">
        <f t="shared" si="165"/>
        <v>#REF!</v>
      </c>
      <c r="KIO247" s="29" t="e">
        <f t="shared" si="165"/>
        <v>#REF!</v>
      </c>
      <c r="KIP247" s="29" t="e">
        <f t="shared" si="165"/>
        <v>#REF!</v>
      </c>
      <c r="KIQ247" s="29" t="e">
        <f t="shared" si="165"/>
        <v>#REF!</v>
      </c>
      <c r="KIR247" s="29" t="e">
        <f t="shared" si="165"/>
        <v>#REF!</v>
      </c>
      <c r="KIS247" s="29" t="e">
        <f t="shared" si="165"/>
        <v>#REF!</v>
      </c>
      <c r="KIT247" s="29" t="e">
        <f t="shared" si="165"/>
        <v>#REF!</v>
      </c>
      <c r="KIU247" s="29" t="e">
        <f t="shared" si="165"/>
        <v>#REF!</v>
      </c>
      <c r="KIV247" s="29" t="e">
        <f t="shared" si="165"/>
        <v>#REF!</v>
      </c>
      <c r="KIW247" s="29" t="e">
        <f t="shared" si="165"/>
        <v>#REF!</v>
      </c>
      <c r="KIX247" s="29" t="e">
        <f t="shared" si="165"/>
        <v>#REF!</v>
      </c>
      <c r="KIY247" s="29" t="e">
        <f t="shared" si="165"/>
        <v>#REF!</v>
      </c>
      <c r="KIZ247" s="29" t="e">
        <f t="shared" si="165"/>
        <v>#REF!</v>
      </c>
      <c r="KJA247" s="29" t="e">
        <f t="shared" ref="KJA247:KLL247" si="166">KJE247&amp;KJF247</f>
        <v>#REF!</v>
      </c>
      <c r="KJB247" s="29" t="e">
        <f t="shared" si="166"/>
        <v>#REF!</v>
      </c>
      <c r="KJC247" s="29" t="e">
        <f t="shared" si="166"/>
        <v>#REF!</v>
      </c>
      <c r="KJD247" s="29" t="e">
        <f t="shared" si="166"/>
        <v>#REF!</v>
      </c>
      <c r="KJE247" s="29" t="e">
        <f t="shared" si="166"/>
        <v>#REF!</v>
      </c>
      <c r="KJF247" s="29" t="e">
        <f t="shared" si="166"/>
        <v>#REF!</v>
      </c>
      <c r="KJG247" s="29" t="e">
        <f t="shared" si="166"/>
        <v>#REF!</v>
      </c>
      <c r="KJH247" s="29" t="e">
        <f t="shared" si="166"/>
        <v>#REF!</v>
      </c>
      <c r="KJI247" s="29" t="e">
        <f t="shared" si="166"/>
        <v>#REF!</v>
      </c>
      <c r="KJJ247" s="29" t="e">
        <f t="shared" si="166"/>
        <v>#REF!</v>
      </c>
      <c r="KJK247" s="29" t="e">
        <f t="shared" si="166"/>
        <v>#REF!</v>
      </c>
      <c r="KJL247" s="29" t="e">
        <f t="shared" si="166"/>
        <v>#REF!</v>
      </c>
      <c r="KJM247" s="29" t="e">
        <f t="shared" si="166"/>
        <v>#REF!</v>
      </c>
      <c r="KJN247" s="29" t="e">
        <f t="shared" si="166"/>
        <v>#REF!</v>
      </c>
      <c r="KJO247" s="29" t="e">
        <f t="shared" si="166"/>
        <v>#REF!</v>
      </c>
      <c r="KJP247" s="29" t="e">
        <f t="shared" si="166"/>
        <v>#REF!</v>
      </c>
      <c r="KJQ247" s="29" t="e">
        <f t="shared" si="166"/>
        <v>#REF!</v>
      </c>
      <c r="KJR247" s="29" t="e">
        <f t="shared" si="166"/>
        <v>#REF!</v>
      </c>
      <c r="KJS247" s="29" t="e">
        <f t="shared" si="166"/>
        <v>#REF!</v>
      </c>
      <c r="KJT247" s="29" t="e">
        <f t="shared" si="166"/>
        <v>#REF!</v>
      </c>
      <c r="KJU247" s="29" t="e">
        <f t="shared" si="166"/>
        <v>#REF!</v>
      </c>
      <c r="KJV247" s="29" t="e">
        <f t="shared" si="166"/>
        <v>#REF!</v>
      </c>
      <c r="KJW247" s="29" t="e">
        <f t="shared" si="166"/>
        <v>#REF!</v>
      </c>
      <c r="KJX247" s="29" t="e">
        <f t="shared" si="166"/>
        <v>#REF!</v>
      </c>
      <c r="KJY247" s="29" t="e">
        <f t="shared" si="166"/>
        <v>#REF!</v>
      </c>
      <c r="KJZ247" s="29" t="e">
        <f t="shared" si="166"/>
        <v>#REF!</v>
      </c>
      <c r="KKA247" s="29" t="e">
        <f t="shared" si="166"/>
        <v>#REF!</v>
      </c>
      <c r="KKB247" s="29" t="e">
        <f t="shared" si="166"/>
        <v>#REF!</v>
      </c>
      <c r="KKC247" s="29" t="e">
        <f t="shared" si="166"/>
        <v>#REF!</v>
      </c>
      <c r="KKD247" s="29" t="e">
        <f t="shared" si="166"/>
        <v>#REF!</v>
      </c>
      <c r="KKE247" s="29" t="e">
        <f t="shared" si="166"/>
        <v>#REF!</v>
      </c>
      <c r="KKF247" s="29" t="e">
        <f t="shared" si="166"/>
        <v>#REF!</v>
      </c>
      <c r="KKG247" s="29" t="e">
        <f t="shared" si="166"/>
        <v>#REF!</v>
      </c>
      <c r="KKH247" s="29" t="e">
        <f t="shared" si="166"/>
        <v>#REF!</v>
      </c>
      <c r="KKI247" s="29" t="e">
        <f t="shared" si="166"/>
        <v>#REF!</v>
      </c>
      <c r="KKJ247" s="29" t="e">
        <f t="shared" si="166"/>
        <v>#REF!</v>
      </c>
      <c r="KKK247" s="29" t="e">
        <f t="shared" si="166"/>
        <v>#REF!</v>
      </c>
      <c r="KKL247" s="29" t="e">
        <f t="shared" si="166"/>
        <v>#REF!</v>
      </c>
      <c r="KKM247" s="29" t="e">
        <f t="shared" si="166"/>
        <v>#REF!</v>
      </c>
      <c r="KKN247" s="29" t="e">
        <f t="shared" si="166"/>
        <v>#REF!</v>
      </c>
      <c r="KKO247" s="29" t="e">
        <f t="shared" si="166"/>
        <v>#REF!</v>
      </c>
      <c r="KKP247" s="29" t="e">
        <f t="shared" si="166"/>
        <v>#REF!</v>
      </c>
      <c r="KKQ247" s="29" t="e">
        <f t="shared" si="166"/>
        <v>#REF!</v>
      </c>
      <c r="KKR247" s="29" t="e">
        <f t="shared" si="166"/>
        <v>#REF!</v>
      </c>
      <c r="KKS247" s="29" t="e">
        <f t="shared" si="166"/>
        <v>#REF!</v>
      </c>
      <c r="KKT247" s="29" t="e">
        <f t="shared" si="166"/>
        <v>#REF!</v>
      </c>
      <c r="KKU247" s="29" t="e">
        <f t="shared" si="166"/>
        <v>#REF!</v>
      </c>
      <c r="KKV247" s="29" t="e">
        <f t="shared" si="166"/>
        <v>#REF!</v>
      </c>
      <c r="KKW247" s="29" t="e">
        <f t="shared" si="166"/>
        <v>#REF!</v>
      </c>
      <c r="KKX247" s="29" t="e">
        <f t="shared" si="166"/>
        <v>#REF!</v>
      </c>
      <c r="KKY247" s="29" t="e">
        <f t="shared" si="166"/>
        <v>#REF!</v>
      </c>
      <c r="KKZ247" s="29" t="e">
        <f t="shared" si="166"/>
        <v>#REF!</v>
      </c>
      <c r="KLA247" s="29" t="e">
        <f t="shared" si="166"/>
        <v>#REF!</v>
      </c>
      <c r="KLB247" s="29" t="e">
        <f t="shared" si="166"/>
        <v>#REF!</v>
      </c>
      <c r="KLC247" s="29" t="e">
        <f t="shared" si="166"/>
        <v>#REF!</v>
      </c>
      <c r="KLD247" s="29" t="e">
        <f t="shared" si="166"/>
        <v>#REF!</v>
      </c>
      <c r="KLE247" s="29" t="e">
        <f t="shared" si="166"/>
        <v>#REF!</v>
      </c>
      <c r="KLF247" s="29" t="e">
        <f t="shared" si="166"/>
        <v>#REF!</v>
      </c>
      <c r="KLG247" s="29" t="e">
        <f t="shared" si="166"/>
        <v>#REF!</v>
      </c>
      <c r="KLH247" s="29" t="e">
        <f t="shared" si="166"/>
        <v>#REF!</v>
      </c>
      <c r="KLI247" s="29" t="e">
        <f t="shared" si="166"/>
        <v>#REF!</v>
      </c>
      <c r="KLJ247" s="29" t="e">
        <f t="shared" si="166"/>
        <v>#REF!</v>
      </c>
      <c r="KLK247" s="29" t="e">
        <f t="shared" si="166"/>
        <v>#REF!</v>
      </c>
      <c r="KLL247" s="29" t="e">
        <f t="shared" si="166"/>
        <v>#REF!</v>
      </c>
      <c r="KLM247" s="29" t="e">
        <f t="shared" ref="KLM247:KNX247" si="167">KLQ247&amp;KLR247</f>
        <v>#REF!</v>
      </c>
      <c r="KLN247" s="29" t="e">
        <f t="shared" si="167"/>
        <v>#REF!</v>
      </c>
      <c r="KLO247" s="29" t="e">
        <f t="shared" si="167"/>
        <v>#REF!</v>
      </c>
      <c r="KLP247" s="29" t="e">
        <f t="shared" si="167"/>
        <v>#REF!</v>
      </c>
      <c r="KLQ247" s="29" t="e">
        <f t="shared" si="167"/>
        <v>#REF!</v>
      </c>
      <c r="KLR247" s="29" t="e">
        <f t="shared" si="167"/>
        <v>#REF!</v>
      </c>
      <c r="KLS247" s="29" t="e">
        <f t="shared" si="167"/>
        <v>#REF!</v>
      </c>
      <c r="KLT247" s="29" t="e">
        <f t="shared" si="167"/>
        <v>#REF!</v>
      </c>
      <c r="KLU247" s="29" t="e">
        <f t="shared" si="167"/>
        <v>#REF!</v>
      </c>
      <c r="KLV247" s="29" t="e">
        <f t="shared" si="167"/>
        <v>#REF!</v>
      </c>
      <c r="KLW247" s="29" t="e">
        <f t="shared" si="167"/>
        <v>#REF!</v>
      </c>
      <c r="KLX247" s="29" t="e">
        <f t="shared" si="167"/>
        <v>#REF!</v>
      </c>
      <c r="KLY247" s="29" t="e">
        <f t="shared" si="167"/>
        <v>#REF!</v>
      </c>
      <c r="KLZ247" s="29" t="e">
        <f t="shared" si="167"/>
        <v>#REF!</v>
      </c>
      <c r="KMA247" s="29" t="e">
        <f t="shared" si="167"/>
        <v>#REF!</v>
      </c>
      <c r="KMB247" s="29" t="e">
        <f t="shared" si="167"/>
        <v>#REF!</v>
      </c>
      <c r="KMC247" s="29" t="e">
        <f t="shared" si="167"/>
        <v>#REF!</v>
      </c>
      <c r="KMD247" s="29" t="e">
        <f t="shared" si="167"/>
        <v>#REF!</v>
      </c>
      <c r="KME247" s="29" t="e">
        <f t="shared" si="167"/>
        <v>#REF!</v>
      </c>
      <c r="KMF247" s="29" t="e">
        <f t="shared" si="167"/>
        <v>#REF!</v>
      </c>
      <c r="KMG247" s="29" t="e">
        <f t="shared" si="167"/>
        <v>#REF!</v>
      </c>
      <c r="KMH247" s="29" t="e">
        <f t="shared" si="167"/>
        <v>#REF!</v>
      </c>
      <c r="KMI247" s="29" t="e">
        <f t="shared" si="167"/>
        <v>#REF!</v>
      </c>
      <c r="KMJ247" s="29" t="e">
        <f t="shared" si="167"/>
        <v>#REF!</v>
      </c>
      <c r="KMK247" s="29" t="e">
        <f t="shared" si="167"/>
        <v>#REF!</v>
      </c>
      <c r="KML247" s="29" t="e">
        <f t="shared" si="167"/>
        <v>#REF!</v>
      </c>
      <c r="KMM247" s="29" t="e">
        <f t="shared" si="167"/>
        <v>#REF!</v>
      </c>
      <c r="KMN247" s="29" t="e">
        <f t="shared" si="167"/>
        <v>#REF!</v>
      </c>
      <c r="KMO247" s="29" t="e">
        <f t="shared" si="167"/>
        <v>#REF!</v>
      </c>
      <c r="KMP247" s="29" t="e">
        <f t="shared" si="167"/>
        <v>#REF!</v>
      </c>
      <c r="KMQ247" s="29" t="e">
        <f t="shared" si="167"/>
        <v>#REF!</v>
      </c>
      <c r="KMR247" s="29" t="e">
        <f t="shared" si="167"/>
        <v>#REF!</v>
      </c>
      <c r="KMS247" s="29" t="e">
        <f t="shared" si="167"/>
        <v>#REF!</v>
      </c>
      <c r="KMT247" s="29" t="e">
        <f t="shared" si="167"/>
        <v>#REF!</v>
      </c>
      <c r="KMU247" s="29" t="e">
        <f t="shared" si="167"/>
        <v>#REF!</v>
      </c>
      <c r="KMV247" s="29" t="e">
        <f t="shared" si="167"/>
        <v>#REF!</v>
      </c>
      <c r="KMW247" s="29" t="e">
        <f t="shared" si="167"/>
        <v>#REF!</v>
      </c>
      <c r="KMX247" s="29" t="e">
        <f t="shared" si="167"/>
        <v>#REF!</v>
      </c>
      <c r="KMY247" s="29" t="e">
        <f t="shared" si="167"/>
        <v>#REF!</v>
      </c>
      <c r="KMZ247" s="29" t="e">
        <f t="shared" si="167"/>
        <v>#REF!</v>
      </c>
      <c r="KNA247" s="29" t="e">
        <f t="shared" si="167"/>
        <v>#REF!</v>
      </c>
      <c r="KNB247" s="29" t="e">
        <f t="shared" si="167"/>
        <v>#REF!</v>
      </c>
      <c r="KNC247" s="29" t="e">
        <f t="shared" si="167"/>
        <v>#REF!</v>
      </c>
      <c r="KND247" s="29" t="e">
        <f t="shared" si="167"/>
        <v>#REF!</v>
      </c>
      <c r="KNE247" s="29" t="e">
        <f t="shared" si="167"/>
        <v>#REF!</v>
      </c>
      <c r="KNF247" s="29" t="e">
        <f t="shared" si="167"/>
        <v>#REF!</v>
      </c>
      <c r="KNG247" s="29" t="e">
        <f t="shared" si="167"/>
        <v>#REF!</v>
      </c>
      <c r="KNH247" s="29" t="e">
        <f t="shared" si="167"/>
        <v>#REF!</v>
      </c>
      <c r="KNI247" s="29" t="e">
        <f t="shared" si="167"/>
        <v>#REF!</v>
      </c>
      <c r="KNJ247" s="29" t="e">
        <f t="shared" si="167"/>
        <v>#REF!</v>
      </c>
      <c r="KNK247" s="29" t="e">
        <f t="shared" si="167"/>
        <v>#REF!</v>
      </c>
      <c r="KNL247" s="29" t="e">
        <f t="shared" si="167"/>
        <v>#REF!</v>
      </c>
      <c r="KNM247" s="29" t="e">
        <f t="shared" si="167"/>
        <v>#REF!</v>
      </c>
      <c r="KNN247" s="29" t="e">
        <f t="shared" si="167"/>
        <v>#REF!</v>
      </c>
      <c r="KNO247" s="29" t="e">
        <f t="shared" si="167"/>
        <v>#REF!</v>
      </c>
      <c r="KNP247" s="29" t="e">
        <f t="shared" si="167"/>
        <v>#REF!</v>
      </c>
      <c r="KNQ247" s="29" t="e">
        <f t="shared" si="167"/>
        <v>#REF!</v>
      </c>
      <c r="KNR247" s="29" t="e">
        <f t="shared" si="167"/>
        <v>#REF!</v>
      </c>
      <c r="KNS247" s="29" t="e">
        <f t="shared" si="167"/>
        <v>#REF!</v>
      </c>
      <c r="KNT247" s="29" t="e">
        <f t="shared" si="167"/>
        <v>#REF!</v>
      </c>
      <c r="KNU247" s="29" t="e">
        <f t="shared" si="167"/>
        <v>#REF!</v>
      </c>
      <c r="KNV247" s="29" t="e">
        <f t="shared" si="167"/>
        <v>#REF!</v>
      </c>
      <c r="KNW247" s="29" t="e">
        <f t="shared" si="167"/>
        <v>#REF!</v>
      </c>
      <c r="KNX247" s="29" t="e">
        <f t="shared" si="167"/>
        <v>#REF!</v>
      </c>
      <c r="KNY247" s="29" t="e">
        <f t="shared" ref="KNY247:KQJ247" si="168">KOC247&amp;KOD247</f>
        <v>#REF!</v>
      </c>
      <c r="KNZ247" s="29" t="e">
        <f t="shared" si="168"/>
        <v>#REF!</v>
      </c>
      <c r="KOA247" s="29" t="e">
        <f t="shared" si="168"/>
        <v>#REF!</v>
      </c>
      <c r="KOB247" s="29" t="e">
        <f t="shared" si="168"/>
        <v>#REF!</v>
      </c>
      <c r="KOC247" s="29" t="e">
        <f t="shared" si="168"/>
        <v>#REF!</v>
      </c>
      <c r="KOD247" s="29" t="e">
        <f t="shared" si="168"/>
        <v>#REF!</v>
      </c>
      <c r="KOE247" s="29" t="e">
        <f t="shared" si="168"/>
        <v>#REF!</v>
      </c>
      <c r="KOF247" s="29" t="e">
        <f t="shared" si="168"/>
        <v>#REF!</v>
      </c>
      <c r="KOG247" s="29" t="e">
        <f t="shared" si="168"/>
        <v>#REF!</v>
      </c>
      <c r="KOH247" s="29" t="e">
        <f t="shared" si="168"/>
        <v>#REF!</v>
      </c>
      <c r="KOI247" s="29" t="e">
        <f t="shared" si="168"/>
        <v>#REF!</v>
      </c>
      <c r="KOJ247" s="29" t="e">
        <f t="shared" si="168"/>
        <v>#REF!</v>
      </c>
      <c r="KOK247" s="29" t="e">
        <f t="shared" si="168"/>
        <v>#REF!</v>
      </c>
      <c r="KOL247" s="29" t="e">
        <f t="shared" si="168"/>
        <v>#REF!</v>
      </c>
      <c r="KOM247" s="29" t="e">
        <f t="shared" si="168"/>
        <v>#REF!</v>
      </c>
      <c r="KON247" s="29" t="e">
        <f t="shared" si="168"/>
        <v>#REF!</v>
      </c>
      <c r="KOO247" s="29" t="e">
        <f t="shared" si="168"/>
        <v>#REF!</v>
      </c>
      <c r="KOP247" s="29" t="e">
        <f t="shared" si="168"/>
        <v>#REF!</v>
      </c>
      <c r="KOQ247" s="29" t="e">
        <f t="shared" si="168"/>
        <v>#REF!</v>
      </c>
      <c r="KOR247" s="29" t="e">
        <f t="shared" si="168"/>
        <v>#REF!</v>
      </c>
      <c r="KOS247" s="29" t="e">
        <f t="shared" si="168"/>
        <v>#REF!</v>
      </c>
      <c r="KOT247" s="29" t="e">
        <f t="shared" si="168"/>
        <v>#REF!</v>
      </c>
      <c r="KOU247" s="29" t="e">
        <f t="shared" si="168"/>
        <v>#REF!</v>
      </c>
      <c r="KOV247" s="29" t="e">
        <f t="shared" si="168"/>
        <v>#REF!</v>
      </c>
      <c r="KOW247" s="29" t="e">
        <f t="shared" si="168"/>
        <v>#REF!</v>
      </c>
      <c r="KOX247" s="29" t="e">
        <f t="shared" si="168"/>
        <v>#REF!</v>
      </c>
      <c r="KOY247" s="29" t="e">
        <f t="shared" si="168"/>
        <v>#REF!</v>
      </c>
      <c r="KOZ247" s="29" t="e">
        <f t="shared" si="168"/>
        <v>#REF!</v>
      </c>
      <c r="KPA247" s="29" t="e">
        <f t="shared" si="168"/>
        <v>#REF!</v>
      </c>
      <c r="KPB247" s="29" t="e">
        <f t="shared" si="168"/>
        <v>#REF!</v>
      </c>
      <c r="KPC247" s="29" t="e">
        <f t="shared" si="168"/>
        <v>#REF!</v>
      </c>
      <c r="KPD247" s="29" t="e">
        <f t="shared" si="168"/>
        <v>#REF!</v>
      </c>
      <c r="KPE247" s="29" t="e">
        <f t="shared" si="168"/>
        <v>#REF!</v>
      </c>
      <c r="KPF247" s="29" t="e">
        <f t="shared" si="168"/>
        <v>#REF!</v>
      </c>
      <c r="KPG247" s="29" t="e">
        <f t="shared" si="168"/>
        <v>#REF!</v>
      </c>
      <c r="KPH247" s="29" t="e">
        <f t="shared" si="168"/>
        <v>#REF!</v>
      </c>
      <c r="KPI247" s="29" t="e">
        <f t="shared" si="168"/>
        <v>#REF!</v>
      </c>
      <c r="KPJ247" s="29" t="e">
        <f t="shared" si="168"/>
        <v>#REF!</v>
      </c>
      <c r="KPK247" s="29" t="e">
        <f t="shared" si="168"/>
        <v>#REF!</v>
      </c>
      <c r="KPL247" s="29" t="e">
        <f t="shared" si="168"/>
        <v>#REF!</v>
      </c>
      <c r="KPM247" s="29" t="e">
        <f t="shared" si="168"/>
        <v>#REF!</v>
      </c>
      <c r="KPN247" s="29" t="e">
        <f t="shared" si="168"/>
        <v>#REF!</v>
      </c>
      <c r="KPO247" s="29" t="e">
        <f t="shared" si="168"/>
        <v>#REF!</v>
      </c>
      <c r="KPP247" s="29" t="e">
        <f t="shared" si="168"/>
        <v>#REF!</v>
      </c>
      <c r="KPQ247" s="29" t="e">
        <f t="shared" si="168"/>
        <v>#REF!</v>
      </c>
      <c r="KPR247" s="29" t="e">
        <f t="shared" si="168"/>
        <v>#REF!</v>
      </c>
      <c r="KPS247" s="29" t="e">
        <f t="shared" si="168"/>
        <v>#REF!</v>
      </c>
      <c r="KPT247" s="29" t="e">
        <f t="shared" si="168"/>
        <v>#REF!</v>
      </c>
      <c r="KPU247" s="29" t="e">
        <f t="shared" si="168"/>
        <v>#REF!</v>
      </c>
      <c r="KPV247" s="29" t="e">
        <f t="shared" si="168"/>
        <v>#REF!</v>
      </c>
      <c r="KPW247" s="29" t="e">
        <f t="shared" si="168"/>
        <v>#REF!</v>
      </c>
      <c r="KPX247" s="29" t="e">
        <f t="shared" si="168"/>
        <v>#REF!</v>
      </c>
      <c r="KPY247" s="29" t="e">
        <f t="shared" si="168"/>
        <v>#REF!</v>
      </c>
      <c r="KPZ247" s="29" t="e">
        <f t="shared" si="168"/>
        <v>#REF!</v>
      </c>
      <c r="KQA247" s="29" t="e">
        <f t="shared" si="168"/>
        <v>#REF!</v>
      </c>
      <c r="KQB247" s="29" t="e">
        <f t="shared" si="168"/>
        <v>#REF!</v>
      </c>
      <c r="KQC247" s="29" t="e">
        <f t="shared" si="168"/>
        <v>#REF!</v>
      </c>
      <c r="KQD247" s="29" t="e">
        <f t="shared" si="168"/>
        <v>#REF!</v>
      </c>
      <c r="KQE247" s="29" t="e">
        <f t="shared" si="168"/>
        <v>#REF!</v>
      </c>
      <c r="KQF247" s="29" t="e">
        <f t="shared" si="168"/>
        <v>#REF!</v>
      </c>
      <c r="KQG247" s="29" t="e">
        <f t="shared" si="168"/>
        <v>#REF!</v>
      </c>
      <c r="KQH247" s="29" t="e">
        <f t="shared" si="168"/>
        <v>#REF!</v>
      </c>
      <c r="KQI247" s="29" t="e">
        <f t="shared" si="168"/>
        <v>#REF!</v>
      </c>
      <c r="KQJ247" s="29" t="e">
        <f t="shared" si="168"/>
        <v>#REF!</v>
      </c>
      <c r="KQK247" s="29" t="e">
        <f t="shared" ref="KQK247:KSV247" si="169">KQO247&amp;KQP247</f>
        <v>#REF!</v>
      </c>
      <c r="KQL247" s="29" t="e">
        <f t="shared" si="169"/>
        <v>#REF!</v>
      </c>
      <c r="KQM247" s="29" t="e">
        <f t="shared" si="169"/>
        <v>#REF!</v>
      </c>
      <c r="KQN247" s="29" t="e">
        <f t="shared" si="169"/>
        <v>#REF!</v>
      </c>
      <c r="KQO247" s="29" t="e">
        <f t="shared" si="169"/>
        <v>#REF!</v>
      </c>
      <c r="KQP247" s="29" t="e">
        <f t="shared" si="169"/>
        <v>#REF!</v>
      </c>
      <c r="KQQ247" s="29" t="e">
        <f t="shared" si="169"/>
        <v>#REF!</v>
      </c>
      <c r="KQR247" s="29" t="e">
        <f t="shared" si="169"/>
        <v>#REF!</v>
      </c>
      <c r="KQS247" s="29" t="e">
        <f t="shared" si="169"/>
        <v>#REF!</v>
      </c>
      <c r="KQT247" s="29" t="e">
        <f t="shared" si="169"/>
        <v>#REF!</v>
      </c>
      <c r="KQU247" s="29" t="e">
        <f t="shared" si="169"/>
        <v>#REF!</v>
      </c>
      <c r="KQV247" s="29" t="e">
        <f t="shared" si="169"/>
        <v>#REF!</v>
      </c>
      <c r="KQW247" s="29" t="e">
        <f t="shared" si="169"/>
        <v>#REF!</v>
      </c>
      <c r="KQX247" s="29" t="e">
        <f t="shared" si="169"/>
        <v>#REF!</v>
      </c>
      <c r="KQY247" s="29" t="e">
        <f t="shared" si="169"/>
        <v>#REF!</v>
      </c>
      <c r="KQZ247" s="29" t="e">
        <f t="shared" si="169"/>
        <v>#REF!</v>
      </c>
      <c r="KRA247" s="29" t="e">
        <f t="shared" si="169"/>
        <v>#REF!</v>
      </c>
      <c r="KRB247" s="29" t="e">
        <f t="shared" si="169"/>
        <v>#REF!</v>
      </c>
      <c r="KRC247" s="29" t="e">
        <f t="shared" si="169"/>
        <v>#REF!</v>
      </c>
      <c r="KRD247" s="29" t="e">
        <f t="shared" si="169"/>
        <v>#REF!</v>
      </c>
      <c r="KRE247" s="29" t="e">
        <f t="shared" si="169"/>
        <v>#REF!</v>
      </c>
      <c r="KRF247" s="29" t="e">
        <f t="shared" si="169"/>
        <v>#REF!</v>
      </c>
      <c r="KRG247" s="29" t="e">
        <f t="shared" si="169"/>
        <v>#REF!</v>
      </c>
      <c r="KRH247" s="29" t="e">
        <f t="shared" si="169"/>
        <v>#REF!</v>
      </c>
      <c r="KRI247" s="29" t="e">
        <f t="shared" si="169"/>
        <v>#REF!</v>
      </c>
      <c r="KRJ247" s="29" t="e">
        <f t="shared" si="169"/>
        <v>#REF!</v>
      </c>
      <c r="KRK247" s="29" t="e">
        <f t="shared" si="169"/>
        <v>#REF!</v>
      </c>
      <c r="KRL247" s="29" t="e">
        <f t="shared" si="169"/>
        <v>#REF!</v>
      </c>
      <c r="KRM247" s="29" t="e">
        <f t="shared" si="169"/>
        <v>#REF!</v>
      </c>
      <c r="KRN247" s="29" t="e">
        <f t="shared" si="169"/>
        <v>#REF!</v>
      </c>
      <c r="KRO247" s="29" t="e">
        <f t="shared" si="169"/>
        <v>#REF!</v>
      </c>
      <c r="KRP247" s="29" t="e">
        <f t="shared" si="169"/>
        <v>#REF!</v>
      </c>
      <c r="KRQ247" s="29" t="e">
        <f t="shared" si="169"/>
        <v>#REF!</v>
      </c>
      <c r="KRR247" s="29" t="e">
        <f t="shared" si="169"/>
        <v>#REF!</v>
      </c>
      <c r="KRS247" s="29" t="e">
        <f t="shared" si="169"/>
        <v>#REF!</v>
      </c>
      <c r="KRT247" s="29" t="e">
        <f t="shared" si="169"/>
        <v>#REF!</v>
      </c>
      <c r="KRU247" s="29" t="e">
        <f t="shared" si="169"/>
        <v>#REF!</v>
      </c>
      <c r="KRV247" s="29" t="e">
        <f t="shared" si="169"/>
        <v>#REF!</v>
      </c>
      <c r="KRW247" s="29" t="e">
        <f t="shared" si="169"/>
        <v>#REF!</v>
      </c>
      <c r="KRX247" s="29" t="e">
        <f t="shared" si="169"/>
        <v>#REF!</v>
      </c>
      <c r="KRY247" s="29" t="e">
        <f t="shared" si="169"/>
        <v>#REF!</v>
      </c>
      <c r="KRZ247" s="29" t="e">
        <f t="shared" si="169"/>
        <v>#REF!</v>
      </c>
      <c r="KSA247" s="29" t="e">
        <f t="shared" si="169"/>
        <v>#REF!</v>
      </c>
      <c r="KSB247" s="29" t="e">
        <f t="shared" si="169"/>
        <v>#REF!</v>
      </c>
      <c r="KSC247" s="29" t="e">
        <f t="shared" si="169"/>
        <v>#REF!</v>
      </c>
      <c r="KSD247" s="29" t="e">
        <f t="shared" si="169"/>
        <v>#REF!</v>
      </c>
      <c r="KSE247" s="29" t="e">
        <f t="shared" si="169"/>
        <v>#REF!</v>
      </c>
      <c r="KSF247" s="29" t="e">
        <f t="shared" si="169"/>
        <v>#REF!</v>
      </c>
      <c r="KSG247" s="29" t="e">
        <f t="shared" si="169"/>
        <v>#REF!</v>
      </c>
      <c r="KSH247" s="29" t="e">
        <f t="shared" si="169"/>
        <v>#REF!</v>
      </c>
      <c r="KSI247" s="29" t="e">
        <f t="shared" si="169"/>
        <v>#REF!</v>
      </c>
      <c r="KSJ247" s="29" t="e">
        <f t="shared" si="169"/>
        <v>#REF!</v>
      </c>
      <c r="KSK247" s="29" t="e">
        <f t="shared" si="169"/>
        <v>#REF!</v>
      </c>
      <c r="KSL247" s="29" t="e">
        <f t="shared" si="169"/>
        <v>#REF!</v>
      </c>
      <c r="KSM247" s="29" t="e">
        <f t="shared" si="169"/>
        <v>#REF!</v>
      </c>
      <c r="KSN247" s="29" t="e">
        <f t="shared" si="169"/>
        <v>#REF!</v>
      </c>
      <c r="KSO247" s="29" t="e">
        <f t="shared" si="169"/>
        <v>#REF!</v>
      </c>
      <c r="KSP247" s="29" t="e">
        <f t="shared" si="169"/>
        <v>#REF!</v>
      </c>
      <c r="KSQ247" s="29" t="e">
        <f t="shared" si="169"/>
        <v>#REF!</v>
      </c>
      <c r="KSR247" s="29" t="e">
        <f t="shared" si="169"/>
        <v>#REF!</v>
      </c>
      <c r="KSS247" s="29" t="e">
        <f t="shared" si="169"/>
        <v>#REF!</v>
      </c>
      <c r="KST247" s="29" t="e">
        <f t="shared" si="169"/>
        <v>#REF!</v>
      </c>
      <c r="KSU247" s="29" t="e">
        <f t="shared" si="169"/>
        <v>#REF!</v>
      </c>
      <c r="KSV247" s="29" t="e">
        <f t="shared" si="169"/>
        <v>#REF!</v>
      </c>
      <c r="KSW247" s="29" t="e">
        <f t="shared" ref="KSW247:KVH247" si="170">KTA247&amp;KTB247</f>
        <v>#REF!</v>
      </c>
      <c r="KSX247" s="29" t="e">
        <f t="shared" si="170"/>
        <v>#REF!</v>
      </c>
      <c r="KSY247" s="29" t="e">
        <f t="shared" si="170"/>
        <v>#REF!</v>
      </c>
      <c r="KSZ247" s="29" t="e">
        <f t="shared" si="170"/>
        <v>#REF!</v>
      </c>
      <c r="KTA247" s="29" t="e">
        <f t="shared" si="170"/>
        <v>#REF!</v>
      </c>
      <c r="KTB247" s="29" t="e">
        <f t="shared" si="170"/>
        <v>#REF!</v>
      </c>
      <c r="KTC247" s="29" t="e">
        <f t="shared" si="170"/>
        <v>#REF!</v>
      </c>
      <c r="KTD247" s="29" t="e">
        <f t="shared" si="170"/>
        <v>#REF!</v>
      </c>
      <c r="KTE247" s="29" t="e">
        <f t="shared" si="170"/>
        <v>#REF!</v>
      </c>
      <c r="KTF247" s="29" t="e">
        <f t="shared" si="170"/>
        <v>#REF!</v>
      </c>
      <c r="KTG247" s="29" t="e">
        <f t="shared" si="170"/>
        <v>#REF!</v>
      </c>
      <c r="KTH247" s="29" t="e">
        <f t="shared" si="170"/>
        <v>#REF!</v>
      </c>
      <c r="KTI247" s="29" t="e">
        <f t="shared" si="170"/>
        <v>#REF!</v>
      </c>
      <c r="KTJ247" s="29" t="e">
        <f t="shared" si="170"/>
        <v>#REF!</v>
      </c>
      <c r="KTK247" s="29" t="e">
        <f t="shared" si="170"/>
        <v>#REF!</v>
      </c>
      <c r="KTL247" s="29" t="e">
        <f t="shared" si="170"/>
        <v>#REF!</v>
      </c>
      <c r="KTM247" s="29" t="e">
        <f t="shared" si="170"/>
        <v>#REF!</v>
      </c>
      <c r="KTN247" s="29" t="e">
        <f t="shared" si="170"/>
        <v>#REF!</v>
      </c>
      <c r="KTO247" s="29" t="e">
        <f t="shared" si="170"/>
        <v>#REF!</v>
      </c>
      <c r="KTP247" s="29" t="e">
        <f t="shared" si="170"/>
        <v>#REF!</v>
      </c>
      <c r="KTQ247" s="29" t="e">
        <f t="shared" si="170"/>
        <v>#REF!</v>
      </c>
      <c r="KTR247" s="29" t="e">
        <f t="shared" si="170"/>
        <v>#REF!</v>
      </c>
      <c r="KTS247" s="29" t="e">
        <f t="shared" si="170"/>
        <v>#REF!</v>
      </c>
      <c r="KTT247" s="29" t="e">
        <f t="shared" si="170"/>
        <v>#REF!</v>
      </c>
      <c r="KTU247" s="29" t="e">
        <f t="shared" si="170"/>
        <v>#REF!</v>
      </c>
      <c r="KTV247" s="29" t="e">
        <f t="shared" si="170"/>
        <v>#REF!</v>
      </c>
      <c r="KTW247" s="29" t="e">
        <f t="shared" si="170"/>
        <v>#REF!</v>
      </c>
      <c r="KTX247" s="29" t="e">
        <f t="shared" si="170"/>
        <v>#REF!</v>
      </c>
      <c r="KTY247" s="29" t="e">
        <f t="shared" si="170"/>
        <v>#REF!</v>
      </c>
      <c r="KTZ247" s="29" t="e">
        <f t="shared" si="170"/>
        <v>#REF!</v>
      </c>
      <c r="KUA247" s="29" t="e">
        <f t="shared" si="170"/>
        <v>#REF!</v>
      </c>
      <c r="KUB247" s="29" t="e">
        <f t="shared" si="170"/>
        <v>#REF!</v>
      </c>
      <c r="KUC247" s="29" t="e">
        <f t="shared" si="170"/>
        <v>#REF!</v>
      </c>
      <c r="KUD247" s="29" t="e">
        <f t="shared" si="170"/>
        <v>#REF!</v>
      </c>
      <c r="KUE247" s="29" t="e">
        <f t="shared" si="170"/>
        <v>#REF!</v>
      </c>
      <c r="KUF247" s="29" t="e">
        <f t="shared" si="170"/>
        <v>#REF!</v>
      </c>
      <c r="KUG247" s="29" t="e">
        <f t="shared" si="170"/>
        <v>#REF!</v>
      </c>
      <c r="KUH247" s="29" t="e">
        <f t="shared" si="170"/>
        <v>#REF!</v>
      </c>
      <c r="KUI247" s="29" t="e">
        <f t="shared" si="170"/>
        <v>#REF!</v>
      </c>
      <c r="KUJ247" s="29" t="e">
        <f t="shared" si="170"/>
        <v>#REF!</v>
      </c>
      <c r="KUK247" s="29" t="e">
        <f t="shared" si="170"/>
        <v>#REF!</v>
      </c>
      <c r="KUL247" s="29" t="e">
        <f t="shared" si="170"/>
        <v>#REF!</v>
      </c>
      <c r="KUM247" s="29" t="e">
        <f t="shared" si="170"/>
        <v>#REF!</v>
      </c>
      <c r="KUN247" s="29" t="e">
        <f t="shared" si="170"/>
        <v>#REF!</v>
      </c>
      <c r="KUO247" s="29" t="e">
        <f t="shared" si="170"/>
        <v>#REF!</v>
      </c>
      <c r="KUP247" s="29" t="e">
        <f t="shared" si="170"/>
        <v>#REF!</v>
      </c>
      <c r="KUQ247" s="29" t="e">
        <f t="shared" si="170"/>
        <v>#REF!</v>
      </c>
      <c r="KUR247" s="29" t="e">
        <f t="shared" si="170"/>
        <v>#REF!</v>
      </c>
      <c r="KUS247" s="29" t="e">
        <f t="shared" si="170"/>
        <v>#REF!</v>
      </c>
      <c r="KUT247" s="29" t="e">
        <f t="shared" si="170"/>
        <v>#REF!</v>
      </c>
      <c r="KUU247" s="29" t="e">
        <f t="shared" si="170"/>
        <v>#REF!</v>
      </c>
      <c r="KUV247" s="29" t="e">
        <f t="shared" si="170"/>
        <v>#REF!</v>
      </c>
      <c r="KUW247" s="29" t="e">
        <f t="shared" si="170"/>
        <v>#REF!</v>
      </c>
      <c r="KUX247" s="29" t="e">
        <f t="shared" si="170"/>
        <v>#REF!</v>
      </c>
      <c r="KUY247" s="29" t="e">
        <f t="shared" si="170"/>
        <v>#REF!</v>
      </c>
      <c r="KUZ247" s="29" t="e">
        <f t="shared" si="170"/>
        <v>#REF!</v>
      </c>
      <c r="KVA247" s="29" t="e">
        <f t="shared" si="170"/>
        <v>#REF!</v>
      </c>
      <c r="KVB247" s="29" t="e">
        <f t="shared" si="170"/>
        <v>#REF!</v>
      </c>
      <c r="KVC247" s="29" t="e">
        <f t="shared" si="170"/>
        <v>#REF!</v>
      </c>
      <c r="KVD247" s="29" t="e">
        <f t="shared" si="170"/>
        <v>#REF!</v>
      </c>
      <c r="KVE247" s="29" t="e">
        <f t="shared" si="170"/>
        <v>#REF!</v>
      </c>
      <c r="KVF247" s="29" t="e">
        <f t="shared" si="170"/>
        <v>#REF!</v>
      </c>
      <c r="KVG247" s="29" t="e">
        <f t="shared" si="170"/>
        <v>#REF!</v>
      </c>
      <c r="KVH247" s="29" t="e">
        <f t="shared" si="170"/>
        <v>#REF!</v>
      </c>
      <c r="KVI247" s="29" t="e">
        <f t="shared" ref="KVI247:KXT247" si="171">KVM247&amp;KVN247</f>
        <v>#REF!</v>
      </c>
      <c r="KVJ247" s="29" t="e">
        <f t="shared" si="171"/>
        <v>#REF!</v>
      </c>
      <c r="KVK247" s="29" t="e">
        <f t="shared" si="171"/>
        <v>#REF!</v>
      </c>
      <c r="KVL247" s="29" t="e">
        <f t="shared" si="171"/>
        <v>#REF!</v>
      </c>
      <c r="KVM247" s="29" t="e">
        <f t="shared" si="171"/>
        <v>#REF!</v>
      </c>
      <c r="KVN247" s="29" t="e">
        <f t="shared" si="171"/>
        <v>#REF!</v>
      </c>
      <c r="KVO247" s="29" t="e">
        <f t="shared" si="171"/>
        <v>#REF!</v>
      </c>
      <c r="KVP247" s="29" t="e">
        <f t="shared" si="171"/>
        <v>#REF!</v>
      </c>
      <c r="KVQ247" s="29" t="e">
        <f t="shared" si="171"/>
        <v>#REF!</v>
      </c>
      <c r="KVR247" s="29" t="e">
        <f t="shared" si="171"/>
        <v>#REF!</v>
      </c>
      <c r="KVS247" s="29" t="e">
        <f t="shared" si="171"/>
        <v>#REF!</v>
      </c>
      <c r="KVT247" s="29" t="e">
        <f t="shared" si="171"/>
        <v>#REF!</v>
      </c>
      <c r="KVU247" s="29" t="e">
        <f t="shared" si="171"/>
        <v>#REF!</v>
      </c>
      <c r="KVV247" s="29" t="e">
        <f t="shared" si="171"/>
        <v>#REF!</v>
      </c>
      <c r="KVW247" s="29" t="e">
        <f t="shared" si="171"/>
        <v>#REF!</v>
      </c>
      <c r="KVX247" s="29" t="e">
        <f t="shared" si="171"/>
        <v>#REF!</v>
      </c>
      <c r="KVY247" s="29" t="e">
        <f t="shared" si="171"/>
        <v>#REF!</v>
      </c>
      <c r="KVZ247" s="29" t="e">
        <f t="shared" si="171"/>
        <v>#REF!</v>
      </c>
      <c r="KWA247" s="29" t="e">
        <f t="shared" si="171"/>
        <v>#REF!</v>
      </c>
      <c r="KWB247" s="29" t="e">
        <f t="shared" si="171"/>
        <v>#REF!</v>
      </c>
      <c r="KWC247" s="29" t="e">
        <f t="shared" si="171"/>
        <v>#REF!</v>
      </c>
      <c r="KWD247" s="29" t="e">
        <f t="shared" si="171"/>
        <v>#REF!</v>
      </c>
      <c r="KWE247" s="29" t="e">
        <f t="shared" si="171"/>
        <v>#REF!</v>
      </c>
      <c r="KWF247" s="29" t="e">
        <f t="shared" si="171"/>
        <v>#REF!</v>
      </c>
      <c r="KWG247" s="29" t="e">
        <f t="shared" si="171"/>
        <v>#REF!</v>
      </c>
      <c r="KWH247" s="29" t="e">
        <f t="shared" si="171"/>
        <v>#REF!</v>
      </c>
      <c r="KWI247" s="29" t="e">
        <f t="shared" si="171"/>
        <v>#REF!</v>
      </c>
      <c r="KWJ247" s="29" t="e">
        <f t="shared" si="171"/>
        <v>#REF!</v>
      </c>
      <c r="KWK247" s="29" t="e">
        <f t="shared" si="171"/>
        <v>#REF!</v>
      </c>
      <c r="KWL247" s="29" t="e">
        <f t="shared" si="171"/>
        <v>#REF!</v>
      </c>
      <c r="KWM247" s="29" t="e">
        <f t="shared" si="171"/>
        <v>#REF!</v>
      </c>
      <c r="KWN247" s="29" t="e">
        <f t="shared" si="171"/>
        <v>#REF!</v>
      </c>
      <c r="KWO247" s="29" t="e">
        <f t="shared" si="171"/>
        <v>#REF!</v>
      </c>
      <c r="KWP247" s="29" t="e">
        <f t="shared" si="171"/>
        <v>#REF!</v>
      </c>
      <c r="KWQ247" s="29" t="e">
        <f t="shared" si="171"/>
        <v>#REF!</v>
      </c>
      <c r="KWR247" s="29" t="e">
        <f t="shared" si="171"/>
        <v>#REF!</v>
      </c>
      <c r="KWS247" s="29" t="e">
        <f t="shared" si="171"/>
        <v>#REF!</v>
      </c>
      <c r="KWT247" s="29" t="e">
        <f t="shared" si="171"/>
        <v>#REF!</v>
      </c>
      <c r="KWU247" s="29" t="e">
        <f t="shared" si="171"/>
        <v>#REF!</v>
      </c>
      <c r="KWV247" s="29" t="e">
        <f t="shared" si="171"/>
        <v>#REF!</v>
      </c>
      <c r="KWW247" s="29" t="e">
        <f t="shared" si="171"/>
        <v>#REF!</v>
      </c>
      <c r="KWX247" s="29" t="e">
        <f t="shared" si="171"/>
        <v>#REF!</v>
      </c>
      <c r="KWY247" s="29" t="e">
        <f t="shared" si="171"/>
        <v>#REF!</v>
      </c>
      <c r="KWZ247" s="29" t="e">
        <f t="shared" si="171"/>
        <v>#REF!</v>
      </c>
      <c r="KXA247" s="29" t="e">
        <f t="shared" si="171"/>
        <v>#REF!</v>
      </c>
      <c r="KXB247" s="29" t="e">
        <f t="shared" si="171"/>
        <v>#REF!</v>
      </c>
      <c r="KXC247" s="29" t="e">
        <f t="shared" si="171"/>
        <v>#REF!</v>
      </c>
      <c r="KXD247" s="29" t="e">
        <f t="shared" si="171"/>
        <v>#REF!</v>
      </c>
      <c r="KXE247" s="29" t="e">
        <f t="shared" si="171"/>
        <v>#REF!</v>
      </c>
      <c r="KXF247" s="29" t="e">
        <f t="shared" si="171"/>
        <v>#REF!</v>
      </c>
      <c r="KXG247" s="29" t="e">
        <f t="shared" si="171"/>
        <v>#REF!</v>
      </c>
      <c r="KXH247" s="29" t="e">
        <f t="shared" si="171"/>
        <v>#REF!</v>
      </c>
      <c r="KXI247" s="29" t="e">
        <f t="shared" si="171"/>
        <v>#REF!</v>
      </c>
      <c r="KXJ247" s="29" t="e">
        <f t="shared" si="171"/>
        <v>#REF!</v>
      </c>
      <c r="KXK247" s="29" t="e">
        <f t="shared" si="171"/>
        <v>#REF!</v>
      </c>
      <c r="KXL247" s="29" t="e">
        <f t="shared" si="171"/>
        <v>#REF!</v>
      </c>
      <c r="KXM247" s="29" t="e">
        <f t="shared" si="171"/>
        <v>#REF!</v>
      </c>
      <c r="KXN247" s="29" t="e">
        <f t="shared" si="171"/>
        <v>#REF!</v>
      </c>
      <c r="KXO247" s="29" t="e">
        <f t="shared" si="171"/>
        <v>#REF!</v>
      </c>
      <c r="KXP247" s="29" t="e">
        <f t="shared" si="171"/>
        <v>#REF!</v>
      </c>
      <c r="KXQ247" s="29" t="e">
        <f t="shared" si="171"/>
        <v>#REF!</v>
      </c>
      <c r="KXR247" s="29" t="e">
        <f t="shared" si="171"/>
        <v>#REF!</v>
      </c>
      <c r="KXS247" s="29" t="e">
        <f t="shared" si="171"/>
        <v>#REF!</v>
      </c>
      <c r="KXT247" s="29" t="e">
        <f t="shared" si="171"/>
        <v>#REF!</v>
      </c>
      <c r="KXU247" s="29" t="e">
        <f t="shared" ref="KXU247:LAF247" si="172">KXY247&amp;KXZ247</f>
        <v>#REF!</v>
      </c>
      <c r="KXV247" s="29" t="e">
        <f t="shared" si="172"/>
        <v>#REF!</v>
      </c>
      <c r="KXW247" s="29" t="e">
        <f t="shared" si="172"/>
        <v>#REF!</v>
      </c>
      <c r="KXX247" s="29" t="e">
        <f t="shared" si="172"/>
        <v>#REF!</v>
      </c>
      <c r="KXY247" s="29" t="e">
        <f t="shared" si="172"/>
        <v>#REF!</v>
      </c>
      <c r="KXZ247" s="29" t="e">
        <f t="shared" si="172"/>
        <v>#REF!</v>
      </c>
      <c r="KYA247" s="29" t="e">
        <f t="shared" si="172"/>
        <v>#REF!</v>
      </c>
      <c r="KYB247" s="29" t="e">
        <f t="shared" si="172"/>
        <v>#REF!</v>
      </c>
      <c r="KYC247" s="29" t="e">
        <f t="shared" si="172"/>
        <v>#REF!</v>
      </c>
      <c r="KYD247" s="29" t="e">
        <f t="shared" si="172"/>
        <v>#REF!</v>
      </c>
      <c r="KYE247" s="29" t="e">
        <f t="shared" si="172"/>
        <v>#REF!</v>
      </c>
      <c r="KYF247" s="29" t="e">
        <f t="shared" si="172"/>
        <v>#REF!</v>
      </c>
      <c r="KYG247" s="29" t="e">
        <f t="shared" si="172"/>
        <v>#REF!</v>
      </c>
      <c r="KYH247" s="29" t="e">
        <f t="shared" si="172"/>
        <v>#REF!</v>
      </c>
      <c r="KYI247" s="29" t="e">
        <f t="shared" si="172"/>
        <v>#REF!</v>
      </c>
      <c r="KYJ247" s="29" t="e">
        <f t="shared" si="172"/>
        <v>#REF!</v>
      </c>
      <c r="KYK247" s="29" t="e">
        <f t="shared" si="172"/>
        <v>#REF!</v>
      </c>
      <c r="KYL247" s="29" t="e">
        <f t="shared" si="172"/>
        <v>#REF!</v>
      </c>
      <c r="KYM247" s="29" t="e">
        <f t="shared" si="172"/>
        <v>#REF!</v>
      </c>
      <c r="KYN247" s="29" t="e">
        <f t="shared" si="172"/>
        <v>#REF!</v>
      </c>
      <c r="KYO247" s="29" t="e">
        <f t="shared" si="172"/>
        <v>#REF!</v>
      </c>
      <c r="KYP247" s="29" t="e">
        <f t="shared" si="172"/>
        <v>#REF!</v>
      </c>
      <c r="KYQ247" s="29" t="e">
        <f t="shared" si="172"/>
        <v>#REF!</v>
      </c>
      <c r="KYR247" s="29" t="e">
        <f t="shared" si="172"/>
        <v>#REF!</v>
      </c>
      <c r="KYS247" s="29" t="e">
        <f t="shared" si="172"/>
        <v>#REF!</v>
      </c>
      <c r="KYT247" s="29" t="e">
        <f t="shared" si="172"/>
        <v>#REF!</v>
      </c>
      <c r="KYU247" s="29" t="e">
        <f t="shared" si="172"/>
        <v>#REF!</v>
      </c>
      <c r="KYV247" s="29" t="e">
        <f t="shared" si="172"/>
        <v>#REF!</v>
      </c>
      <c r="KYW247" s="29" t="e">
        <f t="shared" si="172"/>
        <v>#REF!</v>
      </c>
      <c r="KYX247" s="29" t="e">
        <f t="shared" si="172"/>
        <v>#REF!</v>
      </c>
      <c r="KYY247" s="29" t="e">
        <f t="shared" si="172"/>
        <v>#REF!</v>
      </c>
      <c r="KYZ247" s="29" t="e">
        <f t="shared" si="172"/>
        <v>#REF!</v>
      </c>
      <c r="KZA247" s="29" t="e">
        <f t="shared" si="172"/>
        <v>#REF!</v>
      </c>
      <c r="KZB247" s="29" t="e">
        <f t="shared" si="172"/>
        <v>#REF!</v>
      </c>
      <c r="KZC247" s="29" t="e">
        <f t="shared" si="172"/>
        <v>#REF!</v>
      </c>
      <c r="KZD247" s="29" t="e">
        <f t="shared" si="172"/>
        <v>#REF!</v>
      </c>
      <c r="KZE247" s="29" t="e">
        <f t="shared" si="172"/>
        <v>#REF!</v>
      </c>
      <c r="KZF247" s="29" t="e">
        <f t="shared" si="172"/>
        <v>#REF!</v>
      </c>
      <c r="KZG247" s="29" t="e">
        <f t="shared" si="172"/>
        <v>#REF!</v>
      </c>
      <c r="KZH247" s="29" t="e">
        <f t="shared" si="172"/>
        <v>#REF!</v>
      </c>
      <c r="KZI247" s="29" t="e">
        <f t="shared" si="172"/>
        <v>#REF!</v>
      </c>
      <c r="KZJ247" s="29" t="e">
        <f t="shared" si="172"/>
        <v>#REF!</v>
      </c>
      <c r="KZK247" s="29" t="e">
        <f t="shared" si="172"/>
        <v>#REF!</v>
      </c>
      <c r="KZL247" s="29" t="e">
        <f t="shared" si="172"/>
        <v>#REF!</v>
      </c>
      <c r="KZM247" s="29" t="e">
        <f t="shared" si="172"/>
        <v>#REF!</v>
      </c>
      <c r="KZN247" s="29" t="e">
        <f t="shared" si="172"/>
        <v>#REF!</v>
      </c>
      <c r="KZO247" s="29" t="e">
        <f t="shared" si="172"/>
        <v>#REF!</v>
      </c>
      <c r="KZP247" s="29" t="e">
        <f t="shared" si="172"/>
        <v>#REF!</v>
      </c>
      <c r="KZQ247" s="29" t="e">
        <f t="shared" si="172"/>
        <v>#REF!</v>
      </c>
      <c r="KZR247" s="29" t="e">
        <f t="shared" si="172"/>
        <v>#REF!</v>
      </c>
      <c r="KZS247" s="29" t="e">
        <f t="shared" si="172"/>
        <v>#REF!</v>
      </c>
      <c r="KZT247" s="29" t="e">
        <f t="shared" si="172"/>
        <v>#REF!</v>
      </c>
      <c r="KZU247" s="29" t="e">
        <f t="shared" si="172"/>
        <v>#REF!</v>
      </c>
      <c r="KZV247" s="29" t="e">
        <f t="shared" si="172"/>
        <v>#REF!</v>
      </c>
      <c r="KZW247" s="29" t="e">
        <f t="shared" si="172"/>
        <v>#REF!</v>
      </c>
      <c r="KZX247" s="29" t="e">
        <f t="shared" si="172"/>
        <v>#REF!</v>
      </c>
      <c r="KZY247" s="29" t="e">
        <f t="shared" si="172"/>
        <v>#REF!</v>
      </c>
      <c r="KZZ247" s="29" t="e">
        <f t="shared" si="172"/>
        <v>#REF!</v>
      </c>
      <c r="LAA247" s="29" t="e">
        <f t="shared" si="172"/>
        <v>#REF!</v>
      </c>
      <c r="LAB247" s="29" t="e">
        <f t="shared" si="172"/>
        <v>#REF!</v>
      </c>
      <c r="LAC247" s="29" t="e">
        <f t="shared" si="172"/>
        <v>#REF!</v>
      </c>
      <c r="LAD247" s="29" t="e">
        <f t="shared" si="172"/>
        <v>#REF!</v>
      </c>
      <c r="LAE247" s="29" t="e">
        <f t="shared" si="172"/>
        <v>#REF!</v>
      </c>
      <c r="LAF247" s="29" t="e">
        <f t="shared" si="172"/>
        <v>#REF!</v>
      </c>
      <c r="LAG247" s="29" t="e">
        <f t="shared" ref="LAG247:LCR247" si="173">LAK247&amp;LAL247</f>
        <v>#REF!</v>
      </c>
      <c r="LAH247" s="29" t="e">
        <f t="shared" si="173"/>
        <v>#REF!</v>
      </c>
      <c r="LAI247" s="29" t="e">
        <f t="shared" si="173"/>
        <v>#REF!</v>
      </c>
      <c r="LAJ247" s="29" t="e">
        <f t="shared" si="173"/>
        <v>#REF!</v>
      </c>
      <c r="LAK247" s="29" t="e">
        <f t="shared" si="173"/>
        <v>#REF!</v>
      </c>
      <c r="LAL247" s="29" t="e">
        <f t="shared" si="173"/>
        <v>#REF!</v>
      </c>
      <c r="LAM247" s="29" t="e">
        <f t="shared" si="173"/>
        <v>#REF!</v>
      </c>
      <c r="LAN247" s="29" t="e">
        <f t="shared" si="173"/>
        <v>#REF!</v>
      </c>
      <c r="LAO247" s="29" t="e">
        <f t="shared" si="173"/>
        <v>#REF!</v>
      </c>
      <c r="LAP247" s="29" t="e">
        <f t="shared" si="173"/>
        <v>#REF!</v>
      </c>
      <c r="LAQ247" s="29" t="e">
        <f t="shared" si="173"/>
        <v>#REF!</v>
      </c>
      <c r="LAR247" s="29" t="e">
        <f t="shared" si="173"/>
        <v>#REF!</v>
      </c>
      <c r="LAS247" s="29" t="e">
        <f t="shared" si="173"/>
        <v>#REF!</v>
      </c>
      <c r="LAT247" s="29" t="e">
        <f t="shared" si="173"/>
        <v>#REF!</v>
      </c>
      <c r="LAU247" s="29" t="e">
        <f t="shared" si="173"/>
        <v>#REF!</v>
      </c>
      <c r="LAV247" s="29" t="e">
        <f t="shared" si="173"/>
        <v>#REF!</v>
      </c>
      <c r="LAW247" s="29" t="e">
        <f t="shared" si="173"/>
        <v>#REF!</v>
      </c>
      <c r="LAX247" s="29" t="e">
        <f t="shared" si="173"/>
        <v>#REF!</v>
      </c>
      <c r="LAY247" s="29" t="e">
        <f t="shared" si="173"/>
        <v>#REF!</v>
      </c>
      <c r="LAZ247" s="29" t="e">
        <f t="shared" si="173"/>
        <v>#REF!</v>
      </c>
      <c r="LBA247" s="29" t="e">
        <f t="shared" si="173"/>
        <v>#REF!</v>
      </c>
      <c r="LBB247" s="29" t="e">
        <f t="shared" si="173"/>
        <v>#REF!</v>
      </c>
      <c r="LBC247" s="29" t="e">
        <f t="shared" si="173"/>
        <v>#REF!</v>
      </c>
      <c r="LBD247" s="29" t="e">
        <f t="shared" si="173"/>
        <v>#REF!</v>
      </c>
      <c r="LBE247" s="29" t="e">
        <f t="shared" si="173"/>
        <v>#REF!</v>
      </c>
      <c r="LBF247" s="29" t="e">
        <f t="shared" si="173"/>
        <v>#REF!</v>
      </c>
      <c r="LBG247" s="29" t="e">
        <f t="shared" si="173"/>
        <v>#REF!</v>
      </c>
      <c r="LBH247" s="29" t="e">
        <f t="shared" si="173"/>
        <v>#REF!</v>
      </c>
      <c r="LBI247" s="29" t="e">
        <f t="shared" si="173"/>
        <v>#REF!</v>
      </c>
      <c r="LBJ247" s="29" t="e">
        <f t="shared" si="173"/>
        <v>#REF!</v>
      </c>
      <c r="LBK247" s="29" t="e">
        <f t="shared" si="173"/>
        <v>#REF!</v>
      </c>
      <c r="LBL247" s="29" t="e">
        <f t="shared" si="173"/>
        <v>#REF!</v>
      </c>
      <c r="LBM247" s="29" t="e">
        <f t="shared" si="173"/>
        <v>#REF!</v>
      </c>
      <c r="LBN247" s="29" t="e">
        <f t="shared" si="173"/>
        <v>#REF!</v>
      </c>
      <c r="LBO247" s="29" t="e">
        <f t="shared" si="173"/>
        <v>#REF!</v>
      </c>
      <c r="LBP247" s="29" t="e">
        <f t="shared" si="173"/>
        <v>#REF!</v>
      </c>
      <c r="LBQ247" s="29" t="e">
        <f t="shared" si="173"/>
        <v>#REF!</v>
      </c>
      <c r="LBR247" s="29" t="e">
        <f t="shared" si="173"/>
        <v>#REF!</v>
      </c>
      <c r="LBS247" s="29" t="e">
        <f t="shared" si="173"/>
        <v>#REF!</v>
      </c>
      <c r="LBT247" s="29" t="e">
        <f t="shared" si="173"/>
        <v>#REF!</v>
      </c>
      <c r="LBU247" s="29" t="e">
        <f t="shared" si="173"/>
        <v>#REF!</v>
      </c>
      <c r="LBV247" s="29" t="e">
        <f t="shared" si="173"/>
        <v>#REF!</v>
      </c>
      <c r="LBW247" s="29" t="e">
        <f t="shared" si="173"/>
        <v>#REF!</v>
      </c>
      <c r="LBX247" s="29" t="e">
        <f t="shared" si="173"/>
        <v>#REF!</v>
      </c>
      <c r="LBY247" s="29" t="e">
        <f t="shared" si="173"/>
        <v>#REF!</v>
      </c>
      <c r="LBZ247" s="29" t="e">
        <f t="shared" si="173"/>
        <v>#REF!</v>
      </c>
      <c r="LCA247" s="29" t="e">
        <f t="shared" si="173"/>
        <v>#REF!</v>
      </c>
      <c r="LCB247" s="29" t="e">
        <f t="shared" si="173"/>
        <v>#REF!</v>
      </c>
      <c r="LCC247" s="29" t="e">
        <f t="shared" si="173"/>
        <v>#REF!</v>
      </c>
      <c r="LCD247" s="29" t="e">
        <f t="shared" si="173"/>
        <v>#REF!</v>
      </c>
      <c r="LCE247" s="29" t="e">
        <f t="shared" si="173"/>
        <v>#REF!</v>
      </c>
      <c r="LCF247" s="29" t="e">
        <f t="shared" si="173"/>
        <v>#REF!</v>
      </c>
      <c r="LCG247" s="29" t="e">
        <f t="shared" si="173"/>
        <v>#REF!</v>
      </c>
      <c r="LCH247" s="29" t="e">
        <f t="shared" si="173"/>
        <v>#REF!</v>
      </c>
      <c r="LCI247" s="29" t="e">
        <f t="shared" si="173"/>
        <v>#REF!</v>
      </c>
      <c r="LCJ247" s="29" t="e">
        <f t="shared" si="173"/>
        <v>#REF!</v>
      </c>
      <c r="LCK247" s="29" t="e">
        <f t="shared" si="173"/>
        <v>#REF!</v>
      </c>
      <c r="LCL247" s="29" t="e">
        <f t="shared" si="173"/>
        <v>#REF!</v>
      </c>
      <c r="LCM247" s="29" t="e">
        <f t="shared" si="173"/>
        <v>#REF!</v>
      </c>
      <c r="LCN247" s="29" t="e">
        <f t="shared" si="173"/>
        <v>#REF!</v>
      </c>
      <c r="LCO247" s="29" t="e">
        <f t="shared" si="173"/>
        <v>#REF!</v>
      </c>
      <c r="LCP247" s="29" t="e">
        <f t="shared" si="173"/>
        <v>#REF!</v>
      </c>
      <c r="LCQ247" s="29" t="e">
        <f t="shared" si="173"/>
        <v>#REF!</v>
      </c>
      <c r="LCR247" s="29" t="e">
        <f t="shared" si="173"/>
        <v>#REF!</v>
      </c>
      <c r="LCS247" s="29" t="e">
        <f t="shared" ref="LCS247:LFD247" si="174">LCW247&amp;LCX247</f>
        <v>#REF!</v>
      </c>
      <c r="LCT247" s="29" t="e">
        <f t="shared" si="174"/>
        <v>#REF!</v>
      </c>
      <c r="LCU247" s="29" t="e">
        <f t="shared" si="174"/>
        <v>#REF!</v>
      </c>
      <c r="LCV247" s="29" t="e">
        <f t="shared" si="174"/>
        <v>#REF!</v>
      </c>
      <c r="LCW247" s="29" t="e">
        <f t="shared" si="174"/>
        <v>#REF!</v>
      </c>
      <c r="LCX247" s="29" t="e">
        <f t="shared" si="174"/>
        <v>#REF!</v>
      </c>
      <c r="LCY247" s="29" t="e">
        <f t="shared" si="174"/>
        <v>#REF!</v>
      </c>
      <c r="LCZ247" s="29" t="e">
        <f t="shared" si="174"/>
        <v>#REF!</v>
      </c>
      <c r="LDA247" s="29" t="e">
        <f t="shared" si="174"/>
        <v>#REF!</v>
      </c>
      <c r="LDB247" s="29" t="e">
        <f t="shared" si="174"/>
        <v>#REF!</v>
      </c>
      <c r="LDC247" s="29" t="e">
        <f t="shared" si="174"/>
        <v>#REF!</v>
      </c>
      <c r="LDD247" s="29" t="e">
        <f t="shared" si="174"/>
        <v>#REF!</v>
      </c>
      <c r="LDE247" s="29" t="e">
        <f t="shared" si="174"/>
        <v>#REF!</v>
      </c>
      <c r="LDF247" s="29" t="e">
        <f t="shared" si="174"/>
        <v>#REF!</v>
      </c>
      <c r="LDG247" s="29" t="e">
        <f t="shared" si="174"/>
        <v>#REF!</v>
      </c>
      <c r="LDH247" s="29" t="e">
        <f t="shared" si="174"/>
        <v>#REF!</v>
      </c>
      <c r="LDI247" s="29" t="e">
        <f t="shared" si="174"/>
        <v>#REF!</v>
      </c>
      <c r="LDJ247" s="29" t="e">
        <f t="shared" si="174"/>
        <v>#REF!</v>
      </c>
      <c r="LDK247" s="29" t="e">
        <f t="shared" si="174"/>
        <v>#REF!</v>
      </c>
      <c r="LDL247" s="29" t="e">
        <f t="shared" si="174"/>
        <v>#REF!</v>
      </c>
      <c r="LDM247" s="29" t="e">
        <f t="shared" si="174"/>
        <v>#REF!</v>
      </c>
      <c r="LDN247" s="29" t="e">
        <f t="shared" si="174"/>
        <v>#REF!</v>
      </c>
      <c r="LDO247" s="29" t="e">
        <f t="shared" si="174"/>
        <v>#REF!</v>
      </c>
      <c r="LDP247" s="29" t="e">
        <f t="shared" si="174"/>
        <v>#REF!</v>
      </c>
      <c r="LDQ247" s="29" t="e">
        <f t="shared" si="174"/>
        <v>#REF!</v>
      </c>
      <c r="LDR247" s="29" t="e">
        <f t="shared" si="174"/>
        <v>#REF!</v>
      </c>
      <c r="LDS247" s="29" t="e">
        <f t="shared" si="174"/>
        <v>#REF!</v>
      </c>
      <c r="LDT247" s="29" t="e">
        <f t="shared" si="174"/>
        <v>#REF!</v>
      </c>
      <c r="LDU247" s="29" t="e">
        <f t="shared" si="174"/>
        <v>#REF!</v>
      </c>
      <c r="LDV247" s="29" t="e">
        <f t="shared" si="174"/>
        <v>#REF!</v>
      </c>
      <c r="LDW247" s="29" t="e">
        <f t="shared" si="174"/>
        <v>#REF!</v>
      </c>
      <c r="LDX247" s="29" t="e">
        <f t="shared" si="174"/>
        <v>#REF!</v>
      </c>
      <c r="LDY247" s="29" t="e">
        <f t="shared" si="174"/>
        <v>#REF!</v>
      </c>
      <c r="LDZ247" s="29" t="e">
        <f t="shared" si="174"/>
        <v>#REF!</v>
      </c>
      <c r="LEA247" s="29" t="e">
        <f t="shared" si="174"/>
        <v>#REF!</v>
      </c>
      <c r="LEB247" s="29" t="e">
        <f t="shared" si="174"/>
        <v>#REF!</v>
      </c>
      <c r="LEC247" s="29" t="e">
        <f t="shared" si="174"/>
        <v>#REF!</v>
      </c>
      <c r="LED247" s="29" t="e">
        <f t="shared" si="174"/>
        <v>#REF!</v>
      </c>
      <c r="LEE247" s="29" t="e">
        <f t="shared" si="174"/>
        <v>#REF!</v>
      </c>
      <c r="LEF247" s="29" t="e">
        <f t="shared" si="174"/>
        <v>#REF!</v>
      </c>
      <c r="LEG247" s="29" t="e">
        <f t="shared" si="174"/>
        <v>#REF!</v>
      </c>
      <c r="LEH247" s="29" t="e">
        <f t="shared" si="174"/>
        <v>#REF!</v>
      </c>
      <c r="LEI247" s="29" t="e">
        <f t="shared" si="174"/>
        <v>#REF!</v>
      </c>
      <c r="LEJ247" s="29" t="e">
        <f t="shared" si="174"/>
        <v>#REF!</v>
      </c>
      <c r="LEK247" s="29" t="e">
        <f t="shared" si="174"/>
        <v>#REF!</v>
      </c>
      <c r="LEL247" s="29" t="e">
        <f t="shared" si="174"/>
        <v>#REF!</v>
      </c>
      <c r="LEM247" s="29" t="e">
        <f t="shared" si="174"/>
        <v>#REF!</v>
      </c>
      <c r="LEN247" s="29" t="e">
        <f t="shared" si="174"/>
        <v>#REF!</v>
      </c>
      <c r="LEO247" s="29" t="e">
        <f t="shared" si="174"/>
        <v>#REF!</v>
      </c>
      <c r="LEP247" s="29" t="e">
        <f t="shared" si="174"/>
        <v>#REF!</v>
      </c>
      <c r="LEQ247" s="29" t="e">
        <f t="shared" si="174"/>
        <v>#REF!</v>
      </c>
      <c r="LER247" s="29" t="e">
        <f t="shared" si="174"/>
        <v>#REF!</v>
      </c>
      <c r="LES247" s="29" t="e">
        <f t="shared" si="174"/>
        <v>#REF!</v>
      </c>
      <c r="LET247" s="29" t="e">
        <f t="shared" si="174"/>
        <v>#REF!</v>
      </c>
      <c r="LEU247" s="29" t="e">
        <f t="shared" si="174"/>
        <v>#REF!</v>
      </c>
      <c r="LEV247" s="29" t="e">
        <f t="shared" si="174"/>
        <v>#REF!</v>
      </c>
      <c r="LEW247" s="29" t="e">
        <f t="shared" si="174"/>
        <v>#REF!</v>
      </c>
      <c r="LEX247" s="29" t="e">
        <f t="shared" si="174"/>
        <v>#REF!</v>
      </c>
      <c r="LEY247" s="29" t="e">
        <f t="shared" si="174"/>
        <v>#REF!</v>
      </c>
      <c r="LEZ247" s="29" t="e">
        <f t="shared" si="174"/>
        <v>#REF!</v>
      </c>
      <c r="LFA247" s="29" t="e">
        <f t="shared" si="174"/>
        <v>#REF!</v>
      </c>
      <c r="LFB247" s="29" t="e">
        <f t="shared" si="174"/>
        <v>#REF!</v>
      </c>
      <c r="LFC247" s="29" t="e">
        <f t="shared" si="174"/>
        <v>#REF!</v>
      </c>
      <c r="LFD247" s="29" t="e">
        <f t="shared" si="174"/>
        <v>#REF!</v>
      </c>
      <c r="LFE247" s="29" t="e">
        <f t="shared" ref="LFE247:LHP247" si="175">LFI247&amp;LFJ247</f>
        <v>#REF!</v>
      </c>
      <c r="LFF247" s="29" t="e">
        <f t="shared" si="175"/>
        <v>#REF!</v>
      </c>
      <c r="LFG247" s="29" t="e">
        <f t="shared" si="175"/>
        <v>#REF!</v>
      </c>
      <c r="LFH247" s="29" t="e">
        <f t="shared" si="175"/>
        <v>#REF!</v>
      </c>
      <c r="LFI247" s="29" t="e">
        <f t="shared" si="175"/>
        <v>#REF!</v>
      </c>
      <c r="LFJ247" s="29" t="e">
        <f t="shared" si="175"/>
        <v>#REF!</v>
      </c>
      <c r="LFK247" s="29" t="e">
        <f t="shared" si="175"/>
        <v>#REF!</v>
      </c>
      <c r="LFL247" s="29" t="e">
        <f t="shared" si="175"/>
        <v>#REF!</v>
      </c>
      <c r="LFM247" s="29" t="e">
        <f t="shared" si="175"/>
        <v>#REF!</v>
      </c>
      <c r="LFN247" s="29" t="e">
        <f t="shared" si="175"/>
        <v>#REF!</v>
      </c>
      <c r="LFO247" s="29" t="e">
        <f t="shared" si="175"/>
        <v>#REF!</v>
      </c>
      <c r="LFP247" s="29" t="e">
        <f t="shared" si="175"/>
        <v>#REF!</v>
      </c>
      <c r="LFQ247" s="29" t="e">
        <f t="shared" si="175"/>
        <v>#REF!</v>
      </c>
      <c r="LFR247" s="29" t="e">
        <f t="shared" si="175"/>
        <v>#REF!</v>
      </c>
      <c r="LFS247" s="29" t="e">
        <f t="shared" si="175"/>
        <v>#REF!</v>
      </c>
      <c r="LFT247" s="29" t="e">
        <f t="shared" si="175"/>
        <v>#REF!</v>
      </c>
      <c r="LFU247" s="29" t="e">
        <f t="shared" si="175"/>
        <v>#REF!</v>
      </c>
      <c r="LFV247" s="29" t="e">
        <f t="shared" si="175"/>
        <v>#REF!</v>
      </c>
      <c r="LFW247" s="29" t="e">
        <f t="shared" si="175"/>
        <v>#REF!</v>
      </c>
      <c r="LFX247" s="29" t="e">
        <f t="shared" si="175"/>
        <v>#REF!</v>
      </c>
      <c r="LFY247" s="29" t="e">
        <f t="shared" si="175"/>
        <v>#REF!</v>
      </c>
      <c r="LFZ247" s="29" t="e">
        <f t="shared" si="175"/>
        <v>#REF!</v>
      </c>
      <c r="LGA247" s="29" t="e">
        <f t="shared" si="175"/>
        <v>#REF!</v>
      </c>
      <c r="LGB247" s="29" t="e">
        <f t="shared" si="175"/>
        <v>#REF!</v>
      </c>
      <c r="LGC247" s="29" t="e">
        <f t="shared" si="175"/>
        <v>#REF!</v>
      </c>
      <c r="LGD247" s="29" t="e">
        <f t="shared" si="175"/>
        <v>#REF!</v>
      </c>
      <c r="LGE247" s="29" t="e">
        <f t="shared" si="175"/>
        <v>#REF!</v>
      </c>
      <c r="LGF247" s="29" t="e">
        <f t="shared" si="175"/>
        <v>#REF!</v>
      </c>
      <c r="LGG247" s="29" t="e">
        <f t="shared" si="175"/>
        <v>#REF!</v>
      </c>
      <c r="LGH247" s="29" t="e">
        <f t="shared" si="175"/>
        <v>#REF!</v>
      </c>
      <c r="LGI247" s="29" t="e">
        <f t="shared" si="175"/>
        <v>#REF!</v>
      </c>
      <c r="LGJ247" s="29" t="e">
        <f t="shared" si="175"/>
        <v>#REF!</v>
      </c>
      <c r="LGK247" s="29" t="e">
        <f t="shared" si="175"/>
        <v>#REF!</v>
      </c>
      <c r="LGL247" s="29" t="e">
        <f t="shared" si="175"/>
        <v>#REF!</v>
      </c>
      <c r="LGM247" s="29" t="e">
        <f t="shared" si="175"/>
        <v>#REF!</v>
      </c>
      <c r="LGN247" s="29" t="e">
        <f t="shared" si="175"/>
        <v>#REF!</v>
      </c>
      <c r="LGO247" s="29" t="e">
        <f t="shared" si="175"/>
        <v>#REF!</v>
      </c>
      <c r="LGP247" s="29" t="e">
        <f t="shared" si="175"/>
        <v>#REF!</v>
      </c>
      <c r="LGQ247" s="29" t="e">
        <f t="shared" si="175"/>
        <v>#REF!</v>
      </c>
      <c r="LGR247" s="29" t="e">
        <f t="shared" si="175"/>
        <v>#REF!</v>
      </c>
      <c r="LGS247" s="29" t="e">
        <f t="shared" si="175"/>
        <v>#REF!</v>
      </c>
      <c r="LGT247" s="29" t="e">
        <f t="shared" si="175"/>
        <v>#REF!</v>
      </c>
      <c r="LGU247" s="29" t="e">
        <f t="shared" si="175"/>
        <v>#REF!</v>
      </c>
      <c r="LGV247" s="29" t="e">
        <f t="shared" si="175"/>
        <v>#REF!</v>
      </c>
      <c r="LGW247" s="29" t="e">
        <f t="shared" si="175"/>
        <v>#REF!</v>
      </c>
      <c r="LGX247" s="29" t="e">
        <f t="shared" si="175"/>
        <v>#REF!</v>
      </c>
      <c r="LGY247" s="29" t="e">
        <f t="shared" si="175"/>
        <v>#REF!</v>
      </c>
      <c r="LGZ247" s="29" t="e">
        <f t="shared" si="175"/>
        <v>#REF!</v>
      </c>
      <c r="LHA247" s="29" t="e">
        <f t="shared" si="175"/>
        <v>#REF!</v>
      </c>
      <c r="LHB247" s="29" t="e">
        <f t="shared" si="175"/>
        <v>#REF!</v>
      </c>
      <c r="LHC247" s="29" t="e">
        <f t="shared" si="175"/>
        <v>#REF!</v>
      </c>
      <c r="LHD247" s="29" t="e">
        <f t="shared" si="175"/>
        <v>#REF!</v>
      </c>
      <c r="LHE247" s="29" t="e">
        <f t="shared" si="175"/>
        <v>#REF!</v>
      </c>
      <c r="LHF247" s="29" t="e">
        <f t="shared" si="175"/>
        <v>#REF!</v>
      </c>
      <c r="LHG247" s="29" t="e">
        <f t="shared" si="175"/>
        <v>#REF!</v>
      </c>
      <c r="LHH247" s="29" t="e">
        <f t="shared" si="175"/>
        <v>#REF!</v>
      </c>
      <c r="LHI247" s="29" t="e">
        <f t="shared" si="175"/>
        <v>#REF!</v>
      </c>
      <c r="LHJ247" s="29" t="e">
        <f t="shared" si="175"/>
        <v>#REF!</v>
      </c>
      <c r="LHK247" s="29" t="e">
        <f t="shared" si="175"/>
        <v>#REF!</v>
      </c>
      <c r="LHL247" s="29" t="e">
        <f t="shared" si="175"/>
        <v>#REF!</v>
      </c>
      <c r="LHM247" s="29" t="e">
        <f t="shared" si="175"/>
        <v>#REF!</v>
      </c>
      <c r="LHN247" s="29" t="e">
        <f t="shared" si="175"/>
        <v>#REF!</v>
      </c>
      <c r="LHO247" s="29" t="e">
        <f t="shared" si="175"/>
        <v>#REF!</v>
      </c>
      <c r="LHP247" s="29" t="e">
        <f t="shared" si="175"/>
        <v>#REF!</v>
      </c>
      <c r="LHQ247" s="29" t="e">
        <f t="shared" ref="LHQ247:LKB247" si="176">LHU247&amp;LHV247</f>
        <v>#REF!</v>
      </c>
      <c r="LHR247" s="29" t="e">
        <f t="shared" si="176"/>
        <v>#REF!</v>
      </c>
      <c r="LHS247" s="29" t="e">
        <f t="shared" si="176"/>
        <v>#REF!</v>
      </c>
      <c r="LHT247" s="29" t="e">
        <f t="shared" si="176"/>
        <v>#REF!</v>
      </c>
      <c r="LHU247" s="29" t="e">
        <f t="shared" si="176"/>
        <v>#REF!</v>
      </c>
      <c r="LHV247" s="29" t="e">
        <f t="shared" si="176"/>
        <v>#REF!</v>
      </c>
      <c r="LHW247" s="29" t="e">
        <f t="shared" si="176"/>
        <v>#REF!</v>
      </c>
      <c r="LHX247" s="29" t="e">
        <f t="shared" si="176"/>
        <v>#REF!</v>
      </c>
      <c r="LHY247" s="29" t="e">
        <f t="shared" si="176"/>
        <v>#REF!</v>
      </c>
      <c r="LHZ247" s="29" t="e">
        <f t="shared" si="176"/>
        <v>#REF!</v>
      </c>
      <c r="LIA247" s="29" t="e">
        <f t="shared" si="176"/>
        <v>#REF!</v>
      </c>
      <c r="LIB247" s="29" t="e">
        <f t="shared" si="176"/>
        <v>#REF!</v>
      </c>
      <c r="LIC247" s="29" t="e">
        <f t="shared" si="176"/>
        <v>#REF!</v>
      </c>
      <c r="LID247" s="29" t="e">
        <f t="shared" si="176"/>
        <v>#REF!</v>
      </c>
      <c r="LIE247" s="29" t="e">
        <f t="shared" si="176"/>
        <v>#REF!</v>
      </c>
      <c r="LIF247" s="29" t="e">
        <f t="shared" si="176"/>
        <v>#REF!</v>
      </c>
      <c r="LIG247" s="29" t="e">
        <f t="shared" si="176"/>
        <v>#REF!</v>
      </c>
      <c r="LIH247" s="29" t="e">
        <f t="shared" si="176"/>
        <v>#REF!</v>
      </c>
      <c r="LII247" s="29" t="e">
        <f t="shared" si="176"/>
        <v>#REF!</v>
      </c>
      <c r="LIJ247" s="29" t="e">
        <f t="shared" si="176"/>
        <v>#REF!</v>
      </c>
      <c r="LIK247" s="29" t="e">
        <f t="shared" si="176"/>
        <v>#REF!</v>
      </c>
      <c r="LIL247" s="29" t="e">
        <f t="shared" si="176"/>
        <v>#REF!</v>
      </c>
      <c r="LIM247" s="29" t="e">
        <f t="shared" si="176"/>
        <v>#REF!</v>
      </c>
      <c r="LIN247" s="29" t="e">
        <f t="shared" si="176"/>
        <v>#REF!</v>
      </c>
      <c r="LIO247" s="29" t="e">
        <f t="shared" si="176"/>
        <v>#REF!</v>
      </c>
      <c r="LIP247" s="29" t="e">
        <f t="shared" si="176"/>
        <v>#REF!</v>
      </c>
      <c r="LIQ247" s="29" t="e">
        <f t="shared" si="176"/>
        <v>#REF!</v>
      </c>
      <c r="LIR247" s="29" t="e">
        <f t="shared" si="176"/>
        <v>#REF!</v>
      </c>
      <c r="LIS247" s="29" t="e">
        <f t="shared" si="176"/>
        <v>#REF!</v>
      </c>
      <c r="LIT247" s="29" t="e">
        <f t="shared" si="176"/>
        <v>#REF!</v>
      </c>
      <c r="LIU247" s="29" t="e">
        <f t="shared" si="176"/>
        <v>#REF!</v>
      </c>
      <c r="LIV247" s="29" t="e">
        <f t="shared" si="176"/>
        <v>#REF!</v>
      </c>
      <c r="LIW247" s="29" t="e">
        <f t="shared" si="176"/>
        <v>#REF!</v>
      </c>
      <c r="LIX247" s="29" t="e">
        <f t="shared" si="176"/>
        <v>#REF!</v>
      </c>
      <c r="LIY247" s="29" t="e">
        <f t="shared" si="176"/>
        <v>#REF!</v>
      </c>
      <c r="LIZ247" s="29" t="e">
        <f t="shared" si="176"/>
        <v>#REF!</v>
      </c>
      <c r="LJA247" s="29" t="e">
        <f t="shared" si="176"/>
        <v>#REF!</v>
      </c>
      <c r="LJB247" s="29" t="e">
        <f t="shared" si="176"/>
        <v>#REF!</v>
      </c>
      <c r="LJC247" s="29" t="e">
        <f t="shared" si="176"/>
        <v>#REF!</v>
      </c>
      <c r="LJD247" s="29" t="e">
        <f t="shared" si="176"/>
        <v>#REF!</v>
      </c>
      <c r="LJE247" s="29" t="e">
        <f t="shared" si="176"/>
        <v>#REF!</v>
      </c>
      <c r="LJF247" s="29" t="e">
        <f t="shared" si="176"/>
        <v>#REF!</v>
      </c>
      <c r="LJG247" s="29" t="e">
        <f t="shared" si="176"/>
        <v>#REF!</v>
      </c>
      <c r="LJH247" s="29" t="e">
        <f t="shared" si="176"/>
        <v>#REF!</v>
      </c>
      <c r="LJI247" s="29" t="e">
        <f t="shared" si="176"/>
        <v>#REF!</v>
      </c>
      <c r="LJJ247" s="29" t="e">
        <f t="shared" si="176"/>
        <v>#REF!</v>
      </c>
      <c r="LJK247" s="29" t="e">
        <f t="shared" si="176"/>
        <v>#REF!</v>
      </c>
      <c r="LJL247" s="29" t="e">
        <f t="shared" si="176"/>
        <v>#REF!</v>
      </c>
      <c r="LJM247" s="29" t="e">
        <f t="shared" si="176"/>
        <v>#REF!</v>
      </c>
      <c r="LJN247" s="29" t="e">
        <f t="shared" si="176"/>
        <v>#REF!</v>
      </c>
      <c r="LJO247" s="29" t="e">
        <f t="shared" si="176"/>
        <v>#REF!</v>
      </c>
      <c r="LJP247" s="29" t="e">
        <f t="shared" si="176"/>
        <v>#REF!</v>
      </c>
      <c r="LJQ247" s="29" t="e">
        <f t="shared" si="176"/>
        <v>#REF!</v>
      </c>
      <c r="LJR247" s="29" t="e">
        <f t="shared" si="176"/>
        <v>#REF!</v>
      </c>
      <c r="LJS247" s="29" t="e">
        <f t="shared" si="176"/>
        <v>#REF!</v>
      </c>
      <c r="LJT247" s="29" t="e">
        <f t="shared" si="176"/>
        <v>#REF!</v>
      </c>
      <c r="LJU247" s="29" t="e">
        <f t="shared" si="176"/>
        <v>#REF!</v>
      </c>
      <c r="LJV247" s="29" t="e">
        <f t="shared" si="176"/>
        <v>#REF!</v>
      </c>
      <c r="LJW247" s="29" t="e">
        <f t="shared" si="176"/>
        <v>#REF!</v>
      </c>
      <c r="LJX247" s="29" t="e">
        <f t="shared" si="176"/>
        <v>#REF!</v>
      </c>
      <c r="LJY247" s="29" t="e">
        <f t="shared" si="176"/>
        <v>#REF!</v>
      </c>
      <c r="LJZ247" s="29" t="e">
        <f t="shared" si="176"/>
        <v>#REF!</v>
      </c>
      <c r="LKA247" s="29" t="e">
        <f t="shared" si="176"/>
        <v>#REF!</v>
      </c>
      <c r="LKB247" s="29" t="e">
        <f t="shared" si="176"/>
        <v>#REF!</v>
      </c>
      <c r="LKC247" s="29" t="e">
        <f t="shared" ref="LKC247:LMN247" si="177">LKG247&amp;LKH247</f>
        <v>#REF!</v>
      </c>
      <c r="LKD247" s="29" t="e">
        <f t="shared" si="177"/>
        <v>#REF!</v>
      </c>
      <c r="LKE247" s="29" t="e">
        <f t="shared" si="177"/>
        <v>#REF!</v>
      </c>
      <c r="LKF247" s="29" t="e">
        <f t="shared" si="177"/>
        <v>#REF!</v>
      </c>
      <c r="LKG247" s="29" t="e">
        <f t="shared" si="177"/>
        <v>#REF!</v>
      </c>
      <c r="LKH247" s="29" t="e">
        <f t="shared" si="177"/>
        <v>#REF!</v>
      </c>
      <c r="LKI247" s="29" t="e">
        <f t="shared" si="177"/>
        <v>#REF!</v>
      </c>
      <c r="LKJ247" s="29" t="e">
        <f t="shared" si="177"/>
        <v>#REF!</v>
      </c>
      <c r="LKK247" s="29" t="e">
        <f t="shared" si="177"/>
        <v>#REF!</v>
      </c>
      <c r="LKL247" s="29" t="e">
        <f t="shared" si="177"/>
        <v>#REF!</v>
      </c>
      <c r="LKM247" s="29" t="e">
        <f t="shared" si="177"/>
        <v>#REF!</v>
      </c>
      <c r="LKN247" s="29" t="e">
        <f t="shared" si="177"/>
        <v>#REF!</v>
      </c>
      <c r="LKO247" s="29" t="e">
        <f t="shared" si="177"/>
        <v>#REF!</v>
      </c>
      <c r="LKP247" s="29" t="e">
        <f t="shared" si="177"/>
        <v>#REF!</v>
      </c>
      <c r="LKQ247" s="29" t="e">
        <f t="shared" si="177"/>
        <v>#REF!</v>
      </c>
      <c r="LKR247" s="29" t="e">
        <f t="shared" si="177"/>
        <v>#REF!</v>
      </c>
      <c r="LKS247" s="29" t="e">
        <f t="shared" si="177"/>
        <v>#REF!</v>
      </c>
      <c r="LKT247" s="29" t="e">
        <f t="shared" si="177"/>
        <v>#REF!</v>
      </c>
      <c r="LKU247" s="29" t="e">
        <f t="shared" si="177"/>
        <v>#REF!</v>
      </c>
      <c r="LKV247" s="29" t="e">
        <f t="shared" si="177"/>
        <v>#REF!</v>
      </c>
      <c r="LKW247" s="29" t="e">
        <f t="shared" si="177"/>
        <v>#REF!</v>
      </c>
      <c r="LKX247" s="29" t="e">
        <f t="shared" si="177"/>
        <v>#REF!</v>
      </c>
      <c r="LKY247" s="29" t="e">
        <f t="shared" si="177"/>
        <v>#REF!</v>
      </c>
      <c r="LKZ247" s="29" t="e">
        <f t="shared" si="177"/>
        <v>#REF!</v>
      </c>
      <c r="LLA247" s="29" t="e">
        <f t="shared" si="177"/>
        <v>#REF!</v>
      </c>
      <c r="LLB247" s="29" t="e">
        <f t="shared" si="177"/>
        <v>#REF!</v>
      </c>
      <c r="LLC247" s="29" t="e">
        <f t="shared" si="177"/>
        <v>#REF!</v>
      </c>
      <c r="LLD247" s="29" t="e">
        <f t="shared" si="177"/>
        <v>#REF!</v>
      </c>
      <c r="LLE247" s="29" t="e">
        <f t="shared" si="177"/>
        <v>#REF!</v>
      </c>
      <c r="LLF247" s="29" t="e">
        <f t="shared" si="177"/>
        <v>#REF!</v>
      </c>
      <c r="LLG247" s="29" t="e">
        <f t="shared" si="177"/>
        <v>#REF!</v>
      </c>
      <c r="LLH247" s="29" t="e">
        <f t="shared" si="177"/>
        <v>#REF!</v>
      </c>
      <c r="LLI247" s="29" t="e">
        <f t="shared" si="177"/>
        <v>#REF!</v>
      </c>
      <c r="LLJ247" s="29" t="e">
        <f t="shared" si="177"/>
        <v>#REF!</v>
      </c>
      <c r="LLK247" s="29" t="e">
        <f t="shared" si="177"/>
        <v>#REF!</v>
      </c>
      <c r="LLL247" s="29" t="e">
        <f t="shared" si="177"/>
        <v>#REF!</v>
      </c>
      <c r="LLM247" s="29" t="e">
        <f t="shared" si="177"/>
        <v>#REF!</v>
      </c>
      <c r="LLN247" s="29" t="e">
        <f t="shared" si="177"/>
        <v>#REF!</v>
      </c>
      <c r="LLO247" s="29" t="e">
        <f t="shared" si="177"/>
        <v>#REF!</v>
      </c>
      <c r="LLP247" s="29" t="e">
        <f t="shared" si="177"/>
        <v>#REF!</v>
      </c>
      <c r="LLQ247" s="29" t="e">
        <f t="shared" si="177"/>
        <v>#REF!</v>
      </c>
      <c r="LLR247" s="29" t="e">
        <f t="shared" si="177"/>
        <v>#REF!</v>
      </c>
      <c r="LLS247" s="29" t="e">
        <f t="shared" si="177"/>
        <v>#REF!</v>
      </c>
      <c r="LLT247" s="29" t="e">
        <f t="shared" si="177"/>
        <v>#REF!</v>
      </c>
      <c r="LLU247" s="29" t="e">
        <f t="shared" si="177"/>
        <v>#REF!</v>
      </c>
      <c r="LLV247" s="29" t="e">
        <f t="shared" si="177"/>
        <v>#REF!</v>
      </c>
      <c r="LLW247" s="29" t="e">
        <f t="shared" si="177"/>
        <v>#REF!</v>
      </c>
      <c r="LLX247" s="29" t="e">
        <f t="shared" si="177"/>
        <v>#REF!</v>
      </c>
      <c r="LLY247" s="29" t="e">
        <f t="shared" si="177"/>
        <v>#REF!</v>
      </c>
      <c r="LLZ247" s="29" t="e">
        <f t="shared" si="177"/>
        <v>#REF!</v>
      </c>
      <c r="LMA247" s="29" t="e">
        <f t="shared" si="177"/>
        <v>#REF!</v>
      </c>
      <c r="LMB247" s="29" t="e">
        <f t="shared" si="177"/>
        <v>#REF!</v>
      </c>
      <c r="LMC247" s="29" t="e">
        <f t="shared" si="177"/>
        <v>#REF!</v>
      </c>
      <c r="LMD247" s="29" t="e">
        <f t="shared" si="177"/>
        <v>#REF!</v>
      </c>
      <c r="LME247" s="29" t="e">
        <f t="shared" si="177"/>
        <v>#REF!</v>
      </c>
      <c r="LMF247" s="29" t="e">
        <f t="shared" si="177"/>
        <v>#REF!</v>
      </c>
      <c r="LMG247" s="29" t="e">
        <f t="shared" si="177"/>
        <v>#REF!</v>
      </c>
      <c r="LMH247" s="29" t="e">
        <f t="shared" si="177"/>
        <v>#REF!</v>
      </c>
      <c r="LMI247" s="29" t="e">
        <f t="shared" si="177"/>
        <v>#REF!</v>
      </c>
      <c r="LMJ247" s="29" t="e">
        <f t="shared" si="177"/>
        <v>#REF!</v>
      </c>
      <c r="LMK247" s="29" t="e">
        <f t="shared" si="177"/>
        <v>#REF!</v>
      </c>
      <c r="LML247" s="29" t="e">
        <f t="shared" si="177"/>
        <v>#REF!</v>
      </c>
      <c r="LMM247" s="29" t="e">
        <f t="shared" si="177"/>
        <v>#REF!</v>
      </c>
      <c r="LMN247" s="29" t="e">
        <f t="shared" si="177"/>
        <v>#REF!</v>
      </c>
      <c r="LMO247" s="29" t="e">
        <f t="shared" ref="LMO247:LOZ247" si="178">LMS247&amp;LMT247</f>
        <v>#REF!</v>
      </c>
      <c r="LMP247" s="29" t="e">
        <f t="shared" si="178"/>
        <v>#REF!</v>
      </c>
      <c r="LMQ247" s="29" t="e">
        <f t="shared" si="178"/>
        <v>#REF!</v>
      </c>
      <c r="LMR247" s="29" t="e">
        <f t="shared" si="178"/>
        <v>#REF!</v>
      </c>
      <c r="LMS247" s="29" t="e">
        <f t="shared" si="178"/>
        <v>#REF!</v>
      </c>
      <c r="LMT247" s="29" t="e">
        <f t="shared" si="178"/>
        <v>#REF!</v>
      </c>
      <c r="LMU247" s="29" t="e">
        <f t="shared" si="178"/>
        <v>#REF!</v>
      </c>
      <c r="LMV247" s="29" t="e">
        <f t="shared" si="178"/>
        <v>#REF!</v>
      </c>
      <c r="LMW247" s="29" t="e">
        <f t="shared" si="178"/>
        <v>#REF!</v>
      </c>
      <c r="LMX247" s="29" t="e">
        <f t="shared" si="178"/>
        <v>#REF!</v>
      </c>
      <c r="LMY247" s="29" t="e">
        <f t="shared" si="178"/>
        <v>#REF!</v>
      </c>
      <c r="LMZ247" s="29" t="e">
        <f t="shared" si="178"/>
        <v>#REF!</v>
      </c>
      <c r="LNA247" s="29" t="e">
        <f t="shared" si="178"/>
        <v>#REF!</v>
      </c>
      <c r="LNB247" s="29" t="e">
        <f t="shared" si="178"/>
        <v>#REF!</v>
      </c>
      <c r="LNC247" s="29" t="e">
        <f t="shared" si="178"/>
        <v>#REF!</v>
      </c>
      <c r="LND247" s="29" t="e">
        <f t="shared" si="178"/>
        <v>#REF!</v>
      </c>
      <c r="LNE247" s="29" t="e">
        <f t="shared" si="178"/>
        <v>#REF!</v>
      </c>
      <c r="LNF247" s="29" t="e">
        <f t="shared" si="178"/>
        <v>#REF!</v>
      </c>
      <c r="LNG247" s="29" t="e">
        <f t="shared" si="178"/>
        <v>#REF!</v>
      </c>
      <c r="LNH247" s="29" t="e">
        <f t="shared" si="178"/>
        <v>#REF!</v>
      </c>
      <c r="LNI247" s="29" t="e">
        <f t="shared" si="178"/>
        <v>#REF!</v>
      </c>
      <c r="LNJ247" s="29" t="e">
        <f t="shared" si="178"/>
        <v>#REF!</v>
      </c>
      <c r="LNK247" s="29" t="e">
        <f t="shared" si="178"/>
        <v>#REF!</v>
      </c>
      <c r="LNL247" s="29" t="e">
        <f t="shared" si="178"/>
        <v>#REF!</v>
      </c>
      <c r="LNM247" s="29" t="e">
        <f t="shared" si="178"/>
        <v>#REF!</v>
      </c>
      <c r="LNN247" s="29" t="e">
        <f t="shared" si="178"/>
        <v>#REF!</v>
      </c>
      <c r="LNO247" s="29" t="e">
        <f t="shared" si="178"/>
        <v>#REF!</v>
      </c>
      <c r="LNP247" s="29" t="e">
        <f t="shared" si="178"/>
        <v>#REF!</v>
      </c>
      <c r="LNQ247" s="29" t="e">
        <f t="shared" si="178"/>
        <v>#REF!</v>
      </c>
      <c r="LNR247" s="29" t="e">
        <f t="shared" si="178"/>
        <v>#REF!</v>
      </c>
      <c r="LNS247" s="29" t="e">
        <f t="shared" si="178"/>
        <v>#REF!</v>
      </c>
      <c r="LNT247" s="29" t="e">
        <f t="shared" si="178"/>
        <v>#REF!</v>
      </c>
      <c r="LNU247" s="29" t="e">
        <f t="shared" si="178"/>
        <v>#REF!</v>
      </c>
      <c r="LNV247" s="29" t="e">
        <f t="shared" si="178"/>
        <v>#REF!</v>
      </c>
      <c r="LNW247" s="29" t="e">
        <f t="shared" si="178"/>
        <v>#REF!</v>
      </c>
      <c r="LNX247" s="29" t="e">
        <f t="shared" si="178"/>
        <v>#REF!</v>
      </c>
      <c r="LNY247" s="29" t="e">
        <f t="shared" si="178"/>
        <v>#REF!</v>
      </c>
      <c r="LNZ247" s="29" t="e">
        <f t="shared" si="178"/>
        <v>#REF!</v>
      </c>
      <c r="LOA247" s="29" t="e">
        <f t="shared" si="178"/>
        <v>#REF!</v>
      </c>
      <c r="LOB247" s="29" t="e">
        <f t="shared" si="178"/>
        <v>#REF!</v>
      </c>
      <c r="LOC247" s="29" t="e">
        <f t="shared" si="178"/>
        <v>#REF!</v>
      </c>
      <c r="LOD247" s="29" t="e">
        <f t="shared" si="178"/>
        <v>#REF!</v>
      </c>
      <c r="LOE247" s="29" t="e">
        <f t="shared" si="178"/>
        <v>#REF!</v>
      </c>
      <c r="LOF247" s="29" t="e">
        <f t="shared" si="178"/>
        <v>#REF!</v>
      </c>
      <c r="LOG247" s="29" t="e">
        <f t="shared" si="178"/>
        <v>#REF!</v>
      </c>
      <c r="LOH247" s="29" t="e">
        <f t="shared" si="178"/>
        <v>#REF!</v>
      </c>
      <c r="LOI247" s="29" t="e">
        <f t="shared" si="178"/>
        <v>#REF!</v>
      </c>
      <c r="LOJ247" s="29" t="e">
        <f t="shared" si="178"/>
        <v>#REF!</v>
      </c>
      <c r="LOK247" s="29" t="e">
        <f t="shared" si="178"/>
        <v>#REF!</v>
      </c>
      <c r="LOL247" s="29" t="e">
        <f t="shared" si="178"/>
        <v>#REF!</v>
      </c>
      <c r="LOM247" s="29" t="e">
        <f t="shared" si="178"/>
        <v>#REF!</v>
      </c>
      <c r="LON247" s="29" t="e">
        <f t="shared" si="178"/>
        <v>#REF!</v>
      </c>
      <c r="LOO247" s="29" t="e">
        <f t="shared" si="178"/>
        <v>#REF!</v>
      </c>
      <c r="LOP247" s="29" t="e">
        <f t="shared" si="178"/>
        <v>#REF!</v>
      </c>
      <c r="LOQ247" s="29" t="e">
        <f t="shared" si="178"/>
        <v>#REF!</v>
      </c>
      <c r="LOR247" s="29" t="e">
        <f t="shared" si="178"/>
        <v>#REF!</v>
      </c>
      <c r="LOS247" s="29" t="e">
        <f t="shared" si="178"/>
        <v>#REF!</v>
      </c>
      <c r="LOT247" s="29" t="e">
        <f t="shared" si="178"/>
        <v>#REF!</v>
      </c>
      <c r="LOU247" s="29" t="e">
        <f t="shared" si="178"/>
        <v>#REF!</v>
      </c>
      <c r="LOV247" s="29" t="e">
        <f t="shared" si="178"/>
        <v>#REF!</v>
      </c>
      <c r="LOW247" s="29" t="e">
        <f t="shared" si="178"/>
        <v>#REF!</v>
      </c>
      <c r="LOX247" s="29" t="e">
        <f t="shared" si="178"/>
        <v>#REF!</v>
      </c>
      <c r="LOY247" s="29" t="e">
        <f t="shared" si="178"/>
        <v>#REF!</v>
      </c>
      <c r="LOZ247" s="29" t="e">
        <f t="shared" si="178"/>
        <v>#REF!</v>
      </c>
      <c r="LPA247" s="29" t="e">
        <f t="shared" ref="LPA247:LRL247" si="179">LPE247&amp;LPF247</f>
        <v>#REF!</v>
      </c>
      <c r="LPB247" s="29" t="e">
        <f t="shared" si="179"/>
        <v>#REF!</v>
      </c>
      <c r="LPC247" s="29" t="e">
        <f t="shared" si="179"/>
        <v>#REF!</v>
      </c>
      <c r="LPD247" s="29" t="e">
        <f t="shared" si="179"/>
        <v>#REF!</v>
      </c>
      <c r="LPE247" s="29" t="e">
        <f t="shared" si="179"/>
        <v>#REF!</v>
      </c>
      <c r="LPF247" s="29" t="e">
        <f t="shared" si="179"/>
        <v>#REF!</v>
      </c>
      <c r="LPG247" s="29" t="e">
        <f t="shared" si="179"/>
        <v>#REF!</v>
      </c>
      <c r="LPH247" s="29" t="e">
        <f t="shared" si="179"/>
        <v>#REF!</v>
      </c>
      <c r="LPI247" s="29" t="e">
        <f t="shared" si="179"/>
        <v>#REF!</v>
      </c>
      <c r="LPJ247" s="29" t="e">
        <f t="shared" si="179"/>
        <v>#REF!</v>
      </c>
      <c r="LPK247" s="29" t="e">
        <f t="shared" si="179"/>
        <v>#REF!</v>
      </c>
      <c r="LPL247" s="29" t="e">
        <f t="shared" si="179"/>
        <v>#REF!</v>
      </c>
      <c r="LPM247" s="29" t="e">
        <f t="shared" si="179"/>
        <v>#REF!</v>
      </c>
      <c r="LPN247" s="29" t="e">
        <f t="shared" si="179"/>
        <v>#REF!</v>
      </c>
      <c r="LPO247" s="29" t="e">
        <f t="shared" si="179"/>
        <v>#REF!</v>
      </c>
      <c r="LPP247" s="29" t="e">
        <f t="shared" si="179"/>
        <v>#REF!</v>
      </c>
      <c r="LPQ247" s="29" t="e">
        <f t="shared" si="179"/>
        <v>#REF!</v>
      </c>
      <c r="LPR247" s="29" t="e">
        <f t="shared" si="179"/>
        <v>#REF!</v>
      </c>
      <c r="LPS247" s="29" t="e">
        <f t="shared" si="179"/>
        <v>#REF!</v>
      </c>
      <c r="LPT247" s="29" t="e">
        <f t="shared" si="179"/>
        <v>#REF!</v>
      </c>
      <c r="LPU247" s="29" t="e">
        <f t="shared" si="179"/>
        <v>#REF!</v>
      </c>
      <c r="LPV247" s="29" t="e">
        <f t="shared" si="179"/>
        <v>#REF!</v>
      </c>
      <c r="LPW247" s="29" t="e">
        <f t="shared" si="179"/>
        <v>#REF!</v>
      </c>
      <c r="LPX247" s="29" t="e">
        <f t="shared" si="179"/>
        <v>#REF!</v>
      </c>
      <c r="LPY247" s="29" t="e">
        <f t="shared" si="179"/>
        <v>#REF!</v>
      </c>
      <c r="LPZ247" s="29" t="e">
        <f t="shared" si="179"/>
        <v>#REF!</v>
      </c>
      <c r="LQA247" s="29" t="e">
        <f t="shared" si="179"/>
        <v>#REF!</v>
      </c>
      <c r="LQB247" s="29" t="e">
        <f t="shared" si="179"/>
        <v>#REF!</v>
      </c>
      <c r="LQC247" s="29" t="e">
        <f t="shared" si="179"/>
        <v>#REF!</v>
      </c>
      <c r="LQD247" s="29" t="e">
        <f t="shared" si="179"/>
        <v>#REF!</v>
      </c>
      <c r="LQE247" s="29" t="e">
        <f t="shared" si="179"/>
        <v>#REF!</v>
      </c>
      <c r="LQF247" s="29" t="e">
        <f t="shared" si="179"/>
        <v>#REF!</v>
      </c>
      <c r="LQG247" s="29" t="e">
        <f t="shared" si="179"/>
        <v>#REF!</v>
      </c>
      <c r="LQH247" s="29" t="e">
        <f t="shared" si="179"/>
        <v>#REF!</v>
      </c>
      <c r="LQI247" s="29" t="e">
        <f t="shared" si="179"/>
        <v>#REF!</v>
      </c>
      <c r="LQJ247" s="29" t="e">
        <f t="shared" si="179"/>
        <v>#REF!</v>
      </c>
      <c r="LQK247" s="29" t="e">
        <f t="shared" si="179"/>
        <v>#REF!</v>
      </c>
      <c r="LQL247" s="29" t="e">
        <f t="shared" si="179"/>
        <v>#REF!</v>
      </c>
      <c r="LQM247" s="29" t="e">
        <f t="shared" si="179"/>
        <v>#REF!</v>
      </c>
      <c r="LQN247" s="29" t="e">
        <f t="shared" si="179"/>
        <v>#REF!</v>
      </c>
      <c r="LQO247" s="29" t="e">
        <f t="shared" si="179"/>
        <v>#REF!</v>
      </c>
      <c r="LQP247" s="29" t="e">
        <f t="shared" si="179"/>
        <v>#REF!</v>
      </c>
      <c r="LQQ247" s="29" t="e">
        <f t="shared" si="179"/>
        <v>#REF!</v>
      </c>
      <c r="LQR247" s="29" t="e">
        <f t="shared" si="179"/>
        <v>#REF!</v>
      </c>
      <c r="LQS247" s="29" t="e">
        <f t="shared" si="179"/>
        <v>#REF!</v>
      </c>
      <c r="LQT247" s="29" t="e">
        <f t="shared" si="179"/>
        <v>#REF!</v>
      </c>
      <c r="LQU247" s="29" t="e">
        <f t="shared" si="179"/>
        <v>#REF!</v>
      </c>
      <c r="LQV247" s="29" t="e">
        <f t="shared" si="179"/>
        <v>#REF!</v>
      </c>
      <c r="LQW247" s="29" t="e">
        <f t="shared" si="179"/>
        <v>#REF!</v>
      </c>
      <c r="LQX247" s="29" t="e">
        <f t="shared" si="179"/>
        <v>#REF!</v>
      </c>
      <c r="LQY247" s="29" t="e">
        <f t="shared" si="179"/>
        <v>#REF!</v>
      </c>
      <c r="LQZ247" s="29" t="e">
        <f t="shared" si="179"/>
        <v>#REF!</v>
      </c>
      <c r="LRA247" s="29" t="e">
        <f t="shared" si="179"/>
        <v>#REF!</v>
      </c>
      <c r="LRB247" s="29" t="e">
        <f t="shared" si="179"/>
        <v>#REF!</v>
      </c>
      <c r="LRC247" s="29" t="e">
        <f t="shared" si="179"/>
        <v>#REF!</v>
      </c>
      <c r="LRD247" s="29" t="e">
        <f t="shared" si="179"/>
        <v>#REF!</v>
      </c>
      <c r="LRE247" s="29" t="e">
        <f t="shared" si="179"/>
        <v>#REF!</v>
      </c>
      <c r="LRF247" s="29" t="e">
        <f t="shared" si="179"/>
        <v>#REF!</v>
      </c>
      <c r="LRG247" s="29" t="e">
        <f t="shared" si="179"/>
        <v>#REF!</v>
      </c>
      <c r="LRH247" s="29" t="e">
        <f t="shared" si="179"/>
        <v>#REF!</v>
      </c>
      <c r="LRI247" s="29" t="e">
        <f t="shared" si="179"/>
        <v>#REF!</v>
      </c>
      <c r="LRJ247" s="29" t="e">
        <f t="shared" si="179"/>
        <v>#REF!</v>
      </c>
      <c r="LRK247" s="29" t="e">
        <f t="shared" si="179"/>
        <v>#REF!</v>
      </c>
      <c r="LRL247" s="29" t="e">
        <f t="shared" si="179"/>
        <v>#REF!</v>
      </c>
      <c r="LRM247" s="29" t="e">
        <f t="shared" ref="LRM247:LTX247" si="180">LRQ247&amp;LRR247</f>
        <v>#REF!</v>
      </c>
      <c r="LRN247" s="29" t="e">
        <f t="shared" si="180"/>
        <v>#REF!</v>
      </c>
      <c r="LRO247" s="29" t="e">
        <f t="shared" si="180"/>
        <v>#REF!</v>
      </c>
      <c r="LRP247" s="29" t="e">
        <f t="shared" si="180"/>
        <v>#REF!</v>
      </c>
      <c r="LRQ247" s="29" t="e">
        <f t="shared" si="180"/>
        <v>#REF!</v>
      </c>
      <c r="LRR247" s="29" t="e">
        <f t="shared" si="180"/>
        <v>#REF!</v>
      </c>
      <c r="LRS247" s="29" t="e">
        <f t="shared" si="180"/>
        <v>#REF!</v>
      </c>
      <c r="LRT247" s="29" t="e">
        <f t="shared" si="180"/>
        <v>#REF!</v>
      </c>
      <c r="LRU247" s="29" t="e">
        <f t="shared" si="180"/>
        <v>#REF!</v>
      </c>
      <c r="LRV247" s="29" t="e">
        <f t="shared" si="180"/>
        <v>#REF!</v>
      </c>
      <c r="LRW247" s="29" t="e">
        <f t="shared" si="180"/>
        <v>#REF!</v>
      </c>
      <c r="LRX247" s="29" t="e">
        <f t="shared" si="180"/>
        <v>#REF!</v>
      </c>
      <c r="LRY247" s="29" t="e">
        <f t="shared" si="180"/>
        <v>#REF!</v>
      </c>
      <c r="LRZ247" s="29" t="e">
        <f t="shared" si="180"/>
        <v>#REF!</v>
      </c>
      <c r="LSA247" s="29" t="e">
        <f t="shared" si="180"/>
        <v>#REF!</v>
      </c>
      <c r="LSB247" s="29" t="e">
        <f t="shared" si="180"/>
        <v>#REF!</v>
      </c>
      <c r="LSC247" s="29" t="e">
        <f t="shared" si="180"/>
        <v>#REF!</v>
      </c>
      <c r="LSD247" s="29" t="e">
        <f t="shared" si="180"/>
        <v>#REF!</v>
      </c>
      <c r="LSE247" s="29" t="e">
        <f t="shared" si="180"/>
        <v>#REF!</v>
      </c>
      <c r="LSF247" s="29" t="e">
        <f t="shared" si="180"/>
        <v>#REF!</v>
      </c>
      <c r="LSG247" s="29" t="e">
        <f t="shared" si="180"/>
        <v>#REF!</v>
      </c>
      <c r="LSH247" s="29" t="e">
        <f t="shared" si="180"/>
        <v>#REF!</v>
      </c>
      <c r="LSI247" s="29" t="e">
        <f t="shared" si="180"/>
        <v>#REF!</v>
      </c>
      <c r="LSJ247" s="29" t="e">
        <f t="shared" si="180"/>
        <v>#REF!</v>
      </c>
      <c r="LSK247" s="29" t="e">
        <f t="shared" si="180"/>
        <v>#REF!</v>
      </c>
      <c r="LSL247" s="29" t="e">
        <f t="shared" si="180"/>
        <v>#REF!</v>
      </c>
      <c r="LSM247" s="29" t="e">
        <f t="shared" si="180"/>
        <v>#REF!</v>
      </c>
      <c r="LSN247" s="29" t="e">
        <f t="shared" si="180"/>
        <v>#REF!</v>
      </c>
      <c r="LSO247" s="29" t="e">
        <f t="shared" si="180"/>
        <v>#REF!</v>
      </c>
      <c r="LSP247" s="29" t="e">
        <f t="shared" si="180"/>
        <v>#REF!</v>
      </c>
      <c r="LSQ247" s="29" t="e">
        <f t="shared" si="180"/>
        <v>#REF!</v>
      </c>
      <c r="LSR247" s="29" t="e">
        <f t="shared" si="180"/>
        <v>#REF!</v>
      </c>
      <c r="LSS247" s="29" t="e">
        <f t="shared" si="180"/>
        <v>#REF!</v>
      </c>
      <c r="LST247" s="29" t="e">
        <f t="shared" si="180"/>
        <v>#REF!</v>
      </c>
      <c r="LSU247" s="29" t="e">
        <f t="shared" si="180"/>
        <v>#REF!</v>
      </c>
      <c r="LSV247" s="29" t="e">
        <f t="shared" si="180"/>
        <v>#REF!</v>
      </c>
      <c r="LSW247" s="29" t="e">
        <f t="shared" si="180"/>
        <v>#REF!</v>
      </c>
      <c r="LSX247" s="29" t="e">
        <f t="shared" si="180"/>
        <v>#REF!</v>
      </c>
      <c r="LSY247" s="29" t="e">
        <f t="shared" si="180"/>
        <v>#REF!</v>
      </c>
      <c r="LSZ247" s="29" t="e">
        <f t="shared" si="180"/>
        <v>#REF!</v>
      </c>
      <c r="LTA247" s="29" t="e">
        <f t="shared" si="180"/>
        <v>#REF!</v>
      </c>
      <c r="LTB247" s="29" t="e">
        <f t="shared" si="180"/>
        <v>#REF!</v>
      </c>
      <c r="LTC247" s="29" t="e">
        <f t="shared" si="180"/>
        <v>#REF!</v>
      </c>
      <c r="LTD247" s="29" t="e">
        <f t="shared" si="180"/>
        <v>#REF!</v>
      </c>
      <c r="LTE247" s="29" t="e">
        <f t="shared" si="180"/>
        <v>#REF!</v>
      </c>
      <c r="LTF247" s="29" t="e">
        <f t="shared" si="180"/>
        <v>#REF!</v>
      </c>
      <c r="LTG247" s="29" t="e">
        <f t="shared" si="180"/>
        <v>#REF!</v>
      </c>
      <c r="LTH247" s="29" t="e">
        <f t="shared" si="180"/>
        <v>#REF!</v>
      </c>
      <c r="LTI247" s="29" t="e">
        <f t="shared" si="180"/>
        <v>#REF!</v>
      </c>
      <c r="LTJ247" s="29" t="e">
        <f t="shared" si="180"/>
        <v>#REF!</v>
      </c>
      <c r="LTK247" s="29" t="e">
        <f t="shared" si="180"/>
        <v>#REF!</v>
      </c>
      <c r="LTL247" s="29" t="e">
        <f t="shared" si="180"/>
        <v>#REF!</v>
      </c>
      <c r="LTM247" s="29" t="e">
        <f t="shared" si="180"/>
        <v>#REF!</v>
      </c>
      <c r="LTN247" s="29" t="e">
        <f t="shared" si="180"/>
        <v>#REF!</v>
      </c>
      <c r="LTO247" s="29" t="e">
        <f t="shared" si="180"/>
        <v>#REF!</v>
      </c>
      <c r="LTP247" s="29" t="e">
        <f t="shared" si="180"/>
        <v>#REF!</v>
      </c>
      <c r="LTQ247" s="29" t="e">
        <f t="shared" si="180"/>
        <v>#REF!</v>
      </c>
      <c r="LTR247" s="29" t="e">
        <f t="shared" si="180"/>
        <v>#REF!</v>
      </c>
      <c r="LTS247" s="29" t="e">
        <f t="shared" si="180"/>
        <v>#REF!</v>
      </c>
      <c r="LTT247" s="29" t="e">
        <f t="shared" si="180"/>
        <v>#REF!</v>
      </c>
      <c r="LTU247" s="29" t="e">
        <f t="shared" si="180"/>
        <v>#REF!</v>
      </c>
      <c r="LTV247" s="29" t="e">
        <f t="shared" si="180"/>
        <v>#REF!</v>
      </c>
      <c r="LTW247" s="29" t="e">
        <f t="shared" si="180"/>
        <v>#REF!</v>
      </c>
      <c r="LTX247" s="29" t="e">
        <f t="shared" si="180"/>
        <v>#REF!</v>
      </c>
      <c r="LTY247" s="29" t="e">
        <f t="shared" ref="LTY247:LWJ247" si="181">LUC247&amp;LUD247</f>
        <v>#REF!</v>
      </c>
      <c r="LTZ247" s="29" t="e">
        <f t="shared" si="181"/>
        <v>#REF!</v>
      </c>
      <c r="LUA247" s="29" t="e">
        <f t="shared" si="181"/>
        <v>#REF!</v>
      </c>
      <c r="LUB247" s="29" t="e">
        <f t="shared" si="181"/>
        <v>#REF!</v>
      </c>
      <c r="LUC247" s="29" t="e">
        <f t="shared" si="181"/>
        <v>#REF!</v>
      </c>
      <c r="LUD247" s="29" t="e">
        <f t="shared" si="181"/>
        <v>#REF!</v>
      </c>
      <c r="LUE247" s="29" t="e">
        <f t="shared" si="181"/>
        <v>#REF!</v>
      </c>
      <c r="LUF247" s="29" t="e">
        <f t="shared" si="181"/>
        <v>#REF!</v>
      </c>
      <c r="LUG247" s="29" t="e">
        <f t="shared" si="181"/>
        <v>#REF!</v>
      </c>
      <c r="LUH247" s="29" t="e">
        <f t="shared" si="181"/>
        <v>#REF!</v>
      </c>
      <c r="LUI247" s="29" t="e">
        <f t="shared" si="181"/>
        <v>#REF!</v>
      </c>
      <c r="LUJ247" s="29" t="e">
        <f t="shared" si="181"/>
        <v>#REF!</v>
      </c>
      <c r="LUK247" s="29" t="e">
        <f t="shared" si="181"/>
        <v>#REF!</v>
      </c>
      <c r="LUL247" s="29" t="e">
        <f t="shared" si="181"/>
        <v>#REF!</v>
      </c>
      <c r="LUM247" s="29" t="e">
        <f t="shared" si="181"/>
        <v>#REF!</v>
      </c>
      <c r="LUN247" s="29" t="e">
        <f t="shared" si="181"/>
        <v>#REF!</v>
      </c>
      <c r="LUO247" s="29" t="e">
        <f t="shared" si="181"/>
        <v>#REF!</v>
      </c>
      <c r="LUP247" s="29" t="e">
        <f t="shared" si="181"/>
        <v>#REF!</v>
      </c>
      <c r="LUQ247" s="29" t="e">
        <f t="shared" si="181"/>
        <v>#REF!</v>
      </c>
      <c r="LUR247" s="29" t="e">
        <f t="shared" si="181"/>
        <v>#REF!</v>
      </c>
      <c r="LUS247" s="29" t="e">
        <f t="shared" si="181"/>
        <v>#REF!</v>
      </c>
      <c r="LUT247" s="29" t="e">
        <f t="shared" si="181"/>
        <v>#REF!</v>
      </c>
      <c r="LUU247" s="29" t="e">
        <f t="shared" si="181"/>
        <v>#REF!</v>
      </c>
      <c r="LUV247" s="29" t="e">
        <f t="shared" si="181"/>
        <v>#REF!</v>
      </c>
      <c r="LUW247" s="29" t="e">
        <f t="shared" si="181"/>
        <v>#REF!</v>
      </c>
      <c r="LUX247" s="29" t="e">
        <f t="shared" si="181"/>
        <v>#REF!</v>
      </c>
      <c r="LUY247" s="29" t="e">
        <f t="shared" si="181"/>
        <v>#REF!</v>
      </c>
      <c r="LUZ247" s="29" t="e">
        <f t="shared" si="181"/>
        <v>#REF!</v>
      </c>
      <c r="LVA247" s="29" t="e">
        <f t="shared" si="181"/>
        <v>#REF!</v>
      </c>
      <c r="LVB247" s="29" t="e">
        <f t="shared" si="181"/>
        <v>#REF!</v>
      </c>
      <c r="LVC247" s="29" t="e">
        <f t="shared" si="181"/>
        <v>#REF!</v>
      </c>
      <c r="LVD247" s="29" t="e">
        <f t="shared" si="181"/>
        <v>#REF!</v>
      </c>
      <c r="LVE247" s="29" t="e">
        <f t="shared" si="181"/>
        <v>#REF!</v>
      </c>
      <c r="LVF247" s="29" t="e">
        <f t="shared" si="181"/>
        <v>#REF!</v>
      </c>
      <c r="LVG247" s="29" t="e">
        <f t="shared" si="181"/>
        <v>#REF!</v>
      </c>
      <c r="LVH247" s="29" t="e">
        <f t="shared" si="181"/>
        <v>#REF!</v>
      </c>
      <c r="LVI247" s="29" t="e">
        <f t="shared" si="181"/>
        <v>#REF!</v>
      </c>
      <c r="LVJ247" s="29" t="e">
        <f t="shared" si="181"/>
        <v>#REF!</v>
      </c>
      <c r="LVK247" s="29" t="e">
        <f t="shared" si="181"/>
        <v>#REF!</v>
      </c>
      <c r="LVL247" s="29" t="e">
        <f t="shared" si="181"/>
        <v>#REF!</v>
      </c>
      <c r="LVM247" s="29" t="e">
        <f t="shared" si="181"/>
        <v>#REF!</v>
      </c>
      <c r="LVN247" s="29" t="e">
        <f t="shared" si="181"/>
        <v>#REF!</v>
      </c>
      <c r="LVO247" s="29" t="e">
        <f t="shared" si="181"/>
        <v>#REF!</v>
      </c>
      <c r="LVP247" s="29" t="e">
        <f t="shared" si="181"/>
        <v>#REF!</v>
      </c>
      <c r="LVQ247" s="29" t="e">
        <f t="shared" si="181"/>
        <v>#REF!</v>
      </c>
      <c r="LVR247" s="29" t="e">
        <f t="shared" si="181"/>
        <v>#REF!</v>
      </c>
      <c r="LVS247" s="29" t="e">
        <f t="shared" si="181"/>
        <v>#REF!</v>
      </c>
      <c r="LVT247" s="29" t="e">
        <f t="shared" si="181"/>
        <v>#REF!</v>
      </c>
      <c r="LVU247" s="29" t="e">
        <f t="shared" si="181"/>
        <v>#REF!</v>
      </c>
      <c r="LVV247" s="29" t="e">
        <f t="shared" si="181"/>
        <v>#REF!</v>
      </c>
      <c r="LVW247" s="29" t="e">
        <f t="shared" si="181"/>
        <v>#REF!</v>
      </c>
      <c r="LVX247" s="29" t="e">
        <f t="shared" si="181"/>
        <v>#REF!</v>
      </c>
      <c r="LVY247" s="29" t="e">
        <f t="shared" si="181"/>
        <v>#REF!</v>
      </c>
      <c r="LVZ247" s="29" t="e">
        <f t="shared" si="181"/>
        <v>#REF!</v>
      </c>
      <c r="LWA247" s="29" t="e">
        <f t="shared" si="181"/>
        <v>#REF!</v>
      </c>
      <c r="LWB247" s="29" t="e">
        <f t="shared" si="181"/>
        <v>#REF!</v>
      </c>
      <c r="LWC247" s="29" t="e">
        <f t="shared" si="181"/>
        <v>#REF!</v>
      </c>
      <c r="LWD247" s="29" t="e">
        <f t="shared" si="181"/>
        <v>#REF!</v>
      </c>
      <c r="LWE247" s="29" t="e">
        <f t="shared" si="181"/>
        <v>#REF!</v>
      </c>
      <c r="LWF247" s="29" t="e">
        <f t="shared" si="181"/>
        <v>#REF!</v>
      </c>
      <c r="LWG247" s="29" t="e">
        <f t="shared" si="181"/>
        <v>#REF!</v>
      </c>
      <c r="LWH247" s="29" t="e">
        <f t="shared" si="181"/>
        <v>#REF!</v>
      </c>
      <c r="LWI247" s="29" t="e">
        <f t="shared" si="181"/>
        <v>#REF!</v>
      </c>
      <c r="LWJ247" s="29" t="e">
        <f t="shared" si="181"/>
        <v>#REF!</v>
      </c>
      <c r="LWK247" s="29" t="e">
        <f t="shared" ref="LWK247:LYV247" si="182">LWO247&amp;LWP247</f>
        <v>#REF!</v>
      </c>
      <c r="LWL247" s="29" t="e">
        <f t="shared" si="182"/>
        <v>#REF!</v>
      </c>
      <c r="LWM247" s="29" t="e">
        <f t="shared" si="182"/>
        <v>#REF!</v>
      </c>
      <c r="LWN247" s="29" t="e">
        <f t="shared" si="182"/>
        <v>#REF!</v>
      </c>
      <c r="LWO247" s="29" t="e">
        <f t="shared" si="182"/>
        <v>#REF!</v>
      </c>
      <c r="LWP247" s="29" t="e">
        <f t="shared" si="182"/>
        <v>#REF!</v>
      </c>
      <c r="LWQ247" s="29" t="e">
        <f t="shared" si="182"/>
        <v>#REF!</v>
      </c>
      <c r="LWR247" s="29" t="e">
        <f t="shared" si="182"/>
        <v>#REF!</v>
      </c>
      <c r="LWS247" s="29" t="e">
        <f t="shared" si="182"/>
        <v>#REF!</v>
      </c>
      <c r="LWT247" s="29" t="e">
        <f t="shared" si="182"/>
        <v>#REF!</v>
      </c>
      <c r="LWU247" s="29" t="e">
        <f t="shared" si="182"/>
        <v>#REF!</v>
      </c>
      <c r="LWV247" s="29" t="e">
        <f t="shared" si="182"/>
        <v>#REF!</v>
      </c>
      <c r="LWW247" s="29" t="e">
        <f t="shared" si="182"/>
        <v>#REF!</v>
      </c>
      <c r="LWX247" s="29" t="e">
        <f t="shared" si="182"/>
        <v>#REF!</v>
      </c>
      <c r="LWY247" s="29" t="e">
        <f t="shared" si="182"/>
        <v>#REF!</v>
      </c>
      <c r="LWZ247" s="29" t="e">
        <f t="shared" si="182"/>
        <v>#REF!</v>
      </c>
      <c r="LXA247" s="29" t="e">
        <f t="shared" si="182"/>
        <v>#REF!</v>
      </c>
      <c r="LXB247" s="29" t="e">
        <f t="shared" si="182"/>
        <v>#REF!</v>
      </c>
      <c r="LXC247" s="29" t="e">
        <f t="shared" si="182"/>
        <v>#REF!</v>
      </c>
      <c r="LXD247" s="29" t="e">
        <f t="shared" si="182"/>
        <v>#REF!</v>
      </c>
      <c r="LXE247" s="29" t="e">
        <f t="shared" si="182"/>
        <v>#REF!</v>
      </c>
      <c r="LXF247" s="29" t="e">
        <f t="shared" si="182"/>
        <v>#REF!</v>
      </c>
      <c r="LXG247" s="29" t="e">
        <f t="shared" si="182"/>
        <v>#REF!</v>
      </c>
      <c r="LXH247" s="29" t="e">
        <f t="shared" si="182"/>
        <v>#REF!</v>
      </c>
      <c r="LXI247" s="29" t="e">
        <f t="shared" si="182"/>
        <v>#REF!</v>
      </c>
      <c r="LXJ247" s="29" t="e">
        <f t="shared" si="182"/>
        <v>#REF!</v>
      </c>
      <c r="LXK247" s="29" t="e">
        <f t="shared" si="182"/>
        <v>#REF!</v>
      </c>
      <c r="LXL247" s="29" t="e">
        <f t="shared" si="182"/>
        <v>#REF!</v>
      </c>
      <c r="LXM247" s="29" t="e">
        <f t="shared" si="182"/>
        <v>#REF!</v>
      </c>
      <c r="LXN247" s="29" t="e">
        <f t="shared" si="182"/>
        <v>#REF!</v>
      </c>
      <c r="LXO247" s="29" t="e">
        <f t="shared" si="182"/>
        <v>#REF!</v>
      </c>
      <c r="LXP247" s="29" t="e">
        <f t="shared" si="182"/>
        <v>#REF!</v>
      </c>
      <c r="LXQ247" s="29" t="e">
        <f t="shared" si="182"/>
        <v>#REF!</v>
      </c>
      <c r="LXR247" s="29" t="e">
        <f t="shared" si="182"/>
        <v>#REF!</v>
      </c>
      <c r="LXS247" s="29" t="e">
        <f t="shared" si="182"/>
        <v>#REF!</v>
      </c>
      <c r="LXT247" s="29" t="e">
        <f t="shared" si="182"/>
        <v>#REF!</v>
      </c>
      <c r="LXU247" s="29" t="e">
        <f t="shared" si="182"/>
        <v>#REF!</v>
      </c>
      <c r="LXV247" s="29" t="e">
        <f t="shared" si="182"/>
        <v>#REF!</v>
      </c>
      <c r="LXW247" s="29" t="e">
        <f t="shared" si="182"/>
        <v>#REF!</v>
      </c>
      <c r="LXX247" s="29" t="e">
        <f t="shared" si="182"/>
        <v>#REF!</v>
      </c>
      <c r="LXY247" s="29" t="e">
        <f t="shared" si="182"/>
        <v>#REF!</v>
      </c>
      <c r="LXZ247" s="29" t="e">
        <f t="shared" si="182"/>
        <v>#REF!</v>
      </c>
      <c r="LYA247" s="29" t="e">
        <f t="shared" si="182"/>
        <v>#REF!</v>
      </c>
      <c r="LYB247" s="29" t="e">
        <f t="shared" si="182"/>
        <v>#REF!</v>
      </c>
      <c r="LYC247" s="29" t="e">
        <f t="shared" si="182"/>
        <v>#REF!</v>
      </c>
      <c r="LYD247" s="29" t="e">
        <f t="shared" si="182"/>
        <v>#REF!</v>
      </c>
      <c r="LYE247" s="29" t="e">
        <f t="shared" si="182"/>
        <v>#REF!</v>
      </c>
      <c r="LYF247" s="29" t="e">
        <f t="shared" si="182"/>
        <v>#REF!</v>
      </c>
      <c r="LYG247" s="29" t="e">
        <f t="shared" si="182"/>
        <v>#REF!</v>
      </c>
      <c r="LYH247" s="29" t="e">
        <f t="shared" si="182"/>
        <v>#REF!</v>
      </c>
      <c r="LYI247" s="29" t="e">
        <f t="shared" si="182"/>
        <v>#REF!</v>
      </c>
      <c r="LYJ247" s="29" t="e">
        <f t="shared" si="182"/>
        <v>#REF!</v>
      </c>
      <c r="LYK247" s="29" t="e">
        <f t="shared" si="182"/>
        <v>#REF!</v>
      </c>
      <c r="LYL247" s="29" t="e">
        <f t="shared" si="182"/>
        <v>#REF!</v>
      </c>
      <c r="LYM247" s="29" t="e">
        <f t="shared" si="182"/>
        <v>#REF!</v>
      </c>
      <c r="LYN247" s="29" t="e">
        <f t="shared" si="182"/>
        <v>#REF!</v>
      </c>
      <c r="LYO247" s="29" t="e">
        <f t="shared" si="182"/>
        <v>#REF!</v>
      </c>
      <c r="LYP247" s="29" t="e">
        <f t="shared" si="182"/>
        <v>#REF!</v>
      </c>
      <c r="LYQ247" s="29" t="e">
        <f t="shared" si="182"/>
        <v>#REF!</v>
      </c>
      <c r="LYR247" s="29" t="e">
        <f t="shared" si="182"/>
        <v>#REF!</v>
      </c>
      <c r="LYS247" s="29" t="e">
        <f t="shared" si="182"/>
        <v>#REF!</v>
      </c>
      <c r="LYT247" s="29" t="e">
        <f t="shared" si="182"/>
        <v>#REF!</v>
      </c>
      <c r="LYU247" s="29" t="e">
        <f t="shared" si="182"/>
        <v>#REF!</v>
      </c>
      <c r="LYV247" s="29" t="e">
        <f t="shared" si="182"/>
        <v>#REF!</v>
      </c>
      <c r="LYW247" s="29" t="e">
        <f t="shared" ref="LYW247:MBH247" si="183">LZA247&amp;LZB247</f>
        <v>#REF!</v>
      </c>
      <c r="LYX247" s="29" t="e">
        <f t="shared" si="183"/>
        <v>#REF!</v>
      </c>
      <c r="LYY247" s="29" t="e">
        <f t="shared" si="183"/>
        <v>#REF!</v>
      </c>
      <c r="LYZ247" s="29" t="e">
        <f t="shared" si="183"/>
        <v>#REF!</v>
      </c>
      <c r="LZA247" s="29" t="e">
        <f t="shared" si="183"/>
        <v>#REF!</v>
      </c>
      <c r="LZB247" s="29" t="e">
        <f t="shared" si="183"/>
        <v>#REF!</v>
      </c>
      <c r="LZC247" s="29" t="e">
        <f t="shared" si="183"/>
        <v>#REF!</v>
      </c>
      <c r="LZD247" s="29" t="e">
        <f t="shared" si="183"/>
        <v>#REF!</v>
      </c>
      <c r="LZE247" s="29" t="e">
        <f t="shared" si="183"/>
        <v>#REF!</v>
      </c>
      <c r="LZF247" s="29" t="e">
        <f t="shared" si="183"/>
        <v>#REF!</v>
      </c>
      <c r="LZG247" s="29" t="e">
        <f t="shared" si="183"/>
        <v>#REF!</v>
      </c>
      <c r="LZH247" s="29" t="e">
        <f t="shared" si="183"/>
        <v>#REF!</v>
      </c>
      <c r="LZI247" s="29" t="e">
        <f t="shared" si="183"/>
        <v>#REF!</v>
      </c>
      <c r="LZJ247" s="29" t="e">
        <f t="shared" si="183"/>
        <v>#REF!</v>
      </c>
      <c r="LZK247" s="29" t="e">
        <f t="shared" si="183"/>
        <v>#REF!</v>
      </c>
      <c r="LZL247" s="29" t="e">
        <f t="shared" si="183"/>
        <v>#REF!</v>
      </c>
      <c r="LZM247" s="29" t="e">
        <f t="shared" si="183"/>
        <v>#REF!</v>
      </c>
      <c r="LZN247" s="29" t="e">
        <f t="shared" si="183"/>
        <v>#REF!</v>
      </c>
      <c r="LZO247" s="29" t="e">
        <f t="shared" si="183"/>
        <v>#REF!</v>
      </c>
      <c r="LZP247" s="29" t="e">
        <f t="shared" si="183"/>
        <v>#REF!</v>
      </c>
      <c r="LZQ247" s="29" t="e">
        <f t="shared" si="183"/>
        <v>#REF!</v>
      </c>
      <c r="LZR247" s="29" t="e">
        <f t="shared" si="183"/>
        <v>#REF!</v>
      </c>
      <c r="LZS247" s="29" t="e">
        <f t="shared" si="183"/>
        <v>#REF!</v>
      </c>
      <c r="LZT247" s="29" t="e">
        <f t="shared" si="183"/>
        <v>#REF!</v>
      </c>
      <c r="LZU247" s="29" t="e">
        <f t="shared" si="183"/>
        <v>#REF!</v>
      </c>
      <c r="LZV247" s="29" t="e">
        <f t="shared" si="183"/>
        <v>#REF!</v>
      </c>
      <c r="LZW247" s="29" t="e">
        <f t="shared" si="183"/>
        <v>#REF!</v>
      </c>
      <c r="LZX247" s="29" t="e">
        <f t="shared" si="183"/>
        <v>#REF!</v>
      </c>
      <c r="LZY247" s="29" t="e">
        <f t="shared" si="183"/>
        <v>#REF!</v>
      </c>
      <c r="LZZ247" s="29" t="e">
        <f t="shared" si="183"/>
        <v>#REF!</v>
      </c>
      <c r="MAA247" s="29" t="e">
        <f t="shared" si="183"/>
        <v>#REF!</v>
      </c>
      <c r="MAB247" s="29" t="e">
        <f t="shared" si="183"/>
        <v>#REF!</v>
      </c>
      <c r="MAC247" s="29" t="e">
        <f t="shared" si="183"/>
        <v>#REF!</v>
      </c>
      <c r="MAD247" s="29" t="e">
        <f t="shared" si="183"/>
        <v>#REF!</v>
      </c>
      <c r="MAE247" s="29" t="e">
        <f t="shared" si="183"/>
        <v>#REF!</v>
      </c>
      <c r="MAF247" s="29" t="e">
        <f t="shared" si="183"/>
        <v>#REF!</v>
      </c>
      <c r="MAG247" s="29" t="e">
        <f t="shared" si="183"/>
        <v>#REF!</v>
      </c>
      <c r="MAH247" s="29" t="e">
        <f t="shared" si="183"/>
        <v>#REF!</v>
      </c>
      <c r="MAI247" s="29" t="e">
        <f t="shared" si="183"/>
        <v>#REF!</v>
      </c>
      <c r="MAJ247" s="29" t="e">
        <f t="shared" si="183"/>
        <v>#REF!</v>
      </c>
      <c r="MAK247" s="29" t="e">
        <f t="shared" si="183"/>
        <v>#REF!</v>
      </c>
      <c r="MAL247" s="29" t="e">
        <f t="shared" si="183"/>
        <v>#REF!</v>
      </c>
      <c r="MAM247" s="29" t="e">
        <f t="shared" si="183"/>
        <v>#REF!</v>
      </c>
      <c r="MAN247" s="29" t="e">
        <f t="shared" si="183"/>
        <v>#REF!</v>
      </c>
      <c r="MAO247" s="29" t="e">
        <f t="shared" si="183"/>
        <v>#REF!</v>
      </c>
      <c r="MAP247" s="29" t="e">
        <f t="shared" si="183"/>
        <v>#REF!</v>
      </c>
      <c r="MAQ247" s="29" t="e">
        <f t="shared" si="183"/>
        <v>#REF!</v>
      </c>
      <c r="MAR247" s="29" t="e">
        <f t="shared" si="183"/>
        <v>#REF!</v>
      </c>
      <c r="MAS247" s="29" t="e">
        <f t="shared" si="183"/>
        <v>#REF!</v>
      </c>
      <c r="MAT247" s="29" t="e">
        <f t="shared" si="183"/>
        <v>#REF!</v>
      </c>
      <c r="MAU247" s="29" t="e">
        <f t="shared" si="183"/>
        <v>#REF!</v>
      </c>
      <c r="MAV247" s="29" t="e">
        <f t="shared" si="183"/>
        <v>#REF!</v>
      </c>
      <c r="MAW247" s="29" t="e">
        <f t="shared" si="183"/>
        <v>#REF!</v>
      </c>
      <c r="MAX247" s="29" t="e">
        <f t="shared" si="183"/>
        <v>#REF!</v>
      </c>
      <c r="MAY247" s="29" t="e">
        <f t="shared" si="183"/>
        <v>#REF!</v>
      </c>
      <c r="MAZ247" s="29" t="e">
        <f t="shared" si="183"/>
        <v>#REF!</v>
      </c>
      <c r="MBA247" s="29" t="e">
        <f t="shared" si="183"/>
        <v>#REF!</v>
      </c>
      <c r="MBB247" s="29" t="e">
        <f t="shared" si="183"/>
        <v>#REF!</v>
      </c>
      <c r="MBC247" s="29" t="e">
        <f t="shared" si="183"/>
        <v>#REF!</v>
      </c>
      <c r="MBD247" s="29" t="e">
        <f t="shared" si="183"/>
        <v>#REF!</v>
      </c>
      <c r="MBE247" s="29" t="e">
        <f t="shared" si="183"/>
        <v>#REF!</v>
      </c>
      <c r="MBF247" s="29" t="e">
        <f t="shared" si="183"/>
        <v>#REF!</v>
      </c>
      <c r="MBG247" s="29" t="e">
        <f t="shared" si="183"/>
        <v>#REF!</v>
      </c>
      <c r="MBH247" s="29" t="e">
        <f t="shared" si="183"/>
        <v>#REF!</v>
      </c>
      <c r="MBI247" s="29" t="e">
        <f t="shared" ref="MBI247:MDT247" si="184">MBM247&amp;MBN247</f>
        <v>#REF!</v>
      </c>
      <c r="MBJ247" s="29" t="e">
        <f t="shared" si="184"/>
        <v>#REF!</v>
      </c>
      <c r="MBK247" s="29" t="e">
        <f t="shared" si="184"/>
        <v>#REF!</v>
      </c>
      <c r="MBL247" s="29" t="e">
        <f t="shared" si="184"/>
        <v>#REF!</v>
      </c>
      <c r="MBM247" s="29" t="e">
        <f t="shared" si="184"/>
        <v>#REF!</v>
      </c>
      <c r="MBN247" s="29" t="e">
        <f t="shared" si="184"/>
        <v>#REF!</v>
      </c>
      <c r="MBO247" s="29" t="e">
        <f t="shared" si="184"/>
        <v>#REF!</v>
      </c>
      <c r="MBP247" s="29" t="e">
        <f t="shared" si="184"/>
        <v>#REF!</v>
      </c>
      <c r="MBQ247" s="29" t="e">
        <f t="shared" si="184"/>
        <v>#REF!</v>
      </c>
      <c r="MBR247" s="29" t="e">
        <f t="shared" si="184"/>
        <v>#REF!</v>
      </c>
      <c r="MBS247" s="29" t="e">
        <f t="shared" si="184"/>
        <v>#REF!</v>
      </c>
      <c r="MBT247" s="29" t="e">
        <f t="shared" si="184"/>
        <v>#REF!</v>
      </c>
      <c r="MBU247" s="29" t="e">
        <f t="shared" si="184"/>
        <v>#REF!</v>
      </c>
      <c r="MBV247" s="29" t="e">
        <f t="shared" si="184"/>
        <v>#REF!</v>
      </c>
      <c r="MBW247" s="29" t="e">
        <f t="shared" si="184"/>
        <v>#REF!</v>
      </c>
      <c r="MBX247" s="29" t="e">
        <f t="shared" si="184"/>
        <v>#REF!</v>
      </c>
      <c r="MBY247" s="29" t="e">
        <f t="shared" si="184"/>
        <v>#REF!</v>
      </c>
      <c r="MBZ247" s="29" t="e">
        <f t="shared" si="184"/>
        <v>#REF!</v>
      </c>
      <c r="MCA247" s="29" t="e">
        <f t="shared" si="184"/>
        <v>#REF!</v>
      </c>
      <c r="MCB247" s="29" t="e">
        <f t="shared" si="184"/>
        <v>#REF!</v>
      </c>
      <c r="MCC247" s="29" t="e">
        <f t="shared" si="184"/>
        <v>#REF!</v>
      </c>
      <c r="MCD247" s="29" t="e">
        <f t="shared" si="184"/>
        <v>#REF!</v>
      </c>
      <c r="MCE247" s="29" t="e">
        <f t="shared" si="184"/>
        <v>#REF!</v>
      </c>
      <c r="MCF247" s="29" t="e">
        <f t="shared" si="184"/>
        <v>#REF!</v>
      </c>
      <c r="MCG247" s="29" t="e">
        <f t="shared" si="184"/>
        <v>#REF!</v>
      </c>
      <c r="MCH247" s="29" t="e">
        <f t="shared" si="184"/>
        <v>#REF!</v>
      </c>
      <c r="MCI247" s="29" t="e">
        <f t="shared" si="184"/>
        <v>#REF!</v>
      </c>
      <c r="MCJ247" s="29" t="e">
        <f t="shared" si="184"/>
        <v>#REF!</v>
      </c>
      <c r="MCK247" s="29" t="e">
        <f t="shared" si="184"/>
        <v>#REF!</v>
      </c>
      <c r="MCL247" s="29" t="e">
        <f t="shared" si="184"/>
        <v>#REF!</v>
      </c>
      <c r="MCM247" s="29" t="e">
        <f t="shared" si="184"/>
        <v>#REF!</v>
      </c>
      <c r="MCN247" s="29" t="e">
        <f t="shared" si="184"/>
        <v>#REF!</v>
      </c>
      <c r="MCO247" s="29" t="e">
        <f t="shared" si="184"/>
        <v>#REF!</v>
      </c>
      <c r="MCP247" s="29" t="e">
        <f t="shared" si="184"/>
        <v>#REF!</v>
      </c>
      <c r="MCQ247" s="29" t="e">
        <f t="shared" si="184"/>
        <v>#REF!</v>
      </c>
      <c r="MCR247" s="29" t="e">
        <f t="shared" si="184"/>
        <v>#REF!</v>
      </c>
      <c r="MCS247" s="29" t="e">
        <f t="shared" si="184"/>
        <v>#REF!</v>
      </c>
      <c r="MCT247" s="29" t="e">
        <f t="shared" si="184"/>
        <v>#REF!</v>
      </c>
      <c r="MCU247" s="29" t="e">
        <f t="shared" si="184"/>
        <v>#REF!</v>
      </c>
      <c r="MCV247" s="29" t="e">
        <f t="shared" si="184"/>
        <v>#REF!</v>
      </c>
      <c r="MCW247" s="29" t="e">
        <f t="shared" si="184"/>
        <v>#REF!</v>
      </c>
      <c r="MCX247" s="29" t="e">
        <f t="shared" si="184"/>
        <v>#REF!</v>
      </c>
      <c r="MCY247" s="29" t="e">
        <f t="shared" si="184"/>
        <v>#REF!</v>
      </c>
      <c r="MCZ247" s="29" t="e">
        <f t="shared" si="184"/>
        <v>#REF!</v>
      </c>
      <c r="MDA247" s="29" t="e">
        <f t="shared" si="184"/>
        <v>#REF!</v>
      </c>
      <c r="MDB247" s="29" t="e">
        <f t="shared" si="184"/>
        <v>#REF!</v>
      </c>
      <c r="MDC247" s="29" t="e">
        <f t="shared" si="184"/>
        <v>#REF!</v>
      </c>
      <c r="MDD247" s="29" t="e">
        <f t="shared" si="184"/>
        <v>#REF!</v>
      </c>
      <c r="MDE247" s="29" t="e">
        <f t="shared" si="184"/>
        <v>#REF!</v>
      </c>
      <c r="MDF247" s="29" t="e">
        <f t="shared" si="184"/>
        <v>#REF!</v>
      </c>
      <c r="MDG247" s="29" t="e">
        <f t="shared" si="184"/>
        <v>#REF!</v>
      </c>
      <c r="MDH247" s="29" t="e">
        <f t="shared" si="184"/>
        <v>#REF!</v>
      </c>
      <c r="MDI247" s="29" t="e">
        <f t="shared" si="184"/>
        <v>#REF!</v>
      </c>
      <c r="MDJ247" s="29" t="e">
        <f t="shared" si="184"/>
        <v>#REF!</v>
      </c>
      <c r="MDK247" s="29" t="e">
        <f t="shared" si="184"/>
        <v>#REF!</v>
      </c>
      <c r="MDL247" s="29" t="e">
        <f t="shared" si="184"/>
        <v>#REF!</v>
      </c>
      <c r="MDM247" s="29" t="e">
        <f t="shared" si="184"/>
        <v>#REF!</v>
      </c>
      <c r="MDN247" s="29" t="e">
        <f t="shared" si="184"/>
        <v>#REF!</v>
      </c>
      <c r="MDO247" s="29" t="e">
        <f t="shared" si="184"/>
        <v>#REF!</v>
      </c>
      <c r="MDP247" s="29" t="e">
        <f t="shared" si="184"/>
        <v>#REF!</v>
      </c>
      <c r="MDQ247" s="29" t="e">
        <f t="shared" si="184"/>
        <v>#REF!</v>
      </c>
      <c r="MDR247" s="29" t="e">
        <f t="shared" si="184"/>
        <v>#REF!</v>
      </c>
      <c r="MDS247" s="29" t="e">
        <f t="shared" si="184"/>
        <v>#REF!</v>
      </c>
      <c r="MDT247" s="29" t="e">
        <f t="shared" si="184"/>
        <v>#REF!</v>
      </c>
      <c r="MDU247" s="29" t="e">
        <f t="shared" ref="MDU247:MGF247" si="185">MDY247&amp;MDZ247</f>
        <v>#REF!</v>
      </c>
      <c r="MDV247" s="29" t="e">
        <f t="shared" si="185"/>
        <v>#REF!</v>
      </c>
      <c r="MDW247" s="29" t="e">
        <f t="shared" si="185"/>
        <v>#REF!</v>
      </c>
      <c r="MDX247" s="29" t="e">
        <f t="shared" si="185"/>
        <v>#REF!</v>
      </c>
      <c r="MDY247" s="29" t="e">
        <f t="shared" si="185"/>
        <v>#REF!</v>
      </c>
      <c r="MDZ247" s="29" t="e">
        <f t="shared" si="185"/>
        <v>#REF!</v>
      </c>
      <c r="MEA247" s="29" t="e">
        <f t="shared" si="185"/>
        <v>#REF!</v>
      </c>
      <c r="MEB247" s="29" t="e">
        <f t="shared" si="185"/>
        <v>#REF!</v>
      </c>
      <c r="MEC247" s="29" t="e">
        <f t="shared" si="185"/>
        <v>#REF!</v>
      </c>
      <c r="MED247" s="29" t="e">
        <f t="shared" si="185"/>
        <v>#REF!</v>
      </c>
      <c r="MEE247" s="29" t="e">
        <f t="shared" si="185"/>
        <v>#REF!</v>
      </c>
      <c r="MEF247" s="29" t="e">
        <f t="shared" si="185"/>
        <v>#REF!</v>
      </c>
      <c r="MEG247" s="29" t="e">
        <f t="shared" si="185"/>
        <v>#REF!</v>
      </c>
      <c r="MEH247" s="29" t="e">
        <f t="shared" si="185"/>
        <v>#REF!</v>
      </c>
      <c r="MEI247" s="29" t="e">
        <f t="shared" si="185"/>
        <v>#REF!</v>
      </c>
      <c r="MEJ247" s="29" t="e">
        <f t="shared" si="185"/>
        <v>#REF!</v>
      </c>
      <c r="MEK247" s="29" t="e">
        <f t="shared" si="185"/>
        <v>#REF!</v>
      </c>
      <c r="MEL247" s="29" t="e">
        <f t="shared" si="185"/>
        <v>#REF!</v>
      </c>
      <c r="MEM247" s="29" t="e">
        <f t="shared" si="185"/>
        <v>#REF!</v>
      </c>
      <c r="MEN247" s="29" t="e">
        <f t="shared" si="185"/>
        <v>#REF!</v>
      </c>
      <c r="MEO247" s="29" t="e">
        <f t="shared" si="185"/>
        <v>#REF!</v>
      </c>
      <c r="MEP247" s="29" t="e">
        <f t="shared" si="185"/>
        <v>#REF!</v>
      </c>
      <c r="MEQ247" s="29" t="e">
        <f t="shared" si="185"/>
        <v>#REF!</v>
      </c>
      <c r="MER247" s="29" t="e">
        <f t="shared" si="185"/>
        <v>#REF!</v>
      </c>
      <c r="MES247" s="29" t="e">
        <f t="shared" si="185"/>
        <v>#REF!</v>
      </c>
      <c r="MET247" s="29" t="e">
        <f t="shared" si="185"/>
        <v>#REF!</v>
      </c>
      <c r="MEU247" s="29" t="e">
        <f t="shared" si="185"/>
        <v>#REF!</v>
      </c>
      <c r="MEV247" s="29" t="e">
        <f t="shared" si="185"/>
        <v>#REF!</v>
      </c>
      <c r="MEW247" s="29" t="e">
        <f t="shared" si="185"/>
        <v>#REF!</v>
      </c>
      <c r="MEX247" s="29" t="e">
        <f t="shared" si="185"/>
        <v>#REF!</v>
      </c>
      <c r="MEY247" s="29" t="e">
        <f t="shared" si="185"/>
        <v>#REF!</v>
      </c>
      <c r="MEZ247" s="29" t="e">
        <f t="shared" si="185"/>
        <v>#REF!</v>
      </c>
      <c r="MFA247" s="29" t="e">
        <f t="shared" si="185"/>
        <v>#REF!</v>
      </c>
      <c r="MFB247" s="29" t="e">
        <f t="shared" si="185"/>
        <v>#REF!</v>
      </c>
      <c r="MFC247" s="29" t="e">
        <f t="shared" si="185"/>
        <v>#REF!</v>
      </c>
      <c r="MFD247" s="29" t="e">
        <f t="shared" si="185"/>
        <v>#REF!</v>
      </c>
      <c r="MFE247" s="29" t="e">
        <f t="shared" si="185"/>
        <v>#REF!</v>
      </c>
      <c r="MFF247" s="29" t="e">
        <f t="shared" si="185"/>
        <v>#REF!</v>
      </c>
      <c r="MFG247" s="29" t="e">
        <f t="shared" si="185"/>
        <v>#REF!</v>
      </c>
      <c r="MFH247" s="29" t="e">
        <f t="shared" si="185"/>
        <v>#REF!</v>
      </c>
      <c r="MFI247" s="29" t="e">
        <f t="shared" si="185"/>
        <v>#REF!</v>
      </c>
      <c r="MFJ247" s="29" t="e">
        <f t="shared" si="185"/>
        <v>#REF!</v>
      </c>
      <c r="MFK247" s="29" t="e">
        <f t="shared" si="185"/>
        <v>#REF!</v>
      </c>
      <c r="MFL247" s="29" t="e">
        <f t="shared" si="185"/>
        <v>#REF!</v>
      </c>
      <c r="MFM247" s="29" t="e">
        <f t="shared" si="185"/>
        <v>#REF!</v>
      </c>
      <c r="MFN247" s="29" t="e">
        <f t="shared" si="185"/>
        <v>#REF!</v>
      </c>
      <c r="MFO247" s="29" t="e">
        <f t="shared" si="185"/>
        <v>#REF!</v>
      </c>
      <c r="MFP247" s="29" t="e">
        <f t="shared" si="185"/>
        <v>#REF!</v>
      </c>
      <c r="MFQ247" s="29" t="e">
        <f t="shared" si="185"/>
        <v>#REF!</v>
      </c>
      <c r="MFR247" s="29" t="e">
        <f t="shared" si="185"/>
        <v>#REF!</v>
      </c>
      <c r="MFS247" s="29" t="e">
        <f t="shared" si="185"/>
        <v>#REF!</v>
      </c>
      <c r="MFT247" s="29" t="e">
        <f t="shared" si="185"/>
        <v>#REF!</v>
      </c>
      <c r="MFU247" s="29" t="e">
        <f t="shared" si="185"/>
        <v>#REF!</v>
      </c>
      <c r="MFV247" s="29" t="e">
        <f t="shared" si="185"/>
        <v>#REF!</v>
      </c>
      <c r="MFW247" s="29" t="e">
        <f t="shared" si="185"/>
        <v>#REF!</v>
      </c>
      <c r="MFX247" s="29" t="e">
        <f t="shared" si="185"/>
        <v>#REF!</v>
      </c>
      <c r="MFY247" s="29" t="e">
        <f t="shared" si="185"/>
        <v>#REF!</v>
      </c>
      <c r="MFZ247" s="29" t="e">
        <f t="shared" si="185"/>
        <v>#REF!</v>
      </c>
      <c r="MGA247" s="29" t="e">
        <f t="shared" si="185"/>
        <v>#REF!</v>
      </c>
      <c r="MGB247" s="29" t="e">
        <f t="shared" si="185"/>
        <v>#REF!</v>
      </c>
      <c r="MGC247" s="29" t="e">
        <f t="shared" si="185"/>
        <v>#REF!</v>
      </c>
      <c r="MGD247" s="29" t="e">
        <f t="shared" si="185"/>
        <v>#REF!</v>
      </c>
      <c r="MGE247" s="29" t="e">
        <f t="shared" si="185"/>
        <v>#REF!</v>
      </c>
      <c r="MGF247" s="29" t="e">
        <f t="shared" si="185"/>
        <v>#REF!</v>
      </c>
      <c r="MGG247" s="29" t="e">
        <f t="shared" ref="MGG247:MIR247" si="186">MGK247&amp;MGL247</f>
        <v>#REF!</v>
      </c>
      <c r="MGH247" s="29" t="e">
        <f t="shared" si="186"/>
        <v>#REF!</v>
      </c>
      <c r="MGI247" s="29" t="e">
        <f t="shared" si="186"/>
        <v>#REF!</v>
      </c>
      <c r="MGJ247" s="29" t="e">
        <f t="shared" si="186"/>
        <v>#REF!</v>
      </c>
      <c r="MGK247" s="29" t="e">
        <f t="shared" si="186"/>
        <v>#REF!</v>
      </c>
      <c r="MGL247" s="29" t="e">
        <f t="shared" si="186"/>
        <v>#REF!</v>
      </c>
      <c r="MGM247" s="29" t="e">
        <f t="shared" si="186"/>
        <v>#REF!</v>
      </c>
      <c r="MGN247" s="29" t="e">
        <f t="shared" si="186"/>
        <v>#REF!</v>
      </c>
      <c r="MGO247" s="29" t="e">
        <f t="shared" si="186"/>
        <v>#REF!</v>
      </c>
      <c r="MGP247" s="29" t="e">
        <f t="shared" si="186"/>
        <v>#REF!</v>
      </c>
      <c r="MGQ247" s="29" t="e">
        <f t="shared" si="186"/>
        <v>#REF!</v>
      </c>
      <c r="MGR247" s="29" t="e">
        <f t="shared" si="186"/>
        <v>#REF!</v>
      </c>
      <c r="MGS247" s="29" t="e">
        <f t="shared" si="186"/>
        <v>#REF!</v>
      </c>
      <c r="MGT247" s="29" t="e">
        <f t="shared" si="186"/>
        <v>#REF!</v>
      </c>
      <c r="MGU247" s="29" t="e">
        <f t="shared" si="186"/>
        <v>#REF!</v>
      </c>
      <c r="MGV247" s="29" t="e">
        <f t="shared" si="186"/>
        <v>#REF!</v>
      </c>
      <c r="MGW247" s="29" t="e">
        <f t="shared" si="186"/>
        <v>#REF!</v>
      </c>
      <c r="MGX247" s="29" t="e">
        <f t="shared" si="186"/>
        <v>#REF!</v>
      </c>
      <c r="MGY247" s="29" t="e">
        <f t="shared" si="186"/>
        <v>#REF!</v>
      </c>
      <c r="MGZ247" s="29" t="e">
        <f t="shared" si="186"/>
        <v>#REF!</v>
      </c>
      <c r="MHA247" s="29" t="e">
        <f t="shared" si="186"/>
        <v>#REF!</v>
      </c>
      <c r="MHB247" s="29" t="e">
        <f t="shared" si="186"/>
        <v>#REF!</v>
      </c>
      <c r="MHC247" s="29" t="e">
        <f t="shared" si="186"/>
        <v>#REF!</v>
      </c>
      <c r="MHD247" s="29" t="e">
        <f t="shared" si="186"/>
        <v>#REF!</v>
      </c>
      <c r="MHE247" s="29" t="e">
        <f t="shared" si="186"/>
        <v>#REF!</v>
      </c>
      <c r="MHF247" s="29" t="e">
        <f t="shared" si="186"/>
        <v>#REF!</v>
      </c>
      <c r="MHG247" s="29" t="e">
        <f t="shared" si="186"/>
        <v>#REF!</v>
      </c>
      <c r="MHH247" s="29" t="e">
        <f t="shared" si="186"/>
        <v>#REF!</v>
      </c>
      <c r="MHI247" s="29" t="e">
        <f t="shared" si="186"/>
        <v>#REF!</v>
      </c>
      <c r="MHJ247" s="29" t="e">
        <f t="shared" si="186"/>
        <v>#REF!</v>
      </c>
      <c r="MHK247" s="29" t="e">
        <f t="shared" si="186"/>
        <v>#REF!</v>
      </c>
      <c r="MHL247" s="29" t="e">
        <f t="shared" si="186"/>
        <v>#REF!</v>
      </c>
      <c r="MHM247" s="29" t="e">
        <f t="shared" si="186"/>
        <v>#REF!</v>
      </c>
      <c r="MHN247" s="29" t="e">
        <f t="shared" si="186"/>
        <v>#REF!</v>
      </c>
      <c r="MHO247" s="29" t="e">
        <f t="shared" si="186"/>
        <v>#REF!</v>
      </c>
      <c r="MHP247" s="29" t="e">
        <f t="shared" si="186"/>
        <v>#REF!</v>
      </c>
      <c r="MHQ247" s="29" t="e">
        <f t="shared" si="186"/>
        <v>#REF!</v>
      </c>
      <c r="MHR247" s="29" t="e">
        <f t="shared" si="186"/>
        <v>#REF!</v>
      </c>
      <c r="MHS247" s="29" t="e">
        <f t="shared" si="186"/>
        <v>#REF!</v>
      </c>
      <c r="MHT247" s="29" t="e">
        <f t="shared" si="186"/>
        <v>#REF!</v>
      </c>
      <c r="MHU247" s="29" t="e">
        <f t="shared" si="186"/>
        <v>#REF!</v>
      </c>
      <c r="MHV247" s="29" t="e">
        <f t="shared" si="186"/>
        <v>#REF!</v>
      </c>
      <c r="MHW247" s="29" t="e">
        <f t="shared" si="186"/>
        <v>#REF!</v>
      </c>
      <c r="MHX247" s="29" t="e">
        <f t="shared" si="186"/>
        <v>#REF!</v>
      </c>
      <c r="MHY247" s="29" t="e">
        <f t="shared" si="186"/>
        <v>#REF!</v>
      </c>
      <c r="MHZ247" s="29" t="e">
        <f t="shared" si="186"/>
        <v>#REF!</v>
      </c>
      <c r="MIA247" s="29" t="e">
        <f t="shared" si="186"/>
        <v>#REF!</v>
      </c>
      <c r="MIB247" s="29" t="e">
        <f t="shared" si="186"/>
        <v>#REF!</v>
      </c>
      <c r="MIC247" s="29" t="e">
        <f t="shared" si="186"/>
        <v>#REF!</v>
      </c>
      <c r="MID247" s="29" t="e">
        <f t="shared" si="186"/>
        <v>#REF!</v>
      </c>
      <c r="MIE247" s="29" t="e">
        <f t="shared" si="186"/>
        <v>#REF!</v>
      </c>
      <c r="MIF247" s="29" t="e">
        <f t="shared" si="186"/>
        <v>#REF!</v>
      </c>
      <c r="MIG247" s="29" t="e">
        <f t="shared" si="186"/>
        <v>#REF!</v>
      </c>
      <c r="MIH247" s="29" t="e">
        <f t="shared" si="186"/>
        <v>#REF!</v>
      </c>
      <c r="MII247" s="29" t="e">
        <f t="shared" si="186"/>
        <v>#REF!</v>
      </c>
      <c r="MIJ247" s="29" t="e">
        <f t="shared" si="186"/>
        <v>#REF!</v>
      </c>
      <c r="MIK247" s="29" t="e">
        <f t="shared" si="186"/>
        <v>#REF!</v>
      </c>
      <c r="MIL247" s="29" t="e">
        <f t="shared" si="186"/>
        <v>#REF!</v>
      </c>
      <c r="MIM247" s="29" t="e">
        <f t="shared" si="186"/>
        <v>#REF!</v>
      </c>
      <c r="MIN247" s="29" t="e">
        <f t="shared" si="186"/>
        <v>#REF!</v>
      </c>
      <c r="MIO247" s="29" t="e">
        <f t="shared" si="186"/>
        <v>#REF!</v>
      </c>
      <c r="MIP247" s="29" t="e">
        <f t="shared" si="186"/>
        <v>#REF!</v>
      </c>
      <c r="MIQ247" s="29" t="e">
        <f t="shared" si="186"/>
        <v>#REF!</v>
      </c>
      <c r="MIR247" s="29" t="e">
        <f t="shared" si="186"/>
        <v>#REF!</v>
      </c>
      <c r="MIS247" s="29" t="e">
        <f t="shared" ref="MIS247:MLD247" si="187">MIW247&amp;MIX247</f>
        <v>#REF!</v>
      </c>
      <c r="MIT247" s="29" t="e">
        <f t="shared" si="187"/>
        <v>#REF!</v>
      </c>
      <c r="MIU247" s="29" t="e">
        <f t="shared" si="187"/>
        <v>#REF!</v>
      </c>
      <c r="MIV247" s="29" t="e">
        <f t="shared" si="187"/>
        <v>#REF!</v>
      </c>
      <c r="MIW247" s="29" t="e">
        <f t="shared" si="187"/>
        <v>#REF!</v>
      </c>
      <c r="MIX247" s="29" t="e">
        <f t="shared" si="187"/>
        <v>#REF!</v>
      </c>
      <c r="MIY247" s="29" t="e">
        <f t="shared" si="187"/>
        <v>#REF!</v>
      </c>
      <c r="MIZ247" s="29" t="e">
        <f t="shared" si="187"/>
        <v>#REF!</v>
      </c>
      <c r="MJA247" s="29" t="e">
        <f t="shared" si="187"/>
        <v>#REF!</v>
      </c>
      <c r="MJB247" s="29" t="e">
        <f t="shared" si="187"/>
        <v>#REF!</v>
      </c>
      <c r="MJC247" s="29" t="e">
        <f t="shared" si="187"/>
        <v>#REF!</v>
      </c>
      <c r="MJD247" s="29" t="e">
        <f t="shared" si="187"/>
        <v>#REF!</v>
      </c>
      <c r="MJE247" s="29" t="e">
        <f t="shared" si="187"/>
        <v>#REF!</v>
      </c>
      <c r="MJF247" s="29" t="e">
        <f t="shared" si="187"/>
        <v>#REF!</v>
      </c>
      <c r="MJG247" s="29" t="e">
        <f t="shared" si="187"/>
        <v>#REF!</v>
      </c>
      <c r="MJH247" s="29" t="e">
        <f t="shared" si="187"/>
        <v>#REF!</v>
      </c>
      <c r="MJI247" s="29" t="e">
        <f t="shared" si="187"/>
        <v>#REF!</v>
      </c>
      <c r="MJJ247" s="29" t="e">
        <f t="shared" si="187"/>
        <v>#REF!</v>
      </c>
      <c r="MJK247" s="29" t="e">
        <f t="shared" si="187"/>
        <v>#REF!</v>
      </c>
      <c r="MJL247" s="29" t="e">
        <f t="shared" si="187"/>
        <v>#REF!</v>
      </c>
      <c r="MJM247" s="29" t="e">
        <f t="shared" si="187"/>
        <v>#REF!</v>
      </c>
      <c r="MJN247" s="29" t="e">
        <f t="shared" si="187"/>
        <v>#REF!</v>
      </c>
      <c r="MJO247" s="29" t="e">
        <f t="shared" si="187"/>
        <v>#REF!</v>
      </c>
      <c r="MJP247" s="29" t="e">
        <f t="shared" si="187"/>
        <v>#REF!</v>
      </c>
      <c r="MJQ247" s="29" t="e">
        <f t="shared" si="187"/>
        <v>#REF!</v>
      </c>
      <c r="MJR247" s="29" t="e">
        <f t="shared" si="187"/>
        <v>#REF!</v>
      </c>
      <c r="MJS247" s="29" t="e">
        <f t="shared" si="187"/>
        <v>#REF!</v>
      </c>
      <c r="MJT247" s="29" t="e">
        <f t="shared" si="187"/>
        <v>#REF!</v>
      </c>
      <c r="MJU247" s="29" t="e">
        <f t="shared" si="187"/>
        <v>#REF!</v>
      </c>
      <c r="MJV247" s="29" t="e">
        <f t="shared" si="187"/>
        <v>#REF!</v>
      </c>
      <c r="MJW247" s="29" t="e">
        <f t="shared" si="187"/>
        <v>#REF!</v>
      </c>
      <c r="MJX247" s="29" t="e">
        <f t="shared" si="187"/>
        <v>#REF!</v>
      </c>
      <c r="MJY247" s="29" t="e">
        <f t="shared" si="187"/>
        <v>#REF!</v>
      </c>
      <c r="MJZ247" s="29" t="e">
        <f t="shared" si="187"/>
        <v>#REF!</v>
      </c>
      <c r="MKA247" s="29" t="e">
        <f t="shared" si="187"/>
        <v>#REF!</v>
      </c>
      <c r="MKB247" s="29" t="e">
        <f t="shared" si="187"/>
        <v>#REF!</v>
      </c>
      <c r="MKC247" s="29" t="e">
        <f t="shared" si="187"/>
        <v>#REF!</v>
      </c>
      <c r="MKD247" s="29" t="e">
        <f t="shared" si="187"/>
        <v>#REF!</v>
      </c>
      <c r="MKE247" s="29" t="e">
        <f t="shared" si="187"/>
        <v>#REF!</v>
      </c>
      <c r="MKF247" s="29" t="e">
        <f t="shared" si="187"/>
        <v>#REF!</v>
      </c>
      <c r="MKG247" s="29" t="e">
        <f t="shared" si="187"/>
        <v>#REF!</v>
      </c>
      <c r="MKH247" s="29" t="e">
        <f t="shared" si="187"/>
        <v>#REF!</v>
      </c>
      <c r="MKI247" s="29" t="e">
        <f t="shared" si="187"/>
        <v>#REF!</v>
      </c>
      <c r="MKJ247" s="29" t="e">
        <f t="shared" si="187"/>
        <v>#REF!</v>
      </c>
      <c r="MKK247" s="29" t="e">
        <f t="shared" si="187"/>
        <v>#REF!</v>
      </c>
      <c r="MKL247" s="29" t="e">
        <f t="shared" si="187"/>
        <v>#REF!</v>
      </c>
      <c r="MKM247" s="29" t="e">
        <f t="shared" si="187"/>
        <v>#REF!</v>
      </c>
      <c r="MKN247" s="29" t="e">
        <f t="shared" si="187"/>
        <v>#REF!</v>
      </c>
      <c r="MKO247" s="29" t="e">
        <f t="shared" si="187"/>
        <v>#REF!</v>
      </c>
      <c r="MKP247" s="29" t="e">
        <f t="shared" si="187"/>
        <v>#REF!</v>
      </c>
      <c r="MKQ247" s="29" t="e">
        <f t="shared" si="187"/>
        <v>#REF!</v>
      </c>
      <c r="MKR247" s="29" t="e">
        <f t="shared" si="187"/>
        <v>#REF!</v>
      </c>
      <c r="MKS247" s="29" t="e">
        <f t="shared" si="187"/>
        <v>#REF!</v>
      </c>
      <c r="MKT247" s="29" t="e">
        <f t="shared" si="187"/>
        <v>#REF!</v>
      </c>
      <c r="MKU247" s="29" t="e">
        <f t="shared" si="187"/>
        <v>#REF!</v>
      </c>
      <c r="MKV247" s="29" t="e">
        <f t="shared" si="187"/>
        <v>#REF!</v>
      </c>
      <c r="MKW247" s="29" t="e">
        <f t="shared" si="187"/>
        <v>#REF!</v>
      </c>
      <c r="MKX247" s="29" t="e">
        <f t="shared" si="187"/>
        <v>#REF!</v>
      </c>
      <c r="MKY247" s="29" t="e">
        <f t="shared" si="187"/>
        <v>#REF!</v>
      </c>
      <c r="MKZ247" s="29" t="e">
        <f t="shared" si="187"/>
        <v>#REF!</v>
      </c>
      <c r="MLA247" s="29" t="e">
        <f t="shared" si="187"/>
        <v>#REF!</v>
      </c>
      <c r="MLB247" s="29" t="e">
        <f t="shared" si="187"/>
        <v>#REF!</v>
      </c>
      <c r="MLC247" s="29" t="e">
        <f t="shared" si="187"/>
        <v>#REF!</v>
      </c>
      <c r="MLD247" s="29" t="e">
        <f t="shared" si="187"/>
        <v>#REF!</v>
      </c>
      <c r="MLE247" s="29" t="e">
        <f t="shared" ref="MLE247:MNP247" si="188">MLI247&amp;MLJ247</f>
        <v>#REF!</v>
      </c>
      <c r="MLF247" s="29" t="e">
        <f t="shared" si="188"/>
        <v>#REF!</v>
      </c>
      <c r="MLG247" s="29" t="e">
        <f t="shared" si="188"/>
        <v>#REF!</v>
      </c>
      <c r="MLH247" s="29" t="e">
        <f t="shared" si="188"/>
        <v>#REF!</v>
      </c>
      <c r="MLI247" s="29" t="e">
        <f t="shared" si="188"/>
        <v>#REF!</v>
      </c>
      <c r="MLJ247" s="29" t="e">
        <f t="shared" si="188"/>
        <v>#REF!</v>
      </c>
      <c r="MLK247" s="29" t="e">
        <f t="shared" si="188"/>
        <v>#REF!</v>
      </c>
      <c r="MLL247" s="29" t="e">
        <f t="shared" si="188"/>
        <v>#REF!</v>
      </c>
      <c r="MLM247" s="29" t="e">
        <f t="shared" si="188"/>
        <v>#REF!</v>
      </c>
      <c r="MLN247" s="29" t="e">
        <f t="shared" si="188"/>
        <v>#REF!</v>
      </c>
      <c r="MLO247" s="29" t="e">
        <f t="shared" si="188"/>
        <v>#REF!</v>
      </c>
      <c r="MLP247" s="29" t="e">
        <f t="shared" si="188"/>
        <v>#REF!</v>
      </c>
      <c r="MLQ247" s="29" t="e">
        <f t="shared" si="188"/>
        <v>#REF!</v>
      </c>
      <c r="MLR247" s="29" t="e">
        <f t="shared" si="188"/>
        <v>#REF!</v>
      </c>
      <c r="MLS247" s="29" t="e">
        <f t="shared" si="188"/>
        <v>#REF!</v>
      </c>
      <c r="MLT247" s="29" t="e">
        <f t="shared" si="188"/>
        <v>#REF!</v>
      </c>
      <c r="MLU247" s="29" t="e">
        <f t="shared" si="188"/>
        <v>#REF!</v>
      </c>
      <c r="MLV247" s="29" t="e">
        <f t="shared" si="188"/>
        <v>#REF!</v>
      </c>
      <c r="MLW247" s="29" t="e">
        <f t="shared" si="188"/>
        <v>#REF!</v>
      </c>
      <c r="MLX247" s="29" t="e">
        <f t="shared" si="188"/>
        <v>#REF!</v>
      </c>
      <c r="MLY247" s="29" t="e">
        <f t="shared" si="188"/>
        <v>#REF!</v>
      </c>
      <c r="MLZ247" s="29" t="e">
        <f t="shared" si="188"/>
        <v>#REF!</v>
      </c>
      <c r="MMA247" s="29" t="e">
        <f t="shared" si="188"/>
        <v>#REF!</v>
      </c>
      <c r="MMB247" s="29" t="e">
        <f t="shared" si="188"/>
        <v>#REF!</v>
      </c>
      <c r="MMC247" s="29" t="e">
        <f t="shared" si="188"/>
        <v>#REF!</v>
      </c>
      <c r="MMD247" s="29" t="e">
        <f t="shared" si="188"/>
        <v>#REF!</v>
      </c>
      <c r="MME247" s="29" t="e">
        <f t="shared" si="188"/>
        <v>#REF!</v>
      </c>
      <c r="MMF247" s="29" t="e">
        <f t="shared" si="188"/>
        <v>#REF!</v>
      </c>
      <c r="MMG247" s="29" t="e">
        <f t="shared" si="188"/>
        <v>#REF!</v>
      </c>
      <c r="MMH247" s="29" t="e">
        <f t="shared" si="188"/>
        <v>#REF!</v>
      </c>
      <c r="MMI247" s="29" t="e">
        <f t="shared" si="188"/>
        <v>#REF!</v>
      </c>
      <c r="MMJ247" s="29" t="e">
        <f t="shared" si="188"/>
        <v>#REF!</v>
      </c>
      <c r="MMK247" s="29" t="e">
        <f t="shared" si="188"/>
        <v>#REF!</v>
      </c>
      <c r="MML247" s="29" t="e">
        <f t="shared" si="188"/>
        <v>#REF!</v>
      </c>
      <c r="MMM247" s="29" t="e">
        <f t="shared" si="188"/>
        <v>#REF!</v>
      </c>
      <c r="MMN247" s="29" t="e">
        <f t="shared" si="188"/>
        <v>#REF!</v>
      </c>
      <c r="MMO247" s="29" t="e">
        <f t="shared" si="188"/>
        <v>#REF!</v>
      </c>
      <c r="MMP247" s="29" t="e">
        <f t="shared" si="188"/>
        <v>#REF!</v>
      </c>
      <c r="MMQ247" s="29" t="e">
        <f t="shared" si="188"/>
        <v>#REF!</v>
      </c>
      <c r="MMR247" s="29" t="e">
        <f t="shared" si="188"/>
        <v>#REF!</v>
      </c>
      <c r="MMS247" s="29" t="e">
        <f t="shared" si="188"/>
        <v>#REF!</v>
      </c>
      <c r="MMT247" s="29" t="e">
        <f t="shared" si="188"/>
        <v>#REF!</v>
      </c>
      <c r="MMU247" s="29" t="e">
        <f t="shared" si="188"/>
        <v>#REF!</v>
      </c>
      <c r="MMV247" s="29" t="e">
        <f t="shared" si="188"/>
        <v>#REF!</v>
      </c>
      <c r="MMW247" s="29" t="e">
        <f t="shared" si="188"/>
        <v>#REF!</v>
      </c>
      <c r="MMX247" s="29" t="e">
        <f t="shared" si="188"/>
        <v>#REF!</v>
      </c>
      <c r="MMY247" s="29" t="e">
        <f t="shared" si="188"/>
        <v>#REF!</v>
      </c>
      <c r="MMZ247" s="29" t="e">
        <f t="shared" si="188"/>
        <v>#REF!</v>
      </c>
      <c r="MNA247" s="29" t="e">
        <f t="shared" si="188"/>
        <v>#REF!</v>
      </c>
      <c r="MNB247" s="29" t="e">
        <f t="shared" si="188"/>
        <v>#REF!</v>
      </c>
      <c r="MNC247" s="29" t="e">
        <f t="shared" si="188"/>
        <v>#REF!</v>
      </c>
      <c r="MND247" s="29" t="e">
        <f t="shared" si="188"/>
        <v>#REF!</v>
      </c>
      <c r="MNE247" s="29" t="e">
        <f t="shared" si="188"/>
        <v>#REF!</v>
      </c>
      <c r="MNF247" s="29" t="e">
        <f t="shared" si="188"/>
        <v>#REF!</v>
      </c>
      <c r="MNG247" s="29" t="e">
        <f t="shared" si="188"/>
        <v>#REF!</v>
      </c>
      <c r="MNH247" s="29" t="e">
        <f t="shared" si="188"/>
        <v>#REF!</v>
      </c>
      <c r="MNI247" s="29" t="e">
        <f t="shared" si="188"/>
        <v>#REF!</v>
      </c>
      <c r="MNJ247" s="29" t="e">
        <f t="shared" si="188"/>
        <v>#REF!</v>
      </c>
      <c r="MNK247" s="29" t="e">
        <f t="shared" si="188"/>
        <v>#REF!</v>
      </c>
      <c r="MNL247" s="29" t="e">
        <f t="shared" si="188"/>
        <v>#REF!</v>
      </c>
      <c r="MNM247" s="29" t="e">
        <f t="shared" si="188"/>
        <v>#REF!</v>
      </c>
      <c r="MNN247" s="29" t="e">
        <f t="shared" si="188"/>
        <v>#REF!</v>
      </c>
      <c r="MNO247" s="29" t="e">
        <f t="shared" si="188"/>
        <v>#REF!</v>
      </c>
      <c r="MNP247" s="29" t="e">
        <f t="shared" si="188"/>
        <v>#REF!</v>
      </c>
      <c r="MNQ247" s="29" t="e">
        <f t="shared" ref="MNQ247:MQB247" si="189">MNU247&amp;MNV247</f>
        <v>#REF!</v>
      </c>
      <c r="MNR247" s="29" t="e">
        <f t="shared" si="189"/>
        <v>#REF!</v>
      </c>
      <c r="MNS247" s="29" t="e">
        <f t="shared" si="189"/>
        <v>#REF!</v>
      </c>
      <c r="MNT247" s="29" t="e">
        <f t="shared" si="189"/>
        <v>#REF!</v>
      </c>
      <c r="MNU247" s="29" t="e">
        <f t="shared" si="189"/>
        <v>#REF!</v>
      </c>
      <c r="MNV247" s="29" t="e">
        <f t="shared" si="189"/>
        <v>#REF!</v>
      </c>
      <c r="MNW247" s="29" t="e">
        <f t="shared" si="189"/>
        <v>#REF!</v>
      </c>
      <c r="MNX247" s="29" t="e">
        <f t="shared" si="189"/>
        <v>#REF!</v>
      </c>
      <c r="MNY247" s="29" t="e">
        <f t="shared" si="189"/>
        <v>#REF!</v>
      </c>
      <c r="MNZ247" s="29" t="e">
        <f t="shared" si="189"/>
        <v>#REF!</v>
      </c>
      <c r="MOA247" s="29" t="e">
        <f t="shared" si="189"/>
        <v>#REF!</v>
      </c>
      <c r="MOB247" s="29" t="e">
        <f t="shared" si="189"/>
        <v>#REF!</v>
      </c>
      <c r="MOC247" s="29" t="e">
        <f t="shared" si="189"/>
        <v>#REF!</v>
      </c>
      <c r="MOD247" s="29" t="e">
        <f t="shared" si="189"/>
        <v>#REF!</v>
      </c>
      <c r="MOE247" s="29" t="e">
        <f t="shared" si="189"/>
        <v>#REF!</v>
      </c>
      <c r="MOF247" s="29" t="e">
        <f t="shared" si="189"/>
        <v>#REF!</v>
      </c>
      <c r="MOG247" s="29" t="e">
        <f t="shared" si="189"/>
        <v>#REF!</v>
      </c>
      <c r="MOH247" s="29" t="e">
        <f t="shared" si="189"/>
        <v>#REF!</v>
      </c>
      <c r="MOI247" s="29" t="e">
        <f t="shared" si="189"/>
        <v>#REF!</v>
      </c>
      <c r="MOJ247" s="29" t="e">
        <f t="shared" si="189"/>
        <v>#REF!</v>
      </c>
      <c r="MOK247" s="29" t="e">
        <f t="shared" si="189"/>
        <v>#REF!</v>
      </c>
      <c r="MOL247" s="29" t="e">
        <f t="shared" si="189"/>
        <v>#REF!</v>
      </c>
      <c r="MOM247" s="29" t="e">
        <f t="shared" si="189"/>
        <v>#REF!</v>
      </c>
      <c r="MON247" s="29" t="e">
        <f t="shared" si="189"/>
        <v>#REF!</v>
      </c>
      <c r="MOO247" s="29" t="e">
        <f t="shared" si="189"/>
        <v>#REF!</v>
      </c>
      <c r="MOP247" s="29" t="e">
        <f t="shared" si="189"/>
        <v>#REF!</v>
      </c>
      <c r="MOQ247" s="29" t="e">
        <f t="shared" si="189"/>
        <v>#REF!</v>
      </c>
      <c r="MOR247" s="29" t="e">
        <f t="shared" si="189"/>
        <v>#REF!</v>
      </c>
      <c r="MOS247" s="29" t="e">
        <f t="shared" si="189"/>
        <v>#REF!</v>
      </c>
      <c r="MOT247" s="29" t="e">
        <f t="shared" si="189"/>
        <v>#REF!</v>
      </c>
      <c r="MOU247" s="29" t="e">
        <f t="shared" si="189"/>
        <v>#REF!</v>
      </c>
      <c r="MOV247" s="29" t="e">
        <f t="shared" si="189"/>
        <v>#REF!</v>
      </c>
      <c r="MOW247" s="29" t="e">
        <f t="shared" si="189"/>
        <v>#REF!</v>
      </c>
      <c r="MOX247" s="29" t="e">
        <f t="shared" si="189"/>
        <v>#REF!</v>
      </c>
      <c r="MOY247" s="29" t="e">
        <f t="shared" si="189"/>
        <v>#REF!</v>
      </c>
      <c r="MOZ247" s="29" t="e">
        <f t="shared" si="189"/>
        <v>#REF!</v>
      </c>
      <c r="MPA247" s="29" t="e">
        <f t="shared" si="189"/>
        <v>#REF!</v>
      </c>
      <c r="MPB247" s="29" t="e">
        <f t="shared" si="189"/>
        <v>#REF!</v>
      </c>
      <c r="MPC247" s="29" t="e">
        <f t="shared" si="189"/>
        <v>#REF!</v>
      </c>
      <c r="MPD247" s="29" t="e">
        <f t="shared" si="189"/>
        <v>#REF!</v>
      </c>
      <c r="MPE247" s="29" t="e">
        <f t="shared" si="189"/>
        <v>#REF!</v>
      </c>
      <c r="MPF247" s="29" t="e">
        <f t="shared" si="189"/>
        <v>#REF!</v>
      </c>
      <c r="MPG247" s="29" t="e">
        <f t="shared" si="189"/>
        <v>#REF!</v>
      </c>
      <c r="MPH247" s="29" t="e">
        <f t="shared" si="189"/>
        <v>#REF!</v>
      </c>
      <c r="MPI247" s="29" t="e">
        <f t="shared" si="189"/>
        <v>#REF!</v>
      </c>
      <c r="MPJ247" s="29" t="e">
        <f t="shared" si="189"/>
        <v>#REF!</v>
      </c>
      <c r="MPK247" s="29" t="e">
        <f t="shared" si="189"/>
        <v>#REF!</v>
      </c>
      <c r="MPL247" s="29" t="e">
        <f t="shared" si="189"/>
        <v>#REF!</v>
      </c>
      <c r="MPM247" s="29" t="e">
        <f t="shared" si="189"/>
        <v>#REF!</v>
      </c>
      <c r="MPN247" s="29" t="e">
        <f t="shared" si="189"/>
        <v>#REF!</v>
      </c>
      <c r="MPO247" s="29" t="e">
        <f t="shared" si="189"/>
        <v>#REF!</v>
      </c>
      <c r="MPP247" s="29" t="e">
        <f t="shared" si="189"/>
        <v>#REF!</v>
      </c>
      <c r="MPQ247" s="29" t="e">
        <f t="shared" si="189"/>
        <v>#REF!</v>
      </c>
      <c r="MPR247" s="29" t="e">
        <f t="shared" si="189"/>
        <v>#REF!</v>
      </c>
      <c r="MPS247" s="29" t="e">
        <f t="shared" si="189"/>
        <v>#REF!</v>
      </c>
      <c r="MPT247" s="29" t="e">
        <f t="shared" si="189"/>
        <v>#REF!</v>
      </c>
      <c r="MPU247" s="29" t="e">
        <f t="shared" si="189"/>
        <v>#REF!</v>
      </c>
      <c r="MPV247" s="29" t="e">
        <f t="shared" si="189"/>
        <v>#REF!</v>
      </c>
      <c r="MPW247" s="29" t="e">
        <f t="shared" si="189"/>
        <v>#REF!</v>
      </c>
      <c r="MPX247" s="29" t="e">
        <f t="shared" si="189"/>
        <v>#REF!</v>
      </c>
      <c r="MPY247" s="29" t="e">
        <f t="shared" si="189"/>
        <v>#REF!</v>
      </c>
      <c r="MPZ247" s="29" t="e">
        <f t="shared" si="189"/>
        <v>#REF!</v>
      </c>
      <c r="MQA247" s="29" t="e">
        <f t="shared" si="189"/>
        <v>#REF!</v>
      </c>
      <c r="MQB247" s="29" t="e">
        <f t="shared" si="189"/>
        <v>#REF!</v>
      </c>
      <c r="MQC247" s="29" t="e">
        <f t="shared" ref="MQC247:MSN247" si="190">MQG247&amp;MQH247</f>
        <v>#REF!</v>
      </c>
      <c r="MQD247" s="29" t="e">
        <f t="shared" si="190"/>
        <v>#REF!</v>
      </c>
      <c r="MQE247" s="29" t="e">
        <f t="shared" si="190"/>
        <v>#REF!</v>
      </c>
      <c r="MQF247" s="29" t="e">
        <f t="shared" si="190"/>
        <v>#REF!</v>
      </c>
      <c r="MQG247" s="29" t="e">
        <f t="shared" si="190"/>
        <v>#REF!</v>
      </c>
      <c r="MQH247" s="29" t="e">
        <f t="shared" si="190"/>
        <v>#REF!</v>
      </c>
      <c r="MQI247" s="29" t="e">
        <f t="shared" si="190"/>
        <v>#REF!</v>
      </c>
      <c r="MQJ247" s="29" t="e">
        <f t="shared" si="190"/>
        <v>#REF!</v>
      </c>
      <c r="MQK247" s="29" t="e">
        <f t="shared" si="190"/>
        <v>#REF!</v>
      </c>
      <c r="MQL247" s="29" t="e">
        <f t="shared" si="190"/>
        <v>#REF!</v>
      </c>
      <c r="MQM247" s="29" t="e">
        <f t="shared" si="190"/>
        <v>#REF!</v>
      </c>
      <c r="MQN247" s="29" t="e">
        <f t="shared" si="190"/>
        <v>#REF!</v>
      </c>
      <c r="MQO247" s="29" t="e">
        <f t="shared" si="190"/>
        <v>#REF!</v>
      </c>
      <c r="MQP247" s="29" t="e">
        <f t="shared" si="190"/>
        <v>#REF!</v>
      </c>
      <c r="MQQ247" s="29" t="e">
        <f t="shared" si="190"/>
        <v>#REF!</v>
      </c>
      <c r="MQR247" s="29" t="e">
        <f t="shared" si="190"/>
        <v>#REF!</v>
      </c>
      <c r="MQS247" s="29" t="e">
        <f t="shared" si="190"/>
        <v>#REF!</v>
      </c>
      <c r="MQT247" s="29" t="e">
        <f t="shared" si="190"/>
        <v>#REF!</v>
      </c>
      <c r="MQU247" s="29" t="e">
        <f t="shared" si="190"/>
        <v>#REF!</v>
      </c>
      <c r="MQV247" s="29" t="e">
        <f t="shared" si="190"/>
        <v>#REF!</v>
      </c>
      <c r="MQW247" s="29" t="e">
        <f t="shared" si="190"/>
        <v>#REF!</v>
      </c>
      <c r="MQX247" s="29" t="e">
        <f t="shared" si="190"/>
        <v>#REF!</v>
      </c>
      <c r="MQY247" s="29" t="e">
        <f t="shared" si="190"/>
        <v>#REF!</v>
      </c>
      <c r="MQZ247" s="29" t="e">
        <f t="shared" si="190"/>
        <v>#REF!</v>
      </c>
      <c r="MRA247" s="29" t="e">
        <f t="shared" si="190"/>
        <v>#REF!</v>
      </c>
      <c r="MRB247" s="29" t="e">
        <f t="shared" si="190"/>
        <v>#REF!</v>
      </c>
      <c r="MRC247" s="29" t="e">
        <f t="shared" si="190"/>
        <v>#REF!</v>
      </c>
      <c r="MRD247" s="29" t="e">
        <f t="shared" si="190"/>
        <v>#REF!</v>
      </c>
      <c r="MRE247" s="29" t="e">
        <f t="shared" si="190"/>
        <v>#REF!</v>
      </c>
      <c r="MRF247" s="29" t="e">
        <f t="shared" si="190"/>
        <v>#REF!</v>
      </c>
      <c r="MRG247" s="29" t="e">
        <f t="shared" si="190"/>
        <v>#REF!</v>
      </c>
      <c r="MRH247" s="29" t="e">
        <f t="shared" si="190"/>
        <v>#REF!</v>
      </c>
      <c r="MRI247" s="29" t="e">
        <f t="shared" si="190"/>
        <v>#REF!</v>
      </c>
      <c r="MRJ247" s="29" t="e">
        <f t="shared" si="190"/>
        <v>#REF!</v>
      </c>
      <c r="MRK247" s="29" t="e">
        <f t="shared" si="190"/>
        <v>#REF!</v>
      </c>
      <c r="MRL247" s="29" t="e">
        <f t="shared" si="190"/>
        <v>#REF!</v>
      </c>
      <c r="MRM247" s="29" t="e">
        <f t="shared" si="190"/>
        <v>#REF!</v>
      </c>
      <c r="MRN247" s="29" t="e">
        <f t="shared" si="190"/>
        <v>#REF!</v>
      </c>
      <c r="MRO247" s="29" t="e">
        <f t="shared" si="190"/>
        <v>#REF!</v>
      </c>
      <c r="MRP247" s="29" t="e">
        <f t="shared" si="190"/>
        <v>#REF!</v>
      </c>
      <c r="MRQ247" s="29" t="e">
        <f t="shared" si="190"/>
        <v>#REF!</v>
      </c>
      <c r="MRR247" s="29" t="e">
        <f t="shared" si="190"/>
        <v>#REF!</v>
      </c>
      <c r="MRS247" s="29" t="e">
        <f t="shared" si="190"/>
        <v>#REF!</v>
      </c>
      <c r="MRT247" s="29" t="e">
        <f t="shared" si="190"/>
        <v>#REF!</v>
      </c>
      <c r="MRU247" s="29" t="e">
        <f t="shared" si="190"/>
        <v>#REF!</v>
      </c>
      <c r="MRV247" s="29" t="e">
        <f t="shared" si="190"/>
        <v>#REF!</v>
      </c>
      <c r="MRW247" s="29" t="e">
        <f t="shared" si="190"/>
        <v>#REF!</v>
      </c>
      <c r="MRX247" s="29" t="e">
        <f t="shared" si="190"/>
        <v>#REF!</v>
      </c>
      <c r="MRY247" s="29" t="e">
        <f t="shared" si="190"/>
        <v>#REF!</v>
      </c>
      <c r="MRZ247" s="29" t="e">
        <f t="shared" si="190"/>
        <v>#REF!</v>
      </c>
      <c r="MSA247" s="29" t="e">
        <f t="shared" si="190"/>
        <v>#REF!</v>
      </c>
      <c r="MSB247" s="29" t="e">
        <f t="shared" si="190"/>
        <v>#REF!</v>
      </c>
      <c r="MSC247" s="29" t="e">
        <f t="shared" si="190"/>
        <v>#REF!</v>
      </c>
      <c r="MSD247" s="29" t="e">
        <f t="shared" si="190"/>
        <v>#REF!</v>
      </c>
      <c r="MSE247" s="29" t="e">
        <f t="shared" si="190"/>
        <v>#REF!</v>
      </c>
      <c r="MSF247" s="29" t="e">
        <f t="shared" si="190"/>
        <v>#REF!</v>
      </c>
      <c r="MSG247" s="29" t="e">
        <f t="shared" si="190"/>
        <v>#REF!</v>
      </c>
      <c r="MSH247" s="29" t="e">
        <f t="shared" si="190"/>
        <v>#REF!</v>
      </c>
      <c r="MSI247" s="29" t="e">
        <f t="shared" si="190"/>
        <v>#REF!</v>
      </c>
      <c r="MSJ247" s="29" t="e">
        <f t="shared" si="190"/>
        <v>#REF!</v>
      </c>
      <c r="MSK247" s="29" t="e">
        <f t="shared" si="190"/>
        <v>#REF!</v>
      </c>
      <c r="MSL247" s="29" t="e">
        <f t="shared" si="190"/>
        <v>#REF!</v>
      </c>
      <c r="MSM247" s="29" t="e">
        <f t="shared" si="190"/>
        <v>#REF!</v>
      </c>
      <c r="MSN247" s="29" t="e">
        <f t="shared" si="190"/>
        <v>#REF!</v>
      </c>
      <c r="MSO247" s="29" t="e">
        <f t="shared" ref="MSO247:MUZ247" si="191">MSS247&amp;MST247</f>
        <v>#REF!</v>
      </c>
      <c r="MSP247" s="29" t="e">
        <f t="shared" si="191"/>
        <v>#REF!</v>
      </c>
      <c r="MSQ247" s="29" t="e">
        <f t="shared" si="191"/>
        <v>#REF!</v>
      </c>
      <c r="MSR247" s="29" t="e">
        <f t="shared" si="191"/>
        <v>#REF!</v>
      </c>
      <c r="MSS247" s="29" t="e">
        <f t="shared" si="191"/>
        <v>#REF!</v>
      </c>
      <c r="MST247" s="29" t="e">
        <f t="shared" si="191"/>
        <v>#REF!</v>
      </c>
      <c r="MSU247" s="29" t="e">
        <f t="shared" si="191"/>
        <v>#REF!</v>
      </c>
      <c r="MSV247" s="29" t="e">
        <f t="shared" si="191"/>
        <v>#REF!</v>
      </c>
      <c r="MSW247" s="29" t="e">
        <f t="shared" si="191"/>
        <v>#REF!</v>
      </c>
      <c r="MSX247" s="29" t="e">
        <f t="shared" si="191"/>
        <v>#REF!</v>
      </c>
      <c r="MSY247" s="29" t="e">
        <f t="shared" si="191"/>
        <v>#REF!</v>
      </c>
      <c r="MSZ247" s="29" t="e">
        <f t="shared" si="191"/>
        <v>#REF!</v>
      </c>
      <c r="MTA247" s="29" t="e">
        <f t="shared" si="191"/>
        <v>#REF!</v>
      </c>
      <c r="MTB247" s="29" t="e">
        <f t="shared" si="191"/>
        <v>#REF!</v>
      </c>
      <c r="MTC247" s="29" t="e">
        <f t="shared" si="191"/>
        <v>#REF!</v>
      </c>
      <c r="MTD247" s="29" t="e">
        <f t="shared" si="191"/>
        <v>#REF!</v>
      </c>
      <c r="MTE247" s="29" t="e">
        <f t="shared" si="191"/>
        <v>#REF!</v>
      </c>
      <c r="MTF247" s="29" t="e">
        <f t="shared" si="191"/>
        <v>#REF!</v>
      </c>
      <c r="MTG247" s="29" t="e">
        <f t="shared" si="191"/>
        <v>#REF!</v>
      </c>
      <c r="MTH247" s="29" t="e">
        <f t="shared" si="191"/>
        <v>#REF!</v>
      </c>
      <c r="MTI247" s="29" t="e">
        <f t="shared" si="191"/>
        <v>#REF!</v>
      </c>
      <c r="MTJ247" s="29" t="e">
        <f t="shared" si="191"/>
        <v>#REF!</v>
      </c>
      <c r="MTK247" s="29" t="e">
        <f t="shared" si="191"/>
        <v>#REF!</v>
      </c>
      <c r="MTL247" s="29" t="e">
        <f t="shared" si="191"/>
        <v>#REF!</v>
      </c>
      <c r="MTM247" s="29" t="e">
        <f t="shared" si="191"/>
        <v>#REF!</v>
      </c>
      <c r="MTN247" s="29" t="e">
        <f t="shared" si="191"/>
        <v>#REF!</v>
      </c>
      <c r="MTO247" s="29" t="e">
        <f t="shared" si="191"/>
        <v>#REF!</v>
      </c>
      <c r="MTP247" s="29" t="e">
        <f t="shared" si="191"/>
        <v>#REF!</v>
      </c>
      <c r="MTQ247" s="29" t="e">
        <f t="shared" si="191"/>
        <v>#REF!</v>
      </c>
      <c r="MTR247" s="29" t="e">
        <f t="shared" si="191"/>
        <v>#REF!</v>
      </c>
      <c r="MTS247" s="29" t="e">
        <f t="shared" si="191"/>
        <v>#REF!</v>
      </c>
      <c r="MTT247" s="29" t="e">
        <f t="shared" si="191"/>
        <v>#REF!</v>
      </c>
      <c r="MTU247" s="29" t="e">
        <f t="shared" si="191"/>
        <v>#REF!</v>
      </c>
      <c r="MTV247" s="29" t="e">
        <f t="shared" si="191"/>
        <v>#REF!</v>
      </c>
      <c r="MTW247" s="29" t="e">
        <f t="shared" si="191"/>
        <v>#REF!</v>
      </c>
      <c r="MTX247" s="29" t="e">
        <f t="shared" si="191"/>
        <v>#REF!</v>
      </c>
      <c r="MTY247" s="29" t="e">
        <f t="shared" si="191"/>
        <v>#REF!</v>
      </c>
      <c r="MTZ247" s="29" t="e">
        <f t="shared" si="191"/>
        <v>#REF!</v>
      </c>
      <c r="MUA247" s="29" t="e">
        <f t="shared" si="191"/>
        <v>#REF!</v>
      </c>
      <c r="MUB247" s="29" t="e">
        <f t="shared" si="191"/>
        <v>#REF!</v>
      </c>
      <c r="MUC247" s="29" t="e">
        <f t="shared" si="191"/>
        <v>#REF!</v>
      </c>
      <c r="MUD247" s="29" t="e">
        <f t="shared" si="191"/>
        <v>#REF!</v>
      </c>
      <c r="MUE247" s="29" t="e">
        <f t="shared" si="191"/>
        <v>#REF!</v>
      </c>
      <c r="MUF247" s="29" t="e">
        <f t="shared" si="191"/>
        <v>#REF!</v>
      </c>
      <c r="MUG247" s="29" t="e">
        <f t="shared" si="191"/>
        <v>#REF!</v>
      </c>
      <c r="MUH247" s="29" t="e">
        <f t="shared" si="191"/>
        <v>#REF!</v>
      </c>
      <c r="MUI247" s="29" t="e">
        <f t="shared" si="191"/>
        <v>#REF!</v>
      </c>
      <c r="MUJ247" s="29" t="e">
        <f t="shared" si="191"/>
        <v>#REF!</v>
      </c>
      <c r="MUK247" s="29" t="e">
        <f t="shared" si="191"/>
        <v>#REF!</v>
      </c>
      <c r="MUL247" s="29" t="e">
        <f t="shared" si="191"/>
        <v>#REF!</v>
      </c>
      <c r="MUM247" s="29" t="e">
        <f t="shared" si="191"/>
        <v>#REF!</v>
      </c>
      <c r="MUN247" s="29" t="e">
        <f t="shared" si="191"/>
        <v>#REF!</v>
      </c>
      <c r="MUO247" s="29" t="e">
        <f t="shared" si="191"/>
        <v>#REF!</v>
      </c>
      <c r="MUP247" s="29" t="e">
        <f t="shared" si="191"/>
        <v>#REF!</v>
      </c>
      <c r="MUQ247" s="29" t="e">
        <f t="shared" si="191"/>
        <v>#REF!</v>
      </c>
      <c r="MUR247" s="29" t="e">
        <f t="shared" si="191"/>
        <v>#REF!</v>
      </c>
      <c r="MUS247" s="29" t="e">
        <f t="shared" si="191"/>
        <v>#REF!</v>
      </c>
      <c r="MUT247" s="29" t="e">
        <f t="shared" si="191"/>
        <v>#REF!</v>
      </c>
      <c r="MUU247" s="29" t="e">
        <f t="shared" si="191"/>
        <v>#REF!</v>
      </c>
      <c r="MUV247" s="29" t="e">
        <f t="shared" si="191"/>
        <v>#REF!</v>
      </c>
      <c r="MUW247" s="29" t="e">
        <f t="shared" si="191"/>
        <v>#REF!</v>
      </c>
      <c r="MUX247" s="29" t="e">
        <f t="shared" si="191"/>
        <v>#REF!</v>
      </c>
      <c r="MUY247" s="29" t="e">
        <f t="shared" si="191"/>
        <v>#REF!</v>
      </c>
      <c r="MUZ247" s="29" t="e">
        <f t="shared" si="191"/>
        <v>#REF!</v>
      </c>
      <c r="MVA247" s="29" t="e">
        <f t="shared" ref="MVA247:MXL247" si="192">MVE247&amp;MVF247</f>
        <v>#REF!</v>
      </c>
      <c r="MVB247" s="29" t="e">
        <f t="shared" si="192"/>
        <v>#REF!</v>
      </c>
      <c r="MVC247" s="29" t="e">
        <f t="shared" si="192"/>
        <v>#REF!</v>
      </c>
      <c r="MVD247" s="29" t="e">
        <f t="shared" si="192"/>
        <v>#REF!</v>
      </c>
      <c r="MVE247" s="29" t="e">
        <f t="shared" si="192"/>
        <v>#REF!</v>
      </c>
      <c r="MVF247" s="29" t="e">
        <f t="shared" si="192"/>
        <v>#REF!</v>
      </c>
      <c r="MVG247" s="29" t="e">
        <f t="shared" si="192"/>
        <v>#REF!</v>
      </c>
      <c r="MVH247" s="29" t="e">
        <f t="shared" si="192"/>
        <v>#REF!</v>
      </c>
      <c r="MVI247" s="29" t="e">
        <f t="shared" si="192"/>
        <v>#REF!</v>
      </c>
      <c r="MVJ247" s="29" t="e">
        <f t="shared" si="192"/>
        <v>#REF!</v>
      </c>
      <c r="MVK247" s="29" t="e">
        <f t="shared" si="192"/>
        <v>#REF!</v>
      </c>
      <c r="MVL247" s="29" t="e">
        <f t="shared" si="192"/>
        <v>#REF!</v>
      </c>
      <c r="MVM247" s="29" t="e">
        <f t="shared" si="192"/>
        <v>#REF!</v>
      </c>
      <c r="MVN247" s="29" t="e">
        <f t="shared" si="192"/>
        <v>#REF!</v>
      </c>
      <c r="MVO247" s="29" t="e">
        <f t="shared" si="192"/>
        <v>#REF!</v>
      </c>
      <c r="MVP247" s="29" t="e">
        <f t="shared" si="192"/>
        <v>#REF!</v>
      </c>
      <c r="MVQ247" s="29" t="e">
        <f t="shared" si="192"/>
        <v>#REF!</v>
      </c>
      <c r="MVR247" s="29" t="e">
        <f t="shared" si="192"/>
        <v>#REF!</v>
      </c>
      <c r="MVS247" s="29" t="e">
        <f t="shared" si="192"/>
        <v>#REF!</v>
      </c>
      <c r="MVT247" s="29" t="e">
        <f t="shared" si="192"/>
        <v>#REF!</v>
      </c>
      <c r="MVU247" s="29" t="e">
        <f t="shared" si="192"/>
        <v>#REF!</v>
      </c>
      <c r="MVV247" s="29" t="e">
        <f t="shared" si="192"/>
        <v>#REF!</v>
      </c>
      <c r="MVW247" s="29" t="e">
        <f t="shared" si="192"/>
        <v>#REF!</v>
      </c>
      <c r="MVX247" s="29" t="e">
        <f t="shared" si="192"/>
        <v>#REF!</v>
      </c>
      <c r="MVY247" s="29" t="e">
        <f t="shared" si="192"/>
        <v>#REF!</v>
      </c>
      <c r="MVZ247" s="29" t="e">
        <f t="shared" si="192"/>
        <v>#REF!</v>
      </c>
      <c r="MWA247" s="29" t="e">
        <f t="shared" si="192"/>
        <v>#REF!</v>
      </c>
      <c r="MWB247" s="29" t="e">
        <f t="shared" si="192"/>
        <v>#REF!</v>
      </c>
      <c r="MWC247" s="29" t="e">
        <f t="shared" si="192"/>
        <v>#REF!</v>
      </c>
      <c r="MWD247" s="29" t="e">
        <f t="shared" si="192"/>
        <v>#REF!</v>
      </c>
      <c r="MWE247" s="29" t="e">
        <f t="shared" si="192"/>
        <v>#REF!</v>
      </c>
      <c r="MWF247" s="29" t="e">
        <f t="shared" si="192"/>
        <v>#REF!</v>
      </c>
      <c r="MWG247" s="29" t="e">
        <f t="shared" si="192"/>
        <v>#REF!</v>
      </c>
      <c r="MWH247" s="29" t="e">
        <f t="shared" si="192"/>
        <v>#REF!</v>
      </c>
      <c r="MWI247" s="29" t="e">
        <f t="shared" si="192"/>
        <v>#REF!</v>
      </c>
      <c r="MWJ247" s="29" t="e">
        <f t="shared" si="192"/>
        <v>#REF!</v>
      </c>
      <c r="MWK247" s="29" t="e">
        <f t="shared" si="192"/>
        <v>#REF!</v>
      </c>
      <c r="MWL247" s="29" t="e">
        <f t="shared" si="192"/>
        <v>#REF!</v>
      </c>
      <c r="MWM247" s="29" t="e">
        <f t="shared" si="192"/>
        <v>#REF!</v>
      </c>
      <c r="MWN247" s="29" t="e">
        <f t="shared" si="192"/>
        <v>#REF!</v>
      </c>
      <c r="MWO247" s="29" t="e">
        <f t="shared" si="192"/>
        <v>#REF!</v>
      </c>
      <c r="MWP247" s="29" t="e">
        <f t="shared" si="192"/>
        <v>#REF!</v>
      </c>
      <c r="MWQ247" s="29" t="e">
        <f t="shared" si="192"/>
        <v>#REF!</v>
      </c>
      <c r="MWR247" s="29" t="e">
        <f t="shared" si="192"/>
        <v>#REF!</v>
      </c>
      <c r="MWS247" s="29" t="e">
        <f t="shared" si="192"/>
        <v>#REF!</v>
      </c>
      <c r="MWT247" s="29" t="e">
        <f t="shared" si="192"/>
        <v>#REF!</v>
      </c>
      <c r="MWU247" s="29" t="e">
        <f t="shared" si="192"/>
        <v>#REF!</v>
      </c>
      <c r="MWV247" s="29" t="e">
        <f t="shared" si="192"/>
        <v>#REF!</v>
      </c>
      <c r="MWW247" s="29" t="e">
        <f t="shared" si="192"/>
        <v>#REF!</v>
      </c>
      <c r="MWX247" s="29" t="e">
        <f t="shared" si="192"/>
        <v>#REF!</v>
      </c>
      <c r="MWY247" s="29" t="e">
        <f t="shared" si="192"/>
        <v>#REF!</v>
      </c>
      <c r="MWZ247" s="29" t="e">
        <f t="shared" si="192"/>
        <v>#REF!</v>
      </c>
      <c r="MXA247" s="29" t="e">
        <f t="shared" si="192"/>
        <v>#REF!</v>
      </c>
      <c r="MXB247" s="29" t="e">
        <f t="shared" si="192"/>
        <v>#REF!</v>
      </c>
      <c r="MXC247" s="29" t="e">
        <f t="shared" si="192"/>
        <v>#REF!</v>
      </c>
      <c r="MXD247" s="29" t="e">
        <f t="shared" si="192"/>
        <v>#REF!</v>
      </c>
      <c r="MXE247" s="29" t="e">
        <f t="shared" si="192"/>
        <v>#REF!</v>
      </c>
      <c r="MXF247" s="29" t="e">
        <f t="shared" si="192"/>
        <v>#REF!</v>
      </c>
      <c r="MXG247" s="29" t="e">
        <f t="shared" si="192"/>
        <v>#REF!</v>
      </c>
      <c r="MXH247" s="29" t="e">
        <f t="shared" si="192"/>
        <v>#REF!</v>
      </c>
      <c r="MXI247" s="29" t="e">
        <f t="shared" si="192"/>
        <v>#REF!</v>
      </c>
      <c r="MXJ247" s="29" t="e">
        <f t="shared" si="192"/>
        <v>#REF!</v>
      </c>
      <c r="MXK247" s="29" t="e">
        <f t="shared" si="192"/>
        <v>#REF!</v>
      </c>
      <c r="MXL247" s="29" t="e">
        <f t="shared" si="192"/>
        <v>#REF!</v>
      </c>
      <c r="MXM247" s="29" t="e">
        <f t="shared" ref="MXM247:MZX247" si="193">MXQ247&amp;MXR247</f>
        <v>#REF!</v>
      </c>
      <c r="MXN247" s="29" t="e">
        <f t="shared" si="193"/>
        <v>#REF!</v>
      </c>
      <c r="MXO247" s="29" t="e">
        <f t="shared" si="193"/>
        <v>#REF!</v>
      </c>
      <c r="MXP247" s="29" t="e">
        <f t="shared" si="193"/>
        <v>#REF!</v>
      </c>
      <c r="MXQ247" s="29" t="e">
        <f t="shared" si="193"/>
        <v>#REF!</v>
      </c>
      <c r="MXR247" s="29" t="e">
        <f t="shared" si="193"/>
        <v>#REF!</v>
      </c>
      <c r="MXS247" s="29" t="e">
        <f t="shared" si="193"/>
        <v>#REF!</v>
      </c>
      <c r="MXT247" s="29" t="e">
        <f t="shared" si="193"/>
        <v>#REF!</v>
      </c>
      <c r="MXU247" s="29" t="e">
        <f t="shared" si="193"/>
        <v>#REF!</v>
      </c>
      <c r="MXV247" s="29" t="e">
        <f t="shared" si="193"/>
        <v>#REF!</v>
      </c>
      <c r="MXW247" s="29" t="e">
        <f t="shared" si="193"/>
        <v>#REF!</v>
      </c>
      <c r="MXX247" s="29" t="e">
        <f t="shared" si="193"/>
        <v>#REF!</v>
      </c>
      <c r="MXY247" s="29" t="e">
        <f t="shared" si="193"/>
        <v>#REF!</v>
      </c>
      <c r="MXZ247" s="29" t="e">
        <f t="shared" si="193"/>
        <v>#REF!</v>
      </c>
      <c r="MYA247" s="29" t="e">
        <f t="shared" si="193"/>
        <v>#REF!</v>
      </c>
      <c r="MYB247" s="29" t="e">
        <f t="shared" si="193"/>
        <v>#REF!</v>
      </c>
      <c r="MYC247" s="29" t="e">
        <f t="shared" si="193"/>
        <v>#REF!</v>
      </c>
      <c r="MYD247" s="29" t="e">
        <f t="shared" si="193"/>
        <v>#REF!</v>
      </c>
      <c r="MYE247" s="29" t="e">
        <f t="shared" si="193"/>
        <v>#REF!</v>
      </c>
      <c r="MYF247" s="29" t="e">
        <f t="shared" si="193"/>
        <v>#REF!</v>
      </c>
      <c r="MYG247" s="29" t="e">
        <f t="shared" si="193"/>
        <v>#REF!</v>
      </c>
      <c r="MYH247" s="29" t="e">
        <f t="shared" si="193"/>
        <v>#REF!</v>
      </c>
      <c r="MYI247" s="29" t="e">
        <f t="shared" si="193"/>
        <v>#REF!</v>
      </c>
      <c r="MYJ247" s="29" t="e">
        <f t="shared" si="193"/>
        <v>#REF!</v>
      </c>
      <c r="MYK247" s="29" t="e">
        <f t="shared" si="193"/>
        <v>#REF!</v>
      </c>
      <c r="MYL247" s="29" t="e">
        <f t="shared" si="193"/>
        <v>#REF!</v>
      </c>
      <c r="MYM247" s="29" t="e">
        <f t="shared" si="193"/>
        <v>#REF!</v>
      </c>
      <c r="MYN247" s="29" t="e">
        <f t="shared" si="193"/>
        <v>#REF!</v>
      </c>
      <c r="MYO247" s="29" t="e">
        <f t="shared" si="193"/>
        <v>#REF!</v>
      </c>
      <c r="MYP247" s="29" t="e">
        <f t="shared" si="193"/>
        <v>#REF!</v>
      </c>
      <c r="MYQ247" s="29" t="e">
        <f t="shared" si="193"/>
        <v>#REF!</v>
      </c>
      <c r="MYR247" s="29" t="e">
        <f t="shared" si="193"/>
        <v>#REF!</v>
      </c>
      <c r="MYS247" s="29" t="e">
        <f t="shared" si="193"/>
        <v>#REF!</v>
      </c>
      <c r="MYT247" s="29" t="e">
        <f t="shared" si="193"/>
        <v>#REF!</v>
      </c>
      <c r="MYU247" s="29" t="e">
        <f t="shared" si="193"/>
        <v>#REF!</v>
      </c>
      <c r="MYV247" s="29" t="e">
        <f t="shared" si="193"/>
        <v>#REF!</v>
      </c>
      <c r="MYW247" s="29" t="e">
        <f t="shared" si="193"/>
        <v>#REF!</v>
      </c>
      <c r="MYX247" s="29" t="e">
        <f t="shared" si="193"/>
        <v>#REF!</v>
      </c>
      <c r="MYY247" s="29" t="e">
        <f t="shared" si="193"/>
        <v>#REF!</v>
      </c>
      <c r="MYZ247" s="29" t="e">
        <f t="shared" si="193"/>
        <v>#REF!</v>
      </c>
      <c r="MZA247" s="29" t="e">
        <f t="shared" si="193"/>
        <v>#REF!</v>
      </c>
      <c r="MZB247" s="29" t="e">
        <f t="shared" si="193"/>
        <v>#REF!</v>
      </c>
      <c r="MZC247" s="29" t="e">
        <f t="shared" si="193"/>
        <v>#REF!</v>
      </c>
      <c r="MZD247" s="29" t="e">
        <f t="shared" si="193"/>
        <v>#REF!</v>
      </c>
      <c r="MZE247" s="29" t="e">
        <f t="shared" si="193"/>
        <v>#REF!</v>
      </c>
      <c r="MZF247" s="29" t="e">
        <f t="shared" si="193"/>
        <v>#REF!</v>
      </c>
      <c r="MZG247" s="29" t="e">
        <f t="shared" si="193"/>
        <v>#REF!</v>
      </c>
      <c r="MZH247" s="29" t="e">
        <f t="shared" si="193"/>
        <v>#REF!</v>
      </c>
      <c r="MZI247" s="29" t="e">
        <f t="shared" si="193"/>
        <v>#REF!</v>
      </c>
      <c r="MZJ247" s="29" t="e">
        <f t="shared" si="193"/>
        <v>#REF!</v>
      </c>
      <c r="MZK247" s="29" t="e">
        <f t="shared" si="193"/>
        <v>#REF!</v>
      </c>
      <c r="MZL247" s="29" t="e">
        <f t="shared" si="193"/>
        <v>#REF!</v>
      </c>
      <c r="MZM247" s="29" t="e">
        <f t="shared" si="193"/>
        <v>#REF!</v>
      </c>
      <c r="MZN247" s="29" t="e">
        <f t="shared" si="193"/>
        <v>#REF!</v>
      </c>
      <c r="MZO247" s="29" t="e">
        <f t="shared" si="193"/>
        <v>#REF!</v>
      </c>
      <c r="MZP247" s="29" t="e">
        <f t="shared" si="193"/>
        <v>#REF!</v>
      </c>
      <c r="MZQ247" s="29" t="e">
        <f t="shared" si="193"/>
        <v>#REF!</v>
      </c>
      <c r="MZR247" s="29" t="e">
        <f t="shared" si="193"/>
        <v>#REF!</v>
      </c>
      <c r="MZS247" s="29" t="e">
        <f t="shared" si="193"/>
        <v>#REF!</v>
      </c>
      <c r="MZT247" s="29" t="e">
        <f t="shared" si="193"/>
        <v>#REF!</v>
      </c>
      <c r="MZU247" s="29" t="e">
        <f t="shared" si="193"/>
        <v>#REF!</v>
      </c>
      <c r="MZV247" s="29" t="e">
        <f t="shared" si="193"/>
        <v>#REF!</v>
      </c>
      <c r="MZW247" s="29" t="e">
        <f t="shared" si="193"/>
        <v>#REF!</v>
      </c>
      <c r="MZX247" s="29" t="e">
        <f t="shared" si="193"/>
        <v>#REF!</v>
      </c>
      <c r="MZY247" s="29" t="e">
        <f t="shared" ref="MZY247:NCJ247" si="194">NAC247&amp;NAD247</f>
        <v>#REF!</v>
      </c>
      <c r="MZZ247" s="29" t="e">
        <f t="shared" si="194"/>
        <v>#REF!</v>
      </c>
      <c r="NAA247" s="29" t="e">
        <f t="shared" si="194"/>
        <v>#REF!</v>
      </c>
      <c r="NAB247" s="29" t="e">
        <f t="shared" si="194"/>
        <v>#REF!</v>
      </c>
      <c r="NAC247" s="29" t="e">
        <f t="shared" si="194"/>
        <v>#REF!</v>
      </c>
      <c r="NAD247" s="29" t="e">
        <f t="shared" si="194"/>
        <v>#REF!</v>
      </c>
      <c r="NAE247" s="29" t="e">
        <f t="shared" si="194"/>
        <v>#REF!</v>
      </c>
      <c r="NAF247" s="29" t="e">
        <f t="shared" si="194"/>
        <v>#REF!</v>
      </c>
      <c r="NAG247" s="29" t="e">
        <f t="shared" si="194"/>
        <v>#REF!</v>
      </c>
      <c r="NAH247" s="29" t="e">
        <f t="shared" si="194"/>
        <v>#REF!</v>
      </c>
      <c r="NAI247" s="29" t="e">
        <f t="shared" si="194"/>
        <v>#REF!</v>
      </c>
      <c r="NAJ247" s="29" t="e">
        <f t="shared" si="194"/>
        <v>#REF!</v>
      </c>
      <c r="NAK247" s="29" t="e">
        <f t="shared" si="194"/>
        <v>#REF!</v>
      </c>
      <c r="NAL247" s="29" t="e">
        <f t="shared" si="194"/>
        <v>#REF!</v>
      </c>
      <c r="NAM247" s="29" t="e">
        <f t="shared" si="194"/>
        <v>#REF!</v>
      </c>
      <c r="NAN247" s="29" t="e">
        <f t="shared" si="194"/>
        <v>#REF!</v>
      </c>
      <c r="NAO247" s="29" t="e">
        <f t="shared" si="194"/>
        <v>#REF!</v>
      </c>
      <c r="NAP247" s="29" t="e">
        <f t="shared" si="194"/>
        <v>#REF!</v>
      </c>
      <c r="NAQ247" s="29" t="e">
        <f t="shared" si="194"/>
        <v>#REF!</v>
      </c>
      <c r="NAR247" s="29" t="e">
        <f t="shared" si="194"/>
        <v>#REF!</v>
      </c>
      <c r="NAS247" s="29" t="e">
        <f t="shared" si="194"/>
        <v>#REF!</v>
      </c>
      <c r="NAT247" s="29" t="e">
        <f t="shared" si="194"/>
        <v>#REF!</v>
      </c>
      <c r="NAU247" s="29" t="e">
        <f t="shared" si="194"/>
        <v>#REF!</v>
      </c>
      <c r="NAV247" s="29" t="e">
        <f t="shared" si="194"/>
        <v>#REF!</v>
      </c>
      <c r="NAW247" s="29" t="e">
        <f t="shared" si="194"/>
        <v>#REF!</v>
      </c>
      <c r="NAX247" s="29" t="e">
        <f t="shared" si="194"/>
        <v>#REF!</v>
      </c>
      <c r="NAY247" s="29" t="e">
        <f t="shared" si="194"/>
        <v>#REF!</v>
      </c>
      <c r="NAZ247" s="29" t="e">
        <f t="shared" si="194"/>
        <v>#REF!</v>
      </c>
      <c r="NBA247" s="29" t="e">
        <f t="shared" si="194"/>
        <v>#REF!</v>
      </c>
      <c r="NBB247" s="29" t="e">
        <f t="shared" si="194"/>
        <v>#REF!</v>
      </c>
      <c r="NBC247" s="29" t="e">
        <f t="shared" si="194"/>
        <v>#REF!</v>
      </c>
      <c r="NBD247" s="29" t="e">
        <f t="shared" si="194"/>
        <v>#REF!</v>
      </c>
      <c r="NBE247" s="29" t="e">
        <f t="shared" si="194"/>
        <v>#REF!</v>
      </c>
      <c r="NBF247" s="29" t="e">
        <f t="shared" si="194"/>
        <v>#REF!</v>
      </c>
      <c r="NBG247" s="29" t="e">
        <f t="shared" si="194"/>
        <v>#REF!</v>
      </c>
      <c r="NBH247" s="29" t="e">
        <f t="shared" si="194"/>
        <v>#REF!</v>
      </c>
      <c r="NBI247" s="29" t="e">
        <f t="shared" si="194"/>
        <v>#REF!</v>
      </c>
      <c r="NBJ247" s="29" t="e">
        <f t="shared" si="194"/>
        <v>#REF!</v>
      </c>
      <c r="NBK247" s="29" t="e">
        <f t="shared" si="194"/>
        <v>#REF!</v>
      </c>
      <c r="NBL247" s="29" t="e">
        <f t="shared" si="194"/>
        <v>#REF!</v>
      </c>
      <c r="NBM247" s="29" t="e">
        <f t="shared" si="194"/>
        <v>#REF!</v>
      </c>
      <c r="NBN247" s="29" t="e">
        <f t="shared" si="194"/>
        <v>#REF!</v>
      </c>
      <c r="NBO247" s="29" t="e">
        <f t="shared" si="194"/>
        <v>#REF!</v>
      </c>
      <c r="NBP247" s="29" t="e">
        <f t="shared" si="194"/>
        <v>#REF!</v>
      </c>
      <c r="NBQ247" s="29" t="e">
        <f t="shared" si="194"/>
        <v>#REF!</v>
      </c>
      <c r="NBR247" s="29" t="e">
        <f t="shared" si="194"/>
        <v>#REF!</v>
      </c>
      <c r="NBS247" s="29" t="e">
        <f t="shared" si="194"/>
        <v>#REF!</v>
      </c>
      <c r="NBT247" s="29" t="e">
        <f t="shared" si="194"/>
        <v>#REF!</v>
      </c>
      <c r="NBU247" s="29" t="e">
        <f t="shared" si="194"/>
        <v>#REF!</v>
      </c>
      <c r="NBV247" s="29" t="e">
        <f t="shared" si="194"/>
        <v>#REF!</v>
      </c>
      <c r="NBW247" s="29" t="e">
        <f t="shared" si="194"/>
        <v>#REF!</v>
      </c>
      <c r="NBX247" s="29" t="e">
        <f t="shared" si="194"/>
        <v>#REF!</v>
      </c>
      <c r="NBY247" s="29" t="e">
        <f t="shared" si="194"/>
        <v>#REF!</v>
      </c>
      <c r="NBZ247" s="29" t="e">
        <f t="shared" si="194"/>
        <v>#REF!</v>
      </c>
      <c r="NCA247" s="29" t="e">
        <f t="shared" si="194"/>
        <v>#REF!</v>
      </c>
      <c r="NCB247" s="29" t="e">
        <f t="shared" si="194"/>
        <v>#REF!</v>
      </c>
      <c r="NCC247" s="29" t="e">
        <f t="shared" si="194"/>
        <v>#REF!</v>
      </c>
      <c r="NCD247" s="29" t="e">
        <f t="shared" si="194"/>
        <v>#REF!</v>
      </c>
      <c r="NCE247" s="29" t="e">
        <f t="shared" si="194"/>
        <v>#REF!</v>
      </c>
      <c r="NCF247" s="29" t="e">
        <f t="shared" si="194"/>
        <v>#REF!</v>
      </c>
      <c r="NCG247" s="29" t="e">
        <f t="shared" si="194"/>
        <v>#REF!</v>
      </c>
      <c r="NCH247" s="29" t="e">
        <f t="shared" si="194"/>
        <v>#REF!</v>
      </c>
      <c r="NCI247" s="29" t="e">
        <f t="shared" si="194"/>
        <v>#REF!</v>
      </c>
      <c r="NCJ247" s="29" t="e">
        <f t="shared" si="194"/>
        <v>#REF!</v>
      </c>
      <c r="NCK247" s="29" t="e">
        <f t="shared" ref="NCK247:NEV247" si="195">NCO247&amp;NCP247</f>
        <v>#REF!</v>
      </c>
      <c r="NCL247" s="29" t="e">
        <f t="shared" si="195"/>
        <v>#REF!</v>
      </c>
      <c r="NCM247" s="29" t="e">
        <f t="shared" si="195"/>
        <v>#REF!</v>
      </c>
      <c r="NCN247" s="29" t="e">
        <f t="shared" si="195"/>
        <v>#REF!</v>
      </c>
      <c r="NCO247" s="29" t="e">
        <f t="shared" si="195"/>
        <v>#REF!</v>
      </c>
      <c r="NCP247" s="29" t="e">
        <f t="shared" si="195"/>
        <v>#REF!</v>
      </c>
      <c r="NCQ247" s="29" t="e">
        <f t="shared" si="195"/>
        <v>#REF!</v>
      </c>
      <c r="NCR247" s="29" t="e">
        <f t="shared" si="195"/>
        <v>#REF!</v>
      </c>
      <c r="NCS247" s="29" t="e">
        <f t="shared" si="195"/>
        <v>#REF!</v>
      </c>
      <c r="NCT247" s="29" t="e">
        <f t="shared" si="195"/>
        <v>#REF!</v>
      </c>
      <c r="NCU247" s="29" t="e">
        <f t="shared" si="195"/>
        <v>#REF!</v>
      </c>
      <c r="NCV247" s="29" t="e">
        <f t="shared" si="195"/>
        <v>#REF!</v>
      </c>
      <c r="NCW247" s="29" t="e">
        <f t="shared" si="195"/>
        <v>#REF!</v>
      </c>
      <c r="NCX247" s="29" t="e">
        <f t="shared" si="195"/>
        <v>#REF!</v>
      </c>
      <c r="NCY247" s="29" t="e">
        <f t="shared" si="195"/>
        <v>#REF!</v>
      </c>
      <c r="NCZ247" s="29" t="e">
        <f t="shared" si="195"/>
        <v>#REF!</v>
      </c>
      <c r="NDA247" s="29" t="e">
        <f t="shared" si="195"/>
        <v>#REF!</v>
      </c>
      <c r="NDB247" s="29" t="e">
        <f t="shared" si="195"/>
        <v>#REF!</v>
      </c>
      <c r="NDC247" s="29" t="e">
        <f t="shared" si="195"/>
        <v>#REF!</v>
      </c>
      <c r="NDD247" s="29" t="e">
        <f t="shared" si="195"/>
        <v>#REF!</v>
      </c>
      <c r="NDE247" s="29" t="e">
        <f t="shared" si="195"/>
        <v>#REF!</v>
      </c>
      <c r="NDF247" s="29" t="e">
        <f t="shared" si="195"/>
        <v>#REF!</v>
      </c>
      <c r="NDG247" s="29" t="e">
        <f t="shared" si="195"/>
        <v>#REF!</v>
      </c>
      <c r="NDH247" s="29" t="e">
        <f t="shared" si="195"/>
        <v>#REF!</v>
      </c>
      <c r="NDI247" s="29" t="e">
        <f t="shared" si="195"/>
        <v>#REF!</v>
      </c>
      <c r="NDJ247" s="29" t="e">
        <f t="shared" si="195"/>
        <v>#REF!</v>
      </c>
      <c r="NDK247" s="29" t="e">
        <f t="shared" si="195"/>
        <v>#REF!</v>
      </c>
      <c r="NDL247" s="29" t="e">
        <f t="shared" si="195"/>
        <v>#REF!</v>
      </c>
      <c r="NDM247" s="29" t="e">
        <f t="shared" si="195"/>
        <v>#REF!</v>
      </c>
      <c r="NDN247" s="29" t="e">
        <f t="shared" si="195"/>
        <v>#REF!</v>
      </c>
      <c r="NDO247" s="29" t="e">
        <f t="shared" si="195"/>
        <v>#REF!</v>
      </c>
      <c r="NDP247" s="29" t="e">
        <f t="shared" si="195"/>
        <v>#REF!</v>
      </c>
      <c r="NDQ247" s="29" t="e">
        <f t="shared" si="195"/>
        <v>#REF!</v>
      </c>
      <c r="NDR247" s="29" t="e">
        <f t="shared" si="195"/>
        <v>#REF!</v>
      </c>
      <c r="NDS247" s="29" t="e">
        <f t="shared" si="195"/>
        <v>#REF!</v>
      </c>
      <c r="NDT247" s="29" t="e">
        <f t="shared" si="195"/>
        <v>#REF!</v>
      </c>
      <c r="NDU247" s="29" t="e">
        <f t="shared" si="195"/>
        <v>#REF!</v>
      </c>
      <c r="NDV247" s="29" t="e">
        <f t="shared" si="195"/>
        <v>#REF!</v>
      </c>
      <c r="NDW247" s="29" t="e">
        <f t="shared" si="195"/>
        <v>#REF!</v>
      </c>
      <c r="NDX247" s="29" t="e">
        <f t="shared" si="195"/>
        <v>#REF!</v>
      </c>
      <c r="NDY247" s="29" t="e">
        <f t="shared" si="195"/>
        <v>#REF!</v>
      </c>
      <c r="NDZ247" s="29" t="e">
        <f t="shared" si="195"/>
        <v>#REF!</v>
      </c>
      <c r="NEA247" s="29" t="e">
        <f t="shared" si="195"/>
        <v>#REF!</v>
      </c>
      <c r="NEB247" s="29" t="e">
        <f t="shared" si="195"/>
        <v>#REF!</v>
      </c>
      <c r="NEC247" s="29" t="e">
        <f t="shared" si="195"/>
        <v>#REF!</v>
      </c>
      <c r="NED247" s="29" t="e">
        <f t="shared" si="195"/>
        <v>#REF!</v>
      </c>
      <c r="NEE247" s="29" t="e">
        <f t="shared" si="195"/>
        <v>#REF!</v>
      </c>
      <c r="NEF247" s="29" t="e">
        <f t="shared" si="195"/>
        <v>#REF!</v>
      </c>
      <c r="NEG247" s="29" t="e">
        <f t="shared" si="195"/>
        <v>#REF!</v>
      </c>
      <c r="NEH247" s="29" t="e">
        <f t="shared" si="195"/>
        <v>#REF!</v>
      </c>
      <c r="NEI247" s="29" t="e">
        <f t="shared" si="195"/>
        <v>#REF!</v>
      </c>
      <c r="NEJ247" s="29" t="e">
        <f t="shared" si="195"/>
        <v>#REF!</v>
      </c>
      <c r="NEK247" s="29" t="e">
        <f t="shared" si="195"/>
        <v>#REF!</v>
      </c>
      <c r="NEL247" s="29" t="e">
        <f t="shared" si="195"/>
        <v>#REF!</v>
      </c>
      <c r="NEM247" s="29" t="e">
        <f t="shared" si="195"/>
        <v>#REF!</v>
      </c>
      <c r="NEN247" s="29" t="e">
        <f t="shared" si="195"/>
        <v>#REF!</v>
      </c>
      <c r="NEO247" s="29" t="e">
        <f t="shared" si="195"/>
        <v>#REF!</v>
      </c>
      <c r="NEP247" s="29" t="e">
        <f t="shared" si="195"/>
        <v>#REF!</v>
      </c>
      <c r="NEQ247" s="29" t="e">
        <f t="shared" si="195"/>
        <v>#REF!</v>
      </c>
      <c r="NER247" s="29" t="e">
        <f t="shared" si="195"/>
        <v>#REF!</v>
      </c>
      <c r="NES247" s="29" t="e">
        <f t="shared" si="195"/>
        <v>#REF!</v>
      </c>
      <c r="NET247" s="29" t="e">
        <f t="shared" si="195"/>
        <v>#REF!</v>
      </c>
      <c r="NEU247" s="29" t="e">
        <f t="shared" si="195"/>
        <v>#REF!</v>
      </c>
      <c r="NEV247" s="29" t="e">
        <f t="shared" si="195"/>
        <v>#REF!</v>
      </c>
      <c r="NEW247" s="29" t="e">
        <f t="shared" ref="NEW247:NHH247" si="196">NFA247&amp;NFB247</f>
        <v>#REF!</v>
      </c>
      <c r="NEX247" s="29" t="e">
        <f t="shared" si="196"/>
        <v>#REF!</v>
      </c>
      <c r="NEY247" s="29" t="e">
        <f t="shared" si="196"/>
        <v>#REF!</v>
      </c>
      <c r="NEZ247" s="29" t="e">
        <f t="shared" si="196"/>
        <v>#REF!</v>
      </c>
      <c r="NFA247" s="29" t="e">
        <f t="shared" si="196"/>
        <v>#REF!</v>
      </c>
      <c r="NFB247" s="29" t="e">
        <f t="shared" si="196"/>
        <v>#REF!</v>
      </c>
      <c r="NFC247" s="29" t="e">
        <f t="shared" si="196"/>
        <v>#REF!</v>
      </c>
      <c r="NFD247" s="29" t="e">
        <f t="shared" si="196"/>
        <v>#REF!</v>
      </c>
      <c r="NFE247" s="29" t="e">
        <f t="shared" si="196"/>
        <v>#REF!</v>
      </c>
      <c r="NFF247" s="29" t="e">
        <f t="shared" si="196"/>
        <v>#REF!</v>
      </c>
      <c r="NFG247" s="29" t="e">
        <f t="shared" si="196"/>
        <v>#REF!</v>
      </c>
      <c r="NFH247" s="29" t="e">
        <f t="shared" si="196"/>
        <v>#REF!</v>
      </c>
      <c r="NFI247" s="29" t="e">
        <f t="shared" si="196"/>
        <v>#REF!</v>
      </c>
      <c r="NFJ247" s="29" t="e">
        <f t="shared" si="196"/>
        <v>#REF!</v>
      </c>
      <c r="NFK247" s="29" t="e">
        <f t="shared" si="196"/>
        <v>#REF!</v>
      </c>
      <c r="NFL247" s="29" t="e">
        <f t="shared" si="196"/>
        <v>#REF!</v>
      </c>
      <c r="NFM247" s="29" t="e">
        <f t="shared" si="196"/>
        <v>#REF!</v>
      </c>
      <c r="NFN247" s="29" t="e">
        <f t="shared" si="196"/>
        <v>#REF!</v>
      </c>
      <c r="NFO247" s="29" t="e">
        <f t="shared" si="196"/>
        <v>#REF!</v>
      </c>
      <c r="NFP247" s="29" t="e">
        <f t="shared" si="196"/>
        <v>#REF!</v>
      </c>
      <c r="NFQ247" s="29" t="e">
        <f t="shared" si="196"/>
        <v>#REF!</v>
      </c>
      <c r="NFR247" s="29" t="e">
        <f t="shared" si="196"/>
        <v>#REF!</v>
      </c>
      <c r="NFS247" s="29" t="e">
        <f t="shared" si="196"/>
        <v>#REF!</v>
      </c>
      <c r="NFT247" s="29" t="e">
        <f t="shared" si="196"/>
        <v>#REF!</v>
      </c>
      <c r="NFU247" s="29" t="e">
        <f t="shared" si="196"/>
        <v>#REF!</v>
      </c>
      <c r="NFV247" s="29" t="e">
        <f t="shared" si="196"/>
        <v>#REF!</v>
      </c>
      <c r="NFW247" s="29" t="e">
        <f t="shared" si="196"/>
        <v>#REF!</v>
      </c>
      <c r="NFX247" s="29" t="e">
        <f t="shared" si="196"/>
        <v>#REF!</v>
      </c>
      <c r="NFY247" s="29" t="e">
        <f t="shared" si="196"/>
        <v>#REF!</v>
      </c>
      <c r="NFZ247" s="29" t="e">
        <f t="shared" si="196"/>
        <v>#REF!</v>
      </c>
      <c r="NGA247" s="29" t="e">
        <f t="shared" si="196"/>
        <v>#REF!</v>
      </c>
      <c r="NGB247" s="29" t="e">
        <f t="shared" si="196"/>
        <v>#REF!</v>
      </c>
      <c r="NGC247" s="29" t="e">
        <f t="shared" si="196"/>
        <v>#REF!</v>
      </c>
      <c r="NGD247" s="29" t="e">
        <f t="shared" si="196"/>
        <v>#REF!</v>
      </c>
      <c r="NGE247" s="29" t="e">
        <f t="shared" si="196"/>
        <v>#REF!</v>
      </c>
      <c r="NGF247" s="29" t="e">
        <f t="shared" si="196"/>
        <v>#REF!</v>
      </c>
      <c r="NGG247" s="29" t="e">
        <f t="shared" si="196"/>
        <v>#REF!</v>
      </c>
      <c r="NGH247" s="29" t="e">
        <f t="shared" si="196"/>
        <v>#REF!</v>
      </c>
      <c r="NGI247" s="29" t="e">
        <f t="shared" si="196"/>
        <v>#REF!</v>
      </c>
      <c r="NGJ247" s="29" t="e">
        <f t="shared" si="196"/>
        <v>#REF!</v>
      </c>
      <c r="NGK247" s="29" t="e">
        <f t="shared" si="196"/>
        <v>#REF!</v>
      </c>
      <c r="NGL247" s="29" t="e">
        <f t="shared" si="196"/>
        <v>#REF!</v>
      </c>
      <c r="NGM247" s="29" t="e">
        <f t="shared" si="196"/>
        <v>#REF!</v>
      </c>
      <c r="NGN247" s="29" t="e">
        <f t="shared" si="196"/>
        <v>#REF!</v>
      </c>
      <c r="NGO247" s="29" t="e">
        <f t="shared" si="196"/>
        <v>#REF!</v>
      </c>
      <c r="NGP247" s="29" t="e">
        <f t="shared" si="196"/>
        <v>#REF!</v>
      </c>
      <c r="NGQ247" s="29" t="e">
        <f t="shared" si="196"/>
        <v>#REF!</v>
      </c>
      <c r="NGR247" s="29" t="e">
        <f t="shared" si="196"/>
        <v>#REF!</v>
      </c>
      <c r="NGS247" s="29" t="e">
        <f t="shared" si="196"/>
        <v>#REF!</v>
      </c>
      <c r="NGT247" s="29" t="e">
        <f t="shared" si="196"/>
        <v>#REF!</v>
      </c>
      <c r="NGU247" s="29" t="e">
        <f t="shared" si="196"/>
        <v>#REF!</v>
      </c>
      <c r="NGV247" s="29" t="e">
        <f t="shared" si="196"/>
        <v>#REF!</v>
      </c>
      <c r="NGW247" s="29" t="e">
        <f t="shared" si="196"/>
        <v>#REF!</v>
      </c>
      <c r="NGX247" s="29" t="e">
        <f t="shared" si="196"/>
        <v>#REF!</v>
      </c>
      <c r="NGY247" s="29" t="e">
        <f t="shared" si="196"/>
        <v>#REF!</v>
      </c>
      <c r="NGZ247" s="29" t="e">
        <f t="shared" si="196"/>
        <v>#REF!</v>
      </c>
      <c r="NHA247" s="29" t="e">
        <f t="shared" si="196"/>
        <v>#REF!</v>
      </c>
      <c r="NHB247" s="29" t="e">
        <f t="shared" si="196"/>
        <v>#REF!</v>
      </c>
      <c r="NHC247" s="29" t="e">
        <f t="shared" si="196"/>
        <v>#REF!</v>
      </c>
      <c r="NHD247" s="29" t="e">
        <f t="shared" si="196"/>
        <v>#REF!</v>
      </c>
      <c r="NHE247" s="29" t="e">
        <f t="shared" si="196"/>
        <v>#REF!</v>
      </c>
      <c r="NHF247" s="29" t="e">
        <f t="shared" si="196"/>
        <v>#REF!</v>
      </c>
      <c r="NHG247" s="29" t="e">
        <f t="shared" si="196"/>
        <v>#REF!</v>
      </c>
      <c r="NHH247" s="29" t="e">
        <f t="shared" si="196"/>
        <v>#REF!</v>
      </c>
      <c r="NHI247" s="29" t="e">
        <f t="shared" ref="NHI247:NJT247" si="197">NHM247&amp;NHN247</f>
        <v>#REF!</v>
      </c>
      <c r="NHJ247" s="29" t="e">
        <f t="shared" si="197"/>
        <v>#REF!</v>
      </c>
      <c r="NHK247" s="29" t="e">
        <f t="shared" si="197"/>
        <v>#REF!</v>
      </c>
      <c r="NHL247" s="29" t="e">
        <f t="shared" si="197"/>
        <v>#REF!</v>
      </c>
      <c r="NHM247" s="29" t="e">
        <f t="shared" si="197"/>
        <v>#REF!</v>
      </c>
      <c r="NHN247" s="29" t="e">
        <f t="shared" si="197"/>
        <v>#REF!</v>
      </c>
      <c r="NHO247" s="29" t="e">
        <f t="shared" si="197"/>
        <v>#REF!</v>
      </c>
      <c r="NHP247" s="29" t="e">
        <f t="shared" si="197"/>
        <v>#REF!</v>
      </c>
      <c r="NHQ247" s="29" t="e">
        <f t="shared" si="197"/>
        <v>#REF!</v>
      </c>
      <c r="NHR247" s="29" t="e">
        <f t="shared" si="197"/>
        <v>#REF!</v>
      </c>
      <c r="NHS247" s="29" t="e">
        <f t="shared" si="197"/>
        <v>#REF!</v>
      </c>
      <c r="NHT247" s="29" t="e">
        <f t="shared" si="197"/>
        <v>#REF!</v>
      </c>
      <c r="NHU247" s="29" t="e">
        <f t="shared" si="197"/>
        <v>#REF!</v>
      </c>
      <c r="NHV247" s="29" t="e">
        <f t="shared" si="197"/>
        <v>#REF!</v>
      </c>
      <c r="NHW247" s="29" t="e">
        <f t="shared" si="197"/>
        <v>#REF!</v>
      </c>
      <c r="NHX247" s="29" t="e">
        <f t="shared" si="197"/>
        <v>#REF!</v>
      </c>
      <c r="NHY247" s="29" t="e">
        <f t="shared" si="197"/>
        <v>#REF!</v>
      </c>
      <c r="NHZ247" s="29" t="e">
        <f t="shared" si="197"/>
        <v>#REF!</v>
      </c>
      <c r="NIA247" s="29" t="e">
        <f t="shared" si="197"/>
        <v>#REF!</v>
      </c>
      <c r="NIB247" s="29" t="e">
        <f t="shared" si="197"/>
        <v>#REF!</v>
      </c>
      <c r="NIC247" s="29" t="e">
        <f t="shared" si="197"/>
        <v>#REF!</v>
      </c>
      <c r="NID247" s="29" t="e">
        <f t="shared" si="197"/>
        <v>#REF!</v>
      </c>
      <c r="NIE247" s="29" t="e">
        <f t="shared" si="197"/>
        <v>#REF!</v>
      </c>
      <c r="NIF247" s="29" t="e">
        <f t="shared" si="197"/>
        <v>#REF!</v>
      </c>
      <c r="NIG247" s="29" t="e">
        <f t="shared" si="197"/>
        <v>#REF!</v>
      </c>
      <c r="NIH247" s="29" t="e">
        <f t="shared" si="197"/>
        <v>#REF!</v>
      </c>
      <c r="NII247" s="29" t="e">
        <f t="shared" si="197"/>
        <v>#REF!</v>
      </c>
      <c r="NIJ247" s="29" t="e">
        <f t="shared" si="197"/>
        <v>#REF!</v>
      </c>
      <c r="NIK247" s="29" t="e">
        <f t="shared" si="197"/>
        <v>#REF!</v>
      </c>
      <c r="NIL247" s="29" t="e">
        <f t="shared" si="197"/>
        <v>#REF!</v>
      </c>
      <c r="NIM247" s="29" t="e">
        <f t="shared" si="197"/>
        <v>#REF!</v>
      </c>
      <c r="NIN247" s="29" t="e">
        <f t="shared" si="197"/>
        <v>#REF!</v>
      </c>
      <c r="NIO247" s="29" t="e">
        <f t="shared" si="197"/>
        <v>#REF!</v>
      </c>
      <c r="NIP247" s="29" t="e">
        <f t="shared" si="197"/>
        <v>#REF!</v>
      </c>
      <c r="NIQ247" s="29" t="e">
        <f t="shared" si="197"/>
        <v>#REF!</v>
      </c>
      <c r="NIR247" s="29" t="e">
        <f t="shared" si="197"/>
        <v>#REF!</v>
      </c>
      <c r="NIS247" s="29" t="e">
        <f t="shared" si="197"/>
        <v>#REF!</v>
      </c>
      <c r="NIT247" s="29" t="e">
        <f t="shared" si="197"/>
        <v>#REF!</v>
      </c>
      <c r="NIU247" s="29" t="e">
        <f t="shared" si="197"/>
        <v>#REF!</v>
      </c>
      <c r="NIV247" s="29" t="e">
        <f t="shared" si="197"/>
        <v>#REF!</v>
      </c>
      <c r="NIW247" s="29" t="e">
        <f t="shared" si="197"/>
        <v>#REF!</v>
      </c>
      <c r="NIX247" s="29" t="e">
        <f t="shared" si="197"/>
        <v>#REF!</v>
      </c>
      <c r="NIY247" s="29" t="e">
        <f t="shared" si="197"/>
        <v>#REF!</v>
      </c>
      <c r="NIZ247" s="29" t="e">
        <f t="shared" si="197"/>
        <v>#REF!</v>
      </c>
      <c r="NJA247" s="29" t="e">
        <f t="shared" si="197"/>
        <v>#REF!</v>
      </c>
      <c r="NJB247" s="29" t="e">
        <f t="shared" si="197"/>
        <v>#REF!</v>
      </c>
      <c r="NJC247" s="29" t="e">
        <f t="shared" si="197"/>
        <v>#REF!</v>
      </c>
      <c r="NJD247" s="29" t="e">
        <f t="shared" si="197"/>
        <v>#REF!</v>
      </c>
      <c r="NJE247" s="29" t="e">
        <f t="shared" si="197"/>
        <v>#REF!</v>
      </c>
      <c r="NJF247" s="29" t="e">
        <f t="shared" si="197"/>
        <v>#REF!</v>
      </c>
      <c r="NJG247" s="29" t="e">
        <f t="shared" si="197"/>
        <v>#REF!</v>
      </c>
      <c r="NJH247" s="29" t="e">
        <f t="shared" si="197"/>
        <v>#REF!</v>
      </c>
      <c r="NJI247" s="29" t="e">
        <f t="shared" si="197"/>
        <v>#REF!</v>
      </c>
      <c r="NJJ247" s="29" t="e">
        <f t="shared" si="197"/>
        <v>#REF!</v>
      </c>
      <c r="NJK247" s="29" t="e">
        <f t="shared" si="197"/>
        <v>#REF!</v>
      </c>
      <c r="NJL247" s="29" t="e">
        <f t="shared" si="197"/>
        <v>#REF!</v>
      </c>
      <c r="NJM247" s="29" t="e">
        <f t="shared" si="197"/>
        <v>#REF!</v>
      </c>
      <c r="NJN247" s="29" t="e">
        <f t="shared" si="197"/>
        <v>#REF!</v>
      </c>
      <c r="NJO247" s="29" t="e">
        <f t="shared" si="197"/>
        <v>#REF!</v>
      </c>
      <c r="NJP247" s="29" t="e">
        <f t="shared" si="197"/>
        <v>#REF!</v>
      </c>
      <c r="NJQ247" s="29" t="e">
        <f t="shared" si="197"/>
        <v>#REF!</v>
      </c>
      <c r="NJR247" s="29" t="e">
        <f t="shared" si="197"/>
        <v>#REF!</v>
      </c>
      <c r="NJS247" s="29" t="e">
        <f t="shared" si="197"/>
        <v>#REF!</v>
      </c>
      <c r="NJT247" s="29" t="e">
        <f t="shared" si="197"/>
        <v>#REF!</v>
      </c>
      <c r="NJU247" s="29" t="e">
        <f t="shared" ref="NJU247:NMF247" si="198">NJY247&amp;NJZ247</f>
        <v>#REF!</v>
      </c>
      <c r="NJV247" s="29" t="e">
        <f t="shared" si="198"/>
        <v>#REF!</v>
      </c>
      <c r="NJW247" s="29" t="e">
        <f t="shared" si="198"/>
        <v>#REF!</v>
      </c>
      <c r="NJX247" s="29" t="e">
        <f t="shared" si="198"/>
        <v>#REF!</v>
      </c>
      <c r="NJY247" s="29" t="e">
        <f t="shared" si="198"/>
        <v>#REF!</v>
      </c>
      <c r="NJZ247" s="29" t="e">
        <f t="shared" si="198"/>
        <v>#REF!</v>
      </c>
      <c r="NKA247" s="29" t="e">
        <f t="shared" si="198"/>
        <v>#REF!</v>
      </c>
      <c r="NKB247" s="29" t="e">
        <f t="shared" si="198"/>
        <v>#REF!</v>
      </c>
      <c r="NKC247" s="29" t="e">
        <f t="shared" si="198"/>
        <v>#REF!</v>
      </c>
      <c r="NKD247" s="29" t="e">
        <f t="shared" si="198"/>
        <v>#REF!</v>
      </c>
      <c r="NKE247" s="29" t="e">
        <f t="shared" si="198"/>
        <v>#REF!</v>
      </c>
      <c r="NKF247" s="29" t="e">
        <f t="shared" si="198"/>
        <v>#REF!</v>
      </c>
      <c r="NKG247" s="29" t="e">
        <f t="shared" si="198"/>
        <v>#REF!</v>
      </c>
      <c r="NKH247" s="29" t="e">
        <f t="shared" si="198"/>
        <v>#REF!</v>
      </c>
      <c r="NKI247" s="29" t="e">
        <f t="shared" si="198"/>
        <v>#REF!</v>
      </c>
      <c r="NKJ247" s="29" t="e">
        <f t="shared" si="198"/>
        <v>#REF!</v>
      </c>
      <c r="NKK247" s="29" t="e">
        <f t="shared" si="198"/>
        <v>#REF!</v>
      </c>
      <c r="NKL247" s="29" t="e">
        <f t="shared" si="198"/>
        <v>#REF!</v>
      </c>
      <c r="NKM247" s="29" t="e">
        <f t="shared" si="198"/>
        <v>#REF!</v>
      </c>
      <c r="NKN247" s="29" t="e">
        <f t="shared" si="198"/>
        <v>#REF!</v>
      </c>
      <c r="NKO247" s="29" t="e">
        <f t="shared" si="198"/>
        <v>#REF!</v>
      </c>
      <c r="NKP247" s="29" t="e">
        <f t="shared" si="198"/>
        <v>#REF!</v>
      </c>
      <c r="NKQ247" s="29" t="e">
        <f t="shared" si="198"/>
        <v>#REF!</v>
      </c>
      <c r="NKR247" s="29" t="e">
        <f t="shared" si="198"/>
        <v>#REF!</v>
      </c>
      <c r="NKS247" s="29" t="e">
        <f t="shared" si="198"/>
        <v>#REF!</v>
      </c>
      <c r="NKT247" s="29" t="e">
        <f t="shared" si="198"/>
        <v>#REF!</v>
      </c>
      <c r="NKU247" s="29" t="e">
        <f t="shared" si="198"/>
        <v>#REF!</v>
      </c>
      <c r="NKV247" s="29" t="e">
        <f t="shared" si="198"/>
        <v>#REF!</v>
      </c>
      <c r="NKW247" s="29" t="e">
        <f t="shared" si="198"/>
        <v>#REF!</v>
      </c>
      <c r="NKX247" s="29" t="e">
        <f t="shared" si="198"/>
        <v>#REF!</v>
      </c>
      <c r="NKY247" s="29" t="e">
        <f t="shared" si="198"/>
        <v>#REF!</v>
      </c>
      <c r="NKZ247" s="29" t="e">
        <f t="shared" si="198"/>
        <v>#REF!</v>
      </c>
      <c r="NLA247" s="29" t="e">
        <f t="shared" si="198"/>
        <v>#REF!</v>
      </c>
      <c r="NLB247" s="29" t="e">
        <f t="shared" si="198"/>
        <v>#REF!</v>
      </c>
      <c r="NLC247" s="29" t="e">
        <f t="shared" si="198"/>
        <v>#REF!</v>
      </c>
      <c r="NLD247" s="29" t="e">
        <f t="shared" si="198"/>
        <v>#REF!</v>
      </c>
      <c r="NLE247" s="29" t="e">
        <f t="shared" si="198"/>
        <v>#REF!</v>
      </c>
      <c r="NLF247" s="29" t="e">
        <f t="shared" si="198"/>
        <v>#REF!</v>
      </c>
      <c r="NLG247" s="29" t="e">
        <f t="shared" si="198"/>
        <v>#REF!</v>
      </c>
      <c r="NLH247" s="29" t="e">
        <f t="shared" si="198"/>
        <v>#REF!</v>
      </c>
      <c r="NLI247" s="29" t="e">
        <f t="shared" si="198"/>
        <v>#REF!</v>
      </c>
      <c r="NLJ247" s="29" t="e">
        <f t="shared" si="198"/>
        <v>#REF!</v>
      </c>
      <c r="NLK247" s="29" t="e">
        <f t="shared" si="198"/>
        <v>#REF!</v>
      </c>
      <c r="NLL247" s="29" t="e">
        <f t="shared" si="198"/>
        <v>#REF!</v>
      </c>
      <c r="NLM247" s="29" t="e">
        <f t="shared" si="198"/>
        <v>#REF!</v>
      </c>
      <c r="NLN247" s="29" t="e">
        <f t="shared" si="198"/>
        <v>#REF!</v>
      </c>
      <c r="NLO247" s="29" t="e">
        <f t="shared" si="198"/>
        <v>#REF!</v>
      </c>
      <c r="NLP247" s="29" t="e">
        <f t="shared" si="198"/>
        <v>#REF!</v>
      </c>
      <c r="NLQ247" s="29" t="e">
        <f t="shared" si="198"/>
        <v>#REF!</v>
      </c>
      <c r="NLR247" s="29" t="e">
        <f t="shared" si="198"/>
        <v>#REF!</v>
      </c>
      <c r="NLS247" s="29" t="e">
        <f t="shared" si="198"/>
        <v>#REF!</v>
      </c>
      <c r="NLT247" s="29" t="e">
        <f t="shared" si="198"/>
        <v>#REF!</v>
      </c>
      <c r="NLU247" s="29" t="e">
        <f t="shared" si="198"/>
        <v>#REF!</v>
      </c>
      <c r="NLV247" s="29" t="e">
        <f t="shared" si="198"/>
        <v>#REF!</v>
      </c>
      <c r="NLW247" s="29" t="e">
        <f t="shared" si="198"/>
        <v>#REF!</v>
      </c>
      <c r="NLX247" s="29" t="e">
        <f t="shared" si="198"/>
        <v>#REF!</v>
      </c>
      <c r="NLY247" s="29" t="e">
        <f t="shared" si="198"/>
        <v>#REF!</v>
      </c>
      <c r="NLZ247" s="29" t="e">
        <f t="shared" si="198"/>
        <v>#REF!</v>
      </c>
      <c r="NMA247" s="29" t="e">
        <f t="shared" si="198"/>
        <v>#REF!</v>
      </c>
      <c r="NMB247" s="29" t="e">
        <f t="shared" si="198"/>
        <v>#REF!</v>
      </c>
      <c r="NMC247" s="29" t="e">
        <f t="shared" si="198"/>
        <v>#REF!</v>
      </c>
      <c r="NMD247" s="29" t="e">
        <f t="shared" si="198"/>
        <v>#REF!</v>
      </c>
      <c r="NME247" s="29" t="e">
        <f t="shared" si="198"/>
        <v>#REF!</v>
      </c>
      <c r="NMF247" s="29" t="e">
        <f t="shared" si="198"/>
        <v>#REF!</v>
      </c>
      <c r="NMG247" s="29" t="e">
        <f t="shared" ref="NMG247:NOR247" si="199">NMK247&amp;NML247</f>
        <v>#REF!</v>
      </c>
      <c r="NMH247" s="29" t="e">
        <f t="shared" si="199"/>
        <v>#REF!</v>
      </c>
      <c r="NMI247" s="29" t="e">
        <f t="shared" si="199"/>
        <v>#REF!</v>
      </c>
      <c r="NMJ247" s="29" t="e">
        <f t="shared" si="199"/>
        <v>#REF!</v>
      </c>
      <c r="NMK247" s="29" t="e">
        <f t="shared" si="199"/>
        <v>#REF!</v>
      </c>
      <c r="NML247" s="29" t="e">
        <f t="shared" si="199"/>
        <v>#REF!</v>
      </c>
      <c r="NMM247" s="29" t="e">
        <f t="shared" si="199"/>
        <v>#REF!</v>
      </c>
      <c r="NMN247" s="29" t="e">
        <f t="shared" si="199"/>
        <v>#REF!</v>
      </c>
      <c r="NMO247" s="29" t="e">
        <f t="shared" si="199"/>
        <v>#REF!</v>
      </c>
      <c r="NMP247" s="29" t="e">
        <f t="shared" si="199"/>
        <v>#REF!</v>
      </c>
      <c r="NMQ247" s="29" t="e">
        <f t="shared" si="199"/>
        <v>#REF!</v>
      </c>
      <c r="NMR247" s="29" t="e">
        <f t="shared" si="199"/>
        <v>#REF!</v>
      </c>
      <c r="NMS247" s="29" t="e">
        <f t="shared" si="199"/>
        <v>#REF!</v>
      </c>
      <c r="NMT247" s="29" t="e">
        <f t="shared" si="199"/>
        <v>#REF!</v>
      </c>
      <c r="NMU247" s="29" t="e">
        <f t="shared" si="199"/>
        <v>#REF!</v>
      </c>
      <c r="NMV247" s="29" t="e">
        <f t="shared" si="199"/>
        <v>#REF!</v>
      </c>
      <c r="NMW247" s="29" t="e">
        <f t="shared" si="199"/>
        <v>#REF!</v>
      </c>
      <c r="NMX247" s="29" t="e">
        <f t="shared" si="199"/>
        <v>#REF!</v>
      </c>
      <c r="NMY247" s="29" t="e">
        <f t="shared" si="199"/>
        <v>#REF!</v>
      </c>
      <c r="NMZ247" s="29" t="e">
        <f t="shared" si="199"/>
        <v>#REF!</v>
      </c>
      <c r="NNA247" s="29" t="e">
        <f t="shared" si="199"/>
        <v>#REF!</v>
      </c>
      <c r="NNB247" s="29" t="e">
        <f t="shared" si="199"/>
        <v>#REF!</v>
      </c>
      <c r="NNC247" s="29" t="e">
        <f t="shared" si="199"/>
        <v>#REF!</v>
      </c>
      <c r="NND247" s="29" t="e">
        <f t="shared" si="199"/>
        <v>#REF!</v>
      </c>
      <c r="NNE247" s="29" t="e">
        <f t="shared" si="199"/>
        <v>#REF!</v>
      </c>
      <c r="NNF247" s="29" t="e">
        <f t="shared" si="199"/>
        <v>#REF!</v>
      </c>
      <c r="NNG247" s="29" t="e">
        <f t="shared" si="199"/>
        <v>#REF!</v>
      </c>
      <c r="NNH247" s="29" t="e">
        <f t="shared" si="199"/>
        <v>#REF!</v>
      </c>
      <c r="NNI247" s="29" t="e">
        <f t="shared" si="199"/>
        <v>#REF!</v>
      </c>
      <c r="NNJ247" s="29" t="e">
        <f t="shared" si="199"/>
        <v>#REF!</v>
      </c>
      <c r="NNK247" s="29" t="e">
        <f t="shared" si="199"/>
        <v>#REF!</v>
      </c>
      <c r="NNL247" s="29" t="e">
        <f t="shared" si="199"/>
        <v>#REF!</v>
      </c>
      <c r="NNM247" s="29" t="e">
        <f t="shared" si="199"/>
        <v>#REF!</v>
      </c>
      <c r="NNN247" s="29" t="e">
        <f t="shared" si="199"/>
        <v>#REF!</v>
      </c>
      <c r="NNO247" s="29" t="e">
        <f t="shared" si="199"/>
        <v>#REF!</v>
      </c>
      <c r="NNP247" s="29" t="e">
        <f t="shared" si="199"/>
        <v>#REF!</v>
      </c>
      <c r="NNQ247" s="29" t="e">
        <f t="shared" si="199"/>
        <v>#REF!</v>
      </c>
      <c r="NNR247" s="29" t="e">
        <f t="shared" si="199"/>
        <v>#REF!</v>
      </c>
      <c r="NNS247" s="29" t="e">
        <f t="shared" si="199"/>
        <v>#REF!</v>
      </c>
      <c r="NNT247" s="29" t="e">
        <f t="shared" si="199"/>
        <v>#REF!</v>
      </c>
      <c r="NNU247" s="29" t="e">
        <f t="shared" si="199"/>
        <v>#REF!</v>
      </c>
      <c r="NNV247" s="29" t="e">
        <f t="shared" si="199"/>
        <v>#REF!</v>
      </c>
      <c r="NNW247" s="29" t="e">
        <f t="shared" si="199"/>
        <v>#REF!</v>
      </c>
      <c r="NNX247" s="29" t="e">
        <f t="shared" si="199"/>
        <v>#REF!</v>
      </c>
      <c r="NNY247" s="29" t="e">
        <f t="shared" si="199"/>
        <v>#REF!</v>
      </c>
      <c r="NNZ247" s="29" t="e">
        <f t="shared" si="199"/>
        <v>#REF!</v>
      </c>
      <c r="NOA247" s="29" t="e">
        <f t="shared" si="199"/>
        <v>#REF!</v>
      </c>
      <c r="NOB247" s="29" t="e">
        <f t="shared" si="199"/>
        <v>#REF!</v>
      </c>
      <c r="NOC247" s="29" t="e">
        <f t="shared" si="199"/>
        <v>#REF!</v>
      </c>
      <c r="NOD247" s="29" t="e">
        <f t="shared" si="199"/>
        <v>#REF!</v>
      </c>
      <c r="NOE247" s="29" t="e">
        <f t="shared" si="199"/>
        <v>#REF!</v>
      </c>
      <c r="NOF247" s="29" t="e">
        <f t="shared" si="199"/>
        <v>#REF!</v>
      </c>
      <c r="NOG247" s="29" t="e">
        <f t="shared" si="199"/>
        <v>#REF!</v>
      </c>
      <c r="NOH247" s="29" t="e">
        <f t="shared" si="199"/>
        <v>#REF!</v>
      </c>
      <c r="NOI247" s="29" t="e">
        <f t="shared" si="199"/>
        <v>#REF!</v>
      </c>
      <c r="NOJ247" s="29" t="e">
        <f t="shared" si="199"/>
        <v>#REF!</v>
      </c>
      <c r="NOK247" s="29" t="e">
        <f t="shared" si="199"/>
        <v>#REF!</v>
      </c>
      <c r="NOL247" s="29" t="e">
        <f t="shared" si="199"/>
        <v>#REF!</v>
      </c>
      <c r="NOM247" s="29" t="e">
        <f t="shared" si="199"/>
        <v>#REF!</v>
      </c>
      <c r="NON247" s="29" t="e">
        <f t="shared" si="199"/>
        <v>#REF!</v>
      </c>
      <c r="NOO247" s="29" t="e">
        <f t="shared" si="199"/>
        <v>#REF!</v>
      </c>
      <c r="NOP247" s="29" t="e">
        <f t="shared" si="199"/>
        <v>#REF!</v>
      </c>
      <c r="NOQ247" s="29" t="e">
        <f t="shared" si="199"/>
        <v>#REF!</v>
      </c>
      <c r="NOR247" s="29" t="e">
        <f t="shared" si="199"/>
        <v>#REF!</v>
      </c>
      <c r="NOS247" s="29" t="e">
        <f t="shared" ref="NOS247:NRD247" si="200">NOW247&amp;NOX247</f>
        <v>#REF!</v>
      </c>
      <c r="NOT247" s="29" t="e">
        <f t="shared" si="200"/>
        <v>#REF!</v>
      </c>
      <c r="NOU247" s="29" t="e">
        <f t="shared" si="200"/>
        <v>#REF!</v>
      </c>
      <c r="NOV247" s="29" t="e">
        <f t="shared" si="200"/>
        <v>#REF!</v>
      </c>
      <c r="NOW247" s="29" t="e">
        <f t="shared" si="200"/>
        <v>#REF!</v>
      </c>
      <c r="NOX247" s="29" t="e">
        <f t="shared" si="200"/>
        <v>#REF!</v>
      </c>
      <c r="NOY247" s="29" t="e">
        <f t="shared" si="200"/>
        <v>#REF!</v>
      </c>
      <c r="NOZ247" s="29" t="e">
        <f t="shared" si="200"/>
        <v>#REF!</v>
      </c>
      <c r="NPA247" s="29" t="e">
        <f t="shared" si="200"/>
        <v>#REF!</v>
      </c>
      <c r="NPB247" s="29" t="e">
        <f t="shared" si="200"/>
        <v>#REF!</v>
      </c>
      <c r="NPC247" s="29" t="e">
        <f t="shared" si="200"/>
        <v>#REF!</v>
      </c>
      <c r="NPD247" s="29" t="e">
        <f t="shared" si="200"/>
        <v>#REF!</v>
      </c>
      <c r="NPE247" s="29" t="e">
        <f t="shared" si="200"/>
        <v>#REF!</v>
      </c>
      <c r="NPF247" s="29" t="e">
        <f t="shared" si="200"/>
        <v>#REF!</v>
      </c>
      <c r="NPG247" s="29" t="e">
        <f t="shared" si="200"/>
        <v>#REF!</v>
      </c>
      <c r="NPH247" s="29" t="e">
        <f t="shared" si="200"/>
        <v>#REF!</v>
      </c>
      <c r="NPI247" s="29" t="e">
        <f t="shared" si="200"/>
        <v>#REF!</v>
      </c>
      <c r="NPJ247" s="29" t="e">
        <f t="shared" si="200"/>
        <v>#REF!</v>
      </c>
      <c r="NPK247" s="29" t="e">
        <f t="shared" si="200"/>
        <v>#REF!</v>
      </c>
      <c r="NPL247" s="29" t="e">
        <f t="shared" si="200"/>
        <v>#REF!</v>
      </c>
      <c r="NPM247" s="29" t="e">
        <f t="shared" si="200"/>
        <v>#REF!</v>
      </c>
      <c r="NPN247" s="29" t="e">
        <f t="shared" si="200"/>
        <v>#REF!</v>
      </c>
      <c r="NPO247" s="29" t="e">
        <f t="shared" si="200"/>
        <v>#REF!</v>
      </c>
      <c r="NPP247" s="29" t="e">
        <f t="shared" si="200"/>
        <v>#REF!</v>
      </c>
      <c r="NPQ247" s="29" t="e">
        <f t="shared" si="200"/>
        <v>#REF!</v>
      </c>
      <c r="NPR247" s="29" t="e">
        <f t="shared" si="200"/>
        <v>#REF!</v>
      </c>
      <c r="NPS247" s="29" t="e">
        <f t="shared" si="200"/>
        <v>#REF!</v>
      </c>
      <c r="NPT247" s="29" t="e">
        <f t="shared" si="200"/>
        <v>#REF!</v>
      </c>
      <c r="NPU247" s="29" t="e">
        <f t="shared" si="200"/>
        <v>#REF!</v>
      </c>
      <c r="NPV247" s="29" t="e">
        <f t="shared" si="200"/>
        <v>#REF!</v>
      </c>
      <c r="NPW247" s="29" t="e">
        <f t="shared" si="200"/>
        <v>#REF!</v>
      </c>
      <c r="NPX247" s="29" t="e">
        <f t="shared" si="200"/>
        <v>#REF!</v>
      </c>
      <c r="NPY247" s="29" t="e">
        <f t="shared" si="200"/>
        <v>#REF!</v>
      </c>
      <c r="NPZ247" s="29" t="e">
        <f t="shared" si="200"/>
        <v>#REF!</v>
      </c>
      <c r="NQA247" s="29" t="e">
        <f t="shared" si="200"/>
        <v>#REF!</v>
      </c>
      <c r="NQB247" s="29" t="e">
        <f t="shared" si="200"/>
        <v>#REF!</v>
      </c>
      <c r="NQC247" s="29" t="e">
        <f t="shared" si="200"/>
        <v>#REF!</v>
      </c>
      <c r="NQD247" s="29" t="e">
        <f t="shared" si="200"/>
        <v>#REF!</v>
      </c>
      <c r="NQE247" s="29" t="e">
        <f t="shared" si="200"/>
        <v>#REF!</v>
      </c>
      <c r="NQF247" s="29" t="e">
        <f t="shared" si="200"/>
        <v>#REF!</v>
      </c>
      <c r="NQG247" s="29" t="e">
        <f t="shared" si="200"/>
        <v>#REF!</v>
      </c>
      <c r="NQH247" s="29" t="e">
        <f t="shared" si="200"/>
        <v>#REF!</v>
      </c>
      <c r="NQI247" s="29" t="e">
        <f t="shared" si="200"/>
        <v>#REF!</v>
      </c>
      <c r="NQJ247" s="29" t="e">
        <f t="shared" si="200"/>
        <v>#REF!</v>
      </c>
      <c r="NQK247" s="29" t="e">
        <f t="shared" si="200"/>
        <v>#REF!</v>
      </c>
      <c r="NQL247" s="29" t="e">
        <f t="shared" si="200"/>
        <v>#REF!</v>
      </c>
      <c r="NQM247" s="29" t="e">
        <f t="shared" si="200"/>
        <v>#REF!</v>
      </c>
      <c r="NQN247" s="29" t="e">
        <f t="shared" si="200"/>
        <v>#REF!</v>
      </c>
      <c r="NQO247" s="29" t="e">
        <f t="shared" si="200"/>
        <v>#REF!</v>
      </c>
      <c r="NQP247" s="29" t="e">
        <f t="shared" si="200"/>
        <v>#REF!</v>
      </c>
      <c r="NQQ247" s="29" t="e">
        <f t="shared" si="200"/>
        <v>#REF!</v>
      </c>
      <c r="NQR247" s="29" t="e">
        <f t="shared" si="200"/>
        <v>#REF!</v>
      </c>
      <c r="NQS247" s="29" t="e">
        <f t="shared" si="200"/>
        <v>#REF!</v>
      </c>
      <c r="NQT247" s="29" t="e">
        <f t="shared" si="200"/>
        <v>#REF!</v>
      </c>
      <c r="NQU247" s="29" t="e">
        <f t="shared" si="200"/>
        <v>#REF!</v>
      </c>
      <c r="NQV247" s="29" t="e">
        <f t="shared" si="200"/>
        <v>#REF!</v>
      </c>
      <c r="NQW247" s="29" t="e">
        <f t="shared" si="200"/>
        <v>#REF!</v>
      </c>
      <c r="NQX247" s="29" t="e">
        <f t="shared" si="200"/>
        <v>#REF!</v>
      </c>
      <c r="NQY247" s="29" t="e">
        <f t="shared" si="200"/>
        <v>#REF!</v>
      </c>
      <c r="NQZ247" s="29" t="e">
        <f t="shared" si="200"/>
        <v>#REF!</v>
      </c>
      <c r="NRA247" s="29" t="e">
        <f t="shared" si="200"/>
        <v>#REF!</v>
      </c>
      <c r="NRB247" s="29" t="e">
        <f t="shared" si="200"/>
        <v>#REF!</v>
      </c>
      <c r="NRC247" s="29" t="e">
        <f t="shared" si="200"/>
        <v>#REF!</v>
      </c>
      <c r="NRD247" s="29" t="e">
        <f t="shared" si="200"/>
        <v>#REF!</v>
      </c>
      <c r="NRE247" s="29" t="e">
        <f t="shared" ref="NRE247:NTP247" si="201">NRI247&amp;NRJ247</f>
        <v>#REF!</v>
      </c>
      <c r="NRF247" s="29" t="e">
        <f t="shared" si="201"/>
        <v>#REF!</v>
      </c>
      <c r="NRG247" s="29" t="e">
        <f t="shared" si="201"/>
        <v>#REF!</v>
      </c>
      <c r="NRH247" s="29" t="e">
        <f t="shared" si="201"/>
        <v>#REF!</v>
      </c>
      <c r="NRI247" s="29" t="e">
        <f t="shared" si="201"/>
        <v>#REF!</v>
      </c>
      <c r="NRJ247" s="29" t="e">
        <f t="shared" si="201"/>
        <v>#REF!</v>
      </c>
      <c r="NRK247" s="29" t="e">
        <f t="shared" si="201"/>
        <v>#REF!</v>
      </c>
      <c r="NRL247" s="29" t="e">
        <f t="shared" si="201"/>
        <v>#REF!</v>
      </c>
      <c r="NRM247" s="29" t="e">
        <f t="shared" si="201"/>
        <v>#REF!</v>
      </c>
      <c r="NRN247" s="29" t="e">
        <f t="shared" si="201"/>
        <v>#REF!</v>
      </c>
      <c r="NRO247" s="29" t="e">
        <f t="shared" si="201"/>
        <v>#REF!</v>
      </c>
      <c r="NRP247" s="29" t="e">
        <f t="shared" si="201"/>
        <v>#REF!</v>
      </c>
      <c r="NRQ247" s="29" t="e">
        <f t="shared" si="201"/>
        <v>#REF!</v>
      </c>
      <c r="NRR247" s="29" t="e">
        <f t="shared" si="201"/>
        <v>#REF!</v>
      </c>
      <c r="NRS247" s="29" t="e">
        <f t="shared" si="201"/>
        <v>#REF!</v>
      </c>
      <c r="NRT247" s="29" t="e">
        <f t="shared" si="201"/>
        <v>#REF!</v>
      </c>
      <c r="NRU247" s="29" t="e">
        <f t="shared" si="201"/>
        <v>#REF!</v>
      </c>
      <c r="NRV247" s="29" t="e">
        <f t="shared" si="201"/>
        <v>#REF!</v>
      </c>
      <c r="NRW247" s="29" t="e">
        <f t="shared" si="201"/>
        <v>#REF!</v>
      </c>
      <c r="NRX247" s="29" t="e">
        <f t="shared" si="201"/>
        <v>#REF!</v>
      </c>
      <c r="NRY247" s="29" t="e">
        <f t="shared" si="201"/>
        <v>#REF!</v>
      </c>
      <c r="NRZ247" s="29" t="e">
        <f t="shared" si="201"/>
        <v>#REF!</v>
      </c>
      <c r="NSA247" s="29" t="e">
        <f t="shared" si="201"/>
        <v>#REF!</v>
      </c>
      <c r="NSB247" s="29" t="e">
        <f t="shared" si="201"/>
        <v>#REF!</v>
      </c>
      <c r="NSC247" s="29" t="e">
        <f t="shared" si="201"/>
        <v>#REF!</v>
      </c>
      <c r="NSD247" s="29" t="e">
        <f t="shared" si="201"/>
        <v>#REF!</v>
      </c>
      <c r="NSE247" s="29" t="e">
        <f t="shared" si="201"/>
        <v>#REF!</v>
      </c>
      <c r="NSF247" s="29" t="e">
        <f t="shared" si="201"/>
        <v>#REF!</v>
      </c>
      <c r="NSG247" s="29" t="e">
        <f t="shared" si="201"/>
        <v>#REF!</v>
      </c>
      <c r="NSH247" s="29" t="e">
        <f t="shared" si="201"/>
        <v>#REF!</v>
      </c>
      <c r="NSI247" s="29" t="e">
        <f t="shared" si="201"/>
        <v>#REF!</v>
      </c>
      <c r="NSJ247" s="29" t="e">
        <f t="shared" si="201"/>
        <v>#REF!</v>
      </c>
      <c r="NSK247" s="29" t="e">
        <f t="shared" si="201"/>
        <v>#REF!</v>
      </c>
      <c r="NSL247" s="29" t="e">
        <f t="shared" si="201"/>
        <v>#REF!</v>
      </c>
      <c r="NSM247" s="29" t="e">
        <f t="shared" si="201"/>
        <v>#REF!</v>
      </c>
      <c r="NSN247" s="29" t="e">
        <f t="shared" si="201"/>
        <v>#REF!</v>
      </c>
      <c r="NSO247" s="29" t="e">
        <f t="shared" si="201"/>
        <v>#REF!</v>
      </c>
      <c r="NSP247" s="29" t="e">
        <f t="shared" si="201"/>
        <v>#REF!</v>
      </c>
      <c r="NSQ247" s="29" t="e">
        <f t="shared" si="201"/>
        <v>#REF!</v>
      </c>
      <c r="NSR247" s="29" t="e">
        <f t="shared" si="201"/>
        <v>#REF!</v>
      </c>
      <c r="NSS247" s="29" t="e">
        <f t="shared" si="201"/>
        <v>#REF!</v>
      </c>
      <c r="NST247" s="29" t="e">
        <f t="shared" si="201"/>
        <v>#REF!</v>
      </c>
      <c r="NSU247" s="29" t="e">
        <f t="shared" si="201"/>
        <v>#REF!</v>
      </c>
      <c r="NSV247" s="29" t="e">
        <f t="shared" si="201"/>
        <v>#REF!</v>
      </c>
      <c r="NSW247" s="29" t="e">
        <f t="shared" si="201"/>
        <v>#REF!</v>
      </c>
      <c r="NSX247" s="29" t="e">
        <f t="shared" si="201"/>
        <v>#REF!</v>
      </c>
      <c r="NSY247" s="29" t="e">
        <f t="shared" si="201"/>
        <v>#REF!</v>
      </c>
      <c r="NSZ247" s="29" t="e">
        <f t="shared" si="201"/>
        <v>#REF!</v>
      </c>
      <c r="NTA247" s="29" t="e">
        <f t="shared" si="201"/>
        <v>#REF!</v>
      </c>
      <c r="NTB247" s="29" t="e">
        <f t="shared" si="201"/>
        <v>#REF!</v>
      </c>
      <c r="NTC247" s="29" t="e">
        <f t="shared" si="201"/>
        <v>#REF!</v>
      </c>
      <c r="NTD247" s="29" t="e">
        <f t="shared" si="201"/>
        <v>#REF!</v>
      </c>
      <c r="NTE247" s="29" t="e">
        <f t="shared" si="201"/>
        <v>#REF!</v>
      </c>
      <c r="NTF247" s="29" t="e">
        <f t="shared" si="201"/>
        <v>#REF!</v>
      </c>
      <c r="NTG247" s="29" t="e">
        <f t="shared" si="201"/>
        <v>#REF!</v>
      </c>
      <c r="NTH247" s="29" t="e">
        <f t="shared" si="201"/>
        <v>#REF!</v>
      </c>
      <c r="NTI247" s="29" t="e">
        <f t="shared" si="201"/>
        <v>#REF!</v>
      </c>
      <c r="NTJ247" s="29" t="e">
        <f t="shared" si="201"/>
        <v>#REF!</v>
      </c>
      <c r="NTK247" s="29" t="e">
        <f t="shared" si="201"/>
        <v>#REF!</v>
      </c>
      <c r="NTL247" s="29" t="e">
        <f t="shared" si="201"/>
        <v>#REF!</v>
      </c>
      <c r="NTM247" s="29" t="e">
        <f t="shared" si="201"/>
        <v>#REF!</v>
      </c>
      <c r="NTN247" s="29" t="e">
        <f t="shared" si="201"/>
        <v>#REF!</v>
      </c>
      <c r="NTO247" s="29" t="e">
        <f t="shared" si="201"/>
        <v>#REF!</v>
      </c>
      <c r="NTP247" s="29" t="e">
        <f t="shared" si="201"/>
        <v>#REF!</v>
      </c>
      <c r="NTQ247" s="29" t="e">
        <f t="shared" ref="NTQ247:NWB247" si="202">NTU247&amp;NTV247</f>
        <v>#REF!</v>
      </c>
      <c r="NTR247" s="29" t="e">
        <f t="shared" si="202"/>
        <v>#REF!</v>
      </c>
      <c r="NTS247" s="29" t="e">
        <f t="shared" si="202"/>
        <v>#REF!</v>
      </c>
      <c r="NTT247" s="29" t="e">
        <f t="shared" si="202"/>
        <v>#REF!</v>
      </c>
      <c r="NTU247" s="29" t="e">
        <f t="shared" si="202"/>
        <v>#REF!</v>
      </c>
      <c r="NTV247" s="29" t="e">
        <f t="shared" si="202"/>
        <v>#REF!</v>
      </c>
      <c r="NTW247" s="29" t="e">
        <f t="shared" si="202"/>
        <v>#REF!</v>
      </c>
      <c r="NTX247" s="29" t="e">
        <f t="shared" si="202"/>
        <v>#REF!</v>
      </c>
      <c r="NTY247" s="29" t="e">
        <f t="shared" si="202"/>
        <v>#REF!</v>
      </c>
      <c r="NTZ247" s="29" t="e">
        <f t="shared" si="202"/>
        <v>#REF!</v>
      </c>
      <c r="NUA247" s="29" t="e">
        <f t="shared" si="202"/>
        <v>#REF!</v>
      </c>
      <c r="NUB247" s="29" t="e">
        <f t="shared" si="202"/>
        <v>#REF!</v>
      </c>
      <c r="NUC247" s="29" t="e">
        <f t="shared" si="202"/>
        <v>#REF!</v>
      </c>
      <c r="NUD247" s="29" t="e">
        <f t="shared" si="202"/>
        <v>#REF!</v>
      </c>
      <c r="NUE247" s="29" t="e">
        <f t="shared" si="202"/>
        <v>#REF!</v>
      </c>
      <c r="NUF247" s="29" t="e">
        <f t="shared" si="202"/>
        <v>#REF!</v>
      </c>
      <c r="NUG247" s="29" t="e">
        <f t="shared" si="202"/>
        <v>#REF!</v>
      </c>
      <c r="NUH247" s="29" t="e">
        <f t="shared" si="202"/>
        <v>#REF!</v>
      </c>
      <c r="NUI247" s="29" t="e">
        <f t="shared" si="202"/>
        <v>#REF!</v>
      </c>
      <c r="NUJ247" s="29" t="e">
        <f t="shared" si="202"/>
        <v>#REF!</v>
      </c>
      <c r="NUK247" s="29" t="e">
        <f t="shared" si="202"/>
        <v>#REF!</v>
      </c>
      <c r="NUL247" s="29" t="e">
        <f t="shared" si="202"/>
        <v>#REF!</v>
      </c>
      <c r="NUM247" s="29" t="e">
        <f t="shared" si="202"/>
        <v>#REF!</v>
      </c>
      <c r="NUN247" s="29" t="e">
        <f t="shared" si="202"/>
        <v>#REF!</v>
      </c>
      <c r="NUO247" s="29" t="e">
        <f t="shared" si="202"/>
        <v>#REF!</v>
      </c>
      <c r="NUP247" s="29" t="e">
        <f t="shared" si="202"/>
        <v>#REF!</v>
      </c>
      <c r="NUQ247" s="29" t="e">
        <f t="shared" si="202"/>
        <v>#REF!</v>
      </c>
      <c r="NUR247" s="29" t="e">
        <f t="shared" si="202"/>
        <v>#REF!</v>
      </c>
      <c r="NUS247" s="29" t="e">
        <f t="shared" si="202"/>
        <v>#REF!</v>
      </c>
      <c r="NUT247" s="29" t="e">
        <f t="shared" si="202"/>
        <v>#REF!</v>
      </c>
      <c r="NUU247" s="29" t="e">
        <f t="shared" si="202"/>
        <v>#REF!</v>
      </c>
      <c r="NUV247" s="29" t="e">
        <f t="shared" si="202"/>
        <v>#REF!</v>
      </c>
      <c r="NUW247" s="29" t="e">
        <f t="shared" si="202"/>
        <v>#REF!</v>
      </c>
      <c r="NUX247" s="29" t="e">
        <f t="shared" si="202"/>
        <v>#REF!</v>
      </c>
      <c r="NUY247" s="29" t="e">
        <f t="shared" si="202"/>
        <v>#REF!</v>
      </c>
      <c r="NUZ247" s="29" t="e">
        <f t="shared" si="202"/>
        <v>#REF!</v>
      </c>
      <c r="NVA247" s="29" t="e">
        <f t="shared" si="202"/>
        <v>#REF!</v>
      </c>
      <c r="NVB247" s="29" t="e">
        <f t="shared" si="202"/>
        <v>#REF!</v>
      </c>
      <c r="NVC247" s="29" t="e">
        <f t="shared" si="202"/>
        <v>#REF!</v>
      </c>
      <c r="NVD247" s="29" t="e">
        <f t="shared" si="202"/>
        <v>#REF!</v>
      </c>
      <c r="NVE247" s="29" t="e">
        <f t="shared" si="202"/>
        <v>#REF!</v>
      </c>
      <c r="NVF247" s="29" t="e">
        <f t="shared" si="202"/>
        <v>#REF!</v>
      </c>
      <c r="NVG247" s="29" t="e">
        <f t="shared" si="202"/>
        <v>#REF!</v>
      </c>
      <c r="NVH247" s="29" t="e">
        <f t="shared" si="202"/>
        <v>#REF!</v>
      </c>
      <c r="NVI247" s="29" t="e">
        <f t="shared" si="202"/>
        <v>#REF!</v>
      </c>
      <c r="NVJ247" s="29" t="e">
        <f t="shared" si="202"/>
        <v>#REF!</v>
      </c>
      <c r="NVK247" s="29" t="e">
        <f t="shared" si="202"/>
        <v>#REF!</v>
      </c>
      <c r="NVL247" s="29" t="e">
        <f t="shared" si="202"/>
        <v>#REF!</v>
      </c>
      <c r="NVM247" s="29" t="e">
        <f t="shared" si="202"/>
        <v>#REF!</v>
      </c>
      <c r="NVN247" s="29" t="e">
        <f t="shared" si="202"/>
        <v>#REF!</v>
      </c>
      <c r="NVO247" s="29" t="e">
        <f t="shared" si="202"/>
        <v>#REF!</v>
      </c>
      <c r="NVP247" s="29" t="e">
        <f t="shared" si="202"/>
        <v>#REF!</v>
      </c>
      <c r="NVQ247" s="29" t="e">
        <f t="shared" si="202"/>
        <v>#REF!</v>
      </c>
      <c r="NVR247" s="29" t="e">
        <f t="shared" si="202"/>
        <v>#REF!</v>
      </c>
      <c r="NVS247" s="29" t="e">
        <f t="shared" si="202"/>
        <v>#REF!</v>
      </c>
      <c r="NVT247" s="29" t="e">
        <f t="shared" si="202"/>
        <v>#REF!</v>
      </c>
      <c r="NVU247" s="29" t="e">
        <f t="shared" si="202"/>
        <v>#REF!</v>
      </c>
      <c r="NVV247" s="29" t="e">
        <f t="shared" si="202"/>
        <v>#REF!</v>
      </c>
      <c r="NVW247" s="29" t="e">
        <f t="shared" si="202"/>
        <v>#REF!</v>
      </c>
      <c r="NVX247" s="29" t="e">
        <f t="shared" si="202"/>
        <v>#REF!</v>
      </c>
      <c r="NVY247" s="29" t="e">
        <f t="shared" si="202"/>
        <v>#REF!</v>
      </c>
      <c r="NVZ247" s="29" t="e">
        <f t="shared" si="202"/>
        <v>#REF!</v>
      </c>
      <c r="NWA247" s="29" t="e">
        <f t="shared" si="202"/>
        <v>#REF!</v>
      </c>
      <c r="NWB247" s="29" t="e">
        <f t="shared" si="202"/>
        <v>#REF!</v>
      </c>
      <c r="NWC247" s="29" t="e">
        <f t="shared" ref="NWC247:NYN247" si="203">NWG247&amp;NWH247</f>
        <v>#REF!</v>
      </c>
      <c r="NWD247" s="29" t="e">
        <f t="shared" si="203"/>
        <v>#REF!</v>
      </c>
      <c r="NWE247" s="29" t="e">
        <f t="shared" si="203"/>
        <v>#REF!</v>
      </c>
      <c r="NWF247" s="29" t="e">
        <f t="shared" si="203"/>
        <v>#REF!</v>
      </c>
      <c r="NWG247" s="29" t="e">
        <f t="shared" si="203"/>
        <v>#REF!</v>
      </c>
      <c r="NWH247" s="29" t="e">
        <f t="shared" si="203"/>
        <v>#REF!</v>
      </c>
      <c r="NWI247" s="29" t="e">
        <f t="shared" si="203"/>
        <v>#REF!</v>
      </c>
      <c r="NWJ247" s="29" t="e">
        <f t="shared" si="203"/>
        <v>#REF!</v>
      </c>
      <c r="NWK247" s="29" t="e">
        <f t="shared" si="203"/>
        <v>#REF!</v>
      </c>
      <c r="NWL247" s="29" t="e">
        <f t="shared" si="203"/>
        <v>#REF!</v>
      </c>
      <c r="NWM247" s="29" t="e">
        <f t="shared" si="203"/>
        <v>#REF!</v>
      </c>
      <c r="NWN247" s="29" t="e">
        <f t="shared" si="203"/>
        <v>#REF!</v>
      </c>
      <c r="NWO247" s="29" t="e">
        <f t="shared" si="203"/>
        <v>#REF!</v>
      </c>
      <c r="NWP247" s="29" t="e">
        <f t="shared" si="203"/>
        <v>#REF!</v>
      </c>
      <c r="NWQ247" s="29" t="e">
        <f t="shared" si="203"/>
        <v>#REF!</v>
      </c>
      <c r="NWR247" s="29" t="e">
        <f t="shared" si="203"/>
        <v>#REF!</v>
      </c>
      <c r="NWS247" s="29" t="e">
        <f t="shared" si="203"/>
        <v>#REF!</v>
      </c>
      <c r="NWT247" s="29" t="e">
        <f t="shared" si="203"/>
        <v>#REF!</v>
      </c>
      <c r="NWU247" s="29" t="e">
        <f t="shared" si="203"/>
        <v>#REF!</v>
      </c>
      <c r="NWV247" s="29" t="e">
        <f t="shared" si="203"/>
        <v>#REF!</v>
      </c>
      <c r="NWW247" s="29" t="e">
        <f t="shared" si="203"/>
        <v>#REF!</v>
      </c>
      <c r="NWX247" s="29" t="e">
        <f t="shared" si="203"/>
        <v>#REF!</v>
      </c>
      <c r="NWY247" s="29" t="e">
        <f t="shared" si="203"/>
        <v>#REF!</v>
      </c>
      <c r="NWZ247" s="29" t="e">
        <f t="shared" si="203"/>
        <v>#REF!</v>
      </c>
      <c r="NXA247" s="29" t="e">
        <f t="shared" si="203"/>
        <v>#REF!</v>
      </c>
      <c r="NXB247" s="29" t="e">
        <f t="shared" si="203"/>
        <v>#REF!</v>
      </c>
      <c r="NXC247" s="29" t="e">
        <f t="shared" si="203"/>
        <v>#REF!</v>
      </c>
      <c r="NXD247" s="29" t="e">
        <f t="shared" si="203"/>
        <v>#REF!</v>
      </c>
      <c r="NXE247" s="29" t="e">
        <f t="shared" si="203"/>
        <v>#REF!</v>
      </c>
      <c r="NXF247" s="29" t="e">
        <f t="shared" si="203"/>
        <v>#REF!</v>
      </c>
      <c r="NXG247" s="29" t="e">
        <f t="shared" si="203"/>
        <v>#REF!</v>
      </c>
      <c r="NXH247" s="29" t="e">
        <f t="shared" si="203"/>
        <v>#REF!</v>
      </c>
      <c r="NXI247" s="29" t="e">
        <f t="shared" si="203"/>
        <v>#REF!</v>
      </c>
      <c r="NXJ247" s="29" t="e">
        <f t="shared" si="203"/>
        <v>#REF!</v>
      </c>
      <c r="NXK247" s="29" t="e">
        <f t="shared" si="203"/>
        <v>#REF!</v>
      </c>
      <c r="NXL247" s="29" t="e">
        <f t="shared" si="203"/>
        <v>#REF!</v>
      </c>
      <c r="NXM247" s="29" t="e">
        <f t="shared" si="203"/>
        <v>#REF!</v>
      </c>
      <c r="NXN247" s="29" t="e">
        <f t="shared" si="203"/>
        <v>#REF!</v>
      </c>
      <c r="NXO247" s="29" t="e">
        <f t="shared" si="203"/>
        <v>#REF!</v>
      </c>
      <c r="NXP247" s="29" t="e">
        <f t="shared" si="203"/>
        <v>#REF!</v>
      </c>
      <c r="NXQ247" s="29" t="e">
        <f t="shared" si="203"/>
        <v>#REF!</v>
      </c>
      <c r="NXR247" s="29" t="e">
        <f t="shared" si="203"/>
        <v>#REF!</v>
      </c>
      <c r="NXS247" s="29" t="e">
        <f t="shared" si="203"/>
        <v>#REF!</v>
      </c>
      <c r="NXT247" s="29" t="e">
        <f t="shared" si="203"/>
        <v>#REF!</v>
      </c>
      <c r="NXU247" s="29" t="e">
        <f t="shared" si="203"/>
        <v>#REF!</v>
      </c>
      <c r="NXV247" s="29" t="e">
        <f t="shared" si="203"/>
        <v>#REF!</v>
      </c>
      <c r="NXW247" s="29" t="e">
        <f t="shared" si="203"/>
        <v>#REF!</v>
      </c>
      <c r="NXX247" s="29" t="e">
        <f t="shared" si="203"/>
        <v>#REF!</v>
      </c>
      <c r="NXY247" s="29" t="e">
        <f t="shared" si="203"/>
        <v>#REF!</v>
      </c>
      <c r="NXZ247" s="29" t="e">
        <f t="shared" si="203"/>
        <v>#REF!</v>
      </c>
      <c r="NYA247" s="29" t="e">
        <f t="shared" si="203"/>
        <v>#REF!</v>
      </c>
      <c r="NYB247" s="29" t="e">
        <f t="shared" si="203"/>
        <v>#REF!</v>
      </c>
      <c r="NYC247" s="29" t="e">
        <f t="shared" si="203"/>
        <v>#REF!</v>
      </c>
      <c r="NYD247" s="29" t="e">
        <f t="shared" si="203"/>
        <v>#REF!</v>
      </c>
      <c r="NYE247" s="29" t="e">
        <f t="shared" si="203"/>
        <v>#REF!</v>
      </c>
      <c r="NYF247" s="29" t="e">
        <f t="shared" si="203"/>
        <v>#REF!</v>
      </c>
      <c r="NYG247" s="29" t="e">
        <f t="shared" si="203"/>
        <v>#REF!</v>
      </c>
      <c r="NYH247" s="29" t="e">
        <f t="shared" si="203"/>
        <v>#REF!</v>
      </c>
      <c r="NYI247" s="29" t="e">
        <f t="shared" si="203"/>
        <v>#REF!</v>
      </c>
      <c r="NYJ247" s="29" t="e">
        <f t="shared" si="203"/>
        <v>#REF!</v>
      </c>
      <c r="NYK247" s="29" t="e">
        <f t="shared" si="203"/>
        <v>#REF!</v>
      </c>
      <c r="NYL247" s="29" t="e">
        <f t="shared" si="203"/>
        <v>#REF!</v>
      </c>
      <c r="NYM247" s="29" t="e">
        <f t="shared" si="203"/>
        <v>#REF!</v>
      </c>
      <c r="NYN247" s="29" t="e">
        <f t="shared" si="203"/>
        <v>#REF!</v>
      </c>
      <c r="NYO247" s="29" t="e">
        <f t="shared" ref="NYO247:OAZ247" si="204">NYS247&amp;NYT247</f>
        <v>#REF!</v>
      </c>
      <c r="NYP247" s="29" t="e">
        <f t="shared" si="204"/>
        <v>#REF!</v>
      </c>
      <c r="NYQ247" s="29" t="e">
        <f t="shared" si="204"/>
        <v>#REF!</v>
      </c>
      <c r="NYR247" s="29" t="e">
        <f t="shared" si="204"/>
        <v>#REF!</v>
      </c>
      <c r="NYS247" s="29" t="e">
        <f t="shared" si="204"/>
        <v>#REF!</v>
      </c>
      <c r="NYT247" s="29" t="e">
        <f t="shared" si="204"/>
        <v>#REF!</v>
      </c>
      <c r="NYU247" s="29" t="e">
        <f t="shared" si="204"/>
        <v>#REF!</v>
      </c>
      <c r="NYV247" s="29" t="e">
        <f t="shared" si="204"/>
        <v>#REF!</v>
      </c>
      <c r="NYW247" s="29" t="e">
        <f t="shared" si="204"/>
        <v>#REF!</v>
      </c>
      <c r="NYX247" s="29" t="e">
        <f t="shared" si="204"/>
        <v>#REF!</v>
      </c>
      <c r="NYY247" s="29" t="e">
        <f t="shared" si="204"/>
        <v>#REF!</v>
      </c>
      <c r="NYZ247" s="29" t="e">
        <f t="shared" si="204"/>
        <v>#REF!</v>
      </c>
      <c r="NZA247" s="29" t="e">
        <f t="shared" si="204"/>
        <v>#REF!</v>
      </c>
      <c r="NZB247" s="29" t="e">
        <f t="shared" si="204"/>
        <v>#REF!</v>
      </c>
      <c r="NZC247" s="29" t="e">
        <f t="shared" si="204"/>
        <v>#REF!</v>
      </c>
      <c r="NZD247" s="29" t="e">
        <f t="shared" si="204"/>
        <v>#REF!</v>
      </c>
      <c r="NZE247" s="29" t="e">
        <f t="shared" si="204"/>
        <v>#REF!</v>
      </c>
      <c r="NZF247" s="29" t="e">
        <f t="shared" si="204"/>
        <v>#REF!</v>
      </c>
      <c r="NZG247" s="29" t="e">
        <f t="shared" si="204"/>
        <v>#REF!</v>
      </c>
      <c r="NZH247" s="29" t="e">
        <f t="shared" si="204"/>
        <v>#REF!</v>
      </c>
      <c r="NZI247" s="29" t="e">
        <f t="shared" si="204"/>
        <v>#REF!</v>
      </c>
      <c r="NZJ247" s="29" t="e">
        <f t="shared" si="204"/>
        <v>#REF!</v>
      </c>
      <c r="NZK247" s="29" t="e">
        <f t="shared" si="204"/>
        <v>#REF!</v>
      </c>
      <c r="NZL247" s="29" t="e">
        <f t="shared" si="204"/>
        <v>#REF!</v>
      </c>
      <c r="NZM247" s="29" t="e">
        <f t="shared" si="204"/>
        <v>#REF!</v>
      </c>
      <c r="NZN247" s="29" t="e">
        <f t="shared" si="204"/>
        <v>#REF!</v>
      </c>
      <c r="NZO247" s="29" t="e">
        <f t="shared" si="204"/>
        <v>#REF!</v>
      </c>
      <c r="NZP247" s="29" t="e">
        <f t="shared" si="204"/>
        <v>#REF!</v>
      </c>
      <c r="NZQ247" s="29" t="e">
        <f t="shared" si="204"/>
        <v>#REF!</v>
      </c>
      <c r="NZR247" s="29" t="e">
        <f t="shared" si="204"/>
        <v>#REF!</v>
      </c>
      <c r="NZS247" s="29" t="e">
        <f t="shared" si="204"/>
        <v>#REF!</v>
      </c>
      <c r="NZT247" s="29" t="e">
        <f t="shared" si="204"/>
        <v>#REF!</v>
      </c>
      <c r="NZU247" s="29" t="e">
        <f t="shared" si="204"/>
        <v>#REF!</v>
      </c>
      <c r="NZV247" s="29" t="e">
        <f t="shared" si="204"/>
        <v>#REF!</v>
      </c>
      <c r="NZW247" s="29" t="e">
        <f t="shared" si="204"/>
        <v>#REF!</v>
      </c>
      <c r="NZX247" s="29" t="e">
        <f t="shared" si="204"/>
        <v>#REF!</v>
      </c>
      <c r="NZY247" s="29" t="e">
        <f t="shared" si="204"/>
        <v>#REF!</v>
      </c>
      <c r="NZZ247" s="29" t="e">
        <f t="shared" si="204"/>
        <v>#REF!</v>
      </c>
      <c r="OAA247" s="29" t="e">
        <f t="shared" si="204"/>
        <v>#REF!</v>
      </c>
      <c r="OAB247" s="29" t="e">
        <f t="shared" si="204"/>
        <v>#REF!</v>
      </c>
      <c r="OAC247" s="29" t="e">
        <f t="shared" si="204"/>
        <v>#REF!</v>
      </c>
      <c r="OAD247" s="29" t="e">
        <f t="shared" si="204"/>
        <v>#REF!</v>
      </c>
      <c r="OAE247" s="29" t="e">
        <f t="shared" si="204"/>
        <v>#REF!</v>
      </c>
      <c r="OAF247" s="29" t="e">
        <f t="shared" si="204"/>
        <v>#REF!</v>
      </c>
      <c r="OAG247" s="29" t="e">
        <f t="shared" si="204"/>
        <v>#REF!</v>
      </c>
      <c r="OAH247" s="29" t="e">
        <f t="shared" si="204"/>
        <v>#REF!</v>
      </c>
      <c r="OAI247" s="29" t="e">
        <f t="shared" si="204"/>
        <v>#REF!</v>
      </c>
      <c r="OAJ247" s="29" t="e">
        <f t="shared" si="204"/>
        <v>#REF!</v>
      </c>
      <c r="OAK247" s="29" t="e">
        <f t="shared" si="204"/>
        <v>#REF!</v>
      </c>
      <c r="OAL247" s="29" t="e">
        <f t="shared" si="204"/>
        <v>#REF!</v>
      </c>
      <c r="OAM247" s="29" t="e">
        <f t="shared" si="204"/>
        <v>#REF!</v>
      </c>
      <c r="OAN247" s="29" t="e">
        <f t="shared" si="204"/>
        <v>#REF!</v>
      </c>
      <c r="OAO247" s="29" t="e">
        <f t="shared" si="204"/>
        <v>#REF!</v>
      </c>
      <c r="OAP247" s="29" t="e">
        <f t="shared" si="204"/>
        <v>#REF!</v>
      </c>
      <c r="OAQ247" s="29" t="e">
        <f t="shared" si="204"/>
        <v>#REF!</v>
      </c>
      <c r="OAR247" s="29" t="e">
        <f t="shared" si="204"/>
        <v>#REF!</v>
      </c>
      <c r="OAS247" s="29" t="e">
        <f t="shared" si="204"/>
        <v>#REF!</v>
      </c>
      <c r="OAT247" s="29" t="e">
        <f t="shared" si="204"/>
        <v>#REF!</v>
      </c>
      <c r="OAU247" s="29" t="e">
        <f t="shared" si="204"/>
        <v>#REF!</v>
      </c>
      <c r="OAV247" s="29" t="e">
        <f t="shared" si="204"/>
        <v>#REF!</v>
      </c>
      <c r="OAW247" s="29" t="e">
        <f t="shared" si="204"/>
        <v>#REF!</v>
      </c>
      <c r="OAX247" s="29" t="e">
        <f t="shared" si="204"/>
        <v>#REF!</v>
      </c>
      <c r="OAY247" s="29" t="e">
        <f t="shared" si="204"/>
        <v>#REF!</v>
      </c>
      <c r="OAZ247" s="29" t="e">
        <f t="shared" si="204"/>
        <v>#REF!</v>
      </c>
      <c r="OBA247" s="29" t="e">
        <f t="shared" ref="OBA247:ODL247" si="205">OBE247&amp;OBF247</f>
        <v>#REF!</v>
      </c>
      <c r="OBB247" s="29" t="e">
        <f t="shared" si="205"/>
        <v>#REF!</v>
      </c>
      <c r="OBC247" s="29" t="e">
        <f t="shared" si="205"/>
        <v>#REF!</v>
      </c>
      <c r="OBD247" s="29" t="e">
        <f t="shared" si="205"/>
        <v>#REF!</v>
      </c>
      <c r="OBE247" s="29" t="e">
        <f t="shared" si="205"/>
        <v>#REF!</v>
      </c>
      <c r="OBF247" s="29" t="e">
        <f t="shared" si="205"/>
        <v>#REF!</v>
      </c>
      <c r="OBG247" s="29" t="e">
        <f t="shared" si="205"/>
        <v>#REF!</v>
      </c>
      <c r="OBH247" s="29" t="e">
        <f t="shared" si="205"/>
        <v>#REF!</v>
      </c>
      <c r="OBI247" s="29" t="e">
        <f t="shared" si="205"/>
        <v>#REF!</v>
      </c>
      <c r="OBJ247" s="29" t="e">
        <f t="shared" si="205"/>
        <v>#REF!</v>
      </c>
      <c r="OBK247" s="29" t="e">
        <f t="shared" si="205"/>
        <v>#REF!</v>
      </c>
      <c r="OBL247" s="29" t="e">
        <f t="shared" si="205"/>
        <v>#REF!</v>
      </c>
      <c r="OBM247" s="29" t="e">
        <f t="shared" si="205"/>
        <v>#REF!</v>
      </c>
      <c r="OBN247" s="29" t="e">
        <f t="shared" si="205"/>
        <v>#REF!</v>
      </c>
      <c r="OBO247" s="29" t="e">
        <f t="shared" si="205"/>
        <v>#REF!</v>
      </c>
      <c r="OBP247" s="29" t="e">
        <f t="shared" si="205"/>
        <v>#REF!</v>
      </c>
      <c r="OBQ247" s="29" t="e">
        <f t="shared" si="205"/>
        <v>#REF!</v>
      </c>
      <c r="OBR247" s="29" t="e">
        <f t="shared" si="205"/>
        <v>#REF!</v>
      </c>
      <c r="OBS247" s="29" t="e">
        <f t="shared" si="205"/>
        <v>#REF!</v>
      </c>
      <c r="OBT247" s="29" t="e">
        <f t="shared" si="205"/>
        <v>#REF!</v>
      </c>
      <c r="OBU247" s="29" t="e">
        <f t="shared" si="205"/>
        <v>#REF!</v>
      </c>
      <c r="OBV247" s="29" t="e">
        <f t="shared" si="205"/>
        <v>#REF!</v>
      </c>
      <c r="OBW247" s="29" t="e">
        <f t="shared" si="205"/>
        <v>#REF!</v>
      </c>
      <c r="OBX247" s="29" t="e">
        <f t="shared" si="205"/>
        <v>#REF!</v>
      </c>
      <c r="OBY247" s="29" t="e">
        <f t="shared" si="205"/>
        <v>#REF!</v>
      </c>
      <c r="OBZ247" s="29" t="e">
        <f t="shared" si="205"/>
        <v>#REF!</v>
      </c>
      <c r="OCA247" s="29" t="e">
        <f t="shared" si="205"/>
        <v>#REF!</v>
      </c>
      <c r="OCB247" s="29" t="e">
        <f t="shared" si="205"/>
        <v>#REF!</v>
      </c>
      <c r="OCC247" s="29" t="e">
        <f t="shared" si="205"/>
        <v>#REF!</v>
      </c>
      <c r="OCD247" s="29" t="e">
        <f t="shared" si="205"/>
        <v>#REF!</v>
      </c>
      <c r="OCE247" s="29" t="e">
        <f t="shared" si="205"/>
        <v>#REF!</v>
      </c>
      <c r="OCF247" s="29" t="e">
        <f t="shared" si="205"/>
        <v>#REF!</v>
      </c>
      <c r="OCG247" s="29" t="e">
        <f t="shared" si="205"/>
        <v>#REF!</v>
      </c>
      <c r="OCH247" s="29" t="e">
        <f t="shared" si="205"/>
        <v>#REF!</v>
      </c>
      <c r="OCI247" s="29" t="e">
        <f t="shared" si="205"/>
        <v>#REF!</v>
      </c>
      <c r="OCJ247" s="29" t="e">
        <f t="shared" si="205"/>
        <v>#REF!</v>
      </c>
      <c r="OCK247" s="29" t="e">
        <f t="shared" si="205"/>
        <v>#REF!</v>
      </c>
      <c r="OCL247" s="29" t="e">
        <f t="shared" si="205"/>
        <v>#REF!</v>
      </c>
      <c r="OCM247" s="29" t="e">
        <f t="shared" si="205"/>
        <v>#REF!</v>
      </c>
      <c r="OCN247" s="29" t="e">
        <f t="shared" si="205"/>
        <v>#REF!</v>
      </c>
      <c r="OCO247" s="29" t="e">
        <f t="shared" si="205"/>
        <v>#REF!</v>
      </c>
      <c r="OCP247" s="29" t="e">
        <f t="shared" si="205"/>
        <v>#REF!</v>
      </c>
      <c r="OCQ247" s="29" t="e">
        <f t="shared" si="205"/>
        <v>#REF!</v>
      </c>
      <c r="OCR247" s="29" t="e">
        <f t="shared" si="205"/>
        <v>#REF!</v>
      </c>
      <c r="OCS247" s="29" t="e">
        <f t="shared" si="205"/>
        <v>#REF!</v>
      </c>
      <c r="OCT247" s="29" t="e">
        <f t="shared" si="205"/>
        <v>#REF!</v>
      </c>
      <c r="OCU247" s="29" t="e">
        <f t="shared" si="205"/>
        <v>#REF!</v>
      </c>
      <c r="OCV247" s="29" t="e">
        <f t="shared" si="205"/>
        <v>#REF!</v>
      </c>
      <c r="OCW247" s="29" t="e">
        <f t="shared" si="205"/>
        <v>#REF!</v>
      </c>
      <c r="OCX247" s="29" t="e">
        <f t="shared" si="205"/>
        <v>#REF!</v>
      </c>
      <c r="OCY247" s="29" t="e">
        <f t="shared" si="205"/>
        <v>#REF!</v>
      </c>
      <c r="OCZ247" s="29" t="e">
        <f t="shared" si="205"/>
        <v>#REF!</v>
      </c>
      <c r="ODA247" s="29" t="e">
        <f t="shared" si="205"/>
        <v>#REF!</v>
      </c>
      <c r="ODB247" s="29" t="e">
        <f t="shared" si="205"/>
        <v>#REF!</v>
      </c>
      <c r="ODC247" s="29" t="e">
        <f t="shared" si="205"/>
        <v>#REF!</v>
      </c>
      <c r="ODD247" s="29" t="e">
        <f t="shared" si="205"/>
        <v>#REF!</v>
      </c>
      <c r="ODE247" s="29" t="e">
        <f t="shared" si="205"/>
        <v>#REF!</v>
      </c>
      <c r="ODF247" s="29" t="e">
        <f t="shared" si="205"/>
        <v>#REF!</v>
      </c>
      <c r="ODG247" s="29" t="e">
        <f t="shared" si="205"/>
        <v>#REF!</v>
      </c>
      <c r="ODH247" s="29" t="e">
        <f t="shared" si="205"/>
        <v>#REF!</v>
      </c>
      <c r="ODI247" s="29" t="e">
        <f t="shared" si="205"/>
        <v>#REF!</v>
      </c>
      <c r="ODJ247" s="29" t="e">
        <f t="shared" si="205"/>
        <v>#REF!</v>
      </c>
      <c r="ODK247" s="29" t="e">
        <f t="shared" si="205"/>
        <v>#REF!</v>
      </c>
      <c r="ODL247" s="29" t="e">
        <f t="shared" si="205"/>
        <v>#REF!</v>
      </c>
      <c r="ODM247" s="29" t="e">
        <f t="shared" ref="ODM247:OFX247" si="206">ODQ247&amp;ODR247</f>
        <v>#REF!</v>
      </c>
      <c r="ODN247" s="29" t="e">
        <f t="shared" si="206"/>
        <v>#REF!</v>
      </c>
      <c r="ODO247" s="29" t="e">
        <f t="shared" si="206"/>
        <v>#REF!</v>
      </c>
      <c r="ODP247" s="29" t="e">
        <f t="shared" si="206"/>
        <v>#REF!</v>
      </c>
      <c r="ODQ247" s="29" t="e">
        <f t="shared" si="206"/>
        <v>#REF!</v>
      </c>
      <c r="ODR247" s="29" t="e">
        <f t="shared" si="206"/>
        <v>#REF!</v>
      </c>
      <c r="ODS247" s="29" t="e">
        <f t="shared" si="206"/>
        <v>#REF!</v>
      </c>
      <c r="ODT247" s="29" t="e">
        <f t="shared" si="206"/>
        <v>#REF!</v>
      </c>
      <c r="ODU247" s="29" t="e">
        <f t="shared" si="206"/>
        <v>#REF!</v>
      </c>
      <c r="ODV247" s="29" t="e">
        <f t="shared" si="206"/>
        <v>#REF!</v>
      </c>
      <c r="ODW247" s="29" t="e">
        <f t="shared" si="206"/>
        <v>#REF!</v>
      </c>
      <c r="ODX247" s="29" t="e">
        <f t="shared" si="206"/>
        <v>#REF!</v>
      </c>
      <c r="ODY247" s="29" t="e">
        <f t="shared" si="206"/>
        <v>#REF!</v>
      </c>
      <c r="ODZ247" s="29" t="e">
        <f t="shared" si="206"/>
        <v>#REF!</v>
      </c>
      <c r="OEA247" s="29" t="e">
        <f t="shared" si="206"/>
        <v>#REF!</v>
      </c>
      <c r="OEB247" s="29" t="e">
        <f t="shared" si="206"/>
        <v>#REF!</v>
      </c>
      <c r="OEC247" s="29" t="e">
        <f t="shared" si="206"/>
        <v>#REF!</v>
      </c>
      <c r="OED247" s="29" t="e">
        <f t="shared" si="206"/>
        <v>#REF!</v>
      </c>
      <c r="OEE247" s="29" t="e">
        <f t="shared" si="206"/>
        <v>#REF!</v>
      </c>
      <c r="OEF247" s="29" t="e">
        <f t="shared" si="206"/>
        <v>#REF!</v>
      </c>
      <c r="OEG247" s="29" t="e">
        <f t="shared" si="206"/>
        <v>#REF!</v>
      </c>
      <c r="OEH247" s="29" t="e">
        <f t="shared" si="206"/>
        <v>#REF!</v>
      </c>
      <c r="OEI247" s="29" t="e">
        <f t="shared" si="206"/>
        <v>#REF!</v>
      </c>
      <c r="OEJ247" s="29" t="e">
        <f t="shared" si="206"/>
        <v>#REF!</v>
      </c>
      <c r="OEK247" s="29" t="e">
        <f t="shared" si="206"/>
        <v>#REF!</v>
      </c>
      <c r="OEL247" s="29" t="e">
        <f t="shared" si="206"/>
        <v>#REF!</v>
      </c>
      <c r="OEM247" s="29" t="e">
        <f t="shared" si="206"/>
        <v>#REF!</v>
      </c>
      <c r="OEN247" s="29" t="e">
        <f t="shared" si="206"/>
        <v>#REF!</v>
      </c>
      <c r="OEO247" s="29" t="e">
        <f t="shared" si="206"/>
        <v>#REF!</v>
      </c>
      <c r="OEP247" s="29" t="e">
        <f t="shared" si="206"/>
        <v>#REF!</v>
      </c>
      <c r="OEQ247" s="29" t="e">
        <f t="shared" si="206"/>
        <v>#REF!</v>
      </c>
      <c r="OER247" s="29" t="e">
        <f t="shared" si="206"/>
        <v>#REF!</v>
      </c>
      <c r="OES247" s="29" t="e">
        <f t="shared" si="206"/>
        <v>#REF!</v>
      </c>
      <c r="OET247" s="29" t="e">
        <f t="shared" si="206"/>
        <v>#REF!</v>
      </c>
      <c r="OEU247" s="29" t="e">
        <f t="shared" si="206"/>
        <v>#REF!</v>
      </c>
      <c r="OEV247" s="29" t="e">
        <f t="shared" si="206"/>
        <v>#REF!</v>
      </c>
      <c r="OEW247" s="29" t="e">
        <f t="shared" si="206"/>
        <v>#REF!</v>
      </c>
      <c r="OEX247" s="29" t="e">
        <f t="shared" si="206"/>
        <v>#REF!</v>
      </c>
      <c r="OEY247" s="29" t="e">
        <f t="shared" si="206"/>
        <v>#REF!</v>
      </c>
      <c r="OEZ247" s="29" t="e">
        <f t="shared" si="206"/>
        <v>#REF!</v>
      </c>
      <c r="OFA247" s="29" t="e">
        <f t="shared" si="206"/>
        <v>#REF!</v>
      </c>
      <c r="OFB247" s="29" t="e">
        <f t="shared" si="206"/>
        <v>#REF!</v>
      </c>
      <c r="OFC247" s="29" t="e">
        <f t="shared" si="206"/>
        <v>#REF!</v>
      </c>
      <c r="OFD247" s="29" t="e">
        <f t="shared" si="206"/>
        <v>#REF!</v>
      </c>
      <c r="OFE247" s="29" t="e">
        <f t="shared" si="206"/>
        <v>#REF!</v>
      </c>
      <c r="OFF247" s="29" t="e">
        <f t="shared" si="206"/>
        <v>#REF!</v>
      </c>
      <c r="OFG247" s="29" t="e">
        <f t="shared" si="206"/>
        <v>#REF!</v>
      </c>
      <c r="OFH247" s="29" t="e">
        <f t="shared" si="206"/>
        <v>#REF!</v>
      </c>
      <c r="OFI247" s="29" t="e">
        <f t="shared" si="206"/>
        <v>#REF!</v>
      </c>
      <c r="OFJ247" s="29" t="e">
        <f t="shared" si="206"/>
        <v>#REF!</v>
      </c>
      <c r="OFK247" s="29" t="e">
        <f t="shared" si="206"/>
        <v>#REF!</v>
      </c>
      <c r="OFL247" s="29" t="e">
        <f t="shared" si="206"/>
        <v>#REF!</v>
      </c>
      <c r="OFM247" s="29" t="e">
        <f t="shared" si="206"/>
        <v>#REF!</v>
      </c>
      <c r="OFN247" s="29" t="e">
        <f t="shared" si="206"/>
        <v>#REF!</v>
      </c>
      <c r="OFO247" s="29" t="e">
        <f t="shared" si="206"/>
        <v>#REF!</v>
      </c>
      <c r="OFP247" s="29" t="e">
        <f t="shared" si="206"/>
        <v>#REF!</v>
      </c>
      <c r="OFQ247" s="29" t="e">
        <f t="shared" si="206"/>
        <v>#REF!</v>
      </c>
      <c r="OFR247" s="29" t="e">
        <f t="shared" si="206"/>
        <v>#REF!</v>
      </c>
      <c r="OFS247" s="29" t="e">
        <f t="shared" si="206"/>
        <v>#REF!</v>
      </c>
      <c r="OFT247" s="29" t="e">
        <f t="shared" si="206"/>
        <v>#REF!</v>
      </c>
      <c r="OFU247" s="29" t="e">
        <f t="shared" si="206"/>
        <v>#REF!</v>
      </c>
      <c r="OFV247" s="29" t="e">
        <f t="shared" si="206"/>
        <v>#REF!</v>
      </c>
      <c r="OFW247" s="29" t="e">
        <f t="shared" si="206"/>
        <v>#REF!</v>
      </c>
      <c r="OFX247" s="29" t="e">
        <f t="shared" si="206"/>
        <v>#REF!</v>
      </c>
      <c r="OFY247" s="29" t="e">
        <f t="shared" ref="OFY247:OIJ247" si="207">OGC247&amp;OGD247</f>
        <v>#REF!</v>
      </c>
      <c r="OFZ247" s="29" t="e">
        <f t="shared" si="207"/>
        <v>#REF!</v>
      </c>
      <c r="OGA247" s="29" t="e">
        <f t="shared" si="207"/>
        <v>#REF!</v>
      </c>
      <c r="OGB247" s="29" t="e">
        <f t="shared" si="207"/>
        <v>#REF!</v>
      </c>
      <c r="OGC247" s="29" t="e">
        <f t="shared" si="207"/>
        <v>#REF!</v>
      </c>
      <c r="OGD247" s="29" t="e">
        <f t="shared" si="207"/>
        <v>#REF!</v>
      </c>
      <c r="OGE247" s="29" t="e">
        <f t="shared" si="207"/>
        <v>#REF!</v>
      </c>
      <c r="OGF247" s="29" t="e">
        <f t="shared" si="207"/>
        <v>#REF!</v>
      </c>
      <c r="OGG247" s="29" t="e">
        <f t="shared" si="207"/>
        <v>#REF!</v>
      </c>
      <c r="OGH247" s="29" t="e">
        <f t="shared" si="207"/>
        <v>#REF!</v>
      </c>
      <c r="OGI247" s="29" t="e">
        <f t="shared" si="207"/>
        <v>#REF!</v>
      </c>
      <c r="OGJ247" s="29" t="e">
        <f t="shared" si="207"/>
        <v>#REF!</v>
      </c>
      <c r="OGK247" s="29" t="e">
        <f t="shared" si="207"/>
        <v>#REF!</v>
      </c>
      <c r="OGL247" s="29" t="e">
        <f t="shared" si="207"/>
        <v>#REF!</v>
      </c>
      <c r="OGM247" s="29" t="e">
        <f t="shared" si="207"/>
        <v>#REF!</v>
      </c>
      <c r="OGN247" s="29" t="e">
        <f t="shared" si="207"/>
        <v>#REF!</v>
      </c>
      <c r="OGO247" s="29" t="e">
        <f t="shared" si="207"/>
        <v>#REF!</v>
      </c>
      <c r="OGP247" s="29" t="e">
        <f t="shared" si="207"/>
        <v>#REF!</v>
      </c>
      <c r="OGQ247" s="29" t="e">
        <f t="shared" si="207"/>
        <v>#REF!</v>
      </c>
      <c r="OGR247" s="29" t="e">
        <f t="shared" si="207"/>
        <v>#REF!</v>
      </c>
      <c r="OGS247" s="29" t="e">
        <f t="shared" si="207"/>
        <v>#REF!</v>
      </c>
      <c r="OGT247" s="29" t="e">
        <f t="shared" si="207"/>
        <v>#REF!</v>
      </c>
      <c r="OGU247" s="29" t="e">
        <f t="shared" si="207"/>
        <v>#REF!</v>
      </c>
      <c r="OGV247" s="29" t="e">
        <f t="shared" si="207"/>
        <v>#REF!</v>
      </c>
      <c r="OGW247" s="29" t="e">
        <f t="shared" si="207"/>
        <v>#REF!</v>
      </c>
      <c r="OGX247" s="29" t="e">
        <f t="shared" si="207"/>
        <v>#REF!</v>
      </c>
      <c r="OGY247" s="29" t="e">
        <f t="shared" si="207"/>
        <v>#REF!</v>
      </c>
      <c r="OGZ247" s="29" t="e">
        <f t="shared" si="207"/>
        <v>#REF!</v>
      </c>
      <c r="OHA247" s="29" t="e">
        <f t="shared" si="207"/>
        <v>#REF!</v>
      </c>
      <c r="OHB247" s="29" t="e">
        <f t="shared" si="207"/>
        <v>#REF!</v>
      </c>
      <c r="OHC247" s="29" t="e">
        <f t="shared" si="207"/>
        <v>#REF!</v>
      </c>
      <c r="OHD247" s="29" t="e">
        <f t="shared" si="207"/>
        <v>#REF!</v>
      </c>
      <c r="OHE247" s="29" t="e">
        <f t="shared" si="207"/>
        <v>#REF!</v>
      </c>
      <c r="OHF247" s="29" t="e">
        <f t="shared" si="207"/>
        <v>#REF!</v>
      </c>
      <c r="OHG247" s="29" t="e">
        <f t="shared" si="207"/>
        <v>#REF!</v>
      </c>
      <c r="OHH247" s="29" t="e">
        <f t="shared" si="207"/>
        <v>#REF!</v>
      </c>
      <c r="OHI247" s="29" t="e">
        <f t="shared" si="207"/>
        <v>#REF!</v>
      </c>
      <c r="OHJ247" s="29" t="e">
        <f t="shared" si="207"/>
        <v>#REF!</v>
      </c>
      <c r="OHK247" s="29" t="e">
        <f t="shared" si="207"/>
        <v>#REF!</v>
      </c>
      <c r="OHL247" s="29" t="e">
        <f t="shared" si="207"/>
        <v>#REF!</v>
      </c>
      <c r="OHM247" s="29" t="e">
        <f t="shared" si="207"/>
        <v>#REF!</v>
      </c>
      <c r="OHN247" s="29" t="e">
        <f t="shared" si="207"/>
        <v>#REF!</v>
      </c>
      <c r="OHO247" s="29" t="e">
        <f t="shared" si="207"/>
        <v>#REF!</v>
      </c>
      <c r="OHP247" s="29" t="e">
        <f t="shared" si="207"/>
        <v>#REF!</v>
      </c>
      <c r="OHQ247" s="29" t="e">
        <f t="shared" si="207"/>
        <v>#REF!</v>
      </c>
      <c r="OHR247" s="29" t="e">
        <f t="shared" si="207"/>
        <v>#REF!</v>
      </c>
      <c r="OHS247" s="29" t="e">
        <f t="shared" si="207"/>
        <v>#REF!</v>
      </c>
      <c r="OHT247" s="29" t="e">
        <f t="shared" si="207"/>
        <v>#REF!</v>
      </c>
      <c r="OHU247" s="29" t="e">
        <f t="shared" si="207"/>
        <v>#REF!</v>
      </c>
      <c r="OHV247" s="29" t="e">
        <f t="shared" si="207"/>
        <v>#REF!</v>
      </c>
      <c r="OHW247" s="29" t="e">
        <f t="shared" si="207"/>
        <v>#REF!</v>
      </c>
      <c r="OHX247" s="29" t="e">
        <f t="shared" si="207"/>
        <v>#REF!</v>
      </c>
      <c r="OHY247" s="29" t="e">
        <f t="shared" si="207"/>
        <v>#REF!</v>
      </c>
      <c r="OHZ247" s="29" t="e">
        <f t="shared" si="207"/>
        <v>#REF!</v>
      </c>
      <c r="OIA247" s="29" t="e">
        <f t="shared" si="207"/>
        <v>#REF!</v>
      </c>
      <c r="OIB247" s="29" t="e">
        <f t="shared" si="207"/>
        <v>#REF!</v>
      </c>
      <c r="OIC247" s="29" t="e">
        <f t="shared" si="207"/>
        <v>#REF!</v>
      </c>
      <c r="OID247" s="29" t="e">
        <f t="shared" si="207"/>
        <v>#REF!</v>
      </c>
      <c r="OIE247" s="29" t="e">
        <f t="shared" si="207"/>
        <v>#REF!</v>
      </c>
      <c r="OIF247" s="29" t="e">
        <f t="shared" si="207"/>
        <v>#REF!</v>
      </c>
      <c r="OIG247" s="29" t="e">
        <f t="shared" si="207"/>
        <v>#REF!</v>
      </c>
      <c r="OIH247" s="29" t="e">
        <f t="shared" si="207"/>
        <v>#REF!</v>
      </c>
      <c r="OII247" s="29" t="e">
        <f t="shared" si="207"/>
        <v>#REF!</v>
      </c>
      <c r="OIJ247" s="29" t="e">
        <f t="shared" si="207"/>
        <v>#REF!</v>
      </c>
      <c r="OIK247" s="29" t="e">
        <f t="shared" ref="OIK247:OKV247" si="208">OIO247&amp;OIP247</f>
        <v>#REF!</v>
      </c>
      <c r="OIL247" s="29" t="e">
        <f t="shared" si="208"/>
        <v>#REF!</v>
      </c>
      <c r="OIM247" s="29" t="e">
        <f t="shared" si="208"/>
        <v>#REF!</v>
      </c>
      <c r="OIN247" s="29" t="e">
        <f t="shared" si="208"/>
        <v>#REF!</v>
      </c>
      <c r="OIO247" s="29" t="e">
        <f t="shared" si="208"/>
        <v>#REF!</v>
      </c>
      <c r="OIP247" s="29" t="e">
        <f t="shared" si="208"/>
        <v>#REF!</v>
      </c>
      <c r="OIQ247" s="29" t="e">
        <f t="shared" si="208"/>
        <v>#REF!</v>
      </c>
      <c r="OIR247" s="29" t="e">
        <f t="shared" si="208"/>
        <v>#REF!</v>
      </c>
      <c r="OIS247" s="29" t="e">
        <f t="shared" si="208"/>
        <v>#REF!</v>
      </c>
      <c r="OIT247" s="29" t="e">
        <f t="shared" si="208"/>
        <v>#REF!</v>
      </c>
      <c r="OIU247" s="29" t="e">
        <f t="shared" si="208"/>
        <v>#REF!</v>
      </c>
      <c r="OIV247" s="29" t="e">
        <f t="shared" si="208"/>
        <v>#REF!</v>
      </c>
      <c r="OIW247" s="29" t="e">
        <f t="shared" si="208"/>
        <v>#REF!</v>
      </c>
      <c r="OIX247" s="29" t="e">
        <f t="shared" si="208"/>
        <v>#REF!</v>
      </c>
      <c r="OIY247" s="29" t="e">
        <f t="shared" si="208"/>
        <v>#REF!</v>
      </c>
      <c r="OIZ247" s="29" t="e">
        <f t="shared" si="208"/>
        <v>#REF!</v>
      </c>
      <c r="OJA247" s="29" t="e">
        <f t="shared" si="208"/>
        <v>#REF!</v>
      </c>
      <c r="OJB247" s="29" t="e">
        <f t="shared" si="208"/>
        <v>#REF!</v>
      </c>
      <c r="OJC247" s="29" t="e">
        <f t="shared" si="208"/>
        <v>#REF!</v>
      </c>
      <c r="OJD247" s="29" t="e">
        <f t="shared" si="208"/>
        <v>#REF!</v>
      </c>
      <c r="OJE247" s="29" t="e">
        <f t="shared" si="208"/>
        <v>#REF!</v>
      </c>
      <c r="OJF247" s="29" t="e">
        <f t="shared" si="208"/>
        <v>#REF!</v>
      </c>
      <c r="OJG247" s="29" t="e">
        <f t="shared" si="208"/>
        <v>#REF!</v>
      </c>
      <c r="OJH247" s="29" t="e">
        <f t="shared" si="208"/>
        <v>#REF!</v>
      </c>
      <c r="OJI247" s="29" t="e">
        <f t="shared" si="208"/>
        <v>#REF!</v>
      </c>
      <c r="OJJ247" s="29" t="e">
        <f t="shared" si="208"/>
        <v>#REF!</v>
      </c>
      <c r="OJK247" s="29" t="e">
        <f t="shared" si="208"/>
        <v>#REF!</v>
      </c>
      <c r="OJL247" s="29" t="e">
        <f t="shared" si="208"/>
        <v>#REF!</v>
      </c>
      <c r="OJM247" s="29" t="e">
        <f t="shared" si="208"/>
        <v>#REF!</v>
      </c>
      <c r="OJN247" s="29" t="e">
        <f t="shared" si="208"/>
        <v>#REF!</v>
      </c>
      <c r="OJO247" s="29" t="e">
        <f t="shared" si="208"/>
        <v>#REF!</v>
      </c>
      <c r="OJP247" s="29" t="e">
        <f t="shared" si="208"/>
        <v>#REF!</v>
      </c>
      <c r="OJQ247" s="29" t="e">
        <f t="shared" si="208"/>
        <v>#REF!</v>
      </c>
      <c r="OJR247" s="29" t="e">
        <f t="shared" si="208"/>
        <v>#REF!</v>
      </c>
      <c r="OJS247" s="29" t="e">
        <f t="shared" si="208"/>
        <v>#REF!</v>
      </c>
      <c r="OJT247" s="29" t="e">
        <f t="shared" si="208"/>
        <v>#REF!</v>
      </c>
      <c r="OJU247" s="29" t="e">
        <f t="shared" si="208"/>
        <v>#REF!</v>
      </c>
      <c r="OJV247" s="29" t="e">
        <f t="shared" si="208"/>
        <v>#REF!</v>
      </c>
      <c r="OJW247" s="29" t="e">
        <f t="shared" si="208"/>
        <v>#REF!</v>
      </c>
      <c r="OJX247" s="29" t="e">
        <f t="shared" si="208"/>
        <v>#REF!</v>
      </c>
      <c r="OJY247" s="29" t="e">
        <f t="shared" si="208"/>
        <v>#REF!</v>
      </c>
      <c r="OJZ247" s="29" t="e">
        <f t="shared" si="208"/>
        <v>#REF!</v>
      </c>
      <c r="OKA247" s="29" t="e">
        <f t="shared" si="208"/>
        <v>#REF!</v>
      </c>
      <c r="OKB247" s="29" t="e">
        <f t="shared" si="208"/>
        <v>#REF!</v>
      </c>
      <c r="OKC247" s="29" t="e">
        <f t="shared" si="208"/>
        <v>#REF!</v>
      </c>
      <c r="OKD247" s="29" t="e">
        <f t="shared" si="208"/>
        <v>#REF!</v>
      </c>
      <c r="OKE247" s="29" t="e">
        <f t="shared" si="208"/>
        <v>#REF!</v>
      </c>
      <c r="OKF247" s="29" t="e">
        <f t="shared" si="208"/>
        <v>#REF!</v>
      </c>
      <c r="OKG247" s="29" t="e">
        <f t="shared" si="208"/>
        <v>#REF!</v>
      </c>
      <c r="OKH247" s="29" t="e">
        <f t="shared" si="208"/>
        <v>#REF!</v>
      </c>
      <c r="OKI247" s="29" t="e">
        <f t="shared" si="208"/>
        <v>#REF!</v>
      </c>
      <c r="OKJ247" s="29" t="e">
        <f t="shared" si="208"/>
        <v>#REF!</v>
      </c>
      <c r="OKK247" s="29" t="e">
        <f t="shared" si="208"/>
        <v>#REF!</v>
      </c>
      <c r="OKL247" s="29" t="e">
        <f t="shared" si="208"/>
        <v>#REF!</v>
      </c>
      <c r="OKM247" s="29" t="e">
        <f t="shared" si="208"/>
        <v>#REF!</v>
      </c>
      <c r="OKN247" s="29" t="e">
        <f t="shared" si="208"/>
        <v>#REF!</v>
      </c>
      <c r="OKO247" s="29" t="e">
        <f t="shared" si="208"/>
        <v>#REF!</v>
      </c>
      <c r="OKP247" s="29" t="e">
        <f t="shared" si="208"/>
        <v>#REF!</v>
      </c>
      <c r="OKQ247" s="29" t="e">
        <f t="shared" si="208"/>
        <v>#REF!</v>
      </c>
      <c r="OKR247" s="29" t="e">
        <f t="shared" si="208"/>
        <v>#REF!</v>
      </c>
      <c r="OKS247" s="29" t="e">
        <f t="shared" si="208"/>
        <v>#REF!</v>
      </c>
      <c r="OKT247" s="29" t="e">
        <f t="shared" si="208"/>
        <v>#REF!</v>
      </c>
      <c r="OKU247" s="29" t="e">
        <f t="shared" si="208"/>
        <v>#REF!</v>
      </c>
      <c r="OKV247" s="29" t="e">
        <f t="shared" si="208"/>
        <v>#REF!</v>
      </c>
      <c r="OKW247" s="29" t="e">
        <f t="shared" ref="OKW247:ONH247" si="209">OLA247&amp;OLB247</f>
        <v>#REF!</v>
      </c>
      <c r="OKX247" s="29" t="e">
        <f t="shared" si="209"/>
        <v>#REF!</v>
      </c>
      <c r="OKY247" s="29" t="e">
        <f t="shared" si="209"/>
        <v>#REF!</v>
      </c>
      <c r="OKZ247" s="29" t="e">
        <f t="shared" si="209"/>
        <v>#REF!</v>
      </c>
      <c r="OLA247" s="29" t="e">
        <f t="shared" si="209"/>
        <v>#REF!</v>
      </c>
      <c r="OLB247" s="29" t="e">
        <f t="shared" si="209"/>
        <v>#REF!</v>
      </c>
      <c r="OLC247" s="29" t="e">
        <f t="shared" si="209"/>
        <v>#REF!</v>
      </c>
      <c r="OLD247" s="29" t="e">
        <f t="shared" si="209"/>
        <v>#REF!</v>
      </c>
      <c r="OLE247" s="29" t="e">
        <f t="shared" si="209"/>
        <v>#REF!</v>
      </c>
      <c r="OLF247" s="29" t="e">
        <f t="shared" si="209"/>
        <v>#REF!</v>
      </c>
      <c r="OLG247" s="29" t="e">
        <f t="shared" si="209"/>
        <v>#REF!</v>
      </c>
      <c r="OLH247" s="29" t="e">
        <f t="shared" si="209"/>
        <v>#REF!</v>
      </c>
      <c r="OLI247" s="29" t="e">
        <f t="shared" si="209"/>
        <v>#REF!</v>
      </c>
      <c r="OLJ247" s="29" t="e">
        <f t="shared" si="209"/>
        <v>#REF!</v>
      </c>
      <c r="OLK247" s="29" t="e">
        <f t="shared" si="209"/>
        <v>#REF!</v>
      </c>
      <c r="OLL247" s="29" t="e">
        <f t="shared" si="209"/>
        <v>#REF!</v>
      </c>
      <c r="OLM247" s="29" t="e">
        <f t="shared" si="209"/>
        <v>#REF!</v>
      </c>
      <c r="OLN247" s="29" t="e">
        <f t="shared" si="209"/>
        <v>#REF!</v>
      </c>
      <c r="OLO247" s="29" t="e">
        <f t="shared" si="209"/>
        <v>#REF!</v>
      </c>
      <c r="OLP247" s="29" t="e">
        <f t="shared" si="209"/>
        <v>#REF!</v>
      </c>
      <c r="OLQ247" s="29" t="e">
        <f t="shared" si="209"/>
        <v>#REF!</v>
      </c>
      <c r="OLR247" s="29" t="e">
        <f t="shared" si="209"/>
        <v>#REF!</v>
      </c>
      <c r="OLS247" s="29" t="e">
        <f t="shared" si="209"/>
        <v>#REF!</v>
      </c>
      <c r="OLT247" s="29" t="e">
        <f t="shared" si="209"/>
        <v>#REF!</v>
      </c>
      <c r="OLU247" s="29" t="e">
        <f t="shared" si="209"/>
        <v>#REF!</v>
      </c>
      <c r="OLV247" s="29" t="e">
        <f t="shared" si="209"/>
        <v>#REF!</v>
      </c>
      <c r="OLW247" s="29" t="e">
        <f t="shared" si="209"/>
        <v>#REF!</v>
      </c>
      <c r="OLX247" s="29" t="e">
        <f t="shared" si="209"/>
        <v>#REF!</v>
      </c>
      <c r="OLY247" s="29" t="e">
        <f t="shared" si="209"/>
        <v>#REF!</v>
      </c>
      <c r="OLZ247" s="29" t="e">
        <f t="shared" si="209"/>
        <v>#REF!</v>
      </c>
      <c r="OMA247" s="29" t="e">
        <f t="shared" si="209"/>
        <v>#REF!</v>
      </c>
      <c r="OMB247" s="29" t="e">
        <f t="shared" si="209"/>
        <v>#REF!</v>
      </c>
      <c r="OMC247" s="29" t="e">
        <f t="shared" si="209"/>
        <v>#REF!</v>
      </c>
      <c r="OMD247" s="29" t="e">
        <f t="shared" si="209"/>
        <v>#REF!</v>
      </c>
      <c r="OME247" s="29" t="e">
        <f t="shared" si="209"/>
        <v>#REF!</v>
      </c>
      <c r="OMF247" s="29" t="e">
        <f t="shared" si="209"/>
        <v>#REF!</v>
      </c>
      <c r="OMG247" s="29" t="e">
        <f t="shared" si="209"/>
        <v>#REF!</v>
      </c>
      <c r="OMH247" s="29" t="e">
        <f t="shared" si="209"/>
        <v>#REF!</v>
      </c>
      <c r="OMI247" s="29" t="e">
        <f t="shared" si="209"/>
        <v>#REF!</v>
      </c>
      <c r="OMJ247" s="29" t="e">
        <f t="shared" si="209"/>
        <v>#REF!</v>
      </c>
      <c r="OMK247" s="29" t="e">
        <f t="shared" si="209"/>
        <v>#REF!</v>
      </c>
      <c r="OML247" s="29" t="e">
        <f t="shared" si="209"/>
        <v>#REF!</v>
      </c>
      <c r="OMM247" s="29" t="e">
        <f t="shared" si="209"/>
        <v>#REF!</v>
      </c>
      <c r="OMN247" s="29" t="e">
        <f t="shared" si="209"/>
        <v>#REF!</v>
      </c>
      <c r="OMO247" s="29" t="e">
        <f t="shared" si="209"/>
        <v>#REF!</v>
      </c>
      <c r="OMP247" s="29" t="e">
        <f t="shared" si="209"/>
        <v>#REF!</v>
      </c>
      <c r="OMQ247" s="29" t="e">
        <f t="shared" si="209"/>
        <v>#REF!</v>
      </c>
      <c r="OMR247" s="29" t="e">
        <f t="shared" si="209"/>
        <v>#REF!</v>
      </c>
      <c r="OMS247" s="29" t="e">
        <f t="shared" si="209"/>
        <v>#REF!</v>
      </c>
      <c r="OMT247" s="29" t="e">
        <f t="shared" si="209"/>
        <v>#REF!</v>
      </c>
      <c r="OMU247" s="29" t="e">
        <f t="shared" si="209"/>
        <v>#REF!</v>
      </c>
      <c r="OMV247" s="29" t="e">
        <f t="shared" si="209"/>
        <v>#REF!</v>
      </c>
      <c r="OMW247" s="29" t="e">
        <f t="shared" si="209"/>
        <v>#REF!</v>
      </c>
      <c r="OMX247" s="29" t="e">
        <f t="shared" si="209"/>
        <v>#REF!</v>
      </c>
      <c r="OMY247" s="29" t="e">
        <f t="shared" si="209"/>
        <v>#REF!</v>
      </c>
      <c r="OMZ247" s="29" t="e">
        <f t="shared" si="209"/>
        <v>#REF!</v>
      </c>
      <c r="ONA247" s="29" t="e">
        <f t="shared" si="209"/>
        <v>#REF!</v>
      </c>
      <c r="ONB247" s="29" t="e">
        <f t="shared" si="209"/>
        <v>#REF!</v>
      </c>
      <c r="ONC247" s="29" t="e">
        <f t="shared" si="209"/>
        <v>#REF!</v>
      </c>
      <c r="OND247" s="29" t="e">
        <f t="shared" si="209"/>
        <v>#REF!</v>
      </c>
      <c r="ONE247" s="29" t="e">
        <f t="shared" si="209"/>
        <v>#REF!</v>
      </c>
      <c r="ONF247" s="29" t="e">
        <f t="shared" si="209"/>
        <v>#REF!</v>
      </c>
      <c r="ONG247" s="29" t="e">
        <f t="shared" si="209"/>
        <v>#REF!</v>
      </c>
      <c r="ONH247" s="29" t="e">
        <f t="shared" si="209"/>
        <v>#REF!</v>
      </c>
      <c r="ONI247" s="29" t="e">
        <f t="shared" ref="ONI247:OPT247" si="210">ONM247&amp;ONN247</f>
        <v>#REF!</v>
      </c>
      <c r="ONJ247" s="29" t="e">
        <f t="shared" si="210"/>
        <v>#REF!</v>
      </c>
      <c r="ONK247" s="29" t="e">
        <f t="shared" si="210"/>
        <v>#REF!</v>
      </c>
      <c r="ONL247" s="29" t="e">
        <f t="shared" si="210"/>
        <v>#REF!</v>
      </c>
      <c r="ONM247" s="29" t="e">
        <f t="shared" si="210"/>
        <v>#REF!</v>
      </c>
      <c r="ONN247" s="29" t="e">
        <f t="shared" si="210"/>
        <v>#REF!</v>
      </c>
      <c r="ONO247" s="29" t="e">
        <f t="shared" si="210"/>
        <v>#REF!</v>
      </c>
      <c r="ONP247" s="29" t="e">
        <f t="shared" si="210"/>
        <v>#REF!</v>
      </c>
      <c r="ONQ247" s="29" t="e">
        <f t="shared" si="210"/>
        <v>#REF!</v>
      </c>
      <c r="ONR247" s="29" t="e">
        <f t="shared" si="210"/>
        <v>#REF!</v>
      </c>
      <c r="ONS247" s="29" t="e">
        <f t="shared" si="210"/>
        <v>#REF!</v>
      </c>
      <c r="ONT247" s="29" t="e">
        <f t="shared" si="210"/>
        <v>#REF!</v>
      </c>
      <c r="ONU247" s="29" t="e">
        <f t="shared" si="210"/>
        <v>#REF!</v>
      </c>
      <c r="ONV247" s="29" t="e">
        <f t="shared" si="210"/>
        <v>#REF!</v>
      </c>
      <c r="ONW247" s="29" t="e">
        <f t="shared" si="210"/>
        <v>#REF!</v>
      </c>
      <c r="ONX247" s="29" t="e">
        <f t="shared" si="210"/>
        <v>#REF!</v>
      </c>
      <c r="ONY247" s="29" t="e">
        <f t="shared" si="210"/>
        <v>#REF!</v>
      </c>
      <c r="ONZ247" s="29" t="e">
        <f t="shared" si="210"/>
        <v>#REF!</v>
      </c>
      <c r="OOA247" s="29" t="e">
        <f t="shared" si="210"/>
        <v>#REF!</v>
      </c>
      <c r="OOB247" s="29" t="e">
        <f t="shared" si="210"/>
        <v>#REF!</v>
      </c>
      <c r="OOC247" s="29" t="e">
        <f t="shared" si="210"/>
        <v>#REF!</v>
      </c>
      <c r="OOD247" s="29" t="e">
        <f t="shared" si="210"/>
        <v>#REF!</v>
      </c>
      <c r="OOE247" s="29" t="e">
        <f t="shared" si="210"/>
        <v>#REF!</v>
      </c>
      <c r="OOF247" s="29" t="e">
        <f t="shared" si="210"/>
        <v>#REF!</v>
      </c>
      <c r="OOG247" s="29" t="e">
        <f t="shared" si="210"/>
        <v>#REF!</v>
      </c>
      <c r="OOH247" s="29" t="e">
        <f t="shared" si="210"/>
        <v>#REF!</v>
      </c>
      <c r="OOI247" s="29" t="e">
        <f t="shared" si="210"/>
        <v>#REF!</v>
      </c>
      <c r="OOJ247" s="29" t="e">
        <f t="shared" si="210"/>
        <v>#REF!</v>
      </c>
      <c r="OOK247" s="29" t="e">
        <f t="shared" si="210"/>
        <v>#REF!</v>
      </c>
      <c r="OOL247" s="29" t="e">
        <f t="shared" si="210"/>
        <v>#REF!</v>
      </c>
      <c r="OOM247" s="29" t="e">
        <f t="shared" si="210"/>
        <v>#REF!</v>
      </c>
      <c r="OON247" s="29" t="e">
        <f t="shared" si="210"/>
        <v>#REF!</v>
      </c>
      <c r="OOO247" s="29" t="e">
        <f t="shared" si="210"/>
        <v>#REF!</v>
      </c>
      <c r="OOP247" s="29" t="e">
        <f t="shared" si="210"/>
        <v>#REF!</v>
      </c>
      <c r="OOQ247" s="29" t="e">
        <f t="shared" si="210"/>
        <v>#REF!</v>
      </c>
      <c r="OOR247" s="29" t="e">
        <f t="shared" si="210"/>
        <v>#REF!</v>
      </c>
      <c r="OOS247" s="29" t="e">
        <f t="shared" si="210"/>
        <v>#REF!</v>
      </c>
      <c r="OOT247" s="29" t="e">
        <f t="shared" si="210"/>
        <v>#REF!</v>
      </c>
      <c r="OOU247" s="29" t="e">
        <f t="shared" si="210"/>
        <v>#REF!</v>
      </c>
      <c r="OOV247" s="29" t="e">
        <f t="shared" si="210"/>
        <v>#REF!</v>
      </c>
      <c r="OOW247" s="29" t="e">
        <f t="shared" si="210"/>
        <v>#REF!</v>
      </c>
      <c r="OOX247" s="29" t="e">
        <f t="shared" si="210"/>
        <v>#REF!</v>
      </c>
      <c r="OOY247" s="29" t="e">
        <f t="shared" si="210"/>
        <v>#REF!</v>
      </c>
      <c r="OOZ247" s="29" t="e">
        <f t="shared" si="210"/>
        <v>#REF!</v>
      </c>
      <c r="OPA247" s="29" t="e">
        <f t="shared" si="210"/>
        <v>#REF!</v>
      </c>
      <c r="OPB247" s="29" t="e">
        <f t="shared" si="210"/>
        <v>#REF!</v>
      </c>
      <c r="OPC247" s="29" t="e">
        <f t="shared" si="210"/>
        <v>#REF!</v>
      </c>
      <c r="OPD247" s="29" t="e">
        <f t="shared" si="210"/>
        <v>#REF!</v>
      </c>
      <c r="OPE247" s="29" t="e">
        <f t="shared" si="210"/>
        <v>#REF!</v>
      </c>
      <c r="OPF247" s="29" t="e">
        <f t="shared" si="210"/>
        <v>#REF!</v>
      </c>
      <c r="OPG247" s="29" t="e">
        <f t="shared" si="210"/>
        <v>#REF!</v>
      </c>
      <c r="OPH247" s="29" t="e">
        <f t="shared" si="210"/>
        <v>#REF!</v>
      </c>
      <c r="OPI247" s="29" t="e">
        <f t="shared" si="210"/>
        <v>#REF!</v>
      </c>
      <c r="OPJ247" s="29" t="e">
        <f t="shared" si="210"/>
        <v>#REF!</v>
      </c>
      <c r="OPK247" s="29" t="e">
        <f t="shared" si="210"/>
        <v>#REF!</v>
      </c>
      <c r="OPL247" s="29" t="e">
        <f t="shared" si="210"/>
        <v>#REF!</v>
      </c>
      <c r="OPM247" s="29" t="e">
        <f t="shared" si="210"/>
        <v>#REF!</v>
      </c>
      <c r="OPN247" s="29" t="e">
        <f t="shared" si="210"/>
        <v>#REF!</v>
      </c>
      <c r="OPO247" s="29" t="e">
        <f t="shared" si="210"/>
        <v>#REF!</v>
      </c>
      <c r="OPP247" s="29" t="e">
        <f t="shared" si="210"/>
        <v>#REF!</v>
      </c>
      <c r="OPQ247" s="29" t="e">
        <f t="shared" si="210"/>
        <v>#REF!</v>
      </c>
      <c r="OPR247" s="29" t="e">
        <f t="shared" si="210"/>
        <v>#REF!</v>
      </c>
      <c r="OPS247" s="29" t="e">
        <f t="shared" si="210"/>
        <v>#REF!</v>
      </c>
      <c r="OPT247" s="29" t="e">
        <f t="shared" si="210"/>
        <v>#REF!</v>
      </c>
      <c r="OPU247" s="29" t="e">
        <f t="shared" ref="OPU247:OSF247" si="211">OPY247&amp;OPZ247</f>
        <v>#REF!</v>
      </c>
      <c r="OPV247" s="29" t="e">
        <f t="shared" si="211"/>
        <v>#REF!</v>
      </c>
      <c r="OPW247" s="29" t="e">
        <f t="shared" si="211"/>
        <v>#REF!</v>
      </c>
      <c r="OPX247" s="29" t="e">
        <f t="shared" si="211"/>
        <v>#REF!</v>
      </c>
      <c r="OPY247" s="29" t="e">
        <f t="shared" si="211"/>
        <v>#REF!</v>
      </c>
      <c r="OPZ247" s="29" t="e">
        <f t="shared" si="211"/>
        <v>#REF!</v>
      </c>
      <c r="OQA247" s="29" t="e">
        <f t="shared" si="211"/>
        <v>#REF!</v>
      </c>
      <c r="OQB247" s="29" t="e">
        <f t="shared" si="211"/>
        <v>#REF!</v>
      </c>
      <c r="OQC247" s="29" t="e">
        <f t="shared" si="211"/>
        <v>#REF!</v>
      </c>
      <c r="OQD247" s="29" t="e">
        <f t="shared" si="211"/>
        <v>#REF!</v>
      </c>
      <c r="OQE247" s="29" t="e">
        <f t="shared" si="211"/>
        <v>#REF!</v>
      </c>
      <c r="OQF247" s="29" t="e">
        <f t="shared" si="211"/>
        <v>#REF!</v>
      </c>
      <c r="OQG247" s="29" t="e">
        <f t="shared" si="211"/>
        <v>#REF!</v>
      </c>
      <c r="OQH247" s="29" t="e">
        <f t="shared" si="211"/>
        <v>#REF!</v>
      </c>
      <c r="OQI247" s="29" t="e">
        <f t="shared" si="211"/>
        <v>#REF!</v>
      </c>
      <c r="OQJ247" s="29" t="e">
        <f t="shared" si="211"/>
        <v>#REF!</v>
      </c>
      <c r="OQK247" s="29" t="e">
        <f t="shared" si="211"/>
        <v>#REF!</v>
      </c>
      <c r="OQL247" s="29" t="e">
        <f t="shared" si="211"/>
        <v>#REF!</v>
      </c>
      <c r="OQM247" s="29" t="e">
        <f t="shared" si="211"/>
        <v>#REF!</v>
      </c>
      <c r="OQN247" s="29" t="e">
        <f t="shared" si="211"/>
        <v>#REF!</v>
      </c>
      <c r="OQO247" s="29" t="e">
        <f t="shared" si="211"/>
        <v>#REF!</v>
      </c>
      <c r="OQP247" s="29" t="e">
        <f t="shared" si="211"/>
        <v>#REF!</v>
      </c>
      <c r="OQQ247" s="29" t="e">
        <f t="shared" si="211"/>
        <v>#REF!</v>
      </c>
      <c r="OQR247" s="29" t="e">
        <f t="shared" si="211"/>
        <v>#REF!</v>
      </c>
      <c r="OQS247" s="29" t="e">
        <f t="shared" si="211"/>
        <v>#REF!</v>
      </c>
      <c r="OQT247" s="29" t="e">
        <f t="shared" si="211"/>
        <v>#REF!</v>
      </c>
      <c r="OQU247" s="29" t="e">
        <f t="shared" si="211"/>
        <v>#REF!</v>
      </c>
      <c r="OQV247" s="29" t="e">
        <f t="shared" si="211"/>
        <v>#REF!</v>
      </c>
      <c r="OQW247" s="29" t="e">
        <f t="shared" si="211"/>
        <v>#REF!</v>
      </c>
      <c r="OQX247" s="29" t="e">
        <f t="shared" si="211"/>
        <v>#REF!</v>
      </c>
      <c r="OQY247" s="29" t="e">
        <f t="shared" si="211"/>
        <v>#REF!</v>
      </c>
      <c r="OQZ247" s="29" t="e">
        <f t="shared" si="211"/>
        <v>#REF!</v>
      </c>
      <c r="ORA247" s="29" t="e">
        <f t="shared" si="211"/>
        <v>#REF!</v>
      </c>
      <c r="ORB247" s="29" t="e">
        <f t="shared" si="211"/>
        <v>#REF!</v>
      </c>
      <c r="ORC247" s="29" t="e">
        <f t="shared" si="211"/>
        <v>#REF!</v>
      </c>
      <c r="ORD247" s="29" t="e">
        <f t="shared" si="211"/>
        <v>#REF!</v>
      </c>
      <c r="ORE247" s="29" t="e">
        <f t="shared" si="211"/>
        <v>#REF!</v>
      </c>
      <c r="ORF247" s="29" t="e">
        <f t="shared" si="211"/>
        <v>#REF!</v>
      </c>
      <c r="ORG247" s="29" t="e">
        <f t="shared" si="211"/>
        <v>#REF!</v>
      </c>
      <c r="ORH247" s="29" t="e">
        <f t="shared" si="211"/>
        <v>#REF!</v>
      </c>
      <c r="ORI247" s="29" t="e">
        <f t="shared" si="211"/>
        <v>#REF!</v>
      </c>
      <c r="ORJ247" s="29" t="e">
        <f t="shared" si="211"/>
        <v>#REF!</v>
      </c>
      <c r="ORK247" s="29" t="e">
        <f t="shared" si="211"/>
        <v>#REF!</v>
      </c>
      <c r="ORL247" s="29" t="e">
        <f t="shared" si="211"/>
        <v>#REF!</v>
      </c>
      <c r="ORM247" s="29" t="e">
        <f t="shared" si="211"/>
        <v>#REF!</v>
      </c>
      <c r="ORN247" s="29" t="e">
        <f t="shared" si="211"/>
        <v>#REF!</v>
      </c>
      <c r="ORO247" s="29" t="e">
        <f t="shared" si="211"/>
        <v>#REF!</v>
      </c>
      <c r="ORP247" s="29" t="e">
        <f t="shared" si="211"/>
        <v>#REF!</v>
      </c>
      <c r="ORQ247" s="29" t="e">
        <f t="shared" si="211"/>
        <v>#REF!</v>
      </c>
      <c r="ORR247" s="29" t="e">
        <f t="shared" si="211"/>
        <v>#REF!</v>
      </c>
      <c r="ORS247" s="29" t="e">
        <f t="shared" si="211"/>
        <v>#REF!</v>
      </c>
      <c r="ORT247" s="29" t="e">
        <f t="shared" si="211"/>
        <v>#REF!</v>
      </c>
      <c r="ORU247" s="29" t="e">
        <f t="shared" si="211"/>
        <v>#REF!</v>
      </c>
      <c r="ORV247" s="29" t="e">
        <f t="shared" si="211"/>
        <v>#REF!</v>
      </c>
      <c r="ORW247" s="29" t="e">
        <f t="shared" si="211"/>
        <v>#REF!</v>
      </c>
      <c r="ORX247" s="29" t="e">
        <f t="shared" si="211"/>
        <v>#REF!</v>
      </c>
      <c r="ORY247" s="29" t="e">
        <f t="shared" si="211"/>
        <v>#REF!</v>
      </c>
      <c r="ORZ247" s="29" t="e">
        <f t="shared" si="211"/>
        <v>#REF!</v>
      </c>
      <c r="OSA247" s="29" t="e">
        <f t="shared" si="211"/>
        <v>#REF!</v>
      </c>
      <c r="OSB247" s="29" t="e">
        <f t="shared" si="211"/>
        <v>#REF!</v>
      </c>
      <c r="OSC247" s="29" t="e">
        <f t="shared" si="211"/>
        <v>#REF!</v>
      </c>
      <c r="OSD247" s="29" t="e">
        <f t="shared" si="211"/>
        <v>#REF!</v>
      </c>
      <c r="OSE247" s="29" t="e">
        <f t="shared" si="211"/>
        <v>#REF!</v>
      </c>
      <c r="OSF247" s="29" t="e">
        <f t="shared" si="211"/>
        <v>#REF!</v>
      </c>
      <c r="OSG247" s="29" t="e">
        <f t="shared" ref="OSG247:OUR247" si="212">OSK247&amp;OSL247</f>
        <v>#REF!</v>
      </c>
      <c r="OSH247" s="29" t="e">
        <f t="shared" si="212"/>
        <v>#REF!</v>
      </c>
      <c r="OSI247" s="29" t="e">
        <f t="shared" si="212"/>
        <v>#REF!</v>
      </c>
      <c r="OSJ247" s="29" t="e">
        <f t="shared" si="212"/>
        <v>#REF!</v>
      </c>
      <c r="OSK247" s="29" t="e">
        <f t="shared" si="212"/>
        <v>#REF!</v>
      </c>
      <c r="OSL247" s="29" t="e">
        <f t="shared" si="212"/>
        <v>#REF!</v>
      </c>
      <c r="OSM247" s="29" t="e">
        <f t="shared" si="212"/>
        <v>#REF!</v>
      </c>
      <c r="OSN247" s="29" t="e">
        <f t="shared" si="212"/>
        <v>#REF!</v>
      </c>
      <c r="OSO247" s="29" t="e">
        <f t="shared" si="212"/>
        <v>#REF!</v>
      </c>
      <c r="OSP247" s="29" t="e">
        <f t="shared" si="212"/>
        <v>#REF!</v>
      </c>
      <c r="OSQ247" s="29" t="e">
        <f t="shared" si="212"/>
        <v>#REF!</v>
      </c>
      <c r="OSR247" s="29" t="e">
        <f t="shared" si="212"/>
        <v>#REF!</v>
      </c>
      <c r="OSS247" s="29" t="e">
        <f t="shared" si="212"/>
        <v>#REF!</v>
      </c>
      <c r="OST247" s="29" t="e">
        <f t="shared" si="212"/>
        <v>#REF!</v>
      </c>
      <c r="OSU247" s="29" t="e">
        <f t="shared" si="212"/>
        <v>#REF!</v>
      </c>
      <c r="OSV247" s="29" t="e">
        <f t="shared" si="212"/>
        <v>#REF!</v>
      </c>
      <c r="OSW247" s="29" t="e">
        <f t="shared" si="212"/>
        <v>#REF!</v>
      </c>
      <c r="OSX247" s="29" t="e">
        <f t="shared" si="212"/>
        <v>#REF!</v>
      </c>
      <c r="OSY247" s="29" t="e">
        <f t="shared" si="212"/>
        <v>#REF!</v>
      </c>
      <c r="OSZ247" s="29" t="e">
        <f t="shared" si="212"/>
        <v>#REF!</v>
      </c>
      <c r="OTA247" s="29" t="e">
        <f t="shared" si="212"/>
        <v>#REF!</v>
      </c>
      <c r="OTB247" s="29" t="e">
        <f t="shared" si="212"/>
        <v>#REF!</v>
      </c>
      <c r="OTC247" s="29" t="e">
        <f t="shared" si="212"/>
        <v>#REF!</v>
      </c>
      <c r="OTD247" s="29" t="e">
        <f t="shared" si="212"/>
        <v>#REF!</v>
      </c>
      <c r="OTE247" s="29" t="e">
        <f t="shared" si="212"/>
        <v>#REF!</v>
      </c>
      <c r="OTF247" s="29" t="e">
        <f t="shared" si="212"/>
        <v>#REF!</v>
      </c>
      <c r="OTG247" s="29" t="e">
        <f t="shared" si="212"/>
        <v>#REF!</v>
      </c>
      <c r="OTH247" s="29" t="e">
        <f t="shared" si="212"/>
        <v>#REF!</v>
      </c>
      <c r="OTI247" s="29" t="e">
        <f t="shared" si="212"/>
        <v>#REF!</v>
      </c>
      <c r="OTJ247" s="29" t="e">
        <f t="shared" si="212"/>
        <v>#REF!</v>
      </c>
      <c r="OTK247" s="29" t="e">
        <f t="shared" si="212"/>
        <v>#REF!</v>
      </c>
      <c r="OTL247" s="29" t="e">
        <f t="shared" si="212"/>
        <v>#REF!</v>
      </c>
      <c r="OTM247" s="29" t="e">
        <f t="shared" si="212"/>
        <v>#REF!</v>
      </c>
      <c r="OTN247" s="29" t="e">
        <f t="shared" si="212"/>
        <v>#REF!</v>
      </c>
      <c r="OTO247" s="29" t="e">
        <f t="shared" si="212"/>
        <v>#REF!</v>
      </c>
      <c r="OTP247" s="29" t="e">
        <f t="shared" si="212"/>
        <v>#REF!</v>
      </c>
      <c r="OTQ247" s="29" t="e">
        <f t="shared" si="212"/>
        <v>#REF!</v>
      </c>
      <c r="OTR247" s="29" t="e">
        <f t="shared" si="212"/>
        <v>#REF!</v>
      </c>
      <c r="OTS247" s="29" t="e">
        <f t="shared" si="212"/>
        <v>#REF!</v>
      </c>
      <c r="OTT247" s="29" t="e">
        <f t="shared" si="212"/>
        <v>#REF!</v>
      </c>
      <c r="OTU247" s="29" t="e">
        <f t="shared" si="212"/>
        <v>#REF!</v>
      </c>
      <c r="OTV247" s="29" t="e">
        <f t="shared" si="212"/>
        <v>#REF!</v>
      </c>
      <c r="OTW247" s="29" t="e">
        <f t="shared" si="212"/>
        <v>#REF!</v>
      </c>
      <c r="OTX247" s="29" t="e">
        <f t="shared" si="212"/>
        <v>#REF!</v>
      </c>
      <c r="OTY247" s="29" t="e">
        <f t="shared" si="212"/>
        <v>#REF!</v>
      </c>
      <c r="OTZ247" s="29" t="e">
        <f t="shared" si="212"/>
        <v>#REF!</v>
      </c>
      <c r="OUA247" s="29" t="e">
        <f t="shared" si="212"/>
        <v>#REF!</v>
      </c>
      <c r="OUB247" s="29" t="e">
        <f t="shared" si="212"/>
        <v>#REF!</v>
      </c>
      <c r="OUC247" s="29" t="e">
        <f t="shared" si="212"/>
        <v>#REF!</v>
      </c>
      <c r="OUD247" s="29" t="e">
        <f t="shared" si="212"/>
        <v>#REF!</v>
      </c>
      <c r="OUE247" s="29" t="e">
        <f t="shared" si="212"/>
        <v>#REF!</v>
      </c>
      <c r="OUF247" s="29" t="e">
        <f t="shared" si="212"/>
        <v>#REF!</v>
      </c>
      <c r="OUG247" s="29" t="e">
        <f t="shared" si="212"/>
        <v>#REF!</v>
      </c>
      <c r="OUH247" s="29" t="e">
        <f t="shared" si="212"/>
        <v>#REF!</v>
      </c>
      <c r="OUI247" s="29" t="e">
        <f t="shared" si="212"/>
        <v>#REF!</v>
      </c>
      <c r="OUJ247" s="29" t="e">
        <f t="shared" si="212"/>
        <v>#REF!</v>
      </c>
      <c r="OUK247" s="29" t="e">
        <f t="shared" si="212"/>
        <v>#REF!</v>
      </c>
      <c r="OUL247" s="29" t="e">
        <f t="shared" si="212"/>
        <v>#REF!</v>
      </c>
      <c r="OUM247" s="29" t="e">
        <f t="shared" si="212"/>
        <v>#REF!</v>
      </c>
      <c r="OUN247" s="29" t="e">
        <f t="shared" si="212"/>
        <v>#REF!</v>
      </c>
      <c r="OUO247" s="29" t="e">
        <f t="shared" si="212"/>
        <v>#REF!</v>
      </c>
      <c r="OUP247" s="29" t="e">
        <f t="shared" si="212"/>
        <v>#REF!</v>
      </c>
      <c r="OUQ247" s="29" t="e">
        <f t="shared" si="212"/>
        <v>#REF!</v>
      </c>
      <c r="OUR247" s="29" t="e">
        <f t="shared" si="212"/>
        <v>#REF!</v>
      </c>
      <c r="OUS247" s="29" t="e">
        <f t="shared" ref="OUS247:OXD247" si="213">OUW247&amp;OUX247</f>
        <v>#REF!</v>
      </c>
      <c r="OUT247" s="29" t="e">
        <f t="shared" si="213"/>
        <v>#REF!</v>
      </c>
      <c r="OUU247" s="29" t="e">
        <f t="shared" si="213"/>
        <v>#REF!</v>
      </c>
      <c r="OUV247" s="29" t="e">
        <f t="shared" si="213"/>
        <v>#REF!</v>
      </c>
      <c r="OUW247" s="29" t="e">
        <f t="shared" si="213"/>
        <v>#REF!</v>
      </c>
      <c r="OUX247" s="29" t="e">
        <f t="shared" si="213"/>
        <v>#REF!</v>
      </c>
      <c r="OUY247" s="29" t="e">
        <f t="shared" si="213"/>
        <v>#REF!</v>
      </c>
      <c r="OUZ247" s="29" t="e">
        <f t="shared" si="213"/>
        <v>#REF!</v>
      </c>
      <c r="OVA247" s="29" t="e">
        <f t="shared" si="213"/>
        <v>#REF!</v>
      </c>
      <c r="OVB247" s="29" t="e">
        <f t="shared" si="213"/>
        <v>#REF!</v>
      </c>
      <c r="OVC247" s="29" t="e">
        <f t="shared" si="213"/>
        <v>#REF!</v>
      </c>
      <c r="OVD247" s="29" t="e">
        <f t="shared" si="213"/>
        <v>#REF!</v>
      </c>
      <c r="OVE247" s="29" t="e">
        <f t="shared" si="213"/>
        <v>#REF!</v>
      </c>
      <c r="OVF247" s="29" t="e">
        <f t="shared" si="213"/>
        <v>#REF!</v>
      </c>
      <c r="OVG247" s="29" t="e">
        <f t="shared" si="213"/>
        <v>#REF!</v>
      </c>
      <c r="OVH247" s="29" t="e">
        <f t="shared" si="213"/>
        <v>#REF!</v>
      </c>
      <c r="OVI247" s="29" t="e">
        <f t="shared" si="213"/>
        <v>#REF!</v>
      </c>
      <c r="OVJ247" s="29" t="e">
        <f t="shared" si="213"/>
        <v>#REF!</v>
      </c>
      <c r="OVK247" s="29" t="e">
        <f t="shared" si="213"/>
        <v>#REF!</v>
      </c>
      <c r="OVL247" s="29" t="e">
        <f t="shared" si="213"/>
        <v>#REF!</v>
      </c>
      <c r="OVM247" s="29" t="e">
        <f t="shared" si="213"/>
        <v>#REF!</v>
      </c>
      <c r="OVN247" s="29" t="e">
        <f t="shared" si="213"/>
        <v>#REF!</v>
      </c>
      <c r="OVO247" s="29" t="e">
        <f t="shared" si="213"/>
        <v>#REF!</v>
      </c>
      <c r="OVP247" s="29" t="e">
        <f t="shared" si="213"/>
        <v>#REF!</v>
      </c>
      <c r="OVQ247" s="29" t="e">
        <f t="shared" si="213"/>
        <v>#REF!</v>
      </c>
      <c r="OVR247" s="29" t="e">
        <f t="shared" si="213"/>
        <v>#REF!</v>
      </c>
      <c r="OVS247" s="29" t="e">
        <f t="shared" si="213"/>
        <v>#REF!</v>
      </c>
      <c r="OVT247" s="29" t="e">
        <f t="shared" si="213"/>
        <v>#REF!</v>
      </c>
      <c r="OVU247" s="29" t="e">
        <f t="shared" si="213"/>
        <v>#REF!</v>
      </c>
      <c r="OVV247" s="29" t="e">
        <f t="shared" si="213"/>
        <v>#REF!</v>
      </c>
      <c r="OVW247" s="29" t="e">
        <f t="shared" si="213"/>
        <v>#REF!</v>
      </c>
      <c r="OVX247" s="29" t="e">
        <f t="shared" si="213"/>
        <v>#REF!</v>
      </c>
      <c r="OVY247" s="29" t="e">
        <f t="shared" si="213"/>
        <v>#REF!</v>
      </c>
      <c r="OVZ247" s="29" t="e">
        <f t="shared" si="213"/>
        <v>#REF!</v>
      </c>
      <c r="OWA247" s="29" t="e">
        <f t="shared" si="213"/>
        <v>#REF!</v>
      </c>
      <c r="OWB247" s="29" t="e">
        <f t="shared" si="213"/>
        <v>#REF!</v>
      </c>
      <c r="OWC247" s="29" t="e">
        <f t="shared" si="213"/>
        <v>#REF!</v>
      </c>
      <c r="OWD247" s="29" t="e">
        <f t="shared" si="213"/>
        <v>#REF!</v>
      </c>
      <c r="OWE247" s="29" t="e">
        <f t="shared" si="213"/>
        <v>#REF!</v>
      </c>
      <c r="OWF247" s="29" t="e">
        <f t="shared" si="213"/>
        <v>#REF!</v>
      </c>
      <c r="OWG247" s="29" t="e">
        <f t="shared" si="213"/>
        <v>#REF!</v>
      </c>
      <c r="OWH247" s="29" t="e">
        <f t="shared" si="213"/>
        <v>#REF!</v>
      </c>
      <c r="OWI247" s="29" t="e">
        <f t="shared" si="213"/>
        <v>#REF!</v>
      </c>
      <c r="OWJ247" s="29" t="e">
        <f t="shared" si="213"/>
        <v>#REF!</v>
      </c>
      <c r="OWK247" s="29" t="e">
        <f t="shared" si="213"/>
        <v>#REF!</v>
      </c>
      <c r="OWL247" s="29" t="e">
        <f t="shared" si="213"/>
        <v>#REF!</v>
      </c>
      <c r="OWM247" s="29" t="e">
        <f t="shared" si="213"/>
        <v>#REF!</v>
      </c>
      <c r="OWN247" s="29" t="e">
        <f t="shared" si="213"/>
        <v>#REF!</v>
      </c>
      <c r="OWO247" s="29" t="e">
        <f t="shared" si="213"/>
        <v>#REF!</v>
      </c>
      <c r="OWP247" s="29" t="e">
        <f t="shared" si="213"/>
        <v>#REF!</v>
      </c>
      <c r="OWQ247" s="29" t="e">
        <f t="shared" si="213"/>
        <v>#REF!</v>
      </c>
      <c r="OWR247" s="29" t="e">
        <f t="shared" si="213"/>
        <v>#REF!</v>
      </c>
      <c r="OWS247" s="29" t="e">
        <f t="shared" si="213"/>
        <v>#REF!</v>
      </c>
      <c r="OWT247" s="29" t="e">
        <f t="shared" si="213"/>
        <v>#REF!</v>
      </c>
      <c r="OWU247" s="29" t="e">
        <f t="shared" si="213"/>
        <v>#REF!</v>
      </c>
      <c r="OWV247" s="29" t="e">
        <f t="shared" si="213"/>
        <v>#REF!</v>
      </c>
      <c r="OWW247" s="29" t="e">
        <f t="shared" si="213"/>
        <v>#REF!</v>
      </c>
      <c r="OWX247" s="29" t="e">
        <f t="shared" si="213"/>
        <v>#REF!</v>
      </c>
      <c r="OWY247" s="29" t="e">
        <f t="shared" si="213"/>
        <v>#REF!</v>
      </c>
      <c r="OWZ247" s="29" t="e">
        <f t="shared" si="213"/>
        <v>#REF!</v>
      </c>
      <c r="OXA247" s="29" t="e">
        <f t="shared" si="213"/>
        <v>#REF!</v>
      </c>
      <c r="OXB247" s="29" t="e">
        <f t="shared" si="213"/>
        <v>#REF!</v>
      </c>
      <c r="OXC247" s="29" t="e">
        <f t="shared" si="213"/>
        <v>#REF!</v>
      </c>
      <c r="OXD247" s="29" t="e">
        <f t="shared" si="213"/>
        <v>#REF!</v>
      </c>
      <c r="OXE247" s="29" t="e">
        <f t="shared" ref="OXE247:OZP247" si="214">OXI247&amp;OXJ247</f>
        <v>#REF!</v>
      </c>
      <c r="OXF247" s="29" t="e">
        <f t="shared" si="214"/>
        <v>#REF!</v>
      </c>
      <c r="OXG247" s="29" t="e">
        <f t="shared" si="214"/>
        <v>#REF!</v>
      </c>
      <c r="OXH247" s="29" t="e">
        <f t="shared" si="214"/>
        <v>#REF!</v>
      </c>
      <c r="OXI247" s="29" t="e">
        <f t="shared" si="214"/>
        <v>#REF!</v>
      </c>
      <c r="OXJ247" s="29" t="e">
        <f t="shared" si="214"/>
        <v>#REF!</v>
      </c>
      <c r="OXK247" s="29" t="e">
        <f t="shared" si="214"/>
        <v>#REF!</v>
      </c>
      <c r="OXL247" s="29" t="e">
        <f t="shared" si="214"/>
        <v>#REF!</v>
      </c>
      <c r="OXM247" s="29" t="e">
        <f t="shared" si="214"/>
        <v>#REF!</v>
      </c>
      <c r="OXN247" s="29" t="e">
        <f t="shared" si="214"/>
        <v>#REF!</v>
      </c>
      <c r="OXO247" s="29" t="e">
        <f t="shared" si="214"/>
        <v>#REF!</v>
      </c>
      <c r="OXP247" s="29" t="e">
        <f t="shared" si="214"/>
        <v>#REF!</v>
      </c>
      <c r="OXQ247" s="29" t="e">
        <f t="shared" si="214"/>
        <v>#REF!</v>
      </c>
      <c r="OXR247" s="29" t="e">
        <f t="shared" si="214"/>
        <v>#REF!</v>
      </c>
      <c r="OXS247" s="29" t="e">
        <f t="shared" si="214"/>
        <v>#REF!</v>
      </c>
      <c r="OXT247" s="29" t="e">
        <f t="shared" si="214"/>
        <v>#REF!</v>
      </c>
      <c r="OXU247" s="29" t="e">
        <f t="shared" si="214"/>
        <v>#REF!</v>
      </c>
      <c r="OXV247" s="29" t="e">
        <f t="shared" si="214"/>
        <v>#REF!</v>
      </c>
      <c r="OXW247" s="29" t="e">
        <f t="shared" si="214"/>
        <v>#REF!</v>
      </c>
      <c r="OXX247" s="29" t="e">
        <f t="shared" si="214"/>
        <v>#REF!</v>
      </c>
      <c r="OXY247" s="29" t="e">
        <f t="shared" si="214"/>
        <v>#REF!</v>
      </c>
      <c r="OXZ247" s="29" t="e">
        <f t="shared" si="214"/>
        <v>#REF!</v>
      </c>
      <c r="OYA247" s="29" t="e">
        <f t="shared" si="214"/>
        <v>#REF!</v>
      </c>
      <c r="OYB247" s="29" t="e">
        <f t="shared" si="214"/>
        <v>#REF!</v>
      </c>
      <c r="OYC247" s="29" t="e">
        <f t="shared" si="214"/>
        <v>#REF!</v>
      </c>
      <c r="OYD247" s="29" t="e">
        <f t="shared" si="214"/>
        <v>#REF!</v>
      </c>
      <c r="OYE247" s="29" t="e">
        <f t="shared" si="214"/>
        <v>#REF!</v>
      </c>
      <c r="OYF247" s="29" t="e">
        <f t="shared" si="214"/>
        <v>#REF!</v>
      </c>
      <c r="OYG247" s="29" t="e">
        <f t="shared" si="214"/>
        <v>#REF!</v>
      </c>
      <c r="OYH247" s="29" t="e">
        <f t="shared" si="214"/>
        <v>#REF!</v>
      </c>
      <c r="OYI247" s="29" t="e">
        <f t="shared" si="214"/>
        <v>#REF!</v>
      </c>
      <c r="OYJ247" s="29" t="e">
        <f t="shared" si="214"/>
        <v>#REF!</v>
      </c>
      <c r="OYK247" s="29" t="e">
        <f t="shared" si="214"/>
        <v>#REF!</v>
      </c>
      <c r="OYL247" s="29" t="e">
        <f t="shared" si="214"/>
        <v>#REF!</v>
      </c>
      <c r="OYM247" s="29" t="e">
        <f t="shared" si="214"/>
        <v>#REF!</v>
      </c>
      <c r="OYN247" s="29" t="e">
        <f t="shared" si="214"/>
        <v>#REF!</v>
      </c>
      <c r="OYO247" s="29" t="e">
        <f t="shared" si="214"/>
        <v>#REF!</v>
      </c>
      <c r="OYP247" s="29" t="e">
        <f t="shared" si="214"/>
        <v>#REF!</v>
      </c>
      <c r="OYQ247" s="29" t="e">
        <f t="shared" si="214"/>
        <v>#REF!</v>
      </c>
      <c r="OYR247" s="29" t="e">
        <f t="shared" si="214"/>
        <v>#REF!</v>
      </c>
      <c r="OYS247" s="29" t="e">
        <f t="shared" si="214"/>
        <v>#REF!</v>
      </c>
      <c r="OYT247" s="29" t="e">
        <f t="shared" si="214"/>
        <v>#REF!</v>
      </c>
      <c r="OYU247" s="29" t="e">
        <f t="shared" si="214"/>
        <v>#REF!</v>
      </c>
      <c r="OYV247" s="29" t="e">
        <f t="shared" si="214"/>
        <v>#REF!</v>
      </c>
      <c r="OYW247" s="29" t="e">
        <f t="shared" si="214"/>
        <v>#REF!</v>
      </c>
      <c r="OYX247" s="29" t="e">
        <f t="shared" si="214"/>
        <v>#REF!</v>
      </c>
      <c r="OYY247" s="29" t="e">
        <f t="shared" si="214"/>
        <v>#REF!</v>
      </c>
      <c r="OYZ247" s="29" t="e">
        <f t="shared" si="214"/>
        <v>#REF!</v>
      </c>
      <c r="OZA247" s="29" t="e">
        <f t="shared" si="214"/>
        <v>#REF!</v>
      </c>
      <c r="OZB247" s="29" t="e">
        <f t="shared" si="214"/>
        <v>#REF!</v>
      </c>
      <c r="OZC247" s="29" t="e">
        <f t="shared" si="214"/>
        <v>#REF!</v>
      </c>
      <c r="OZD247" s="29" t="e">
        <f t="shared" si="214"/>
        <v>#REF!</v>
      </c>
      <c r="OZE247" s="29" t="e">
        <f t="shared" si="214"/>
        <v>#REF!</v>
      </c>
      <c r="OZF247" s="29" t="e">
        <f t="shared" si="214"/>
        <v>#REF!</v>
      </c>
      <c r="OZG247" s="29" t="e">
        <f t="shared" si="214"/>
        <v>#REF!</v>
      </c>
      <c r="OZH247" s="29" t="e">
        <f t="shared" si="214"/>
        <v>#REF!</v>
      </c>
      <c r="OZI247" s="29" t="e">
        <f t="shared" si="214"/>
        <v>#REF!</v>
      </c>
      <c r="OZJ247" s="29" t="e">
        <f t="shared" si="214"/>
        <v>#REF!</v>
      </c>
      <c r="OZK247" s="29" t="e">
        <f t="shared" si="214"/>
        <v>#REF!</v>
      </c>
      <c r="OZL247" s="29" t="e">
        <f t="shared" si="214"/>
        <v>#REF!</v>
      </c>
      <c r="OZM247" s="29" t="e">
        <f t="shared" si="214"/>
        <v>#REF!</v>
      </c>
      <c r="OZN247" s="29" t="e">
        <f t="shared" si="214"/>
        <v>#REF!</v>
      </c>
      <c r="OZO247" s="29" t="e">
        <f t="shared" si="214"/>
        <v>#REF!</v>
      </c>
      <c r="OZP247" s="29" t="e">
        <f t="shared" si="214"/>
        <v>#REF!</v>
      </c>
      <c r="OZQ247" s="29" t="e">
        <f t="shared" ref="OZQ247:PCB247" si="215">OZU247&amp;OZV247</f>
        <v>#REF!</v>
      </c>
      <c r="OZR247" s="29" t="e">
        <f t="shared" si="215"/>
        <v>#REF!</v>
      </c>
      <c r="OZS247" s="29" t="e">
        <f t="shared" si="215"/>
        <v>#REF!</v>
      </c>
      <c r="OZT247" s="29" t="e">
        <f t="shared" si="215"/>
        <v>#REF!</v>
      </c>
      <c r="OZU247" s="29" t="e">
        <f t="shared" si="215"/>
        <v>#REF!</v>
      </c>
      <c r="OZV247" s="29" t="e">
        <f t="shared" si="215"/>
        <v>#REF!</v>
      </c>
      <c r="OZW247" s="29" t="e">
        <f t="shared" si="215"/>
        <v>#REF!</v>
      </c>
      <c r="OZX247" s="29" t="e">
        <f t="shared" si="215"/>
        <v>#REF!</v>
      </c>
      <c r="OZY247" s="29" t="e">
        <f t="shared" si="215"/>
        <v>#REF!</v>
      </c>
      <c r="OZZ247" s="29" t="e">
        <f t="shared" si="215"/>
        <v>#REF!</v>
      </c>
      <c r="PAA247" s="29" t="e">
        <f t="shared" si="215"/>
        <v>#REF!</v>
      </c>
      <c r="PAB247" s="29" t="e">
        <f t="shared" si="215"/>
        <v>#REF!</v>
      </c>
      <c r="PAC247" s="29" t="e">
        <f t="shared" si="215"/>
        <v>#REF!</v>
      </c>
      <c r="PAD247" s="29" t="e">
        <f t="shared" si="215"/>
        <v>#REF!</v>
      </c>
      <c r="PAE247" s="29" t="e">
        <f t="shared" si="215"/>
        <v>#REF!</v>
      </c>
      <c r="PAF247" s="29" t="e">
        <f t="shared" si="215"/>
        <v>#REF!</v>
      </c>
      <c r="PAG247" s="29" t="e">
        <f t="shared" si="215"/>
        <v>#REF!</v>
      </c>
      <c r="PAH247" s="29" t="e">
        <f t="shared" si="215"/>
        <v>#REF!</v>
      </c>
      <c r="PAI247" s="29" t="e">
        <f t="shared" si="215"/>
        <v>#REF!</v>
      </c>
      <c r="PAJ247" s="29" t="e">
        <f t="shared" si="215"/>
        <v>#REF!</v>
      </c>
      <c r="PAK247" s="29" t="e">
        <f t="shared" si="215"/>
        <v>#REF!</v>
      </c>
      <c r="PAL247" s="29" t="e">
        <f t="shared" si="215"/>
        <v>#REF!</v>
      </c>
      <c r="PAM247" s="29" t="e">
        <f t="shared" si="215"/>
        <v>#REF!</v>
      </c>
      <c r="PAN247" s="29" t="e">
        <f t="shared" si="215"/>
        <v>#REF!</v>
      </c>
      <c r="PAO247" s="29" t="e">
        <f t="shared" si="215"/>
        <v>#REF!</v>
      </c>
      <c r="PAP247" s="29" t="e">
        <f t="shared" si="215"/>
        <v>#REF!</v>
      </c>
      <c r="PAQ247" s="29" t="e">
        <f t="shared" si="215"/>
        <v>#REF!</v>
      </c>
      <c r="PAR247" s="29" t="e">
        <f t="shared" si="215"/>
        <v>#REF!</v>
      </c>
      <c r="PAS247" s="29" t="e">
        <f t="shared" si="215"/>
        <v>#REF!</v>
      </c>
      <c r="PAT247" s="29" t="e">
        <f t="shared" si="215"/>
        <v>#REF!</v>
      </c>
      <c r="PAU247" s="29" t="e">
        <f t="shared" si="215"/>
        <v>#REF!</v>
      </c>
      <c r="PAV247" s="29" t="e">
        <f t="shared" si="215"/>
        <v>#REF!</v>
      </c>
      <c r="PAW247" s="29" t="e">
        <f t="shared" si="215"/>
        <v>#REF!</v>
      </c>
      <c r="PAX247" s="29" t="e">
        <f t="shared" si="215"/>
        <v>#REF!</v>
      </c>
      <c r="PAY247" s="29" t="e">
        <f t="shared" si="215"/>
        <v>#REF!</v>
      </c>
      <c r="PAZ247" s="29" t="e">
        <f t="shared" si="215"/>
        <v>#REF!</v>
      </c>
      <c r="PBA247" s="29" t="e">
        <f t="shared" si="215"/>
        <v>#REF!</v>
      </c>
      <c r="PBB247" s="29" t="e">
        <f t="shared" si="215"/>
        <v>#REF!</v>
      </c>
      <c r="PBC247" s="29" t="e">
        <f t="shared" si="215"/>
        <v>#REF!</v>
      </c>
      <c r="PBD247" s="29" t="e">
        <f t="shared" si="215"/>
        <v>#REF!</v>
      </c>
      <c r="PBE247" s="29" t="e">
        <f t="shared" si="215"/>
        <v>#REF!</v>
      </c>
      <c r="PBF247" s="29" t="e">
        <f t="shared" si="215"/>
        <v>#REF!</v>
      </c>
      <c r="PBG247" s="29" t="e">
        <f t="shared" si="215"/>
        <v>#REF!</v>
      </c>
      <c r="PBH247" s="29" t="e">
        <f t="shared" si="215"/>
        <v>#REF!</v>
      </c>
      <c r="PBI247" s="29" t="e">
        <f t="shared" si="215"/>
        <v>#REF!</v>
      </c>
      <c r="PBJ247" s="29" t="e">
        <f t="shared" si="215"/>
        <v>#REF!</v>
      </c>
      <c r="PBK247" s="29" t="e">
        <f t="shared" si="215"/>
        <v>#REF!</v>
      </c>
      <c r="PBL247" s="29" t="e">
        <f t="shared" si="215"/>
        <v>#REF!</v>
      </c>
      <c r="PBM247" s="29" t="e">
        <f t="shared" si="215"/>
        <v>#REF!</v>
      </c>
      <c r="PBN247" s="29" t="e">
        <f t="shared" si="215"/>
        <v>#REF!</v>
      </c>
      <c r="PBO247" s="29" t="e">
        <f t="shared" si="215"/>
        <v>#REF!</v>
      </c>
      <c r="PBP247" s="29" t="e">
        <f t="shared" si="215"/>
        <v>#REF!</v>
      </c>
      <c r="PBQ247" s="29" t="e">
        <f t="shared" si="215"/>
        <v>#REF!</v>
      </c>
      <c r="PBR247" s="29" t="e">
        <f t="shared" si="215"/>
        <v>#REF!</v>
      </c>
      <c r="PBS247" s="29" t="e">
        <f t="shared" si="215"/>
        <v>#REF!</v>
      </c>
      <c r="PBT247" s="29" t="e">
        <f t="shared" si="215"/>
        <v>#REF!</v>
      </c>
      <c r="PBU247" s="29" t="e">
        <f t="shared" si="215"/>
        <v>#REF!</v>
      </c>
      <c r="PBV247" s="29" t="e">
        <f t="shared" si="215"/>
        <v>#REF!</v>
      </c>
      <c r="PBW247" s="29" t="e">
        <f t="shared" si="215"/>
        <v>#REF!</v>
      </c>
      <c r="PBX247" s="29" t="e">
        <f t="shared" si="215"/>
        <v>#REF!</v>
      </c>
      <c r="PBY247" s="29" t="e">
        <f t="shared" si="215"/>
        <v>#REF!</v>
      </c>
      <c r="PBZ247" s="29" t="e">
        <f t="shared" si="215"/>
        <v>#REF!</v>
      </c>
      <c r="PCA247" s="29" t="e">
        <f t="shared" si="215"/>
        <v>#REF!</v>
      </c>
      <c r="PCB247" s="29" t="e">
        <f t="shared" si="215"/>
        <v>#REF!</v>
      </c>
      <c r="PCC247" s="29" t="e">
        <f t="shared" ref="PCC247:PEN247" si="216">PCG247&amp;PCH247</f>
        <v>#REF!</v>
      </c>
      <c r="PCD247" s="29" t="e">
        <f t="shared" si="216"/>
        <v>#REF!</v>
      </c>
      <c r="PCE247" s="29" t="e">
        <f t="shared" si="216"/>
        <v>#REF!</v>
      </c>
      <c r="PCF247" s="29" t="e">
        <f t="shared" si="216"/>
        <v>#REF!</v>
      </c>
      <c r="PCG247" s="29" t="e">
        <f t="shared" si="216"/>
        <v>#REF!</v>
      </c>
      <c r="PCH247" s="29" t="e">
        <f t="shared" si="216"/>
        <v>#REF!</v>
      </c>
      <c r="PCI247" s="29" t="e">
        <f t="shared" si="216"/>
        <v>#REF!</v>
      </c>
      <c r="PCJ247" s="29" t="e">
        <f t="shared" si="216"/>
        <v>#REF!</v>
      </c>
      <c r="PCK247" s="29" t="e">
        <f t="shared" si="216"/>
        <v>#REF!</v>
      </c>
      <c r="PCL247" s="29" t="e">
        <f t="shared" si="216"/>
        <v>#REF!</v>
      </c>
      <c r="PCM247" s="29" t="e">
        <f t="shared" si="216"/>
        <v>#REF!</v>
      </c>
      <c r="PCN247" s="29" t="e">
        <f t="shared" si="216"/>
        <v>#REF!</v>
      </c>
      <c r="PCO247" s="29" t="e">
        <f t="shared" si="216"/>
        <v>#REF!</v>
      </c>
      <c r="PCP247" s="29" t="e">
        <f t="shared" si="216"/>
        <v>#REF!</v>
      </c>
      <c r="PCQ247" s="29" t="e">
        <f t="shared" si="216"/>
        <v>#REF!</v>
      </c>
      <c r="PCR247" s="29" t="e">
        <f t="shared" si="216"/>
        <v>#REF!</v>
      </c>
      <c r="PCS247" s="29" t="e">
        <f t="shared" si="216"/>
        <v>#REF!</v>
      </c>
      <c r="PCT247" s="29" t="e">
        <f t="shared" si="216"/>
        <v>#REF!</v>
      </c>
      <c r="PCU247" s="29" t="e">
        <f t="shared" si="216"/>
        <v>#REF!</v>
      </c>
      <c r="PCV247" s="29" t="e">
        <f t="shared" si="216"/>
        <v>#REF!</v>
      </c>
      <c r="PCW247" s="29" t="e">
        <f t="shared" si="216"/>
        <v>#REF!</v>
      </c>
      <c r="PCX247" s="29" t="e">
        <f t="shared" si="216"/>
        <v>#REF!</v>
      </c>
      <c r="PCY247" s="29" t="e">
        <f t="shared" si="216"/>
        <v>#REF!</v>
      </c>
      <c r="PCZ247" s="29" t="e">
        <f t="shared" si="216"/>
        <v>#REF!</v>
      </c>
      <c r="PDA247" s="29" t="e">
        <f t="shared" si="216"/>
        <v>#REF!</v>
      </c>
      <c r="PDB247" s="29" t="e">
        <f t="shared" si="216"/>
        <v>#REF!</v>
      </c>
      <c r="PDC247" s="29" t="e">
        <f t="shared" si="216"/>
        <v>#REF!</v>
      </c>
      <c r="PDD247" s="29" t="e">
        <f t="shared" si="216"/>
        <v>#REF!</v>
      </c>
      <c r="PDE247" s="29" t="e">
        <f t="shared" si="216"/>
        <v>#REF!</v>
      </c>
      <c r="PDF247" s="29" t="e">
        <f t="shared" si="216"/>
        <v>#REF!</v>
      </c>
      <c r="PDG247" s="29" t="e">
        <f t="shared" si="216"/>
        <v>#REF!</v>
      </c>
      <c r="PDH247" s="29" t="e">
        <f t="shared" si="216"/>
        <v>#REF!</v>
      </c>
      <c r="PDI247" s="29" t="e">
        <f t="shared" si="216"/>
        <v>#REF!</v>
      </c>
      <c r="PDJ247" s="29" t="e">
        <f t="shared" si="216"/>
        <v>#REF!</v>
      </c>
      <c r="PDK247" s="29" t="e">
        <f t="shared" si="216"/>
        <v>#REF!</v>
      </c>
      <c r="PDL247" s="29" t="e">
        <f t="shared" si="216"/>
        <v>#REF!</v>
      </c>
      <c r="PDM247" s="29" t="e">
        <f t="shared" si="216"/>
        <v>#REF!</v>
      </c>
      <c r="PDN247" s="29" t="e">
        <f t="shared" si="216"/>
        <v>#REF!</v>
      </c>
      <c r="PDO247" s="29" t="e">
        <f t="shared" si="216"/>
        <v>#REF!</v>
      </c>
      <c r="PDP247" s="29" t="e">
        <f t="shared" si="216"/>
        <v>#REF!</v>
      </c>
      <c r="PDQ247" s="29" t="e">
        <f t="shared" si="216"/>
        <v>#REF!</v>
      </c>
      <c r="PDR247" s="29" t="e">
        <f t="shared" si="216"/>
        <v>#REF!</v>
      </c>
      <c r="PDS247" s="29" t="e">
        <f t="shared" si="216"/>
        <v>#REF!</v>
      </c>
      <c r="PDT247" s="29" t="e">
        <f t="shared" si="216"/>
        <v>#REF!</v>
      </c>
      <c r="PDU247" s="29" t="e">
        <f t="shared" si="216"/>
        <v>#REF!</v>
      </c>
      <c r="PDV247" s="29" t="e">
        <f t="shared" si="216"/>
        <v>#REF!</v>
      </c>
      <c r="PDW247" s="29" t="e">
        <f t="shared" si="216"/>
        <v>#REF!</v>
      </c>
      <c r="PDX247" s="29" t="e">
        <f t="shared" si="216"/>
        <v>#REF!</v>
      </c>
      <c r="PDY247" s="29" t="e">
        <f t="shared" si="216"/>
        <v>#REF!</v>
      </c>
      <c r="PDZ247" s="29" t="e">
        <f t="shared" si="216"/>
        <v>#REF!</v>
      </c>
      <c r="PEA247" s="29" t="e">
        <f t="shared" si="216"/>
        <v>#REF!</v>
      </c>
      <c r="PEB247" s="29" t="e">
        <f t="shared" si="216"/>
        <v>#REF!</v>
      </c>
      <c r="PEC247" s="29" t="e">
        <f t="shared" si="216"/>
        <v>#REF!</v>
      </c>
      <c r="PED247" s="29" t="e">
        <f t="shared" si="216"/>
        <v>#REF!</v>
      </c>
      <c r="PEE247" s="29" t="e">
        <f t="shared" si="216"/>
        <v>#REF!</v>
      </c>
      <c r="PEF247" s="29" t="e">
        <f t="shared" si="216"/>
        <v>#REF!</v>
      </c>
      <c r="PEG247" s="29" t="e">
        <f t="shared" si="216"/>
        <v>#REF!</v>
      </c>
      <c r="PEH247" s="29" t="e">
        <f t="shared" si="216"/>
        <v>#REF!</v>
      </c>
      <c r="PEI247" s="29" t="e">
        <f t="shared" si="216"/>
        <v>#REF!</v>
      </c>
      <c r="PEJ247" s="29" t="e">
        <f t="shared" si="216"/>
        <v>#REF!</v>
      </c>
      <c r="PEK247" s="29" t="e">
        <f t="shared" si="216"/>
        <v>#REF!</v>
      </c>
      <c r="PEL247" s="29" t="e">
        <f t="shared" si="216"/>
        <v>#REF!</v>
      </c>
      <c r="PEM247" s="29" t="e">
        <f t="shared" si="216"/>
        <v>#REF!</v>
      </c>
      <c r="PEN247" s="29" t="e">
        <f t="shared" si="216"/>
        <v>#REF!</v>
      </c>
      <c r="PEO247" s="29" t="e">
        <f t="shared" ref="PEO247:PGZ247" si="217">PES247&amp;PET247</f>
        <v>#REF!</v>
      </c>
      <c r="PEP247" s="29" t="e">
        <f t="shared" si="217"/>
        <v>#REF!</v>
      </c>
      <c r="PEQ247" s="29" t="e">
        <f t="shared" si="217"/>
        <v>#REF!</v>
      </c>
      <c r="PER247" s="29" t="e">
        <f t="shared" si="217"/>
        <v>#REF!</v>
      </c>
      <c r="PES247" s="29" t="e">
        <f t="shared" si="217"/>
        <v>#REF!</v>
      </c>
      <c r="PET247" s="29" t="e">
        <f t="shared" si="217"/>
        <v>#REF!</v>
      </c>
      <c r="PEU247" s="29" t="e">
        <f t="shared" si="217"/>
        <v>#REF!</v>
      </c>
      <c r="PEV247" s="29" t="e">
        <f t="shared" si="217"/>
        <v>#REF!</v>
      </c>
      <c r="PEW247" s="29" t="e">
        <f t="shared" si="217"/>
        <v>#REF!</v>
      </c>
      <c r="PEX247" s="29" t="e">
        <f t="shared" si="217"/>
        <v>#REF!</v>
      </c>
      <c r="PEY247" s="29" t="e">
        <f t="shared" si="217"/>
        <v>#REF!</v>
      </c>
      <c r="PEZ247" s="29" t="e">
        <f t="shared" si="217"/>
        <v>#REF!</v>
      </c>
      <c r="PFA247" s="29" t="e">
        <f t="shared" si="217"/>
        <v>#REF!</v>
      </c>
      <c r="PFB247" s="29" t="e">
        <f t="shared" si="217"/>
        <v>#REF!</v>
      </c>
      <c r="PFC247" s="29" t="e">
        <f t="shared" si="217"/>
        <v>#REF!</v>
      </c>
      <c r="PFD247" s="29" t="e">
        <f t="shared" si="217"/>
        <v>#REF!</v>
      </c>
      <c r="PFE247" s="29" t="e">
        <f t="shared" si="217"/>
        <v>#REF!</v>
      </c>
      <c r="PFF247" s="29" t="e">
        <f t="shared" si="217"/>
        <v>#REF!</v>
      </c>
      <c r="PFG247" s="29" t="e">
        <f t="shared" si="217"/>
        <v>#REF!</v>
      </c>
      <c r="PFH247" s="29" t="e">
        <f t="shared" si="217"/>
        <v>#REF!</v>
      </c>
      <c r="PFI247" s="29" t="e">
        <f t="shared" si="217"/>
        <v>#REF!</v>
      </c>
      <c r="PFJ247" s="29" t="e">
        <f t="shared" si="217"/>
        <v>#REF!</v>
      </c>
      <c r="PFK247" s="29" t="e">
        <f t="shared" si="217"/>
        <v>#REF!</v>
      </c>
      <c r="PFL247" s="29" t="e">
        <f t="shared" si="217"/>
        <v>#REF!</v>
      </c>
      <c r="PFM247" s="29" t="e">
        <f t="shared" si="217"/>
        <v>#REF!</v>
      </c>
      <c r="PFN247" s="29" t="e">
        <f t="shared" si="217"/>
        <v>#REF!</v>
      </c>
      <c r="PFO247" s="29" t="e">
        <f t="shared" si="217"/>
        <v>#REF!</v>
      </c>
      <c r="PFP247" s="29" t="e">
        <f t="shared" si="217"/>
        <v>#REF!</v>
      </c>
      <c r="PFQ247" s="29" t="e">
        <f t="shared" si="217"/>
        <v>#REF!</v>
      </c>
      <c r="PFR247" s="29" t="e">
        <f t="shared" si="217"/>
        <v>#REF!</v>
      </c>
      <c r="PFS247" s="29" t="e">
        <f t="shared" si="217"/>
        <v>#REF!</v>
      </c>
      <c r="PFT247" s="29" t="e">
        <f t="shared" si="217"/>
        <v>#REF!</v>
      </c>
      <c r="PFU247" s="29" t="e">
        <f t="shared" si="217"/>
        <v>#REF!</v>
      </c>
      <c r="PFV247" s="29" t="e">
        <f t="shared" si="217"/>
        <v>#REF!</v>
      </c>
      <c r="PFW247" s="29" t="e">
        <f t="shared" si="217"/>
        <v>#REF!</v>
      </c>
      <c r="PFX247" s="29" t="e">
        <f t="shared" si="217"/>
        <v>#REF!</v>
      </c>
      <c r="PFY247" s="29" t="e">
        <f t="shared" si="217"/>
        <v>#REF!</v>
      </c>
      <c r="PFZ247" s="29" t="e">
        <f t="shared" si="217"/>
        <v>#REF!</v>
      </c>
      <c r="PGA247" s="29" t="e">
        <f t="shared" si="217"/>
        <v>#REF!</v>
      </c>
      <c r="PGB247" s="29" t="e">
        <f t="shared" si="217"/>
        <v>#REF!</v>
      </c>
      <c r="PGC247" s="29" t="e">
        <f t="shared" si="217"/>
        <v>#REF!</v>
      </c>
      <c r="PGD247" s="29" t="e">
        <f t="shared" si="217"/>
        <v>#REF!</v>
      </c>
      <c r="PGE247" s="29" t="e">
        <f t="shared" si="217"/>
        <v>#REF!</v>
      </c>
      <c r="PGF247" s="29" t="e">
        <f t="shared" si="217"/>
        <v>#REF!</v>
      </c>
      <c r="PGG247" s="29" t="e">
        <f t="shared" si="217"/>
        <v>#REF!</v>
      </c>
      <c r="PGH247" s="29" t="e">
        <f t="shared" si="217"/>
        <v>#REF!</v>
      </c>
      <c r="PGI247" s="29" t="e">
        <f t="shared" si="217"/>
        <v>#REF!</v>
      </c>
      <c r="PGJ247" s="29" t="e">
        <f t="shared" si="217"/>
        <v>#REF!</v>
      </c>
      <c r="PGK247" s="29" t="e">
        <f t="shared" si="217"/>
        <v>#REF!</v>
      </c>
      <c r="PGL247" s="29" t="e">
        <f t="shared" si="217"/>
        <v>#REF!</v>
      </c>
      <c r="PGM247" s="29" t="e">
        <f t="shared" si="217"/>
        <v>#REF!</v>
      </c>
      <c r="PGN247" s="29" t="e">
        <f t="shared" si="217"/>
        <v>#REF!</v>
      </c>
      <c r="PGO247" s="29" t="e">
        <f t="shared" si="217"/>
        <v>#REF!</v>
      </c>
      <c r="PGP247" s="29" t="e">
        <f t="shared" si="217"/>
        <v>#REF!</v>
      </c>
      <c r="PGQ247" s="29" t="e">
        <f t="shared" si="217"/>
        <v>#REF!</v>
      </c>
      <c r="PGR247" s="29" t="e">
        <f t="shared" si="217"/>
        <v>#REF!</v>
      </c>
      <c r="PGS247" s="29" t="e">
        <f t="shared" si="217"/>
        <v>#REF!</v>
      </c>
      <c r="PGT247" s="29" t="e">
        <f t="shared" si="217"/>
        <v>#REF!</v>
      </c>
      <c r="PGU247" s="29" t="e">
        <f t="shared" si="217"/>
        <v>#REF!</v>
      </c>
      <c r="PGV247" s="29" t="e">
        <f t="shared" si="217"/>
        <v>#REF!</v>
      </c>
      <c r="PGW247" s="29" t="e">
        <f t="shared" si="217"/>
        <v>#REF!</v>
      </c>
      <c r="PGX247" s="29" t="e">
        <f t="shared" si="217"/>
        <v>#REF!</v>
      </c>
      <c r="PGY247" s="29" t="e">
        <f t="shared" si="217"/>
        <v>#REF!</v>
      </c>
      <c r="PGZ247" s="29" t="e">
        <f t="shared" si="217"/>
        <v>#REF!</v>
      </c>
      <c r="PHA247" s="29" t="e">
        <f t="shared" ref="PHA247:PJL247" si="218">PHE247&amp;PHF247</f>
        <v>#REF!</v>
      </c>
      <c r="PHB247" s="29" t="e">
        <f t="shared" si="218"/>
        <v>#REF!</v>
      </c>
      <c r="PHC247" s="29" t="e">
        <f t="shared" si="218"/>
        <v>#REF!</v>
      </c>
      <c r="PHD247" s="29" t="e">
        <f t="shared" si="218"/>
        <v>#REF!</v>
      </c>
      <c r="PHE247" s="29" t="e">
        <f t="shared" si="218"/>
        <v>#REF!</v>
      </c>
      <c r="PHF247" s="29" t="e">
        <f t="shared" si="218"/>
        <v>#REF!</v>
      </c>
      <c r="PHG247" s="29" t="e">
        <f t="shared" si="218"/>
        <v>#REF!</v>
      </c>
      <c r="PHH247" s="29" t="e">
        <f t="shared" si="218"/>
        <v>#REF!</v>
      </c>
      <c r="PHI247" s="29" t="e">
        <f t="shared" si="218"/>
        <v>#REF!</v>
      </c>
      <c r="PHJ247" s="29" t="e">
        <f t="shared" si="218"/>
        <v>#REF!</v>
      </c>
      <c r="PHK247" s="29" t="e">
        <f t="shared" si="218"/>
        <v>#REF!</v>
      </c>
      <c r="PHL247" s="29" t="e">
        <f t="shared" si="218"/>
        <v>#REF!</v>
      </c>
      <c r="PHM247" s="29" t="e">
        <f t="shared" si="218"/>
        <v>#REF!</v>
      </c>
      <c r="PHN247" s="29" t="e">
        <f t="shared" si="218"/>
        <v>#REF!</v>
      </c>
      <c r="PHO247" s="29" t="e">
        <f t="shared" si="218"/>
        <v>#REF!</v>
      </c>
      <c r="PHP247" s="29" t="e">
        <f t="shared" si="218"/>
        <v>#REF!</v>
      </c>
      <c r="PHQ247" s="29" t="e">
        <f t="shared" si="218"/>
        <v>#REF!</v>
      </c>
      <c r="PHR247" s="29" t="e">
        <f t="shared" si="218"/>
        <v>#REF!</v>
      </c>
      <c r="PHS247" s="29" t="e">
        <f t="shared" si="218"/>
        <v>#REF!</v>
      </c>
      <c r="PHT247" s="29" t="e">
        <f t="shared" si="218"/>
        <v>#REF!</v>
      </c>
      <c r="PHU247" s="29" t="e">
        <f t="shared" si="218"/>
        <v>#REF!</v>
      </c>
      <c r="PHV247" s="29" t="e">
        <f t="shared" si="218"/>
        <v>#REF!</v>
      </c>
      <c r="PHW247" s="29" t="e">
        <f t="shared" si="218"/>
        <v>#REF!</v>
      </c>
      <c r="PHX247" s="29" t="e">
        <f t="shared" si="218"/>
        <v>#REF!</v>
      </c>
      <c r="PHY247" s="29" t="e">
        <f t="shared" si="218"/>
        <v>#REF!</v>
      </c>
      <c r="PHZ247" s="29" t="e">
        <f t="shared" si="218"/>
        <v>#REF!</v>
      </c>
      <c r="PIA247" s="29" t="e">
        <f t="shared" si="218"/>
        <v>#REF!</v>
      </c>
      <c r="PIB247" s="29" t="e">
        <f t="shared" si="218"/>
        <v>#REF!</v>
      </c>
      <c r="PIC247" s="29" t="e">
        <f t="shared" si="218"/>
        <v>#REF!</v>
      </c>
      <c r="PID247" s="29" t="e">
        <f t="shared" si="218"/>
        <v>#REF!</v>
      </c>
      <c r="PIE247" s="29" t="e">
        <f t="shared" si="218"/>
        <v>#REF!</v>
      </c>
      <c r="PIF247" s="29" t="e">
        <f t="shared" si="218"/>
        <v>#REF!</v>
      </c>
      <c r="PIG247" s="29" t="e">
        <f t="shared" si="218"/>
        <v>#REF!</v>
      </c>
      <c r="PIH247" s="29" t="e">
        <f t="shared" si="218"/>
        <v>#REF!</v>
      </c>
      <c r="PII247" s="29" t="e">
        <f t="shared" si="218"/>
        <v>#REF!</v>
      </c>
      <c r="PIJ247" s="29" t="e">
        <f t="shared" si="218"/>
        <v>#REF!</v>
      </c>
      <c r="PIK247" s="29" t="e">
        <f t="shared" si="218"/>
        <v>#REF!</v>
      </c>
      <c r="PIL247" s="29" t="e">
        <f t="shared" si="218"/>
        <v>#REF!</v>
      </c>
      <c r="PIM247" s="29" t="e">
        <f t="shared" si="218"/>
        <v>#REF!</v>
      </c>
      <c r="PIN247" s="29" t="e">
        <f t="shared" si="218"/>
        <v>#REF!</v>
      </c>
      <c r="PIO247" s="29" t="e">
        <f t="shared" si="218"/>
        <v>#REF!</v>
      </c>
      <c r="PIP247" s="29" t="e">
        <f t="shared" si="218"/>
        <v>#REF!</v>
      </c>
      <c r="PIQ247" s="29" t="e">
        <f t="shared" si="218"/>
        <v>#REF!</v>
      </c>
      <c r="PIR247" s="29" t="e">
        <f t="shared" si="218"/>
        <v>#REF!</v>
      </c>
      <c r="PIS247" s="29" t="e">
        <f t="shared" si="218"/>
        <v>#REF!</v>
      </c>
      <c r="PIT247" s="29" t="e">
        <f t="shared" si="218"/>
        <v>#REF!</v>
      </c>
      <c r="PIU247" s="29" t="e">
        <f t="shared" si="218"/>
        <v>#REF!</v>
      </c>
      <c r="PIV247" s="29" t="e">
        <f t="shared" si="218"/>
        <v>#REF!</v>
      </c>
      <c r="PIW247" s="29" t="e">
        <f t="shared" si="218"/>
        <v>#REF!</v>
      </c>
      <c r="PIX247" s="29" t="e">
        <f t="shared" si="218"/>
        <v>#REF!</v>
      </c>
      <c r="PIY247" s="29" t="e">
        <f t="shared" si="218"/>
        <v>#REF!</v>
      </c>
      <c r="PIZ247" s="29" t="e">
        <f t="shared" si="218"/>
        <v>#REF!</v>
      </c>
      <c r="PJA247" s="29" t="e">
        <f t="shared" si="218"/>
        <v>#REF!</v>
      </c>
      <c r="PJB247" s="29" t="e">
        <f t="shared" si="218"/>
        <v>#REF!</v>
      </c>
      <c r="PJC247" s="29" t="e">
        <f t="shared" si="218"/>
        <v>#REF!</v>
      </c>
      <c r="PJD247" s="29" t="e">
        <f t="shared" si="218"/>
        <v>#REF!</v>
      </c>
      <c r="PJE247" s="29" t="e">
        <f t="shared" si="218"/>
        <v>#REF!</v>
      </c>
      <c r="PJF247" s="29" t="e">
        <f t="shared" si="218"/>
        <v>#REF!</v>
      </c>
      <c r="PJG247" s="29" t="e">
        <f t="shared" si="218"/>
        <v>#REF!</v>
      </c>
      <c r="PJH247" s="29" t="e">
        <f t="shared" si="218"/>
        <v>#REF!</v>
      </c>
      <c r="PJI247" s="29" t="e">
        <f t="shared" si="218"/>
        <v>#REF!</v>
      </c>
      <c r="PJJ247" s="29" t="e">
        <f t="shared" si="218"/>
        <v>#REF!</v>
      </c>
      <c r="PJK247" s="29" t="e">
        <f t="shared" si="218"/>
        <v>#REF!</v>
      </c>
      <c r="PJL247" s="29" t="e">
        <f t="shared" si="218"/>
        <v>#REF!</v>
      </c>
      <c r="PJM247" s="29" t="e">
        <f t="shared" ref="PJM247:PLX247" si="219">PJQ247&amp;PJR247</f>
        <v>#REF!</v>
      </c>
      <c r="PJN247" s="29" t="e">
        <f t="shared" si="219"/>
        <v>#REF!</v>
      </c>
      <c r="PJO247" s="29" t="e">
        <f t="shared" si="219"/>
        <v>#REF!</v>
      </c>
      <c r="PJP247" s="29" t="e">
        <f t="shared" si="219"/>
        <v>#REF!</v>
      </c>
      <c r="PJQ247" s="29" t="e">
        <f t="shared" si="219"/>
        <v>#REF!</v>
      </c>
      <c r="PJR247" s="29" t="e">
        <f t="shared" si="219"/>
        <v>#REF!</v>
      </c>
      <c r="PJS247" s="29" t="e">
        <f t="shared" si="219"/>
        <v>#REF!</v>
      </c>
      <c r="PJT247" s="29" t="e">
        <f t="shared" si="219"/>
        <v>#REF!</v>
      </c>
      <c r="PJU247" s="29" t="e">
        <f t="shared" si="219"/>
        <v>#REF!</v>
      </c>
      <c r="PJV247" s="29" t="e">
        <f t="shared" si="219"/>
        <v>#REF!</v>
      </c>
      <c r="PJW247" s="29" t="e">
        <f t="shared" si="219"/>
        <v>#REF!</v>
      </c>
      <c r="PJX247" s="29" t="e">
        <f t="shared" si="219"/>
        <v>#REF!</v>
      </c>
      <c r="PJY247" s="29" t="e">
        <f t="shared" si="219"/>
        <v>#REF!</v>
      </c>
      <c r="PJZ247" s="29" t="e">
        <f t="shared" si="219"/>
        <v>#REF!</v>
      </c>
      <c r="PKA247" s="29" t="e">
        <f t="shared" si="219"/>
        <v>#REF!</v>
      </c>
      <c r="PKB247" s="29" t="e">
        <f t="shared" si="219"/>
        <v>#REF!</v>
      </c>
      <c r="PKC247" s="29" t="e">
        <f t="shared" si="219"/>
        <v>#REF!</v>
      </c>
      <c r="PKD247" s="29" t="e">
        <f t="shared" si="219"/>
        <v>#REF!</v>
      </c>
      <c r="PKE247" s="29" t="e">
        <f t="shared" si="219"/>
        <v>#REF!</v>
      </c>
      <c r="PKF247" s="29" t="e">
        <f t="shared" si="219"/>
        <v>#REF!</v>
      </c>
      <c r="PKG247" s="29" t="e">
        <f t="shared" si="219"/>
        <v>#REF!</v>
      </c>
      <c r="PKH247" s="29" t="e">
        <f t="shared" si="219"/>
        <v>#REF!</v>
      </c>
      <c r="PKI247" s="29" t="e">
        <f t="shared" si="219"/>
        <v>#REF!</v>
      </c>
      <c r="PKJ247" s="29" t="e">
        <f t="shared" si="219"/>
        <v>#REF!</v>
      </c>
      <c r="PKK247" s="29" t="e">
        <f t="shared" si="219"/>
        <v>#REF!</v>
      </c>
      <c r="PKL247" s="29" t="e">
        <f t="shared" si="219"/>
        <v>#REF!</v>
      </c>
      <c r="PKM247" s="29" t="e">
        <f t="shared" si="219"/>
        <v>#REF!</v>
      </c>
      <c r="PKN247" s="29" t="e">
        <f t="shared" si="219"/>
        <v>#REF!</v>
      </c>
      <c r="PKO247" s="29" t="e">
        <f t="shared" si="219"/>
        <v>#REF!</v>
      </c>
      <c r="PKP247" s="29" t="e">
        <f t="shared" si="219"/>
        <v>#REF!</v>
      </c>
      <c r="PKQ247" s="29" t="e">
        <f t="shared" si="219"/>
        <v>#REF!</v>
      </c>
      <c r="PKR247" s="29" t="e">
        <f t="shared" si="219"/>
        <v>#REF!</v>
      </c>
      <c r="PKS247" s="29" t="e">
        <f t="shared" si="219"/>
        <v>#REF!</v>
      </c>
      <c r="PKT247" s="29" t="e">
        <f t="shared" si="219"/>
        <v>#REF!</v>
      </c>
      <c r="PKU247" s="29" t="e">
        <f t="shared" si="219"/>
        <v>#REF!</v>
      </c>
      <c r="PKV247" s="29" t="e">
        <f t="shared" si="219"/>
        <v>#REF!</v>
      </c>
      <c r="PKW247" s="29" t="e">
        <f t="shared" si="219"/>
        <v>#REF!</v>
      </c>
      <c r="PKX247" s="29" t="e">
        <f t="shared" si="219"/>
        <v>#REF!</v>
      </c>
      <c r="PKY247" s="29" t="e">
        <f t="shared" si="219"/>
        <v>#REF!</v>
      </c>
      <c r="PKZ247" s="29" t="e">
        <f t="shared" si="219"/>
        <v>#REF!</v>
      </c>
      <c r="PLA247" s="29" t="e">
        <f t="shared" si="219"/>
        <v>#REF!</v>
      </c>
      <c r="PLB247" s="29" t="e">
        <f t="shared" si="219"/>
        <v>#REF!</v>
      </c>
      <c r="PLC247" s="29" t="e">
        <f t="shared" si="219"/>
        <v>#REF!</v>
      </c>
      <c r="PLD247" s="29" t="e">
        <f t="shared" si="219"/>
        <v>#REF!</v>
      </c>
      <c r="PLE247" s="29" t="e">
        <f t="shared" si="219"/>
        <v>#REF!</v>
      </c>
      <c r="PLF247" s="29" t="e">
        <f t="shared" si="219"/>
        <v>#REF!</v>
      </c>
      <c r="PLG247" s="29" t="e">
        <f t="shared" si="219"/>
        <v>#REF!</v>
      </c>
      <c r="PLH247" s="29" t="e">
        <f t="shared" si="219"/>
        <v>#REF!</v>
      </c>
      <c r="PLI247" s="29" t="e">
        <f t="shared" si="219"/>
        <v>#REF!</v>
      </c>
      <c r="PLJ247" s="29" t="e">
        <f t="shared" si="219"/>
        <v>#REF!</v>
      </c>
      <c r="PLK247" s="29" t="e">
        <f t="shared" si="219"/>
        <v>#REF!</v>
      </c>
      <c r="PLL247" s="29" t="e">
        <f t="shared" si="219"/>
        <v>#REF!</v>
      </c>
      <c r="PLM247" s="29" t="e">
        <f t="shared" si="219"/>
        <v>#REF!</v>
      </c>
      <c r="PLN247" s="29" t="e">
        <f t="shared" si="219"/>
        <v>#REF!</v>
      </c>
      <c r="PLO247" s="29" t="e">
        <f t="shared" si="219"/>
        <v>#REF!</v>
      </c>
      <c r="PLP247" s="29" t="e">
        <f t="shared" si="219"/>
        <v>#REF!</v>
      </c>
      <c r="PLQ247" s="29" t="e">
        <f t="shared" si="219"/>
        <v>#REF!</v>
      </c>
      <c r="PLR247" s="29" t="e">
        <f t="shared" si="219"/>
        <v>#REF!</v>
      </c>
      <c r="PLS247" s="29" t="e">
        <f t="shared" si="219"/>
        <v>#REF!</v>
      </c>
      <c r="PLT247" s="29" t="e">
        <f t="shared" si="219"/>
        <v>#REF!</v>
      </c>
      <c r="PLU247" s="29" t="e">
        <f t="shared" si="219"/>
        <v>#REF!</v>
      </c>
      <c r="PLV247" s="29" t="e">
        <f t="shared" si="219"/>
        <v>#REF!</v>
      </c>
      <c r="PLW247" s="29" t="e">
        <f t="shared" si="219"/>
        <v>#REF!</v>
      </c>
      <c r="PLX247" s="29" t="e">
        <f t="shared" si="219"/>
        <v>#REF!</v>
      </c>
      <c r="PLY247" s="29" t="e">
        <f t="shared" ref="PLY247:POJ247" si="220">PMC247&amp;PMD247</f>
        <v>#REF!</v>
      </c>
      <c r="PLZ247" s="29" t="e">
        <f t="shared" si="220"/>
        <v>#REF!</v>
      </c>
      <c r="PMA247" s="29" t="e">
        <f t="shared" si="220"/>
        <v>#REF!</v>
      </c>
      <c r="PMB247" s="29" t="e">
        <f t="shared" si="220"/>
        <v>#REF!</v>
      </c>
      <c r="PMC247" s="29" t="e">
        <f t="shared" si="220"/>
        <v>#REF!</v>
      </c>
      <c r="PMD247" s="29" t="e">
        <f t="shared" si="220"/>
        <v>#REF!</v>
      </c>
      <c r="PME247" s="29" t="e">
        <f t="shared" si="220"/>
        <v>#REF!</v>
      </c>
      <c r="PMF247" s="29" t="e">
        <f t="shared" si="220"/>
        <v>#REF!</v>
      </c>
      <c r="PMG247" s="29" t="e">
        <f t="shared" si="220"/>
        <v>#REF!</v>
      </c>
      <c r="PMH247" s="29" t="e">
        <f t="shared" si="220"/>
        <v>#REF!</v>
      </c>
      <c r="PMI247" s="29" t="e">
        <f t="shared" si="220"/>
        <v>#REF!</v>
      </c>
      <c r="PMJ247" s="29" t="e">
        <f t="shared" si="220"/>
        <v>#REF!</v>
      </c>
      <c r="PMK247" s="29" t="e">
        <f t="shared" si="220"/>
        <v>#REF!</v>
      </c>
      <c r="PML247" s="29" t="e">
        <f t="shared" si="220"/>
        <v>#REF!</v>
      </c>
      <c r="PMM247" s="29" t="e">
        <f t="shared" si="220"/>
        <v>#REF!</v>
      </c>
      <c r="PMN247" s="29" t="e">
        <f t="shared" si="220"/>
        <v>#REF!</v>
      </c>
      <c r="PMO247" s="29" t="e">
        <f t="shared" si="220"/>
        <v>#REF!</v>
      </c>
      <c r="PMP247" s="29" t="e">
        <f t="shared" si="220"/>
        <v>#REF!</v>
      </c>
      <c r="PMQ247" s="29" t="e">
        <f t="shared" si="220"/>
        <v>#REF!</v>
      </c>
      <c r="PMR247" s="29" t="e">
        <f t="shared" si="220"/>
        <v>#REF!</v>
      </c>
      <c r="PMS247" s="29" t="e">
        <f t="shared" si="220"/>
        <v>#REF!</v>
      </c>
      <c r="PMT247" s="29" t="e">
        <f t="shared" si="220"/>
        <v>#REF!</v>
      </c>
      <c r="PMU247" s="29" t="e">
        <f t="shared" si="220"/>
        <v>#REF!</v>
      </c>
      <c r="PMV247" s="29" t="e">
        <f t="shared" si="220"/>
        <v>#REF!</v>
      </c>
      <c r="PMW247" s="29" t="e">
        <f t="shared" si="220"/>
        <v>#REF!</v>
      </c>
      <c r="PMX247" s="29" t="e">
        <f t="shared" si="220"/>
        <v>#REF!</v>
      </c>
      <c r="PMY247" s="29" t="e">
        <f t="shared" si="220"/>
        <v>#REF!</v>
      </c>
      <c r="PMZ247" s="29" t="e">
        <f t="shared" si="220"/>
        <v>#REF!</v>
      </c>
      <c r="PNA247" s="29" t="e">
        <f t="shared" si="220"/>
        <v>#REF!</v>
      </c>
      <c r="PNB247" s="29" t="e">
        <f t="shared" si="220"/>
        <v>#REF!</v>
      </c>
      <c r="PNC247" s="29" t="e">
        <f t="shared" si="220"/>
        <v>#REF!</v>
      </c>
      <c r="PND247" s="29" t="e">
        <f t="shared" si="220"/>
        <v>#REF!</v>
      </c>
      <c r="PNE247" s="29" t="e">
        <f t="shared" si="220"/>
        <v>#REF!</v>
      </c>
      <c r="PNF247" s="29" t="e">
        <f t="shared" si="220"/>
        <v>#REF!</v>
      </c>
      <c r="PNG247" s="29" t="e">
        <f t="shared" si="220"/>
        <v>#REF!</v>
      </c>
      <c r="PNH247" s="29" t="e">
        <f t="shared" si="220"/>
        <v>#REF!</v>
      </c>
      <c r="PNI247" s="29" t="e">
        <f t="shared" si="220"/>
        <v>#REF!</v>
      </c>
      <c r="PNJ247" s="29" t="e">
        <f t="shared" si="220"/>
        <v>#REF!</v>
      </c>
      <c r="PNK247" s="29" t="e">
        <f t="shared" si="220"/>
        <v>#REF!</v>
      </c>
      <c r="PNL247" s="29" t="e">
        <f t="shared" si="220"/>
        <v>#REF!</v>
      </c>
      <c r="PNM247" s="29" t="e">
        <f t="shared" si="220"/>
        <v>#REF!</v>
      </c>
      <c r="PNN247" s="29" t="e">
        <f t="shared" si="220"/>
        <v>#REF!</v>
      </c>
      <c r="PNO247" s="29" t="e">
        <f t="shared" si="220"/>
        <v>#REF!</v>
      </c>
      <c r="PNP247" s="29" t="e">
        <f t="shared" si="220"/>
        <v>#REF!</v>
      </c>
      <c r="PNQ247" s="29" t="e">
        <f t="shared" si="220"/>
        <v>#REF!</v>
      </c>
      <c r="PNR247" s="29" t="e">
        <f t="shared" si="220"/>
        <v>#REF!</v>
      </c>
      <c r="PNS247" s="29" t="e">
        <f t="shared" si="220"/>
        <v>#REF!</v>
      </c>
      <c r="PNT247" s="29" t="e">
        <f t="shared" si="220"/>
        <v>#REF!</v>
      </c>
      <c r="PNU247" s="29" t="e">
        <f t="shared" si="220"/>
        <v>#REF!</v>
      </c>
      <c r="PNV247" s="29" t="e">
        <f t="shared" si="220"/>
        <v>#REF!</v>
      </c>
      <c r="PNW247" s="29" t="e">
        <f t="shared" si="220"/>
        <v>#REF!</v>
      </c>
      <c r="PNX247" s="29" t="e">
        <f t="shared" si="220"/>
        <v>#REF!</v>
      </c>
      <c r="PNY247" s="29" t="e">
        <f t="shared" si="220"/>
        <v>#REF!</v>
      </c>
      <c r="PNZ247" s="29" t="e">
        <f t="shared" si="220"/>
        <v>#REF!</v>
      </c>
      <c r="POA247" s="29" t="e">
        <f t="shared" si="220"/>
        <v>#REF!</v>
      </c>
      <c r="POB247" s="29" t="e">
        <f t="shared" si="220"/>
        <v>#REF!</v>
      </c>
      <c r="POC247" s="29" t="e">
        <f t="shared" si="220"/>
        <v>#REF!</v>
      </c>
      <c r="POD247" s="29" t="e">
        <f t="shared" si="220"/>
        <v>#REF!</v>
      </c>
      <c r="POE247" s="29" t="e">
        <f t="shared" si="220"/>
        <v>#REF!</v>
      </c>
      <c r="POF247" s="29" t="e">
        <f t="shared" si="220"/>
        <v>#REF!</v>
      </c>
      <c r="POG247" s="29" t="e">
        <f t="shared" si="220"/>
        <v>#REF!</v>
      </c>
      <c r="POH247" s="29" t="e">
        <f t="shared" si="220"/>
        <v>#REF!</v>
      </c>
      <c r="POI247" s="29" t="e">
        <f t="shared" si="220"/>
        <v>#REF!</v>
      </c>
      <c r="POJ247" s="29" t="e">
        <f t="shared" si="220"/>
        <v>#REF!</v>
      </c>
      <c r="POK247" s="29" t="e">
        <f t="shared" ref="POK247:PQV247" si="221">POO247&amp;POP247</f>
        <v>#REF!</v>
      </c>
      <c r="POL247" s="29" t="e">
        <f t="shared" si="221"/>
        <v>#REF!</v>
      </c>
      <c r="POM247" s="29" t="e">
        <f t="shared" si="221"/>
        <v>#REF!</v>
      </c>
      <c r="PON247" s="29" t="e">
        <f t="shared" si="221"/>
        <v>#REF!</v>
      </c>
      <c r="POO247" s="29" t="e">
        <f t="shared" si="221"/>
        <v>#REF!</v>
      </c>
      <c r="POP247" s="29" t="e">
        <f t="shared" si="221"/>
        <v>#REF!</v>
      </c>
      <c r="POQ247" s="29" t="e">
        <f t="shared" si="221"/>
        <v>#REF!</v>
      </c>
      <c r="POR247" s="29" t="e">
        <f t="shared" si="221"/>
        <v>#REF!</v>
      </c>
      <c r="POS247" s="29" t="e">
        <f t="shared" si="221"/>
        <v>#REF!</v>
      </c>
      <c r="POT247" s="29" t="e">
        <f t="shared" si="221"/>
        <v>#REF!</v>
      </c>
      <c r="POU247" s="29" t="e">
        <f t="shared" si="221"/>
        <v>#REF!</v>
      </c>
      <c r="POV247" s="29" t="e">
        <f t="shared" si="221"/>
        <v>#REF!</v>
      </c>
      <c r="POW247" s="29" t="e">
        <f t="shared" si="221"/>
        <v>#REF!</v>
      </c>
      <c r="POX247" s="29" t="e">
        <f t="shared" si="221"/>
        <v>#REF!</v>
      </c>
      <c r="POY247" s="29" t="e">
        <f t="shared" si="221"/>
        <v>#REF!</v>
      </c>
      <c r="POZ247" s="29" t="e">
        <f t="shared" si="221"/>
        <v>#REF!</v>
      </c>
      <c r="PPA247" s="29" t="e">
        <f t="shared" si="221"/>
        <v>#REF!</v>
      </c>
      <c r="PPB247" s="29" t="e">
        <f t="shared" si="221"/>
        <v>#REF!</v>
      </c>
      <c r="PPC247" s="29" t="e">
        <f t="shared" si="221"/>
        <v>#REF!</v>
      </c>
      <c r="PPD247" s="29" t="e">
        <f t="shared" si="221"/>
        <v>#REF!</v>
      </c>
      <c r="PPE247" s="29" t="e">
        <f t="shared" si="221"/>
        <v>#REF!</v>
      </c>
      <c r="PPF247" s="29" t="e">
        <f t="shared" si="221"/>
        <v>#REF!</v>
      </c>
      <c r="PPG247" s="29" t="e">
        <f t="shared" si="221"/>
        <v>#REF!</v>
      </c>
      <c r="PPH247" s="29" t="e">
        <f t="shared" si="221"/>
        <v>#REF!</v>
      </c>
      <c r="PPI247" s="29" t="e">
        <f t="shared" si="221"/>
        <v>#REF!</v>
      </c>
      <c r="PPJ247" s="29" t="e">
        <f t="shared" si="221"/>
        <v>#REF!</v>
      </c>
      <c r="PPK247" s="29" t="e">
        <f t="shared" si="221"/>
        <v>#REF!</v>
      </c>
      <c r="PPL247" s="29" t="e">
        <f t="shared" si="221"/>
        <v>#REF!</v>
      </c>
      <c r="PPM247" s="29" t="e">
        <f t="shared" si="221"/>
        <v>#REF!</v>
      </c>
      <c r="PPN247" s="29" t="e">
        <f t="shared" si="221"/>
        <v>#REF!</v>
      </c>
      <c r="PPO247" s="29" t="e">
        <f t="shared" si="221"/>
        <v>#REF!</v>
      </c>
      <c r="PPP247" s="29" t="e">
        <f t="shared" si="221"/>
        <v>#REF!</v>
      </c>
      <c r="PPQ247" s="29" t="e">
        <f t="shared" si="221"/>
        <v>#REF!</v>
      </c>
      <c r="PPR247" s="29" t="e">
        <f t="shared" si="221"/>
        <v>#REF!</v>
      </c>
      <c r="PPS247" s="29" t="e">
        <f t="shared" si="221"/>
        <v>#REF!</v>
      </c>
      <c r="PPT247" s="29" t="e">
        <f t="shared" si="221"/>
        <v>#REF!</v>
      </c>
      <c r="PPU247" s="29" t="e">
        <f t="shared" si="221"/>
        <v>#REF!</v>
      </c>
      <c r="PPV247" s="29" t="e">
        <f t="shared" si="221"/>
        <v>#REF!</v>
      </c>
      <c r="PPW247" s="29" t="e">
        <f t="shared" si="221"/>
        <v>#REF!</v>
      </c>
      <c r="PPX247" s="29" t="e">
        <f t="shared" si="221"/>
        <v>#REF!</v>
      </c>
      <c r="PPY247" s="29" t="e">
        <f t="shared" si="221"/>
        <v>#REF!</v>
      </c>
      <c r="PPZ247" s="29" t="e">
        <f t="shared" si="221"/>
        <v>#REF!</v>
      </c>
      <c r="PQA247" s="29" t="e">
        <f t="shared" si="221"/>
        <v>#REF!</v>
      </c>
      <c r="PQB247" s="29" t="e">
        <f t="shared" si="221"/>
        <v>#REF!</v>
      </c>
      <c r="PQC247" s="29" t="e">
        <f t="shared" si="221"/>
        <v>#REF!</v>
      </c>
      <c r="PQD247" s="29" t="e">
        <f t="shared" si="221"/>
        <v>#REF!</v>
      </c>
      <c r="PQE247" s="29" t="e">
        <f t="shared" si="221"/>
        <v>#REF!</v>
      </c>
      <c r="PQF247" s="29" t="e">
        <f t="shared" si="221"/>
        <v>#REF!</v>
      </c>
      <c r="PQG247" s="29" t="e">
        <f t="shared" si="221"/>
        <v>#REF!</v>
      </c>
      <c r="PQH247" s="29" t="e">
        <f t="shared" si="221"/>
        <v>#REF!</v>
      </c>
      <c r="PQI247" s="29" t="e">
        <f t="shared" si="221"/>
        <v>#REF!</v>
      </c>
      <c r="PQJ247" s="29" t="e">
        <f t="shared" si="221"/>
        <v>#REF!</v>
      </c>
      <c r="PQK247" s="29" t="e">
        <f t="shared" si="221"/>
        <v>#REF!</v>
      </c>
      <c r="PQL247" s="29" t="e">
        <f t="shared" si="221"/>
        <v>#REF!</v>
      </c>
      <c r="PQM247" s="29" t="e">
        <f t="shared" si="221"/>
        <v>#REF!</v>
      </c>
      <c r="PQN247" s="29" t="e">
        <f t="shared" si="221"/>
        <v>#REF!</v>
      </c>
      <c r="PQO247" s="29" t="e">
        <f t="shared" si="221"/>
        <v>#REF!</v>
      </c>
      <c r="PQP247" s="29" t="e">
        <f t="shared" si="221"/>
        <v>#REF!</v>
      </c>
      <c r="PQQ247" s="29" t="e">
        <f t="shared" si="221"/>
        <v>#REF!</v>
      </c>
      <c r="PQR247" s="29" t="e">
        <f t="shared" si="221"/>
        <v>#REF!</v>
      </c>
      <c r="PQS247" s="29" t="e">
        <f t="shared" si="221"/>
        <v>#REF!</v>
      </c>
      <c r="PQT247" s="29" t="e">
        <f t="shared" si="221"/>
        <v>#REF!</v>
      </c>
      <c r="PQU247" s="29" t="e">
        <f t="shared" si="221"/>
        <v>#REF!</v>
      </c>
      <c r="PQV247" s="29" t="e">
        <f t="shared" si="221"/>
        <v>#REF!</v>
      </c>
      <c r="PQW247" s="29" t="e">
        <f t="shared" ref="PQW247:PTH247" si="222">PRA247&amp;PRB247</f>
        <v>#REF!</v>
      </c>
      <c r="PQX247" s="29" t="e">
        <f t="shared" si="222"/>
        <v>#REF!</v>
      </c>
      <c r="PQY247" s="29" t="e">
        <f t="shared" si="222"/>
        <v>#REF!</v>
      </c>
      <c r="PQZ247" s="29" t="e">
        <f t="shared" si="222"/>
        <v>#REF!</v>
      </c>
      <c r="PRA247" s="29" t="e">
        <f t="shared" si="222"/>
        <v>#REF!</v>
      </c>
      <c r="PRB247" s="29" t="e">
        <f t="shared" si="222"/>
        <v>#REF!</v>
      </c>
      <c r="PRC247" s="29" t="e">
        <f t="shared" si="222"/>
        <v>#REF!</v>
      </c>
      <c r="PRD247" s="29" t="e">
        <f t="shared" si="222"/>
        <v>#REF!</v>
      </c>
      <c r="PRE247" s="29" t="e">
        <f t="shared" si="222"/>
        <v>#REF!</v>
      </c>
      <c r="PRF247" s="29" t="e">
        <f t="shared" si="222"/>
        <v>#REF!</v>
      </c>
      <c r="PRG247" s="29" t="e">
        <f t="shared" si="222"/>
        <v>#REF!</v>
      </c>
      <c r="PRH247" s="29" t="e">
        <f t="shared" si="222"/>
        <v>#REF!</v>
      </c>
      <c r="PRI247" s="29" t="e">
        <f t="shared" si="222"/>
        <v>#REF!</v>
      </c>
      <c r="PRJ247" s="29" t="e">
        <f t="shared" si="222"/>
        <v>#REF!</v>
      </c>
      <c r="PRK247" s="29" t="e">
        <f t="shared" si="222"/>
        <v>#REF!</v>
      </c>
      <c r="PRL247" s="29" t="e">
        <f t="shared" si="222"/>
        <v>#REF!</v>
      </c>
      <c r="PRM247" s="29" t="e">
        <f t="shared" si="222"/>
        <v>#REF!</v>
      </c>
      <c r="PRN247" s="29" t="e">
        <f t="shared" si="222"/>
        <v>#REF!</v>
      </c>
      <c r="PRO247" s="29" t="e">
        <f t="shared" si="222"/>
        <v>#REF!</v>
      </c>
      <c r="PRP247" s="29" t="e">
        <f t="shared" si="222"/>
        <v>#REF!</v>
      </c>
      <c r="PRQ247" s="29" t="e">
        <f t="shared" si="222"/>
        <v>#REF!</v>
      </c>
      <c r="PRR247" s="29" t="e">
        <f t="shared" si="222"/>
        <v>#REF!</v>
      </c>
      <c r="PRS247" s="29" t="e">
        <f t="shared" si="222"/>
        <v>#REF!</v>
      </c>
      <c r="PRT247" s="29" t="e">
        <f t="shared" si="222"/>
        <v>#REF!</v>
      </c>
      <c r="PRU247" s="29" t="e">
        <f t="shared" si="222"/>
        <v>#REF!</v>
      </c>
      <c r="PRV247" s="29" t="e">
        <f t="shared" si="222"/>
        <v>#REF!</v>
      </c>
      <c r="PRW247" s="29" t="e">
        <f t="shared" si="222"/>
        <v>#REF!</v>
      </c>
      <c r="PRX247" s="29" t="e">
        <f t="shared" si="222"/>
        <v>#REF!</v>
      </c>
      <c r="PRY247" s="29" t="e">
        <f t="shared" si="222"/>
        <v>#REF!</v>
      </c>
      <c r="PRZ247" s="29" t="e">
        <f t="shared" si="222"/>
        <v>#REF!</v>
      </c>
      <c r="PSA247" s="29" t="e">
        <f t="shared" si="222"/>
        <v>#REF!</v>
      </c>
      <c r="PSB247" s="29" t="e">
        <f t="shared" si="222"/>
        <v>#REF!</v>
      </c>
      <c r="PSC247" s="29" t="e">
        <f t="shared" si="222"/>
        <v>#REF!</v>
      </c>
      <c r="PSD247" s="29" t="e">
        <f t="shared" si="222"/>
        <v>#REF!</v>
      </c>
      <c r="PSE247" s="29" t="e">
        <f t="shared" si="222"/>
        <v>#REF!</v>
      </c>
      <c r="PSF247" s="29" t="e">
        <f t="shared" si="222"/>
        <v>#REF!</v>
      </c>
      <c r="PSG247" s="29" t="e">
        <f t="shared" si="222"/>
        <v>#REF!</v>
      </c>
      <c r="PSH247" s="29" t="e">
        <f t="shared" si="222"/>
        <v>#REF!</v>
      </c>
      <c r="PSI247" s="29" t="e">
        <f t="shared" si="222"/>
        <v>#REF!</v>
      </c>
      <c r="PSJ247" s="29" t="e">
        <f t="shared" si="222"/>
        <v>#REF!</v>
      </c>
      <c r="PSK247" s="29" t="e">
        <f t="shared" si="222"/>
        <v>#REF!</v>
      </c>
      <c r="PSL247" s="29" t="e">
        <f t="shared" si="222"/>
        <v>#REF!</v>
      </c>
      <c r="PSM247" s="29" t="e">
        <f t="shared" si="222"/>
        <v>#REF!</v>
      </c>
      <c r="PSN247" s="29" t="e">
        <f t="shared" si="222"/>
        <v>#REF!</v>
      </c>
      <c r="PSO247" s="29" t="e">
        <f t="shared" si="222"/>
        <v>#REF!</v>
      </c>
      <c r="PSP247" s="29" t="e">
        <f t="shared" si="222"/>
        <v>#REF!</v>
      </c>
      <c r="PSQ247" s="29" t="e">
        <f t="shared" si="222"/>
        <v>#REF!</v>
      </c>
      <c r="PSR247" s="29" t="e">
        <f t="shared" si="222"/>
        <v>#REF!</v>
      </c>
      <c r="PSS247" s="29" t="e">
        <f t="shared" si="222"/>
        <v>#REF!</v>
      </c>
      <c r="PST247" s="29" t="e">
        <f t="shared" si="222"/>
        <v>#REF!</v>
      </c>
      <c r="PSU247" s="29" t="e">
        <f t="shared" si="222"/>
        <v>#REF!</v>
      </c>
      <c r="PSV247" s="29" t="e">
        <f t="shared" si="222"/>
        <v>#REF!</v>
      </c>
      <c r="PSW247" s="29" t="e">
        <f t="shared" si="222"/>
        <v>#REF!</v>
      </c>
      <c r="PSX247" s="29" t="e">
        <f t="shared" si="222"/>
        <v>#REF!</v>
      </c>
      <c r="PSY247" s="29" t="e">
        <f t="shared" si="222"/>
        <v>#REF!</v>
      </c>
      <c r="PSZ247" s="29" t="e">
        <f t="shared" si="222"/>
        <v>#REF!</v>
      </c>
      <c r="PTA247" s="29" t="e">
        <f t="shared" si="222"/>
        <v>#REF!</v>
      </c>
      <c r="PTB247" s="29" t="e">
        <f t="shared" si="222"/>
        <v>#REF!</v>
      </c>
      <c r="PTC247" s="29" t="e">
        <f t="shared" si="222"/>
        <v>#REF!</v>
      </c>
      <c r="PTD247" s="29" t="e">
        <f t="shared" si="222"/>
        <v>#REF!</v>
      </c>
      <c r="PTE247" s="29" t="e">
        <f t="shared" si="222"/>
        <v>#REF!</v>
      </c>
      <c r="PTF247" s="29" t="e">
        <f t="shared" si="222"/>
        <v>#REF!</v>
      </c>
      <c r="PTG247" s="29" t="e">
        <f t="shared" si="222"/>
        <v>#REF!</v>
      </c>
      <c r="PTH247" s="29" t="e">
        <f t="shared" si="222"/>
        <v>#REF!</v>
      </c>
      <c r="PTI247" s="29" t="e">
        <f t="shared" ref="PTI247:PVT247" si="223">PTM247&amp;PTN247</f>
        <v>#REF!</v>
      </c>
      <c r="PTJ247" s="29" t="e">
        <f t="shared" si="223"/>
        <v>#REF!</v>
      </c>
      <c r="PTK247" s="29" t="e">
        <f t="shared" si="223"/>
        <v>#REF!</v>
      </c>
      <c r="PTL247" s="29" t="e">
        <f t="shared" si="223"/>
        <v>#REF!</v>
      </c>
      <c r="PTM247" s="29" t="e">
        <f t="shared" si="223"/>
        <v>#REF!</v>
      </c>
      <c r="PTN247" s="29" t="e">
        <f t="shared" si="223"/>
        <v>#REF!</v>
      </c>
      <c r="PTO247" s="29" t="e">
        <f t="shared" si="223"/>
        <v>#REF!</v>
      </c>
      <c r="PTP247" s="29" t="e">
        <f t="shared" si="223"/>
        <v>#REF!</v>
      </c>
      <c r="PTQ247" s="29" t="e">
        <f t="shared" si="223"/>
        <v>#REF!</v>
      </c>
      <c r="PTR247" s="29" t="e">
        <f t="shared" si="223"/>
        <v>#REF!</v>
      </c>
      <c r="PTS247" s="29" t="e">
        <f t="shared" si="223"/>
        <v>#REF!</v>
      </c>
      <c r="PTT247" s="29" t="e">
        <f t="shared" si="223"/>
        <v>#REF!</v>
      </c>
      <c r="PTU247" s="29" t="e">
        <f t="shared" si="223"/>
        <v>#REF!</v>
      </c>
      <c r="PTV247" s="29" t="e">
        <f t="shared" si="223"/>
        <v>#REF!</v>
      </c>
      <c r="PTW247" s="29" t="e">
        <f t="shared" si="223"/>
        <v>#REF!</v>
      </c>
      <c r="PTX247" s="29" t="e">
        <f t="shared" si="223"/>
        <v>#REF!</v>
      </c>
      <c r="PTY247" s="29" t="e">
        <f t="shared" si="223"/>
        <v>#REF!</v>
      </c>
      <c r="PTZ247" s="29" t="e">
        <f t="shared" si="223"/>
        <v>#REF!</v>
      </c>
      <c r="PUA247" s="29" t="e">
        <f t="shared" si="223"/>
        <v>#REF!</v>
      </c>
      <c r="PUB247" s="29" t="e">
        <f t="shared" si="223"/>
        <v>#REF!</v>
      </c>
      <c r="PUC247" s="29" t="e">
        <f t="shared" si="223"/>
        <v>#REF!</v>
      </c>
      <c r="PUD247" s="29" t="e">
        <f t="shared" si="223"/>
        <v>#REF!</v>
      </c>
      <c r="PUE247" s="29" t="e">
        <f t="shared" si="223"/>
        <v>#REF!</v>
      </c>
      <c r="PUF247" s="29" t="e">
        <f t="shared" si="223"/>
        <v>#REF!</v>
      </c>
      <c r="PUG247" s="29" t="e">
        <f t="shared" si="223"/>
        <v>#REF!</v>
      </c>
      <c r="PUH247" s="29" t="e">
        <f t="shared" si="223"/>
        <v>#REF!</v>
      </c>
      <c r="PUI247" s="29" t="e">
        <f t="shared" si="223"/>
        <v>#REF!</v>
      </c>
      <c r="PUJ247" s="29" t="e">
        <f t="shared" si="223"/>
        <v>#REF!</v>
      </c>
      <c r="PUK247" s="29" t="e">
        <f t="shared" si="223"/>
        <v>#REF!</v>
      </c>
      <c r="PUL247" s="29" t="e">
        <f t="shared" si="223"/>
        <v>#REF!</v>
      </c>
      <c r="PUM247" s="29" t="e">
        <f t="shared" si="223"/>
        <v>#REF!</v>
      </c>
      <c r="PUN247" s="29" t="e">
        <f t="shared" si="223"/>
        <v>#REF!</v>
      </c>
      <c r="PUO247" s="29" t="e">
        <f t="shared" si="223"/>
        <v>#REF!</v>
      </c>
      <c r="PUP247" s="29" t="e">
        <f t="shared" si="223"/>
        <v>#REF!</v>
      </c>
      <c r="PUQ247" s="29" t="e">
        <f t="shared" si="223"/>
        <v>#REF!</v>
      </c>
      <c r="PUR247" s="29" t="e">
        <f t="shared" si="223"/>
        <v>#REF!</v>
      </c>
      <c r="PUS247" s="29" t="e">
        <f t="shared" si="223"/>
        <v>#REF!</v>
      </c>
      <c r="PUT247" s="29" t="e">
        <f t="shared" si="223"/>
        <v>#REF!</v>
      </c>
      <c r="PUU247" s="29" t="e">
        <f t="shared" si="223"/>
        <v>#REF!</v>
      </c>
      <c r="PUV247" s="29" t="e">
        <f t="shared" si="223"/>
        <v>#REF!</v>
      </c>
      <c r="PUW247" s="29" t="e">
        <f t="shared" si="223"/>
        <v>#REF!</v>
      </c>
      <c r="PUX247" s="29" t="e">
        <f t="shared" si="223"/>
        <v>#REF!</v>
      </c>
      <c r="PUY247" s="29" t="e">
        <f t="shared" si="223"/>
        <v>#REF!</v>
      </c>
      <c r="PUZ247" s="29" t="e">
        <f t="shared" si="223"/>
        <v>#REF!</v>
      </c>
      <c r="PVA247" s="29" t="e">
        <f t="shared" si="223"/>
        <v>#REF!</v>
      </c>
      <c r="PVB247" s="29" t="e">
        <f t="shared" si="223"/>
        <v>#REF!</v>
      </c>
      <c r="PVC247" s="29" t="e">
        <f t="shared" si="223"/>
        <v>#REF!</v>
      </c>
      <c r="PVD247" s="29" t="e">
        <f t="shared" si="223"/>
        <v>#REF!</v>
      </c>
      <c r="PVE247" s="29" t="e">
        <f t="shared" si="223"/>
        <v>#REF!</v>
      </c>
      <c r="PVF247" s="29" t="e">
        <f t="shared" si="223"/>
        <v>#REF!</v>
      </c>
      <c r="PVG247" s="29" t="e">
        <f t="shared" si="223"/>
        <v>#REF!</v>
      </c>
      <c r="PVH247" s="29" t="e">
        <f t="shared" si="223"/>
        <v>#REF!</v>
      </c>
      <c r="PVI247" s="29" t="e">
        <f t="shared" si="223"/>
        <v>#REF!</v>
      </c>
      <c r="PVJ247" s="29" t="e">
        <f t="shared" si="223"/>
        <v>#REF!</v>
      </c>
      <c r="PVK247" s="29" t="e">
        <f t="shared" si="223"/>
        <v>#REF!</v>
      </c>
      <c r="PVL247" s="29" t="e">
        <f t="shared" si="223"/>
        <v>#REF!</v>
      </c>
      <c r="PVM247" s="29" t="e">
        <f t="shared" si="223"/>
        <v>#REF!</v>
      </c>
      <c r="PVN247" s="29" t="e">
        <f t="shared" si="223"/>
        <v>#REF!</v>
      </c>
      <c r="PVO247" s="29" t="e">
        <f t="shared" si="223"/>
        <v>#REF!</v>
      </c>
      <c r="PVP247" s="29" t="e">
        <f t="shared" si="223"/>
        <v>#REF!</v>
      </c>
      <c r="PVQ247" s="29" t="e">
        <f t="shared" si="223"/>
        <v>#REF!</v>
      </c>
      <c r="PVR247" s="29" t="e">
        <f t="shared" si="223"/>
        <v>#REF!</v>
      </c>
      <c r="PVS247" s="29" t="e">
        <f t="shared" si="223"/>
        <v>#REF!</v>
      </c>
      <c r="PVT247" s="29" t="e">
        <f t="shared" si="223"/>
        <v>#REF!</v>
      </c>
      <c r="PVU247" s="29" t="e">
        <f t="shared" ref="PVU247:PYF247" si="224">PVY247&amp;PVZ247</f>
        <v>#REF!</v>
      </c>
      <c r="PVV247" s="29" t="e">
        <f t="shared" si="224"/>
        <v>#REF!</v>
      </c>
      <c r="PVW247" s="29" t="e">
        <f t="shared" si="224"/>
        <v>#REF!</v>
      </c>
      <c r="PVX247" s="29" t="e">
        <f t="shared" si="224"/>
        <v>#REF!</v>
      </c>
      <c r="PVY247" s="29" t="e">
        <f t="shared" si="224"/>
        <v>#REF!</v>
      </c>
      <c r="PVZ247" s="29" t="e">
        <f t="shared" si="224"/>
        <v>#REF!</v>
      </c>
      <c r="PWA247" s="29" t="e">
        <f t="shared" si="224"/>
        <v>#REF!</v>
      </c>
      <c r="PWB247" s="29" t="e">
        <f t="shared" si="224"/>
        <v>#REF!</v>
      </c>
      <c r="PWC247" s="29" t="e">
        <f t="shared" si="224"/>
        <v>#REF!</v>
      </c>
      <c r="PWD247" s="29" t="e">
        <f t="shared" si="224"/>
        <v>#REF!</v>
      </c>
      <c r="PWE247" s="29" t="e">
        <f t="shared" si="224"/>
        <v>#REF!</v>
      </c>
      <c r="PWF247" s="29" t="e">
        <f t="shared" si="224"/>
        <v>#REF!</v>
      </c>
      <c r="PWG247" s="29" t="e">
        <f t="shared" si="224"/>
        <v>#REF!</v>
      </c>
      <c r="PWH247" s="29" t="e">
        <f t="shared" si="224"/>
        <v>#REF!</v>
      </c>
      <c r="PWI247" s="29" t="e">
        <f t="shared" si="224"/>
        <v>#REF!</v>
      </c>
      <c r="PWJ247" s="29" t="e">
        <f t="shared" si="224"/>
        <v>#REF!</v>
      </c>
      <c r="PWK247" s="29" t="e">
        <f t="shared" si="224"/>
        <v>#REF!</v>
      </c>
      <c r="PWL247" s="29" t="e">
        <f t="shared" si="224"/>
        <v>#REF!</v>
      </c>
      <c r="PWM247" s="29" t="e">
        <f t="shared" si="224"/>
        <v>#REF!</v>
      </c>
      <c r="PWN247" s="29" t="e">
        <f t="shared" si="224"/>
        <v>#REF!</v>
      </c>
      <c r="PWO247" s="29" t="e">
        <f t="shared" si="224"/>
        <v>#REF!</v>
      </c>
      <c r="PWP247" s="29" t="e">
        <f t="shared" si="224"/>
        <v>#REF!</v>
      </c>
      <c r="PWQ247" s="29" t="e">
        <f t="shared" si="224"/>
        <v>#REF!</v>
      </c>
      <c r="PWR247" s="29" t="e">
        <f t="shared" si="224"/>
        <v>#REF!</v>
      </c>
      <c r="PWS247" s="29" t="e">
        <f t="shared" si="224"/>
        <v>#REF!</v>
      </c>
      <c r="PWT247" s="29" t="e">
        <f t="shared" si="224"/>
        <v>#REF!</v>
      </c>
      <c r="PWU247" s="29" t="e">
        <f t="shared" si="224"/>
        <v>#REF!</v>
      </c>
      <c r="PWV247" s="29" t="e">
        <f t="shared" si="224"/>
        <v>#REF!</v>
      </c>
      <c r="PWW247" s="29" t="e">
        <f t="shared" si="224"/>
        <v>#REF!</v>
      </c>
      <c r="PWX247" s="29" t="e">
        <f t="shared" si="224"/>
        <v>#REF!</v>
      </c>
      <c r="PWY247" s="29" t="e">
        <f t="shared" si="224"/>
        <v>#REF!</v>
      </c>
      <c r="PWZ247" s="29" t="e">
        <f t="shared" si="224"/>
        <v>#REF!</v>
      </c>
      <c r="PXA247" s="29" t="e">
        <f t="shared" si="224"/>
        <v>#REF!</v>
      </c>
      <c r="PXB247" s="29" t="e">
        <f t="shared" si="224"/>
        <v>#REF!</v>
      </c>
      <c r="PXC247" s="29" t="e">
        <f t="shared" si="224"/>
        <v>#REF!</v>
      </c>
      <c r="PXD247" s="29" t="e">
        <f t="shared" si="224"/>
        <v>#REF!</v>
      </c>
      <c r="PXE247" s="29" t="e">
        <f t="shared" si="224"/>
        <v>#REF!</v>
      </c>
      <c r="PXF247" s="29" t="e">
        <f t="shared" si="224"/>
        <v>#REF!</v>
      </c>
      <c r="PXG247" s="29" t="e">
        <f t="shared" si="224"/>
        <v>#REF!</v>
      </c>
      <c r="PXH247" s="29" t="e">
        <f t="shared" si="224"/>
        <v>#REF!</v>
      </c>
      <c r="PXI247" s="29" t="e">
        <f t="shared" si="224"/>
        <v>#REF!</v>
      </c>
      <c r="PXJ247" s="29" t="e">
        <f t="shared" si="224"/>
        <v>#REF!</v>
      </c>
      <c r="PXK247" s="29" t="e">
        <f t="shared" si="224"/>
        <v>#REF!</v>
      </c>
      <c r="PXL247" s="29" t="e">
        <f t="shared" si="224"/>
        <v>#REF!</v>
      </c>
      <c r="PXM247" s="29" t="e">
        <f t="shared" si="224"/>
        <v>#REF!</v>
      </c>
      <c r="PXN247" s="29" t="e">
        <f t="shared" si="224"/>
        <v>#REF!</v>
      </c>
      <c r="PXO247" s="29" t="e">
        <f t="shared" si="224"/>
        <v>#REF!</v>
      </c>
      <c r="PXP247" s="29" t="e">
        <f t="shared" si="224"/>
        <v>#REF!</v>
      </c>
      <c r="PXQ247" s="29" t="e">
        <f t="shared" si="224"/>
        <v>#REF!</v>
      </c>
      <c r="PXR247" s="29" t="e">
        <f t="shared" si="224"/>
        <v>#REF!</v>
      </c>
      <c r="PXS247" s="29" t="e">
        <f t="shared" si="224"/>
        <v>#REF!</v>
      </c>
      <c r="PXT247" s="29" t="e">
        <f t="shared" si="224"/>
        <v>#REF!</v>
      </c>
      <c r="PXU247" s="29" t="e">
        <f t="shared" si="224"/>
        <v>#REF!</v>
      </c>
      <c r="PXV247" s="29" t="e">
        <f t="shared" si="224"/>
        <v>#REF!</v>
      </c>
      <c r="PXW247" s="29" t="e">
        <f t="shared" si="224"/>
        <v>#REF!</v>
      </c>
      <c r="PXX247" s="29" t="e">
        <f t="shared" si="224"/>
        <v>#REF!</v>
      </c>
      <c r="PXY247" s="29" t="e">
        <f t="shared" si="224"/>
        <v>#REF!</v>
      </c>
      <c r="PXZ247" s="29" t="e">
        <f t="shared" si="224"/>
        <v>#REF!</v>
      </c>
      <c r="PYA247" s="29" t="e">
        <f t="shared" si="224"/>
        <v>#REF!</v>
      </c>
      <c r="PYB247" s="29" t="e">
        <f t="shared" si="224"/>
        <v>#REF!</v>
      </c>
      <c r="PYC247" s="29" t="e">
        <f t="shared" si="224"/>
        <v>#REF!</v>
      </c>
      <c r="PYD247" s="29" t="e">
        <f t="shared" si="224"/>
        <v>#REF!</v>
      </c>
      <c r="PYE247" s="29" t="e">
        <f t="shared" si="224"/>
        <v>#REF!</v>
      </c>
      <c r="PYF247" s="29" t="e">
        <f t="shared" si="224"/>
        <v>#REF!</v>
      </c>
      <c r="PYG247" s="29" t="e">
        <f t="shared" ref="PYG247:QAR247" si="225">PYK247&amp;PYL247</f>
        <v>#REF!</v>
      </c>
      <c r="PYH247" s="29" t="e">
        <f t="shared" si="225"/>
        <v>#REF!</v>
      </c>
      <c r="PYI247" s="29" t="e">
        <f t="shared" si="225"/>
        <v>#REF!</v>
      </c>
      <c r="PYJ247" s="29" t="e">
        <f t="shared" si="225"/>
        <v>#REF!</v>
      </c>
      <c r="PYK247" s="29" t="e">
        <f t="shared" si="225"/>
        <v>#REF!</v>
      </c>
      <c r="PYL247" s="29" t="e">
        <f t="shared" si="225"/>
        <v>#REF!</v>
      </c>
      <c r="PYM247" s="29" t="e">
        <f t="shared" si="225"/>
        <v>#REF!</v>
      </c>
      <c r="PYN247" s="29" t="e">
        <f t="shared" si="225"/>
        <v>#REF!</v>
      </c>
      <c r="PYO247" s="29" t="e">
        <f t="shared" si="225"/>
        <v>#REF!</v>
      </c>
      <c r="PYP247" s="29" t="e">
        <f t="shared" si="225"/>
        <v>#REF!</v>
      </c>
      <c r="PYQ247" s="29" t="e">
        <f t="shared" si="225"/>
        <v>#REF!</v>
      </c>
      <c r="PYR247" s="29" t="e">
        <f t="shared" si="225"/>
        <v>#REF!</v>
      </c>
      <c r="PYS247" s="29" t="e">
        <f t="shared" si="225"/>
        <v>#REF!</v>
      </c>
      <c r="PYT247" s="29" t="e">
        <f t="shared" si="225"/>
        <v>#REF!</v>
      </c>
      <c r="PYU247" s="29" t="e">
        <f t="shared" si="225"/>
        <v>#REF!</v>
      </c>
      <c r="PYV247" s="29" t="e">
        <f t="shared" si="225"/>
        <v>#REF!</v>
      </c>
      <c r="PYW247" s="29" t="e">
        <f t="shared" si="225"/>
        <v>#REF!</v>
      </c>
      <c r="PYX247" s="29" t="e">
        <f t="shared" si="225"/>
        <v>#REF!</v>
      </c>
      <c r="PYY247" s="29" t="e">
        <f t="shared" si="225"/>
        <v>#REF!</v>
      </c>
      <c r="PYZ247" s="29" t="e">
        <f t="shared" si="225"/>
        <v>#REF!</v>
      </c>
      <c r="PZA247" s="29" t="e">
        <f t="shared" si="225"/>
        <v>#REF!</v>
      </c>
      <c r="PZB247" s="29" t="e">
        <f t="shared" si="225"/>
        <v>#REF!</v>
      </c>
      <c r="PZC247" s="29" t="e">
        <f t="shared" si="225"/>
        <v>#REF!</v>
      </c>
      <c r="PZD247" s="29" t="e">
        <f t="shared" si="225"/>
        <v>#REF!</v>
      </c>
      <c r="PZE247" s="29" t="e">
        <f t="shared" si="225"/>
        <v>#REF!</v>
      </c>
      <c r="PZF247" s="29" t="e">
        <f t="shared" si="225"/>
        <v>#REF!</v>
      </c>
      <c r="PZG247" s="29" t="e">
        <f t="shared" si="225"/>
        <v>#REF!</v>
      </c>
      <c r="PZH247" s="29" t="e">
        <f t="shared" si="225"/>
        <v>#REF!</v>
      </c>
      <c r="PZI247" s="29" t="e">
        <f t="shared" si="225"/>
        <v>#REF!</v>
      </c>
      <c r="PZJ247" s="29" t="e">
        <f t="shared" si="225"/>
        <v>#REF!</v>
      </c>
      <c r="PZK247" s="29" t="e">
        <f t="shared" si="225"/>
        <v>#REF!</v>
      </c>
      <c r="PZL247" s="29" t="e">
        <f t="shared" si="225"/>
        <v>#REF!</v>
      </c>
      <c r="PZM247" s="29" t="e">
        <f t="shared" si="225"/>
        <v>#REF!</v>
      </c>
      <c r="PZN247" s="29" t="e">
        <f t="shared" si="225"/>
        <v>#REF!</v>
      </c>
      <c r="PZO247" s="29" t="e">
        <f t="shared" si="225"/>
        <v>#REF!</v>
      </c>
      <c r="PZP247" s="29" t="e">
        <f t="shared" si="225"/>
        <v>#REF!</v>
      </c>
      <c r="PZQ247" s="29" t="e">
        <f t="shared" si="225"/>
        <v>#REF!</v>
      </c>
      <c r="PZR247" s="29" t="e">
        <f t="shared" si="225"/>
        <v>#REF!</v>
      </c>
      <c r="PZS247" s="29" t="e">
        <f t="shared" si="225"/>
        <v>#REF!</v>
      </c>
      <c r="PZT247" s="29" t="e">
        <f t="shared" si="225"/>
        <v>#REF!</v>
      </c>
      <c r="PZU247" s="29" t="e">
        <f t="shared" si="225"/>
        <v>#REF!</v>
      </c>
      <c r="PZV247" s="29" t="e">
        <f t="shared" si="225"/>
        <v>#REF!</v>
      </c>
      <c r="PZW247" s="29" t="e">
        <f t="shared" si="225"/>
        <v>#REF!</v>
      </c>
      <c r="PZX247" s="29" t="e">
        <f t="shared" si="225"/>
        <v>#REF!</v>
      </c>
      <c r="PZY247" s="29" t="e">
        <f t="shared" si="225"/>
        <v>#REF!</v>
      </c>
      <c r="PZZ247" s="29" t="e">
        <f t="shared" si="225"/>
        <v>#REF!</v>
      </c>
      <c r="QAA247" s="29" t="e">
        <f t="shared" si="225"/>
        <v>#REF!</v>
      </c>
      <c r="QAB247" s="29" t="e">
        <f t="shared" si="225"/>
        <v>#REF!</v>
      </c>
      <c r="QAC247" s="29" t="e">
        <f t="shared" si="225"/>
        <v>#REF!</v>
      </c>
      <c r="QAD247" s="29" t="e">
        <f t="shared" si="225"/>
        <v>#REF!</v>
      </c>
      <c r="QAE247" s="29" t="e">
        <f t="shared" si="225"/>
        <v>#REF!</v>
      </c>
      <c r="QAF247" s="29" t="e">
        <f t="shared" si="225"/>
        <v>#REF!</v>
      </c>
      <c r="QAG247" s="29" t="e">
        <f t="shared" si="225"/>
        <v>#REF!</v>
      </c>
      <c r="QAH247" s="29" t="e">
        <f t="shared" si="225"/>
        <v>#REF!</v>
      </c>
      <c r="QAI247" s="29" t="e">
        <f t="shared" si="225"/>
        <v>#REF!</v>
      </c>
      <c r="QAJ247" s="29" t="e">
        <f t="shared" si="225"/>
        <v>#REF!</v>
      </c>
      <c r="QAK247" s="29" t="e">
        <f t="shared" si="225"/>
        <v>#REF!</v>
      </c>
      <c r="QAL247" s="29" t="e">
        <f t="shared" si="225"/>
        <v>#REF!</v>
      </c>
      <c r="QAM247" s="29" t="e">
        <f t="shared" si="225"/>
        <v>#REF!</v>
      </c>
      <c r="QAN247" s="29" t="e">
        <f t="shared" si="225"/>
        <v>#REF!</v>
      </c>
      <c r="QAO247" s="29" t="e">
        <f t="shared" si="225"/>
        <v>#REF!</v>
      </c>
      <c r="QAP247" s="29" t="e">
        <f t="shared" si="225"/>
        <v>#REF!</v>
      </c>
      <c r="QAQ247" s="29" t="e">
        <f t="shared" si="225"/>
        <v>#REF!</v>
      </c>
      <c r="QAR247" s="29" t="e">
        <f t="shared" si="225"/>
        <v>#REF!</v>
      </c>
      <c r="QAS247" s="29" t="e">
        <f t="shared" ref="QAS247:QDD247" si="226">QAW247&amp;QAX247</f>
        <v>#REF!</v>
      </c>
      <c r="QAT247" s="29" t="e">
        <f t="shared" si="226"/>
        <v>#REF!</v>
      </c>
      <c r="QAU247" s="29" t="e">
        <f t="shared" si="226"/>
        <v>#REF!</v>
      </c>
      <c r="QAV247" s="29" t="e">
        <f t="shared" si="226"/>
        <v>#REF!</v>
      </c>
      <c r="QAW247" s="29" t="e">
        <f t="shared" si="226"/>
        <v>#REF!</v>
      </c>
      <c r="QAX247" s="29" t="e">
        <f t="shared" si="226"/>
        <v>#REF!</v>
      </c>
      <c r="QAY247" s="29" t="e">
        <f t="shared" si="226"/>
        <v>#REF!</v>
      </c>
      <c r="QAZ247" s="29" t="e">
        <f t="shared" si="226"/>
        <v>#REF!</v>
      </c>
      <c r="QBA247" s="29" t="e">
        <f t="shared" si="226"/>
        <v>#REF!</v>
      </c>
      <c r="QBB247" s="29" t="e">
        <f t="shared" si="226"/>
        <v>#REF!</v>
      </c>
      <c r="QBC247" s="29" t="e">
        <f t="shared" si="226"/>
        <v>#REF!</v>
      </c>
      <c r="QBD247" s="29" t="e">
        <f t="shared" si="226"/>
        <v>#REF!</v>
      </c>
      <c r="QBE247" s="29" t="e">
        <f t="shared" si="226"/>
        <v>#REF!</v>
      </c>
      <c r="QBF247" s="29" t="e">
        <f t="shared" si="226"/>
        <v>#REF!</v>
      </c>
      <c r="QBG247" s="29" t="e">
        <f t="shared" si="226"/>
        <v>#REF!</v>
      </c>
      <c r="QBH247" s="29" t="e">
        <f t="shared" si="226"/>
        <v>#REF!</v>
      </c>
      <c r="QBI247" s="29" t="e">
        <f t="shared" si="226"/>
        <v>#REF!</v>
      </c>
      <c r="QBJ247" s="29" t="e">
        <f t="shared" si="226"/>
        <v>#REF!</v>
      </c>
      <c r="QBK247" s="29" t="e">
        <f t="shared" si="226"/>
        <v>#REF!</v>
      </c>
      <c r="QBL247" s="29" t="e">
        <f t="shared" si="226"/>
        <v>#REF!</v>
      </c>
      <c r="QBM247" s="29" t="e">
        <f t="shared" si="226"/>
        <v>#REF!</v>
      </c>
      <c r="QBN247" s="29" t="e">
        <f t="shared" si="226"/>
        <v>#REF!</v>
      </c>
      <c r="QBO247" s="29" t="e">
        <f t="shared" si="226"/>
        <v>#REF!</v>
      </c>
      <c r="QBP247" s="29" t="e">
        <f t="shared" si="226"/>
        <v>#REF!</v>
      </c>
      <c r="QBQ247" s="29" t="e">
        <f t="shared" si="226"/>
        <v>#REF!</v>
      </c>
      <c r="QBR247" s="29" t="e">
        <f t="shared" si="226"/>
        <v>#REF!</v>
      </c>
      <c r="QBS247" s="29" t="e">
        <f t="shared" si="226"/>
        <v>#REF!</v>
      </c>
      <c r="QBT247" s="29" t="e">
        <f t="shared" si="226"/>
        <v>#REF!</v>
      </c>
      <c r="QBU247" s="29" t="e">
        <f t="shared" si="226"/>
        <v>#REF!</v>
      </c>
      <c r="QBV247" s="29" t="e">
        <f t="shared" si="226"/>
        <v>#REF!</v>
      </c>
      <c r="QBW247" s="29" t="e">
        <f t="shared" si="226"/>
        <v>#REF!</v>
      </c>
      <c r="QBX247" s="29" t="e">
        <f t="shared" si="226"/>
        <v>#REF!</v>
      </c>
      <c r="QBY247" s="29" t="e">
        <f t="shared" si="226"/>
        <v>#REF!</v>
      </c>
      <c r="QBZ247" s="29" t="e">
        <f t="shared" si="226"/>
        <v>#REF!</v>
      </c>
      <c r="QCA247" s="29" t="e">
        <f t="shared" si="226"/>
        <v>#REF!</v>
      </c>
      <c r="QCB247" s="29" t="e">
        <f t="shared" si="226"/>
        <v>#REF!</v>
      </c>
      <c r="QCC247" s="29" t="e">
        <f t="shared" si="226"/>
        <v>#REF!</v>
      </c>
      <c r="QCD247" s="29" t="e">
        <f t="shared" si="226"/>
        <v>#REF!</v>
      </c>
      <c r="QCE247" s="29" t="e">
        <f t="shared" si="226"/>
        <v>#REF!</v>
      </c>
      <c r="QCF247" s="29" t="e">
        <f t="shared" si="226"/>
        <v>#REF!</v>
      </c>
      <c r="QCG247" s="29" t="e">
        <f t="shared" si="226"/>
        <v>#REF!</v>
      </c>
      <c r="QCH247" s="29" t="e">
        <f t="shared" si="226"/>
        <v>#REF!</v>
      </c>
      <c r="QCI247" s="29" t="e">
        <f t="shared" si="226"/>
        <v>#REF!</v>
      </c>
      <c r="QCJ247" s="29" t="e">
        <f t="shared" si="226"/>
        <v>#REF!</v>
      </c>
      <c r="QCK247" s="29" t="e">
        <f t="shared" si="226"/>
        <v>#REF!</v>
      </c>
      <c r="QCL247" s="29" t="e">
        <f t="shared" si="226"/>
        <v>#REF!</v>
      </c>
      <c r="QCM247" s="29" t="e">
        <f t="shared" si="226"/>
        <v>#REF!</v>
      </c>
      <c r="QCN247" s="29" t="e">
        <f t="shared" si="226"/>
        <v>#REF!</v>
      </c>
      <c r="QCO247" s="29" t="e">
        <f t="shared" si="226"/>
        <v>#REF!</v>
      </c>
      <c r="QCP247" s="29" t="e">
        <f t="shared" si="226"/>
        <v>#REF!</v>
      </c>
      <c r="QCQ247" s="29" t="e">
        <f t="shared" si="226"/>
        <v>#REF!</v>
      </c>
      <c r="QCR247" s="29" t="e">
        <f t="shared" si="226"/>
        <v>#REF!</v>
      </c>
      <c r="QCS247" s="29" t="e">
        <f t="shared" si="226"/>
        <v>#REF!</v>
      </c>
      <c r="QCT247" s="29" t="e">
        <f t="shared" si="226"/>
        <v>#REF!</v>
      </c>
      <c r="QCU247" s="29" t="e">
        <f t="shared" si="226"/>
        <v>#REF!</v>
      </c>
      <c r="QCV247" s="29" t="e">
        <f t="shared" si="226"/>
        <v>#REF!</v>
      </c>
      <c r="QCW247" s="29" t="e">
        <f t="shared" si="226"/>
        <v>#REF!</v>
      </c>
      <c r="QCX247" s="29" t="e">
        <f t="shared" si="226"/>
        <v>#REF!</v>
      </c>
      <c r="QCY247" s="29" t="e">
        <f t="shared" si="226"/>
        <v>#REF!</v>
      </c>
      <c r="QCZ247" s="29" t="e">
        <f t="shared" si="226"/>
        <v>#REF!</v>
      </c>
      <c r="QDA247" s="29" t="e">
        <f t="shared" si="226"/>
        <v>#REF!</v>
      </c>
      <c r="QDB247" s="29" t="e">
        <f t="shared" si="226"/>
        <v>#REF!</v>
      </c>
      <c r="QDC247" s="29" t="e">
        <f t="shared" si="226"/>
        <v>#REF!</v>
      </c>
      <c r="QDD247" s="29" t="e">
        <f t="shared" si="226"/>
        <v>#REF!</v>
      </c>
      <c r="QDE247" s="29" t="e">
        <f t="shared" ref="QDE247:QFP247" si="227">QDI247&amp;QDJ247</f>
        <v>#REF!</v>
      </c>
      <c r="QDF247" s="29" t="e">
        <f t="shared" si="227"/>
        <v>#REF!</v>
      </c>
      <c r="QDG247" s="29" t="e">
        <f t="shared" si="227"/>
        <v>#REF!</v>
      </c>
      <c r="QDH247" s="29" t="e">
        <f t="shared" si="227"/>
        <v>#REF!</v>
      </c>
      <c r="QDI247" s="29" t="e">
        <f t="shared" si="227"/>
        <v>#REF!</v>
      </c>
      <c r="QDJ247" s="29" t="e">
        <f t="shared" si="227"/>
        <v>#REF!</v>
      </c>
      <c r="QDK247" s="29" t="e">
        <f t="shared" si="227"/>
        <v>#REF!</v>
      </c>
      <c r="QDL247" s="29" t="e">
        <f t="shared" si="227"/>
        <v>#REF!</v>
      </c>
      <c r="QDM247" s="29" t="e">
        <f t="shared" si="227"/>
        <v>#REF!</v>
      </c>
      <c r="QDN247" s="29" t="e">
        <f t="shared" si="227"/>
        <v>#REF!</v>
      </c>
      <c r="QDO247" s="29" t="e">
        <f t="shared" si="227"/>
        <v>#REF!</v>
      </c>
      <c r="QDP247" s="29" t="e">
        <f t="shared" si="227"/>
        <v>#REF!</v>
      </c>
      <c r="QDQ247" s="29" t="e">
        <f t="shared" si="227"/>
        <v>#REF!</v>
      </c>
      <c r="QDR247" s="29" t="e">
        <f t="shared" si="227"/>
        <v>#REF!</v>
      </c>
      <c r="QDS247" s="29" t="e">
        <f t="shared" si="227"/>
        <v>#REF!</v>
      </c>
      <c r="QDT247" s="29" t="e">
        <f t="shared" si="227"/>
        <v>#REF!</v>
      </c>
      <c r="QDU247" s="29" t="e">
        <f t="shared" si="227"/>
        <v>#REF!</v>
      </c>
      <c r="QDV247" s="29" t="e">
        <f t="shared" si="227"/>
        <v>#REF!</v>
      </c>
      <c r="QDW247" s="29" t="e">
        <f t="shared" si="227"/>
        <v>#REF!</v>
      </c>
      <c r="QDX247" s="29" t="e">
        <f t="shared" si="227"/>
        <v>#REF!</v>
      </c>
      <c r="QDY247" s="29" t="e">
        <f t="shared" si="227"/>
        <v>#REF!</v>
      </c>
      <c r="QDZ247" s="29" t="e">
        <f t="shared" si="227"/>
        <v>#REF!</v>
      </c>
      <c r="QEA247" s="29" t="e">
        <f t="shared" si="227"/>
        <v>#REF!</v>
      </c>
      <c r="QEB247" s="29" t="e">
        <f t="shared" si="227"/>
        <v>#REF!</v>
      </c>
      <c r="QEC247" s="29" t="e">
        <f t="shared" si="227"/>
        <v>#REF!</v>
      </c>
      <c r="QED247" s="29" t="e">
        <f t="shared" si="227"/>
        <v>#REF!</v>
      </c>
      <c r="QEE247" s="29" t="e">
        <f t="shared" si="227"/>
        <v>#REF!</v>
      </c>
      <c r="QEF247" s="29" t="e">
        <f t="shared" si="227"/>
        <v>#REF!</v>
      </c>
      <c r="QEG247" s="29" t="e">
        <f t="shared" si="227"/>
        <v>#REF!</v>
      </c>
      <c r="QEH247" s="29" t="e">
        <f t="shared" si="227"/>
        <v>#REF!</v>
      </c>
      <c r="QEI247" s="29" t="e">
        <f t="shared" si="227"/>
        <v>#REF!</v>
      </c>
      <c r="QEJ247" s="29" t="e">
        <f t="shared" si="227"/>
        <v>#REF!</v>
      </c>
      <c r="QEK247" s="29" t="e">
        <f t="shared" si="227"/>
        <v>#REF!</v>
      </c>
      <c r="QEL247" s="29" t="e">
        <f t="shared" si="227"/>
        <v>#REF!</v>
      </c>
      <c r="QEM247" s="29" t="e">
        <f t="shared" si="227"/>
        <v>#REF!</v>
      </c>
      <c r="QEN247" s="29" t="e">
        <f t="shared" si="227"/>
        <v>#REF!</v>
      </c>
      <c r="QEO247" s="29" t="e">
        <f t="shared" si="227"/>
        <v>#REF!</v>
      </c>
      <c r="QEP247" s="29" t="e">
        <f t="shared" si="227"/>
        <v>#REF!</v>
      </c>
      <c r="QEQ247" s="29" t="e">
        <f t="shared" si="227"/>
        <v>#REF!</v>
      </c>
      <c r="QER247" s="29" t="e">
        <f t="shared" si="227"/>
        <v>#REF!</v>
      </c>
      <c r="QES247" s="29" t="e">
        <f t="shared" si="227"/>
        <v>#REF!</v>
      </c>
      <c r="QET247" s="29" t="e">
        <f t="shared" si="227"/>
        <v>#REF!</v>
      </c>
      <c r="QEU247" s="29" t="e">
        <f t="shared" si="227"/>
        <v>#REF!</v>
      </c>
      <c r="QEV247" s="29" t="e">
        <f t="shared" si="227"/>
        <v>#REF!</v>
      </c>
      <c r="QEW247" s="29" t="e">
        <f t="shared" si="227"/>
        <v>#REF!</v>
      </c>
      <c r="QEX247" s="29" t="e">
        <f t="shared" si="227"/>
        <v>#REF!</v>
      </c>
      <c r="QEY247" s="29" t="e">
        <f t="shared" si="227"/>
        <v>#REF!</v>
      </c>
      <c r="QEZ247" s="29" t="e">
        <f t="shared" si="227"/>
        <v>#REF!</v>
      </c>
      <c r="QFA247" s="29" t="e">
        <f t="shared" si="227"/>
        <v>#REF!</v>
      </c>
      <c r="QFB247" s="29" t="e">
        <f t="shared" si="227"/>
        <v>#REF!</v>
      </c>
      <c r="QFC247" s="29" t="e">
        <f t="shared" si="227"/>
        <v>#REF!</v>
      </c>
      <c r="QFD247" s="29" t="e">
        <f t="shared" si="227"/>
        <v>#REF!</v>
      </c>
      <c r="QFE247" s="29" t="e">
        <f t="shared" si="227"/>
        <v>#REF!</v>
      </c>
      <c r="QFF247" s="29" t="e">
        <f t="shared" si="227"/>
        <v>#REF!</v>
      </c>
      <c r="QFG247" s="29" t="e">
        <f t="shared" si="227"/>
        <v>#REF!</v>
      </c>
      <c r="QFH247" s="29" t="e">
        <f t="shared" si="227"/>
        <v>#REF!</v>
      </c>
      <c r="QFI247" s="29" t="e">
        <f t="shared" si="227"/>
        <v>#REF!</v>
      </c>
      <c r="QFJ247" s="29" t="e">
        <f t="shared" si="227"/>
        <v>#REF!</v>
      </c>
      <c r="QFK247" s="29" t="e">
        <f t="shared" si="227"/>
        <v>#REF!</v>
      </c>
      <c r="QFL247" s="29" t="e">
        <f t="shared" si="227"/>
        <v>#REF!</v>
      </c>
      <c r="QFM247" s="29" t="e">
        <f t="shared" si="227"/>
        <v>#REF!</v>
      </c>
      <c r="QFN247" s="29" t="e">
        <f t="shared" si="227"/>
        <v>#REF!</v>
      </c>
      <c r="QFO247" s="29" t="e">
        <f t="shared" si="227"/>
        <v>#REF!</v>
      </c>
      <c r="QFP247" s="29" t="e">
        <f t="shared" si="227"/>
        <v>#REF!</v>
      </c>
      <c r="QFQ247" s="29" t="e">
        <f t="shared" ref="QFQ247:QIB247" si="228">QFU247&amp;QFV247</f>
        <v>#REF!</v>
      </c>
      <c r="QFR247" s="29" t="e">
        <f t="shared" si="228"/>
        <v>#REF!</v>
      </c>
      <c r="QFS247" s="29" t="e">
        <f t="shared" si="228"/>
        <v>#REF!</v>
      </c>
      <c r="QFT247" s="29" t="e">
        <f t="shared" si="228"/>
        <v>#REF!</v>
      </c>
      <c r="QFU247" s="29" t="e">
        <f t="shared" si="228"/>
        <v>#REF!</v>
      </c>
      <c r="QFV247" s="29" t="e">
        <f t="shared" si="228"/>
        <v>#REF!</v>
      </c>
      <c r="QFW247" s="29" t="e">
        <f t="shared" si="228"/>
        <v>#REF!</v>
      </c>
      <c r="QFX247" s="29" t="e">
        <f t="shared" si="228"/>
        <v>#REF!</v>
      </c>
      <c r="QFY247" s="29" t="e">
        <f t="shared" si="228"/>
        <v>#REF!</v>
      </c>
      <c r="QFZ247" s="29" t="e">
        <f t="shared" si="228"/>
        <v>#REF!</v>
      </c>
      <c r="QGA247" s="29" t="e">
        <f t="shared" si="228"/>
        <v>#REF!</v>
      </c>
      <c r="QGB247" s="29" t="e">
        <f t="shared" si="228"/>
        <v>#REF!</v>
      </c>
      <c r="QGC247" s="29" t="e">
        <f t="shared" si="228"/>
        <v>#REF!</v>
      </c>
      <c r="QGD247" s="29" t="e">
        <f t="shared" si="228"/>
        <v>#REF!</v>
      </c>
      <c r="QGE247" s="29" t="e">
        <f t="shared" si="228"/>
        <v>#REF!</v>
      </c>
      <c r="QGF247" s="29" t="e">
        <f t="shared" si="228"/>
        <v>#REF!</v>
      </c>
      <c r="QGG247" s="29" t="e">
        <f t="shared" si="228"/>
        <v>#REF!</v>
      </c>
      <c r="QGH247" s="29" t="e">
        <f t="shared" si="228"/>
        <v>#REF!</v>
      </c>
      <c r="QGI247" s="29" t="e">
        <f t="shared" si="228"/>
        <v>#REF!</v>
      </c>
      <c r="QGJ247" s="29" t="e">
        <f t="shared" si="228"/>
        <v>#REF!</v>
      </c>
      <c r="QGK247" s="29" t="e">
        <f t="shared" si="228"/>
        <v>#REF!</v>
      </c>
      <c r="QGL247" s="29" t="e">
        <f t="shared" si="228"/>
        <v>#REF!</v>
      </c>
      <c r="QGM247" s="29" t="e">
        <f t="shared" si="228"/>
        <v>#REF!</v>
      </c>
      <c r="QGN247" s="29" t="e">
        <f t="shared" si="228"/>
        <v>#REF!</v>
      </c>
      <c r="QGO247" s="29" t="e">
        <f t="shared" si="228"/>
        <v>#REF!</v>
      </c>
      <c r="QGP247" s="29" t="e">
        <f t="shared" si="228"/>
        <v>#REF!</v>
      </c>
      <c r="QGQ247" s="29" t="e">
        <f t="shared" si="228"/>
        <v>#REF!</v>
      </c>
      <c r="QGR247" s="29" t="e">
        <f t="shared" si="228"/>
        <v>#REF!</v>
      </c>
      <c r="QGS247" s="29" t="e">
        <f t="shared" si="228"/>
        <v>#REF!</v>
      </c>
      <c r="QGT247" s="29" t="e">
        <f t="shared" si="228"/>
        <v>#REF!</v>
      </c>
      <c r="QGU247" s="29" t="e">
        <f t="shared" si="228"/>
        <v>#REF!</v>
      </c>
      <c r="QGV247" s="29" t="e">
        <f t="shared" si="228"/>
        <v>#REF!</v>
      </c>
      <c r="QGW247" s="29" t="e">
        <f t="shared" si="228"/>
        <v>#REF!</v>
      </c>
      <c r="QGX247" s="29" t="e">
        <f t="shared" si="228"/>
        <v>#REF!</v>
      </c>
      <c r="QGY247" s="29" t="e">
        <f t="shared" si="228"/>
        <v>#REF!</v>
      </c>
      <c r="QGZ247" s="29" t="e">
        <f t="shared" si="228"/>
        <v>#REF!</v>
      </c>
      <c r="QHA247" s="29" t="e">
        <f t="shared" si="228"/>
        <v>#REF!</v>
      </c>
      <c r="QHB247" s="29" t="e">
        <f t="shared" si="228"/>
        <v>#REF!</v>
      </c>
      <c r="QHC247" s="29" t="e">
        <f t="shared" si="228"/>
        <v>#REF!</v>
      </c>
      <c r="QHD247" s="29" t="e">
        <f t="shared" si="228"/>
        <v>#REF!</v>
      </c>
      <c r="QHE247" s="29" t="e">
        <f t="shared" si="228"/>
        <v>#REF!</v>
      </c>
      <c r="QHF247" s="29" t="e">
        <f t="shared" si="228"/>
        <v>#REF!</v>
      </c>
      <c r="QHG247" s="29" t="e">
        <f t="shared" si="228"/>
        <v>#REF!</v>
      </c>
      <c r="QHH247" s="29" t="e">
        <f t="shared" si="228"/>
        <v>#REF!</v>
      </c>
      <c r="QHI247" s="29" t="e">
        <f t="shared" si="228"/>
        <v>#REF!</v>
      </c>
      <c r="QHJ247" s="29" t="e">
        <f t="shared" si="228"/>
        <v>#REF!</v>
      </c>
      <c r="QHK247" s="29" t="e">
        <f t="shared" si="228"/>
        <v>#REF!</v>
      </c>
      <c r="QHL247" s="29" t="e">
        <f t="shared" si="228"/>
        <v>#REF!</v>
      </c>
      <c r="QHM247" s="29" t="e">
        <f t="shared" si="228"/>
        <v>#REF!</v>
      </c>
      <c r="QHN247" s="29" t="e">
        <f t="shared" si="228"/>
        <v>#REF!</v>
      </c>
      <c r="QHO247" s="29" t="e">
        <f t="shared" si="228"/>
        <v>#REF!</v>
      </c>
      <c r="QHP247" s="29" t="e">
        <f t="shared" si="228"/>
        <v>#REF!</v>
      </c>
      <c r="QHQ247" s="29" t="e">
        <f t="shared" si="228"/>
        <v>#REF!</v>
      </c>
      <c r="QHR247" s="29" t="e">
        <f t="shared" si="228"/>
        <v>#REF!</v>
      </c>
      <c r="QHS247" s="29" t="e">
        <f t="shared" si="228"/>
        <v>#REF!</v>
      </c>
      <c r="QHT247" s="29" t="e">
        <f t="shared" si="228"/>
        <v>#REF!</v>
      </c>
      <c r="QHU247" s="29" t="e">
        <f t="shared" si="228"/>
        <v>#REF!</v>
      </c>
      <c r="QHV247" s="29" t="e">
        <f t="shared" si="228"/>
        <v>#REF!</v>
      </c>
      <c r="QHW247" s="29" t="e">
        <f t="shared" si="228"/>
        <v>#REF!</v>
      </c>
      <c r="QHX247" s="29" t="e">
        <f t="shared" si="228"/>
        <v>#REF!</v>
      </c>
      <c r="QHY247" s="29" t="e">
        <f t="shared" si="228"/>
        <v>#REF!</v>
      </c>
      <c r="QHZ247" s="29" t="e">
        <f t="shared" si="228"/>
        <v>#REF!</v>
      </c>
      <c r="QIA247" s="29" t="e">
        <f t="shared" si="228"/>
        <v>#REF!</v>
      </c>
      <c r="QIB247" s="29" t="e">
        <f t="shared" si="228"/>
        <v>#REF!</v>
      </c>
      <c r="QIC247" s="29" t="e">
        <f t="shared" ref="QIC247:QKN247" si="229">QIG247&amp;QIH247</f>
        <v>#REF!</v>
      </c>
      <c r="QID247" s="29" t="e">
        <f t="shared" si="229"/>
        <v>#REF!</v>
      </c>
      <c r="QIE247" s="29" t="e">
        <f t="shared" si="229"/>
        <v>#REF!</v>
      </c>
      <c r="QIF247" s="29" t="e">
        <f t="shared" si="229"/>
        <v>#REF!</v>
      </c>
      <c r="QIG247" s="29" t="e">
        <f t="shared" si="229"/>
        <v>#REF!</v>
      </c>
      <c r="QIH247" s="29" t="e">
        <f t="shared" si="229"/>
        <v>#REF!</v>
      </c>
      <c r="QII247" s="29" t="e">
        <f t="shared" si="229"/>
        <v>#REF!</v>
      </c>
      <c r="QIJ247" s="29" t="e">
        <f t="shared" si="229"/>
        <v>#REF!</v>
      </c>
      <c r="QIK247" s="29" t="e">
        <f t="shared" si="229"/>
        <v>#REF!</v>
      </c>
      <c r="QIL247" s="29" t="e">
        <f t="shared" si="229"/>
        <v>#REF!</v>
      </c>
      <c r="QIM247" s="29" t="e">
        <f t="shared" si="229"/>
        <v>#REF!</v>
      </c>
      <c r="QIN247" s="29" t="e">
        <f t="shared" si="229"/>
        <v>#REF!</v>
      </c>
      <c r="QIO247" s="29" t="e">
        <f t="shared" si="229"/>
        <v>#REF!</v>
      </c>
      <c r="QIP247" s="29" t="e">
        <f t="shared" si="229"/>
        <v>#REF!</v>
      </c>
      <c r="QIQ247" s="29" t="e">
        <f t="shared" si="229"/>
        <v>#REF!</v>
      </c>
      <c r="QIR247" s="29" t="e">
        <f t="shared" si="229"/>
        <v>#REF!</v>
      </c>
      <c r="QIS247" s="29" t="e">
        <f t="shared" si="229"/>
        <v>#REF!</v>
      </c>
      <c r="QIT247" s="29" t="e">
        <f t="shared" si="229"/>
        <v>#REF!</v>
      </c>
      <c r="QIU247" s="29" t="e">
        <f t="shared" si="229"/>
        <v>#REF!</v>
      </c>
      <c r="QIV247" s="29" t="e">
        <f t="shared" si="229"/>
        <v>#REF!</v>
      </c>
      <c r="QIW247" s="29" t="e">
        <f t="shared" si="229"/>
        <v>#REF!</v>
      </c>
      <c r="QIX247" s="29" t="e">
        <f t="shared" si="229"/>
        <v>#REF!</v>
      </c>
      <c r="QIY247" s="29" t="e">
        <f t="shared" si="229"/>
        <v>#REF!</v>
      </c>
      <c r="QIZ247" s="29" t="e">
        <f t="shared" si="229"/>
        <v>#REF!</v>
      </c>
      <c r="QJA247" s="29" t="e">
        <f t="shared" si="229"/>
        <v>#REF!</v>
      </c>
      <c r="QJB247" s="29" t="e">
        <f t="shared" si="229"/>
        <v>#REF!</v>
      </c>
      <c r="QJC247" s="29" t="e">
        <f t="shared" si="229"/>
        <v>#REF!</v>
      </c>
      <c r="QJD247" s="29" t="e">
        <f t="shared" si="229"/>
        <v>#REF!</v>
      </c>
      <c r="QJE247" s="29" t="e">
        <f t="shared" si="229"/>
        <v>#REF!</v>
      </c>
      <c r="QJF247" s="29" t="e">
        <f t="shared" si="229"/>
        <v>#REF!</v>
      </c>
      <c r="QJG247" s="29" t="e">
        <f t="shared" si="229"/>
        <v>#REF!</v>
      </c>
      <c r="QJH247" s="29" t="e">
        <f t="shared" si="229"/>
        <v>#REF!</v>
      </c>
      <c r="QJI247" s="29" t="e">
        <f t="shared" si="229"/>
        <v>#REF!</v>
      </c>
      <c r="QJJ247" s="29" t="e">
        <f t="shared" si="229"/>
        <v>#REF!</v>
      </c>
      <c r="QJK247" s="29" t="e">
        <f t="shared" si="229"/>
        <v>#REF!</v>
      </c>
      <c r="QJL247" s="29" t="e">
        <f t="shared" si="229"/>
        <v>#REF!</v>
      </c>
      <c r="QJM247" s="29" t="e">
        <f t="shared" si="229"/>
        <v>#REF!</v>
      </c>
      <c r="QJN247" s="29" t="e">
        <f t="shared" si="229"/>
        <v>#REF!</v>
      </c>
      <c r="QJO247" s="29" t="e">
        <f t="shared" si="229"/>
        <v>#REF!</v>
      </c>
      <c r="QJP247" s="29" t="e">
        <f t="shared" si="229"/>
        <v>#REF!</v>
      </c>
      <c r="QJQ247" s="29" t="e">
        <f t="shared" si="229"/>
        <v>#REF!</v>
      </c>
      <c r="QJR247" s="29" t="e">
        <f t="shared" si="229"/>
        <v>#REF!</v>
      </c>
      <c r="QJS247" s="29" t="e">
        <f t="shared" si="229"/>
        <v>#REF!</v>
      </c>
      <c r="QJT247" s="29" t="e">
        <f t="shared" si="229"/>
        <v>#REF!</v>
      </c>
      <c r="QJU247" s="29" t="e">
        <f t="shared" si="229"/>
        <v>#REF!</v>
      </c>
      <c r="QJV247" s="29" t="e">
        <f t="shared" si="229"/>
        <v>#REF!</v>
      </c>
      <c r="QJW247" s="29" t="e">
        <f t="shared" si="229"/>
        <v>#REF!</v>
      </c>
      <c r="QJX247" s="29" t="e">
        <f t="shared" si="229"/>
        <v>#REF!</v>
      </c>
      <c r="QJY247" s="29" t="e">
        <f t="shared" si="229"/>
        <v>#REF!</v>
      </c>
      <c r="QJZ247" s="29" t="e">
        <f t="shared" si="229"/>
        <v>#REF!</v>
      </c>
      <c r="QKA247" s="29" t="e">
        <f t="shared" si="229"/>
        <v>#REF!</v>
      </c>
      <c r="QKB247" s="29" t="e">
        <f t="shared" si="229"/>
        <v>#REF!</v>
      </c>
      <c r="QKC247" s="29" t="e">
        <f t="shared" si="229"/>
        <v>#REF!</v>
      </c>
      <c r="QKD247" s="29" t="e">
        <f t="shared" si="229"/>
        <v>#REF!</v>
      </c>
      <c r="QKE247" s="29" t="e">
        <f t="shared" si="229"/>
        <v>#REF!</v>
      </c>
      <c r="QKF247" s="29" t="e">
        <f t="shared" si="229"/>
        <v>#REF!</v>
      </c>
      <c r="QKG247" s="29" t="e">
        <f t="shared" si="229"/>
        <v>#REF!</v>
      </c>
      <c r="QKH247" s="29" t="e">
        <f t="shared" si="229"/>
        <v>#REF!</v>
      </c>
      <c r="QKI247" s="29" t="e">
        <f t="shared" si="229"/>
        <v>#REF!</v>
      </c>
      <c r="QKJ247" s="29" t="e">
        <f t="shared" si="229"/>
        <v>#REF!</v>
      </c>
      <c r="QKK247" s="29" t="e">
        <f t="shared" si="229"/>
        <v>#REF!</v>
      </c>
      <c r="QKL247" s="29" t="e">
        <f t="shared" si="229"/>
        <v>#REF!</v>
      </c>
      <c r="QKM247" s="29" t="e">
        <f t="shared" si="229"/>
        <v>#REF!</v>
      </c>
      <c r="QKN247" s="29" t="e">
        <f t="shared" si="229"/>
        <v>#REF!</v>
      </c>
      <c r="QKO247" s="29" t="e">
        <f t="shared" ref="QKO247:QMZ247" si="230">QKS247&amp;QKT247</f>
        <v>#REF!</v>
      </c>
      <c r="QKP247" s="29" t="e">
        <f t="shared" si="230"/>
        <v>#REF!</v>
      </c>
      <c r="QKQ247" s="29" t="e">
        <f t="shared" si="230"/>
        <v>#REF!</v>
      </c>
      <c r="QKR247" s="29" t="e">
        <f t="shared" si="230"/>
        <v>#REF!</v>
      </c>
      <c r="QKS247" s="29" t="e">
        <f t="shared" si="230"/>
        <v>#REF!</v>
      </c>
      <c r="QKT247" s="29" t="e">
        <f t="shared" si="230"/>
        <v>#REF!</v>
      </c>
      <c r="QKU247" s="29" t="e">
        <f t="shared" si="230"/>
        <v>#REF!</v>
      </c>
      <c r="QKV247" s="29" t="e">
        <f t="shared" si="230"/>
        <v>#REF!</v>
      </c>
      <c r="QKW247" s="29" t="e">
        <f t="shared" si="230"/>
        <v>#REF!</v>
      </c>
      <c r="QKX247" s="29" t="e">
        <f t="shared" si="230"/>
        <v>#REF!</v>
      </c>
      <c r="QKY247" s="29" t="e">
        <f t="shared" si="230"/>
        <v>#REF!</v>
      </c>
      <c r="QKZ247" s="29" t="e">
        <f t="shared" si="230"/>
        <v>#REF!</v>
      </c>
      <c r="QLA247" s="29" t="e">
        <f t="shared" si="230"/>
        <v>#REF!</v>
      </c>
      <c r="QLB247" s="29" t="e">
        <f t="shared" si="230"/>
        <v>#REF!</v>
      </c>
      <c r="QLC247" s="29" t="e">
        <f t="shared" si="230"/>
        <v>#REF!</v>
      </c>
      <c r="QLD247" s="29" t="e">
        <f t="shared" si="230"/>
        <v>#REF!</v>
      </c>
      <c r="QLE247" s="29" t="e">
        <f t="shared" si="230"/>
        <v>#REF!</v>
      </c>
      <c r="QLF247" s="29" t="e">
        <f t="shared" si="230"/>
        <v>#REF!</v>
      </c>
      <c r="QLG247" s="29" t="e">
        <f t="shared" si="230"/>
        <v>#REF!</v>
      </c>
      <c r="QLH247" s="29" t="e">
        <f t="shared" si="230"/>
        <v>#REF!</v>
      </c>
      <c r="QLI247" s="29" t="e">
        <f t="shared" si="230"/>
        <v>#REF!</v>
      </c>
      <c r="QLJ247" s="29" t="e">
        <f t="shared" si="230"/>
        <v>#REF!</v>
      </c>
      <c r="QLK247" s="29" t="e">
        <f t="shared" si="230"/>
        <v>#REF!</v>
      </c>
      <c r="QLL247" s="29" t="e">
        <f t="shared" si="230"/>
        <v>#REF!</v>
      </c>
      <c r="QLM247" s="29" t="e">
        <f t="shared" si="230"/>
        <v>#REF!</v>
      </c>
      <c r="QLN247" s="29" t="e">
        <f t="shared" si="230"/>
        <v>#REF!</v>
      </c>
      <c r="QLO247" s="29" t="e">
        <f t="shared" si="230"/>
        <v>#REF!</v>
      </c>
      <c r="QLP247" s="29" t="e">
        <f t="shared" si="230"/>
        <v>#REF!</v>
      </c>
      <c r="QLQ247" s="29" t="e">
        <f t="shared" si="230"/>
        <v>#REF!</v>
      </c>
      <c r="QLR247" s="29" t="e">
        <f t="shared" si="230"/>
        <v>#REF!</v>
      </c>
      <c r="QLS247" s="29" t="e">
        <f t="shared" si="230"/>
        <v>#REF!</v>
      </c>
      <c r="QLT247" s="29" t="e">
        <f t="shared" si="230"/>
        <v>#REF!</v>
      </c>
      <c r="QLU247" s="29" t="e">
        <f t="shared" si="230"/>
        <v>#REF!</v>
      </c>
      <c r="QLV247" s="29" t="e">
        <f t="shared" si="230"/>
        <v>#REF!</v>
      </c>
      <c r="QLW247" s="29" t="e">
        <f t="shared" si="230"/>
        <v>#REF!</v>
      </c>
      <c r="QLX247" s="29" t="e">
        <f t="shared" si="230"/>
        <v>#REF!</v>
      </c>
      <c r="QLY247" s="29" t="e">
        <f t="shared" si="230"/>
        <v>#REF!</v>
      </c>
      <c r="QLZ247" s="29" t="e">
        <f t="shared" si="230"/>
        <v>#REF!</v>
      </c>
      <c r="QMA247" s="29" t="e">
        <f t="shared" si="230"/>
        <v>#REF!</v>
      </c>
      <c r="QMB247" s="29" t="e">
        <f t="shared" si="230"/>
        <v>#REF!</v>
      </c>
      <c r="QMC247" s="29" t="e">
        <f t="shared" si="230"/>
        <v>#REF!</v>
      </c>
      <c r="QMD247" s="29" t="e">
        <f t="shared" si="230"/>
        <v>#REF!</v>
      </c>
      <c r="QME247" s="29" t="e">
        <f t="shared" si="230"/>
        <v>#REF!</v>
      </c>
      <c r="QMF247" s="29" t="e">
        <f t="shared" si="230"/>
        <v>#REF!</v>
      </c>
      <c r="QMG247" s="29" t="e">
        <f t="shared" si="230"/>
        <v>#REF!</v>
      </c>
      <c r="QMH247" s="29" t="e">
        <f t="shared" si="230"/>
        <v>#REF!</v>
      </c>
      <c r="QMI247" s="29" t="e">
        <f t="shared" si="230"/>
        <v>#REF!</v>
      </c>
      <c r="QMJ247" s="29" t="e">
        <f t="shared" si="230"/>
        <v>#REF!</v>
      </c>
      <c r="QMK247" s="29" t="e">
        <f t="shared" si="230"/>
        <v>#REF!</v>
      </c>
      <c r="QML247" s="29" t="e">
        <f t="shared" si="230"/>
        <v>#REF!</v>
      </c>
      <c r="QMM247" s="29" t="e">
        <f t="shared" si="230"/>
        <v>#REF!</v>
      </c>
      <c r="QMN247" s="29" t="e">
        <f t="shared" si="230"/>
        <v>#REF!</v>
      </c>
      <c r="QMO247" s="29" t="e">
        <f t="shared" si="230"/>
        <v>#REF!</v>
      </c>
      <c r="QMP247" s="29" t="e">
        <f t="shared" si="230"/>
        <v>#REF!</v>
      </c>
      <c r="QMQ247" s="29" t="e">
        <f t="shared" si="230"/>
        <v>#REF!</v>
      </c>
      <c r="QMR247" s="29" t="e">
        <f t="shared" si="230"/>
        <v>#REF!</v>
      </c>
      <c r="QMS247" s="29" t="e">
        <f t="shared" si="230"/>
        <v>#REF!</v>
      </c>
      <c r="QMT247" s="29" t="e">
        <f t="shared" si="230"/>
        <v>#REF!</v>
      </c>
      <c r="QMU247" s="29" t="e">
        <f t="shared" si="230"/>
        <v>#REF!</v>
      </c>
      <c r="QMV247" s="29" t="e">
        <f t="shared" si="230"/>
        <v>#REF!</v>
      </c>
      <c r="QMW247" s="29" t="e">
        <f t="shared" si="230"/>
        <v>#REF!</v>
      </c>
      <c r="QMX247" s="29" t="e">
        <f t="shared" si="230"/>
        <v>#REF!</v>
      </c>
      <c r="QMY247" s="29" t="e">
        <f t="shared" si="230"/>
        <v>#REF!</v>
      </c>
      <c r="QMZ247" s="29" t="e">
        <f t="shared" si="230"/>
        <v>#REF!</v>
      </c>
      <c r="QNA247" s="29" t="e">
        <f t="shared" ref="QNA247:QPL247" si="231">QNE247&amp;QNF247</f>
        <v>#REF!</v>
      </c>
      <c r="QNB247" s="29" t="e">
        <f t="shared" si="231"/>
        <v>#REF!</v>
      </c>
      <c r="QNC247" s="29" t="e">
        <f t="shared" si="231"/>
        <v>#REF!</v>
      </c>
      <c r="QND247" s="29" t="e">
        <f t="shared" si="231"/>
        <v>#REF!</v>
      </c>
      <c r="QNE247" s="29" t="e">
        <f t="shared" si="231"/>
        <v>#REF!</v>
      </c>
      <c r="QNF247" s="29" t="e">
        <f t="shared" si="231"/>
        <v>#REF!</v>
      </c>
      <c r="QNG247" s="29" t="e">
        <f t="shared" si="231"/>
        <v>#REF!</v>
      </c>
      <c r="QNH247" s="29" t="e">
        <f t="shared" si="231"/>
        <v>#REF!</v>
      </c>
      <c r="QNI247" s="29" t="e">
        <f t="shared" si="231"/>
        <v>#REF!</v>
      </c>
      <c r="QNJ247" s="29" t="e">
        <f t="shared" si="231"/>
        <v>#REF!</v>
      </c>
      <c r="QNK247" s="29" t="e">
        <f t="shared" si="231"/>
        <v>#REF!</v>
      </c>
      <c r="QNL247" s="29" t="e">
        <f t="shared" si="231"/>
        <v>#REF!</v>
      </c>
      <c r="QNM247" s="29" t="e">
        <f t="shared" si="231"/>
        <v>#REF!</v>
      </c>
      <c r="QNN247" s="29" t="e">
        <f t="shared" si="231"/>
        <v>#REF!</v>
      </c>
      <c r="QNO247" s="29" t="e">
        <f t="shared" si="231"/>
        <v>#REF!</v>
      </c>
      <c r="QNP247" s="29" t="e">
        <f t="shared" si="231"/>
        <v>#REF!</v>
      </c>
      <c r="QNQ247" s="29" t="e">
        <f t="shared" si="231"/>
        <v>#REF!</v>
      </c>
      <c r="QNR247" s="29" t="e">
        <f t="shared" si="231"/>
        <v>#REF!</v>
      </c>
      <c r="QNS247" s="29" t="e">
        <f t="shared" si="231"/>
        <v>#REF!</v>
      </c>
      <c r="QNT247" s="29" t="e">
        <f t="shared" si="231"/>
        <v>#REF!</v>
      </c>
      <c r="QNU247" s="29" t="e">
        <f t="shared" si="231"/>
        <v>#REF!</v>
      </c>
      <c r="QNV247" s="29" t="e">
        <f t="shared" si="231"/>
        <v>#REF!</v>
      </c>
      <c r="QNW247" s="29" t="e">
        <f t="shared" si="231"/>
        <v>#REF!</v>
      </c>
      <c r="QNX247" s="29" t="e">
        <f t="shared" si="231"/>
        <v>#REF!</v>
      </c>
      <c r="QNY247" s="29" t="e">
        <f t="shared" si="231"/>
        <v>#REF!</v>
      </c>
      <c r="QNZ247" s="29" t="e">
        <f t="shared" si="231"/>
        <v>#REF!</v>
      </c>
      <c r="QOA247" s="29" t="e">
        <f t="shared" si="231"/>
        <v>#REF!</v>
      </c>
      <c r="QOB247" s="29" t="e">
        <f t="shared" si="231"/>
        <v>#REF!</v>
      </c>
      <c r="QOC247" s="29" t="e">
        <f t="shared" si="231"/>
        <v>#REF!</v>
      </c>
      <c r="QOD247" s="29" t="e">
        <f t="shared" si="231"/>
        <v>#REF!</v>
      </c>
      <c r="QOE247" s="29" t="e">
        <f t="shared" si="231"/>
        <v>#REF!</v>
      </c>
      <c r="QOF247" s="29" t="e">
        <f t="shared" si="231"/>
        <v>#REF!</v>
      </c>
      <c r="QOG247" s="29" t="e">
        <f t="shared" si="231"/>
        <v>#REF!</v>
      </c>
      <c r="QOH247" s="29" t="e">
        <f t="shared" si="231"/>
        <v>#REF!</v>
      </c>
      <c r="QOI247" s="29" t="e">
        <f t="shared" si="231"/>
        <v>#REF!</v>
      </c>
      <c r="QOJ247" s="29" t="e">
        <f t="shared" si="231"/>
        <v>#REF!</v>
      </c>
      <c r="QOK247" s="29" t="e">
        <f t="shared" si="231"/>
        <v>#REF!</v>
      </c>
      <c r="QOL247" s="29" t="e">
        <f t="shared" si="231"/>
        <v>#REF!</v>
      </c>
      <c r="QOM247" s="29" t="e">
        <f t="shared" si="231"/>
        <v>#REF!</v>
      </c>
      <c r="QON247" s="29" t="e">
        <f t="shared" si="231"/>
        <v>#REF!</v>
      </c>
      <c r="QOO247" s="29" t="e">
        <f t="shared" si="231"/>
        <v>#REF!</v>
      </c>
      <c r="QOP247" s="29" t="e">
        <f t="shared" si="231"/>
        <v>#REF!</v>
      </c>
      <c r="QOQ247" s="29" t="e">
        <f t="shared" si="231"/>
        <v>#REF!</v>
      </c>
      <c r="QOR247" s="29" t="e">
        <f t="shared" si="231"/>
        <v>#REF!</v>
      </c>
      <c r="QOS247" s="29" t="e">
        <f t="shared" si="231"/>
        <v>#REF!</v>
      </c>
      <c r="QOT247" s="29" t="e">
        <f t="shared" si="231"/>
        <v>#REF!</v>
      </c>
      <c r="QOU247" s="29" t="e">
        <f t="shared" si="231"/>
        <v>#REF!</v>
      </c>
      <c r="QOV247" s="29" t="e">
        <f t="shared" si="231"/>
        <v>#REF!</v>
      </c>
      <c r="QOW247" s="29" t="e">
        <f t="shared" si="231"/>
        <v>#REF!</v>
      </c>
      <c r="QOX247" s="29" t="e">
        <f t="shared" si="231"/>
        <v>#REF!</v>
      </c>
      <c r="QOY247" s="29" t="e">
        <f t="shared" si="231"/>
        <v>#REF!</v>
      </c>
      <c r="QOZ247" s="29" t="e">
        <f t="shared" si="231"/>
        <v>#REF!</v>
      </c>
      <c r="QPA247" s="29" t="e">
        <f t="shared" si="231"/>
        <v>#REF!</v>
      </c>
      <c r="QPB247" s="29" t="e">
        <f t="shared" si="231"/>
        <v>#REF!</v>
      </c>
      <c r="QPC247" s="29" t="e">
        <f t="shared" si="231"/>
        <v>#REF!</v>
      </c>
      <c r="QPD247" s="29" t="e">
        <f t="shared" si="231"/>
        <v>#REF!</v>
      </c>
      <c r="QPE247" s="29" t="e">
        <f t="shared" si="231"/>
        <v>#REF!</v>
      </c>
      <c r="QPF247" s="29" t="e">
        <f t="shared" si="231"/>
        <v>#REF!</v>
      </c>
      <c r="QPG247" s="29" t="e">
        <f t="shared" si="231"/>
        <v>#REF!</v>
      </c>
      <c r="QPH247" s="29" t="e">
        <f t="shared" si="231"/>
        <v>#REF!</v>
      </c>
      <c r="QPI247" s="29" t="e">
        <f t="shared" si="231"/>
        <v>#REF!</v>
      </c>
      <c r="QPJ247" s="29" t="e">
        <f t="shared" si="231"/>
        <v>#REF!</v>
      </c>
      <c r="QPK247" s="29" t="e">
        <f t="shared" si="231"/>
        <v>#REF!</v>
      </c>
      <c r="QPL247" s="29" t="e">
        <f t="shared" si="231"/>
        <v>#REF!</v>
      </c>
      <c r="QPM247" s="29" t="e">
        <f t="shared" ref="QPM247:QRX247" si="232">QPQ247&amp;QPR247</f>
        <v>#REF!</v>
      </c>
      <c r="QPN247" s="29" t="e">
        <f t="shared" si="232"/>
        <v>#REF!</v>
      </c>
      <c r="QPO247" s="29" t="e">
        <f t="shared" si="232"/>
        <v>#REF!</v>
      </c>
      <c r="QPP247" s="29" t="e">
        <f t="shared" si="232"/>
        <v>#REF!</v>
      </c>
      <c r="QPQ247" s="29" t="e">
        <f t="shared" si="232"/>
        <v>#REF!</v>
      </c>
      <c r="QPR247" s="29" t="e">
        <f t="shared" si="232"/>
        <v>#REF!</v>
      </c>
      <c r="QPS247" s="29" t="e">
        <f t="shared" si="232"/>
        <v>#REF!</v>
      </c>
      <c r="QPT247" s="29" t="e">
        <f t="shared" si="232"/>
        <v>#REF!</v>
      </c>
      <c r="QPU247" s="29" t="e">
        <f t="shared" si="232"/>
        <v>#REF!</v>
      </c>
      <c r="QPV247" s="29" t="e">
        <f t="shared" si="232"/>
        <v>#REF!</v>
      </c>
      <c r="QPW247" s="29" t="e">
        <f t="shared" si="232"/>
        <v>#REF!</v>
      </c>
      <c r="QPX247" s="29" t="e">
        <f t="shared" si="232"/>
        <v>#REF!</v>
      </c>
      <c r="QPY247" s="29" t="e">
        <f t="shared" si="232"/>
        <v>#REF!</v>
      </c>
      <c r="QPZ247" s="29" t="e">
        <f t="shared" si="232"/>
        <v>#REF!</v>
      </c>
      <c r="QQA247" s="29" t="e">
        <f t="shared" si="232"/>
        <v>#REF!</v>
      </c>
      <c r="QQB247" s="29" t="e">
        <f t="shared" si="232"/>
        <v>#REF!</v>
      </c>
      <c r="QQC247" s="29" t="e">
        <f t="shared" si="232"/>
        <v>#REF!</v>
      </c>
      <c r="QQD247" s="29" t="e">
        <f t="shared" si="232"/>
        <v>#REF!</v>
      </c>
      <c r="QQE247" s="29" t="e">
        <f t="shared" si="232"/>
        <v>#REF!</v>
      </c>
      <c r="QQF247" s="29" t="e">
        <f t="shared" si="232"/>
        <v>#REF!</v>
      </c>
      <c r="QQG247" s="29" t="e">
        <f t="shared" si="232"/>
        <v>#REF!</v>
      </c>
      <c r="QQH247" s="29" t="e">
        <f t="shared" si="232"/>
        <v>#REF!</v>
      </c>
      <c r="QQI247" s="29" t="e">
        <f t="shared" si="232"/>
        <v>#REF!</v>
      </c>
      <c r="QQJ247" s="29" t="e">
        <f t="shared" si="232"/>
        <v>#REF!</v>
      </c>
      <c r="QQK247" s="29" t="e">
        <f t="shared" si="232"/>
        <v>#REF!</v>
      </c>
      <c r="QQL247" s="29" t="e">
        <f t="shared" si="232"/>
        <v>#REF!</v>
      </c>
      <c r="QQM247" s="29" t="e">
        <f t="shared" si="232"/>
        <v>#REF!</v>
      </c>
      <c r="QQN247" s="29" t="e">
        <f t="shared" si="232"/>
        <v>#REF!</v>
      </c>
      <c r="QQO247" s="29" t="e">
        <f t="shared" si="232"/>
        <v>#REF!</v>
      </c>
      <c r="QQP247" s="29" t="e">
        <f t="shared" si="232"/>
        <v>#REF!</v>
      </c>
      <c r="QQQ247" s="29" t="e">
        <f t="shared" si="232"/>
        <v>#REF!</v>
      </c>
      <c r="QQR247" s="29" t="e">
        <f t="shared" si="232"/>
        <v>#REF!</v>
      </c>
      <c r="QQS247" s="29" t="e">
        <f t="shared" si="232"/>
        <v>#REF!</v>
      </c>
      <c r="QQT247" s="29" t="e">
        <f t="shared" si="232"/>
        <v>#REF!</v>
      </c>
      <c r="QQU247" s="29" t="e">
        <f t="shared" si="232"/>
        <v>#REF!</v>
      </c>
      <c r="QQV247" s="29" t="e">
        <f t="shared" si="232"/>
        <v>#REF!</v>
      </c>
      <c r="QQW247" s="29" t="e">
        <f t="shared" si="232"/>
        <v>#REF!</v>
      </c>
      <c r="QQX247" s="29" t="e">
        <f t="shared" si="232"/>
        <v>#REF!</v>
      </c>
      <c r="QQY247" s="29" t="e">
        <f t="shared" si="232"/>
        <v>#REF!</v>
      </c>
      <c r="QQZ247" s="29" t="e">
        <f t="shared" si="232"/>
        <v>#REF!</v>
      </c>
      <c r="QRA247" s="29" t="e">
        <f t="shared" si="232"/>
        <v>#REF!</v>
      </c>
      <c r="QRB247" s="29" t="e">
        <f t="shared" si="232"/>
        <v>#REF!</v>
      </c>
      <c r="QRC247" s="29" t="e">
        <f t="shared" si="232"/>
        <v>#REF!</v>
      </c>
      <c r="QRD247" s="29" t="e">
        <f t="shared" si="232"/>
        <v>#REF!</v>
      </c>
      <c r="QRE247" s="29" t="e">
        <f t="shared" si="232"/>
        <v>#REF!</v>
      </c>
      <c r="QRF247" s="29" t="e">
        <f t="shared" si="232"/>
        <v>#REF!</v>
      </c>
      <c r="QRG247" s="29" t="e">
        <f t="shared" si="232"/>
        <v>#REF!</v>
      </c>
      <c r="QRH247" s="29" t="e">
        <f t="shared" si="232"/>
        <v>#REF!</v>
      </c>
      <c r="QRI247" s="29" t="e">
        <f t="shared" si="232"/>
        <v>#REF!</v>
      </c>
      <c r="QRJ247" s="29" t="e">
        <f t="shared" si="232"/>
        <v>#REF!</v>
      </c>
      <c r="QRK247" s="29" t="e">
        <f t="shared" si="232"/>
        <v>#REF!</v>
      </c>
      <c r="QRL247" s="29" t="e">
        <f t="shared" si="232"/>
        <v>#REF!</v>
      </c>
      <c r="QRM247" s="29" t="e">
        <f t="shared" si="232"/>
        <v>#REF!</v>
      </c>
      <c r="QRN247" s="29" t="e">
        <f t="shared" si="232"/>
        <v>#REF!</v>
      </c>
      <c r="QRO247" s="29" t="e">
        <f t="shared" si="232"/>
        <v>#REF!</v>
      </c>
      <c r="QRP247" s="29" t="e">
        <f t="shared" si="232"/>
        <v>#REF!</v>
      </c>
      <c r="QRQ247" s="29" t="e">
        <f t="shared" si="232"/>
        <v>#REF!</v>
      </c>
      <c r="QRR247" s="29" t="e">
        <f t="shared" si="232"/>
        <v>#REF!</v>
      </c>
      <c r="QRS247" s="29" t="e">
        <f t="shared" si="232"/>
        <v>#REF!</v>
      </c>
      <c r="QRT247" s="29" t="e">
        <f t="shared" si="232"/>
        <v>#REF!</v>
      </c>
      <c r="QRU247" s="29" t="e">
        <f t="shared" si="232"/>
        <v>#REF!</v>
      </c>
      <c r="QRV247" s="29" t="e">
        <f t="shared" si="232"/>
        <v>#REF!</v>
      </c>
      <c r="QRW247" s="29" t="e">
        <f t="shared" si="232"/>
        <v>#REF!</v>
      </c>
      <c r="QRX247" s="29" t="e">
        <f t="shared" si="232"/>
        <v>#REF!</v>
      </c>
      <c r="QRY247" s="29" t="e">
        <f t="shared" ref="QRY247:QUJ247" si="233">QSC247&amp;QSD247</f>
        <v>#REF!</v>
      </c>
      <c r="QRZ247" s="29" t="e">
        <f t="shared" si="233"/>
        <v>#REF!</v>
      </c>
      <c r="QSA247" s="29" t="e">
        <f t="shared" si="233"/>
        <v>#REF!</v>
      </c>
      <c r="QSB247" s="29" t="e">
        <f t="shared" si="233"/>
        <v>#REF!</v>
      </c>
      <c r="QSC247" s="29" t="e">
        <f t="shared" si="233"/>
        <v>#REF!</v>
      </c>
      <c r="QSD247" s="29" t="e">
        <f t="shared" si="233"/>
        <v>#REF!</v>
      </c>
      <c r="QSE247" s="29" t="e">
        <f t="shared" si="233"/>
        <v>#REF!</v>
      </c>
      <c r="QSF247" s="29" t="e">
        <f t="shared" si="233"/>
        <v>#REF!</v>
      </c>
      <c r="QSG247" s="29" t="e">
        <f t="shared" si="233"/>
        <v>#REF!</v>
      </c>
      <c r="QSH247" s="29" t="e">
        <f t="shared" si="233"/>
        <v>#REF!</v>
      </c>
      <c r="QSI247" s="29" t="e">
        <f t="shared" si="233"/>
        <v>#REF!</v>
      </c>
      <c r="QSJ247" s="29" t="e">
        <f t="shared" si="233"/>
        <v>#REF!</v>
      </c>
      <c r="QSK247" s="29" t="e">
        <f t="shared" si="233"/>
        <v>#REF!</v>
      </c>
      <c r="QSL247" s="29" t="e">
        <f t="shared" si="233"/>
        <v>#REF!</v>
      </c>
      <c r="QSM247" s="29" t="e">
        <f t="shared" si="233"/>
        <v>#REF!</v>
      </c>
      <c r="QSN247" s="29" t="e">
        <f t="shared" si="233"/>
        <v>#REF!</v>
      </c>
      <c r="QSO247" s="29" t="e">
        <f t="shared" si="233"/>
        <v>#REF!</v>
      </c>
      <c r="QSP247" s="29" t="e">
        <f t="shared" si="233"/>
        <v>#REF!</v>
      </c>
      <c r="QSQ247" s="29" t="e">
        <f t="shared" si="233"/>
        <v>#REF!</v>
      </c>
      <c r="QSR247" s="29" t="e">
        <f t="shared" si="233"/>
        <v>#REF!</v>
      </c>
      <c r="QSS247" s="29" t="e">
        <f t="shared" si="233"/>
        <v>#REF!</v>
      </c>
      <c r="QST247" s="29" t="e">
        <f t="shared" si="233"/>
        <v>#REF!</v>
      </c>
      <c r="QSU247" s="29" t="e">
        <f t="shared" si="233"/>
        <v>#REF!</v>
      </c>
      <c r="QSV247" s="29" t="e">
        <f t="shared" si="233"/>
        <v>#REF!</v>
      </c>
      <c r="QSW247" s="29" t="e">
        <f t="shared" si="233"/>
        <v>#REF!</v>
      </c>
      <c r="QSX247" s="29" t="e">
        <f t="shared" si="233"/>
        <v>#REF!</v>
      </c>
      <c r="QSY247" s="29" t="e">
        <f t="shared" si="233"/>
        <v>#REF!</v>
      </c>
      <c r="QSZ247" s="29" t="e">
        <f t="shared" si="233"/>
        <v>#REF!</v>
      </c>
      <c r="QTA247" s="29" t="e">
        <f t="shared" si="233"/>
        <v>#REF!</v>
      </c>
      <c r="QTB247" s="29" t="e">
        <f t="shared" si="233"/>
        <v>#REF!</v>
      </c>
      <c r="QTC247" s="29" t="e">
        <f t="shared" si="233"/>
        <v>#REF!</v>
      </c>
      <c r="QTD247" s="29" t="e">
        <f t="shared" si="233"/>
        <v>#REF!</v>
      </c>
      <c r="QTE247" s="29" t="e">
        <f t="shared" si="233"/>
        <v>#REF!</v>
      </c>
      <c r="QTF247" s="29" t="e">
        <f t="shared" si="233"/>
        <v>#REF!</v>
      </c>
      <c r="QTG247" s="29" t="e">
        <f t="shared" si="233"/>
        <v>#REF!</v>
      </c>
      <c r="QTH247" s="29" t="e">
        <f t="shared" si="233"/>
        <v>#REF!</v>
      </c>
      <c r="QTI247" s="29" t="e">
        <f t="shared" si="233"/>
        <v>#REF!</v>
      </c>
      <c r="QTJ247" s="29" t="e">
        <f t="shared" si="233"/>
        <v>#REF!</v>
      </c>
      <c r="QTK247" s="29" t="e">
        <f t="shared" si="233"/>
        <v>#REF!</v>
      </c>
      <c r="QTL247" s="29" t="e">
        <f t="shared" si="233"/>
        <v>#REF!</v>
      </c>
      <c r="QTM247" s="29" t="e">
        <f t="shared" si="233"/>
        <v>#REF!</v>
      </c>
      <c r="QTN247" s="29" t="e">
        <f t="shared" si="233"/>
        <v>#REF!</v>
      </c>
      <c r="QTO247" s="29" t="e">
        <f t="shared" si="233"/>
        <v>#REF!</v>
      </c>
      <c r="QTP247" s="29" t="e">
        <f t="shared" si="233"/>
        <v>#REF!</v>
      </c>
      <c r="QTQ247" s="29" t="e">
        <f t="shared" si="233"/>
        <v>#REF!</v>
      </c>
      <c r="QTR247" s="29" t="e">
        <f t="shared" si="233"/>
        <v>#REF!</v>
      </c>
      <c r="QTS247" s="29" t="e">
        <f t="shared" si="233"/>
        <v>#REF!</v>
      </c>
      <c r="QTT247" s="29" t="e">
        <f t="shared" si="233"/>
        <v>#REF!</v>
      </c>
      <c r="QTU247" s="29" t="e">
        <f t="shared" si="233"/>
        <v>#REF!</v>
      </c>
      <c r="QTV247" s="29" t="e">
        <f t="shared" si="233"/>
        <v>#REF!</v>
      </c>
      <c r="QTW247" s="29" t="e">
        <f t="shared" si="233"/>
        <v>#REF!</v>
      </c>
      <c r="QTX247" s="29" t="e">
        <f t="shared" si="233"/>
        <v>#REF!</v>
      </c>
      <c r="QTY247" s="29" t="e">
        <f t="shared" si="233"/>
        <v>#REF!</v>
      </c>
      <c r="QTZ247" s="29" t="e">
        <f t="shared" si="233"/>
        <v>#REF!</v>
      </c>
      <c r="QUA247" s="29" t="e">
        <f t="shared" si="233"/>
        <v>#REF!</v>
      </c>
      <c r="QUB247" s="29" t="e">
        <f t="shared" si="233"/>
        <v>#REF!</v>
      </c>
      <c r="QUC247" s="29" t="e">
        <f t="shared" si="233"/>
        <v>#REF!</v>
      </c>
      <c r="QUD247" s="29" t="e">
        <f t="shared" si="233"/>
        <v>#REF!</v>
      </c>
      <c r="QUE247" s="29" t="e">
        <f t="shared" si="233"/>
        <v>#REF!</v>
      </c>
      <c r="QUF247" s="29" t="e">
        <f t="shared" si="233"/>
        <v>#REF!</v>
      </c>
      <c r="QUG247" s="29" t="e">
        <f t="shared" si="233"/>
        <v>#REF!</v>
      </c>
      <c r="QUH247" s="29" t="e">
        <f t="shared" si="233"/>
        <v>#REF!</v>
      </c>
      <c r="QUI247" s="29" t="e">
        <f t="shared" si="233"/>
        <v>#REF!</v>
      </c>
      <c r="QUJ247" s="29" t="e">
        <f t="shared" si="233"/>
        <v>#REF!</v>
      </c>
      <c r="QUK247" s="29" t="e">
        <f t="shared" ref="QUK247:QWV247" si="234">QUO247&amp;QUP247</f>
        <v>#REF!</v>
      </c>
      <c r="QUL247" s="29" t="e">
        <f t="shared" si="234"/>
        <v>#REF!</v>
      </c>
      <c r="QUM247" s="29" t="e">
        <f t="shared" si="234"/>
        <v>#REF!</v>
      </c>
      <c r="QUN247" s="29" t="e">
        <f t="shared" si="234"/>
        <v>#REF!</v>
      </c>
      <c r="QUO247" s="29" t="e">
        <f t="shared" si="234"/>
        <v>#REF!</v>
      </c>
      <c r="QUP247" s="29" t="e">
        <f t="shared" si="234"/>
        <v>#REF!</v>
      </c>
      <c r="QUQ247" s="29" t="e">
        <f t="shared" si="234"/>
        <v>#REF!</v>
      </c>
      <c r="QUR247" s="29" t="e">
        <f t="shared" si="234"/>
        <v>#REF!</v>
      </c>
      <c r="QUS247" s="29" t="e">
        <f t="shared" si="234"/>
        <v>#REF!</v>
      </c>
      <c r="QUT247" s="29" t="e">
        <f t="shared" si="234"/>
        <v>#REF!</v>
      </c>
      <c r="QUU247" s="29" t="e">
        <f t="shared" si="234"/>
        <v>#REF!</v>
      </c>
      <c r="QUV247" s="29" t="e">
        <f t="shared" si="234"/>
        <v>#REF!</v>
      </c>
      <c r="QUW247" s="29" t="e">
        <f t="shared" si="234"/>
        <v>#REF!</v>
      </c>
      <c r="QUX247" s="29" t="e">
        <f t="shared" si="234"/>
        <v>#REF!</v>
      </c>
      <c r="QUY247" s="29" t="e">
        <f t="shared" si="234"/>
        <v>#REF!</v>
      </c>
      <c r="QUZ247" s="29" t="e">
        <f t="shared" si="234"/>
        <v>#REF!</v>
      </c>
      <c r="QVA247" s="29" t="e">
        <f t="shared" si="234"/>
        <v>#REF!</v>
      </c>
      <c r="QVB247" s="29" t="e">
        <f t="shared" si="234"/>
        <v>#REF!</v>
      </c>
      <c r="QVC247" s="29" t="e">
        <f t="shared" si="234"/>
        <v>#REF!</v>
      </c>
      <c r="QVD247" s="29" t="e">
        <f t="shared" si="234"/>
        <v>#REF!</v>
      </c>
      <c r="QVE247" s="29" t="e">
        <f t="shared" si="234"/>
        <v>#REF!</v>
      </c>
      <c r="QVF247" s="29" t="e">
        <f t="shared" si="234"/>
        <v>#REF!</v>
      </c>
      <c r="QVG247" s="29" t="e">
        <f t="shared" si="234"/>
        <v>#REF!</v>
      </c>
      <c r="QVH247" s="29" t="e">
        <f t="shared" si="234"/>
        <v>#REF!</v>
      </c>
      <c r="QVI247" s="29" t="e">
        <f t="shared" si="234"/>
        <v>#REF!</v>
      </c>
      <c r="QVJ247" s="29" t="e">
        <f t="shared" si="234"/>
        <v>#REF!</v>
      </c>
      <c r="QVK247" s="29" t="e">
        <f t="shared" si="234"/>
        <v>#REF!</v>
      </c>
      <c r="QVL247" s="29" t="e">
        <f t="shared" si="234"/>
        <v>#REF!</v>
      </c>
      <c r="QVM247" s="29" t="e">
        <f t="shared" si="234"/>
        <v>#REF!</v>
      </c>
      <c r="QVN247" s="29" t="e">
        <f t="shared" si="234"/>
        <v>#REF!</v>
      </c>
      <c r="QVO247" s="29" t="e">
        <f t="shared" si="234"/>
        <v>#REF!</v>
      </c>
      <c r="QVP247" s="29" t="e">
        <f t="shared" si="234"/>
        <v>#REF!</v>
      </c>
      <c r="QVQ247" s="29" t="e">
        <f t="shared" si="234"/>
        <v>#REF!</v>
      </c>
      <c r="QVR247" s="29" t="e">
        <f t="shared" si="234"/>
        <v>#REF!</v>
      </c>
      <c r="QVS247" s="29" t="e">
        <f t="shared" si="234"/>
        <v>#REF!</v>
      </c>
      <c r="QVT247" s="29" t="e">
        <f t="shared" si="234"/>
        <v>#REF!</v>
      </c>
      <c r="QVU247" s="29" t="e">
        <f t="shared" si="234"/>
        <v>#REF!</v>
      </c>
      <c r="QVV247" s="29" t="e">
        <f t="shared" si="234"/>
        <v>#REF!</v>
      </c>
      <c r="QVW247" s="29" t="e">
        <f t="shared" si="234"/>
        <v>#REF!</v>
      </c>
      <c r="QVX247" s="29" t="e">
        <f t="shared" si="234"/>
        <v>#REF!</v>
      </c>
      <c r="QVY247" s="29" t="e">
        <f t="shared" si="234"/>
        <v>#REF!</v>
      </c>
      <c r="QVZ247" s="29" t="e">
        <f t="shared" si="234"/>
        <v>#REF!</v>
      </c>
      <c r="QWA247" s="29" t="e">
        <f t="shared" si="234"/>
        <v>#REF!</v>
      </c>
      <c r="QWB247" s="29" t="e">
        <f t="shared" si="234"/>
        <v>#REF!</v>
      </c>
      <c r="QWC247" s="29" t="e">
        <f t="shared" si="234"/>
        <v>#REF!</v>
      </c>
      <c r="QWD247" s="29" t="e">
        <f t="shared" si="234"/>
        <v>#REF!</v>
      </c>
      <c r="QWE247" s="29" t="e">
        <f t="shared" si="234"/>
        <v>#REF!</v>
      </c>
      <c r="QWF247" s="29" t="e">
        <f t="shared" si="234"/>
        <v>#REF!</v>
      </c>
      <c r="QWG247" s="29" t="e">
        <f t="shared" si="234"/>
        <v>#REF!</v>
      </c>
      <c r="QWH247" s="29" t="e">
        <f t="shared" si="234"/>
        <v>#REF!</v>
      </c>
      <c r="QWI247" s="29" t="e">
        <f t="shared" si="234"/>
        <v>#REF!</v>
      </c>
      <c r="QWJ247" s="29" t="e">
        <f t="shared" si="234"/>
        <v>#REF!</v>
      </c>
      <c r="QWK247" s="29" t="e">
        <f t="shared" si="234"/>
        <v>#REF!</v>
      </c>
      <c r="QWL247" s="29" t="e">
        <f t="shared" si="234"/>
        <v>#REF!</v>
      </c>
      <c r="QWM247" s="29" t="e">
        <f t="shared" si="234"/>
        <v>#REF!</v>
      </c>
      <c r="QWN247" s="29" t="e">
        <f t="shared" si="234"/>
        <v>#REF!</v>
      </c>
      <c r="QWO247" s="29" t="e">
        <f t="shared" si="234"/>
        <v>#REF!</v>
      </c>
      <c r="QWP247" s="29" t="e">
        <f t="shared" si="234"/>
        <v>#REF!</v>
      </c>
      <c r="QWQ247" s="29" t="e">
        <f t="shared" si="234"/>
        <v>#REF!</v>
      </c>
      <c r="QWR247" s="29" t="e">
        <f t="shared" si="234"/>
        <v>#REF!</v>
      </c>
      <c r="QWS247" s="29" t="e">
        <f t="shared" si="234"/>
        <v>#REF!</v>
      </c>
      <c r="QWT247" s="29" t="e">
        <f t="shared" si="234"/>
        <v>#REF!</v>
      </c>
      <c r="QWU247" s="29" t="e">
        <f t="shared" si="234"/>
        <v>#REF!</v>
      </c>
      <c r="QWV247" s="29" t="e">
        <f t="shared" si="234"/>
        <v>#REF!</v>
      </c>
      <c r="QWW247" s="29" t="e">
        <f t="shared" ref="QWW247:QZH247" si="235">QXA247&amp;QXB247</f>
        <v>#REF!</v>
      </c>
      <c r="QWX247" s="29" t="e">
        <f t="shared" si="235"/>
        <v>#REF!</v>
      </c>
      <c r="QWY247" s="29" t="e">
        <f t="shared" si="235"/>
        <v>#REF!</v>
      </c>
      <c r="QWZ247" s="29" t="e">
        <f t="shared" si="235"/>
        <v>#REF!</v>
      </c>
      <c r="QXA247" s="29" t="e">
        <f t="shared" si="235"/>
        <v>#REF!</v>
      </c>
      <c r="QXB247" s="29" t="e">
        <f t="shared" si="235"/>
        <v>#REF!</v>
      </c>
      <c r="QXC247" s="29" t="e">
        <f t="shared" si="235"/>
        <v>#REF!</v>
      </c>
      <c r="QXD247" s="29" t="e">
        <f t="shared" si="235"/>
        <v>#REF!</v>
      </c>
      <c r="QXE247" s="29" t="e">
        <f t="shared" si="235"/>
        <v>#REF!</v>
      </c>
      <c r="QXF247" s="29" t="e">
        <f t="shared" si="235"/>
        <v>#REF!</v>
      </c>
      <c r="QXG247" s="29" t="e">
        <f t="shared" si="235"/>
        <v>#REF!</v>
      </c>
      <c r="QXH247" s="29" t="e">
        <f t="shared" si="235"/>
        <v>#REF!</v>
      </c>
      <c r="QXI247" s="29" t="e">
        <f t="shared" si="235"/>
        <v>#REF!</v>
      </c>
      <c r="QXJ247" s="29" t="e">
        <f t="shared" si="235"/>
        <v>#REF!</v>
      </c>
      <c r="QXK247" s="29" t="e">
        <f t="shared" si="235"/>
        <v>#REF!</v>
      </c>
      <c r="QXL247" s="29" t="e">
        <f t="shared" si="235"/>
        <v>#REF!</v>
      </c>
      <c r="QXM247" s="29" t="e">
        <f t="shared" si="235"/>
        <v>#REF!</v>
      </c>
      <c r="QXN247" s="29" t="e">
        <f t="shared" si="235"/>
        <v>#REF!</v>
      </c>
      <c r="QXO247" s="29" t="e">
        <f t="shared" si="235"/>
        <v>#REF!</v>
      </c>
      <c r="QXP247" s="29" t="e">
        <f t="shared" si="235"/>
        <v>#REF!</v>
      </c>
      <c r="QXQ247" s="29" t="e">
        <f t="shared" si="235"/>
        <v>#REF!</v>
      </c>
      <c r="QXR247" s="29" t="e">
        <f t="shared" si="235"/>
        <v>#REF!</v>
      </c>
      <c r="QXS247" s="29" t="e">
        <f t="shared" si="235"/>
        <v>#REF!</v>
      </c>
      <c r="QXT247" s="29" t="e">
        <f t="shared" si="235"/>
        <v>#REF!</v>
      </c>
      <c r="QXU247" s="29" t="e">
        <f t="shared" si="235"/>
        <v>#REF!</v>
      </c>
      <c r="QXV247" s="29" t="e">
        <f t="shared" si="235"/>
        <v>#REF!</v>
      </c>
      <c r="QXW247" s="29" t="e">
        <f t="shared" si="235"/>
        <v>#REF!</v>
      </c>
      <c r="QXX247" s="29" t="e">
        <f t="shared" si="235"/>
        <v>#REF!</v>
      </c>
      <c r="QXY247" s="29" t="e">
        <f t="shared" si="235"/>
        <v>#REF!</v>
      </c>
      <c r="QXZ247" s="29" t="e">
        <f t="shared" si="235"/>
        <v>#REF!</v>
      </c>
      <c r="QYA247" s="29" t="e">
        <f t="shared" si="235"/>
        <v>#REF!</v>
      </c>
      <c r="QYB247" s="29" t="e">
        <f t="shared" si="235"/>
        <v>#REF!</v>
      </c>
      <c r="QYC247" s="29" t="e">
        <f t="shared" si="235"/>
        <v>#REF!</v>
      </c>
      <c r="QYD247" s="29" t="e">
        <f t="shared" si="235"/>
        <v>#REF!</v>
      </c>
      <c r="QYE247" s="29" t="e">
        <f t="shared" si="235"/>
        <v>#REF!</v>
      </c>
      <c r="QYF247" s="29" t="e">
        <f t="shared" si="235"/>
        <v>#REF!</v>
      </c>
      <c r="QYG247" s="29" t="e">
        <f t="shared" si="235"/>
        <v>#REF!</v>
      </c>
      <c r="QYH247" s="29" t="e">
        <f t="shared" si="235"/>
        <v>#REF!</v>
      </c>
      <c r="QYI247" s="29" t="e">
        <f t="shared" si="235"/>
        <v>#REF!</v>
      </c>
      <c r="QYJ247" s="29" t="e">
        <f t="shared" si="235"/>
        <v>#REF!</v>
      </c>
      <c r="QYK247" s="29" t="e">
        <f t="shared" si="235"/>
        <v>#REF!</v>
      </c>
      <c r="QYL247" s="29" t="e">
        <f t="shared" si="235"/>
        <v>#REF!</v>
      </c>
      <c r="QYM247" s="29" t="e">
        <f t="shared" si="235"/>
        <v>#REF!</v>
      </c>
      <c r="QYN247" s="29" t="e">
        <f t="shared" si="235"/>
        <v>#REF!</v>
      </c>
      <c r="QYO247" s="29" t="e">
        <f t="shared" si="235"/>
        <v>#REF!</v>
      </c>
      <c r="QYP247" s="29" t="e">
        <f t="shared" si="235"/>
        <v>#REF!</v>
      </c>
      <c r="QYQ247" s="29" t="e">
        <f t="shared" si="235"/>
        <v>#REF!</v>
      </c>
      <c r="QYR247" s="29" t="e">
        <f t="shared" si="235"/>
        <v>#REF!</v>
      </c>
      <c r="QYS247" s="29" t="e">
        <f t="shared" si="235"/>
        <v>#REF!</v>
      </c>
      <c r="QYT247" s="29" t="e">
        <f t="shared" si="235"/>
        <v>#REF!</v>
      </c>
      <c r="QYU247" s="29" t="e">
        <f t="shared" si="235"/>
        <v>#REF!</v>
      </c>
      <c r="QYV247" s="29" t="e">
        <f t="shared" si="235"/>
        <v>#REF!</v>
      </c>
      <c r="QYW247" s="29" t="e">
        <f t="shared" si="235"/>
        <v>#REF!</v>
      </c>
      <c r="QYX247" s="29" t="e">
        <f t="shared" si="235"/>
        <v>#REF!</v>
      </c>
      <c r="QYY247" s="29" t="e">
        <f t="shared" si="235"/>
        <v>#REF!</v>
      </c>
      <c r="QYZ247" s="29" t="e">
        <f t="shared" si="235"/>
        <v>#REF!</v>
      </c>
      <c r="QZA247" s="29" t="e">
        <f t="shared" si="235"/>
        <v>#REF!</v>
      </c>
      <c r="QZB247" s="29" t="e">
        <f t="shared" si="235"/>
        <v>#REF!</v>
      </c>
      <c r="QZC247" s="29" t="e">
        <f t="shared" si="235"/>
        <v>#REF!</v>
      </c>
      <c r="QZD247" s="29" t="e">
        <f t="shared" si="235"/>
        <v>#REF!</v>
      </c>
      <c r="QZE247" s="29" t="e">
        <f t="shared" si="235"/>
        <v>#REF!</v>
      </c>
      <c r="QZF247" s="29" t="e">
        <f t="shared" si="235"/>
        <v>#REF!</v>
      </c>
      <c r="QZG247" s="29" t="e">
        <f t="shared" si="235"/>
        <v>#REF!</v>
      </c>
      <c r="QZH247" s="29" t="e">
        <f t="shared" si="235"/>
        <v>#REF!</v>
      </c>
      <c r="QZI247" s="29" t="e">
        <f t="shared" ref="QZI247:RBT247" si="236">QZM247&amp;QZN247</f>
        <v>#REF!</v>
      </c>
      <c r="QZJ247" s="29" t="e">
        <f t="shared" si="236"/>
        <v>#REF!</v>
      </c>
      <c r="QZK247" s="29" t="e">
        <f t="shared" si="236"/>
        <v>#REF!</v>
      </c>
      <c r="QZL247" s="29" t="e">
        <f t="shared" si="236"/>
        <v>#REF!</v>
      </c>
      <c r="QZM247" s="29" t="e">
        <f t="shared" si="236"/>
        <v>#REF!</v>
      </c>
      <c r="QZN247" s="29" t="e">
        <f t="shared" si="236"/>
        <v>#REF!</v>
      </c>
      <c r="QZO247" s="29" t="e">
        <f t="shared" si="236"/>
        <v>#REF!</v>
      </c>
      <c r="QZP247" s="29" t="e">
        <f t="shared" si="236"/>
        <v>#REF!</v>
      </c>
      <c r="QZQ247" s="29" t="e">
        <f t="shared" si="236"/>
        <v>#REF!</v>
      </c>
      <c r="QZR247" s="29" t="e">
        <f t="shared" si="236"/>
        <v>#REF!</v>
      </c>
      <c r="QZS247" s="29" t="e">
        <f t="shared" si="236"/>
        <v>#REF!</v>
      </c>
      <c r="QZT247" s="29" t="e">
        <f t="shared" si="236"/>
        <v>#REF!</v>
      </c>
      <c r="QZU247" s="29" t="e">
        <f t="shared" si="236"/>
        <v>#REF!</v>
      </c>
      <c r="QZV247" s="29" t="e">
        <f t="shared" si="236"/>
        <v>#REF!</v>
      </c>
      <c r="QZW247" s="29" t="e">
        <f t="shared" si="236"/>
        <v>#REF!</v>
      </c>
      <c r="QZX247" s="29" t="e">
        <f t="shared" si="236"/>
        <v>#REF!</v>
      </c>
      <c r="QZY247" s="29" t="e">
        <f t="shared" si="236"/>
        <v>#REF!</v>
      </c>
      <c r="QZZ247" s="29" t="e">
        <f t="shared" si="236"/>
        <v>#REF!</v>
      </c>
      <c r="RAA247" s="29" t="e">
        <f t="shared" si="236"/>
        <v>#REF!</v>
      </c>
      <c r="RAB247" s="29" t="e">
        <f t="shared" si="236"/>
        <v>#REF!</v>
      </c>
      <c r="RAC247" s="29" t="e">
        <f t="shared" si="236"/>
        <v>#REF!</v>
      </c>
      <c r="RAD247" s="29" t="e">
        <f t="shared" si="236"/>
        <v>#REF!</v>
      </c>
      <c r="RAE247" s="29" t="e">
        <f t="shared" si="236"/>
        <v>#REF!</v>
      </c>
      <c r="RAF247" s="29" t="e">
        <f t="shared" si="236"/>
        <v>#REF!</v>
      </c>
      <c r="RAG247" s="29" t="e">
        <f t="shared" si="236"/>
        <v>#REF!</v>
      </c>
      <c r="RAH247" s="29" t="e">
        <f t="shared" si="236"/>
        <v>#REF!</v>
      </c>
      <c r="RAI247" s="29" t="e">
        <f t="shared" si="236"/>
        <v>#REF!</v>
      </c>
      <c r="RAJ247" s="29" t="e">
        <f t="shared" si="236"/>
        <v>#REF!</v>
      </c>
      <c r="RAK247" s="29" t="e">
        <f t="shared" si="236"/>
        <v>#REF!</v>
      </c>
      <c r="RAL247" s="29" t="e">
        <f t="shared" si="236"/>
        <v>#REF!</v>
      </c>
      <c r="RAM247" s="29" t="e">
        <f t="shared" si="236"/>
        <v>#REF!</v>
      </c>
      <c r="RAN247" s="29" t="e">
        <f t="shared" si="236"/>
        <v>#REF!</v>
      </c>
      <c r="RAO247" s="29" t="e">
        <f t="shared" si="236"/>
        <v>#REF!</v>
      </c>
      <c r="RAP247" s="29" t="e">
        <f t="shared" si="236"/>
        <v>#REF!</v>
      </c>
      <c r="RAQ247" s="29" t="e">
        <f t="shared" si="236"/>
        <v>#REF!</v>
      </c>
      <c r="RAR247" s="29" t="e">
        <f t="shared" si="236"/>
        <v>#REF!</v>
      </c>
      <c r="RAS247" s="29" t="e">
        <f t="shared" si="236"/>
        <v>#REF!</v>
      </c>
      <c r="RAT247" s="29" t="e">
        <f t="shared" si="236"/>
        <v>#REF!</v>
      </c>
      <c r="RAU247" s="29" t="e">
        <f t="shared" si="236"/>
        <v>#REF!</v>
      </c>
      <c r="RAV247" s="29" t="e">
        <f t="shared" si="236"/>
        <v>#REF!</v>
      </c>
      <c r="RAW247" s="29" t="e">
        <f t="shared" si="236"/>
        <v>#REF!</v>
      </c>
      <c r="RAX247" s="29" t="e">
        <f t="shared" si="236"/>
        <v>#REF!</v>
      </c>
      <c r="RAY247" s="29" t="e">
        <f t="shared" si="236"/>
        <v>#REF!</v>
      </c>
      <c r="RAZ247" s="29" t="e">
        <f t="shared" si="236"/>
        <v>#REF!</v>
      </c>
      <c r="RBA247" s="29" t="e">
        <f t="shared" si="236"/>
        <v>#REF!</v>
      </c>
      <c r="RBB247" s="29" t="e">
        <f t="shared" si="236"/>
        <v>#REF!</v>
      </c>
      <c r="RBC247" s="29" t="e">
        <f t="shared" si="236"/>
        <v>#REF!</v>
      </c>
      <c r="RBD247" s="29" t="e">
        <f t="shared" si="236"/>
        <v>#REF!</v>
      </c>
      <c r="RBE247" s="29" t="e">
        <f t="shared" si="236"/>
        <v>#REF!</v>
      </c>
      <c r="RBF247" s="29" t="e">
        <f t="shared" si="236"/>
        <v>#REF!</v>
      </c>
      <c r="RBG247" s="29" t="e">
        <f t="shared" si="236"/>
        <v>#REF!</v>
      </c>
      <c r="RBH247" s="29" t="e">
        <f t="shared" si="236"/>
        <v>#REF!</v>
      </c>
      <c r="RBI247" s="29" t="e">
        <f t="shared" si="236"/>
        <v>#REF!</v>
      </c>
      <c r="RBJ247" s="29" t="e">
        <f t="shared" si="236"/>
        <v>#REF!</v>
      </c>
      <c r="RBK247" s="29" t="e">
        <f t="shared" si="236"/>
        <v>#REF!</v>
      </c>
      <c r="RBL247" s="29" t="e">
        <f t="shared" si="236"/>
        <v>#REF!</v>
      </c>
      <c r="RBM247" s="29" t="e">
        <f t="shared" si="236"/>
        <v>#REF!</v>
      </c>
      <c r="RBN247" s="29" t="e">
        <f t="shared" si="236"/>
        <v>#REF!</v>
      </c>
      <c r="RBO247" s="29" t="e">
        <f t="shared" si="236"/>
        <v>#REF!</v>
      </c>
      <c r="RBP247" s="29" t="e">
        <f t="shared" si="236"/>
        <v>#REF!</v>
      </c>
      <c r="RBQ247" s="29" t="e">
        <f t="shared" si="236"/>
        <v>#REF!</v>
      </c>
      <c r="RBR247" s="29" t="e">
        <f t="shared" si="236"/>
        <v>#REF!</v>
      </c>
      <c r="RBS247" s="29" t="e">
        <f t="shared" si="236"/>
        <v>#REF!</v>
      </c>
      <c r="RBT247" s="29" t="e">
        <f t="shared" si="236"/>
        <v>#REF!</v>
      </c>
      <c r="RBU247" s="29" t="e">
        <f t="shared" ref="RBU247:REF247" si="237">RBY247&amp;RBZ247</f>
        <v>#REF!</v>
      </c>
      <c r="RBV247" s="29" t="e">
        <f t="shared" si="237"/>
        <v>#REF!</v>
      </c>
      <c r="RBW247" s="29" t="e">
        <f t="shared" si="237"/>
        <v>#REF!</v>
      </c>
      <c r="RBX247" s="29" t="e">
        <f t="shared" si="237"/>
        <v>#REF!</v>
      </c>
      <c r="RBY247" s="29" t="e">
        <f t="shared" si="237"/>
        <v>#REF!</v>
      </c>
      <c r="RBZ247" s="29" t="e">
        <f t="shared" si="237"/>
        <v>#REF!</v>
      </c>
      <c r="RCA247" s="29" t="e">
        <f t="shared" si="237"/>
        <v>#REF!</v>
      </c>
      <c r="RCB247" s="29" t="e">
        <f t="shared" si="237"/>
        <v>#REF!</v>
      </c>
      <c r="RCC247" s="29" t="e">
        <f t="shared" si="237"/>
        <v>#REF!</v>
      </c>
      <c r="RCD247" s="29" t="e">
        <f t="shared" si="237"/>
        <v>#REF!</v>
      </c>
      <c r="RCE247" s="29" t="e">
        <f t="shared" si="237"/>
        <v>#REF!</v>
      </c>
      <c r="RCF247" s="29" t="e">
        <f t="shared" si="237"/>
        <v>#REF!</v>
      </c>
      <c r="RCG247" s="29" t="e">
        <f t="shared" si="237"/>
        <v>#REF!</v>
      </c>
      <c r="RCH247" s="29" t="e">
        <f t="shared" si="237"/>
        <v>#REF!</v>
      </c>
      <c r="RCI247" s="29" t="e">
        <f t="shared" si="237"/>
        <v>#REF!</v>
      </c>
      <c r="RCJ247" s="29" t="e">
        <f t="shared" si="237"/>
        <v>#REF!</v>
      </c>
      <c r="RCK247" s="29" t="e">
        <f t="shared" si="237"/>
        <v>#REF!</v>
      </c>
      <c r="RCL247" s="29" t="e">
        <f t="shared" si="237"/>
        <v>#REF!</v>
      </c>
      <c r="RCM247" s="29" t="e">
        <f t="shared" si="237"/>
        <v>#REF!</v>
      </c>
      <c r="RCN247" s="29" t="e">
        <f t="shared" si="237"/>
        <v>#REF!</v>
      </c>
      <c r="RCO247" s="29" t="e">
        <f t="shared" si="237"/>
        <v>#REF!</v>
      </c>
      <c r="RCP247" s="29" t="e">
        <f t="shared" si="237"/>
        <v>#REF!</v>
      </c>
      <c r="RCQ247" s="29" t="e">
        <f t="shared" si="237"/>
        <v>#REF!</v>
      </c>
      <c r="RCR247" s="29" t="e">
        <f t="shared" si="237"/>
        <v>#REF!</v>
      </c>
      <c r="RCS247" s="29" t="e">
        <f t="shared" si="237"/>
        <v>#REF!</v>
      </c>
      <c r="RCT247" s="29" t="e">
        <f t="shared" si="237"/>
        <v>#REF!</v>
      </c>
      <c r="RCU247" s="29" t="e">
        <f t="shared" si="237"/>
        <v>#REF!</v>
      </c>
      <c r="RCV247" s="29" t="e">
        <f t="shared" si="237"/>
        <v>#REF!</v>
      </c>
      <c r="RCW247" s="29" t="e">
        <f t="shared" si="237"/>
        <v>#REF!</v>
      </c>
      <c r="RCX247" s="29" t="e">
        <f t="shared" si="237"/>
        <v>#REF!</v>
      </c>
      <c r="RCY247" s="29" t="e">
        <f t="shared" si="237"/>
        <v>#REF!</v>
      </c>
      <c r="RCZ247" s="29" t="e">
        <f t="shared" si="237"/>
        <v>#REF!</v>
      </c>
      <c r="RDA247" s="29" t="e">
        <f t="shared" si="237"/>
        <v>#REF!</v>
      </c>
      <c r="RDB247" s="29" t="e">
        <f t="shared" si="237"/>
        <v>#REF!</v>
      </c>
      <c r="RDC247" s="29" t="e">
        <f t="shared" si="237"/>
        <v>#REF!</v>
      </c>
      <c r="RDD247" s="29" t="e">
        <f t="shared" si="237"/>
        <v>#REF!</v>
      </c>
      <c r="RDE247" s="29" t="e">
        <f t="shared" si="237"/>
        <v>#REF!</v>
      </c>
      <c r="RDF247" s="29" t="e">
        <f t="shared" si="237"/>
        <v>#REF!</v>
      </c>
      <c r="RDG247" s="29" t="e">
        <f t="shared" si="237"/>
        <v>#REF!</v>
      </c>
      <c r="RDH247" s="29" t="e">
        <f t="shared" si="237"/>
        <v>#REF!</v>
      </c>
      <c r="RDI247" s="29" t="e">
        <f t="shared" si="237"/>
        <v>#REF!</v>
      </c>
      <c r="RDJ247" s="29" t="e">
        <f t="shared" si="237"/>
        <v>#REF!</v>
      </c>
      <c r="RDK247" s="29" t="e">
        <f t="shared" si="237"/>
        <v>#REF!</v>
      </c>
      <c r="RDL247" s="29" t="e">
        <f t="shared" si="237"/>
        <v>#REF!</v>
      </c>
      <c r="RDM247" s="29" t="e">
        <f t="shared" si="237"/>
        <v>#REF!</v>
      </c>
      <c r="RDN247" s="29" t="e">
        <f t="shared" si="237"/>
        <v>#REF!</v>
      </c>
      <c r="RDO247" s="29" t="e">
        <f t="shared" si="237"/>
        <v>#REF!</v>
      </c>
      <c r="RDP247" s="29" t="e">
        <f t="shared" si="237"/>
        <v>#REF!</v>
      </c>
      <c r="RDQ247" s="29" t="e">
        <f t="shared" si="237"/>
        <v>#REF!</v>
      </c>
      <c r="RDR247" s="29" t="e">
        <f t="shared" si="237"/>
        <v>#REF!</v>
      </c>
      <c r="RDS247" s="29" t="e">
        <f t="shared" si="237"/>
        <v>#REF!</v>
      </c>
      <c r="RDT247" s="29" t="e">
        <f t="shared" si="237"/>
        <v>#REF!</v>
      </c>
      <c r="RDU247" s="29" t="e">
        <f t="shared" si="237"/>
        <v>#REF!</v>
      </c>
      <c r="RDV247" s="29" t="e">
        <f t="shared" si="237"/>
        <v>#REF!</v>
      </c>
      <c r="RDW247" s="29" t="e">
        <f t="shared" si="237"/>
        <v>#REF!</v>
      </c>
      <c r="RDX247" s="29" t="e">
        <f t="shared" si="237"/>
        <v>#REF!</v>
      </c>
      <c r="RDY247" s="29" t="e">
        <f t="shared" si="237"/>
        <v>#REF!</v>
      </c>
      <c r="RDZ247" s="29" t="e">
        <f t="shared" si="237"/>
        <v>#REF!</v>
      </c>
      <c r="REA247" s="29" t="e">
        <f t="shared" si="237"/>
        <v>#REF!</v>
      </c>
      <c r="REB247" s="29" t="e">
        <f t="shared" si="237"/>
        <v>#REF!</v>
      </c>
      <c r="REC247" s="29" t="e">
        <f t="shared" si="237"/>
        <v>#REF!</v>
      </c>
      <c r="RED247" s="29" t="e">
        <f t="shared" si="237"/>
        <v>#REF!</v>
      </c>
      <c r="REE247" s="29" t="e">
        <f t="shared" si="237"/>
        <v>#REF!</v>
      </c>
      <c r="REF247" s="29" t="e">
        <f t="shared" si="237"/>
        <v>#REF!</v>
      </c>
      <c r="REG247" s="29" t="e">
        <f t="shared" ref="REG247:RGR247" si="238">REK247&amp;REL247</f>
        <v>#REF!</v>
      </c>
      <c r="REH247" s="29" t="e">
        <f t="shared" si="238"/>
        <v>#REF!</v>
      </c>
      <c r="REI247" s="29" t="e">
        <f t="shared" si="238"/>
        <v>#REF!</v>
      </c>
      <c r="REJ247" s="29" t="e">
        <f t="shared" si="238"/>
        <v>#REF!</v>
      </c>
      <c r="REK247" s="29" t="e">
        <f t="shared" si="238"/>
        <v>#REF!</v>
      </c>
      <c r="REL247" s="29" t="e">
        <f t="shared" si="238"/>
        <v>#REF!</v>
      </c>
      <c r="REM247" s="29" t="e">
        <f t="shared" si="238"/>
        <v>#REF!</v>
      </c>
      <c r="REN247" s="29" t="e">
        <f t="shared" si="238"/>
        <v>#REF!</v>
      </c>
      <c r="REO247" s="29" t="e">
        <f t="shared" si="238"/>
        <v>#REF!</v>
      </c>
      <c r="REP247" s="29" t="e">
        <f t="shared" si="238"/>
        <v>#REF!</v>
      </c>
      <c r="REQ247" s="29" t="e">
        <f t="shared" si="238"/>
        <v>#REF!</v>
      </c>
      <c r="RER247" s="29" t="e">
        <f t="shared" si="238"/>
        <v>#REF!</v>
      </c>
      <c r="RES247" s="29" t="e">
        <f t="shared" si="238"/>
        <v>#REF!</v>
      </c>
      <c r="RET247" s="29" t="e">
        <f t="shared" si="238"/>
        <v>#REF!</v>
      </c>
      <c r="REU247" s="29" t="e">
        <f t="shared" si="238"/>
        <v>#REF!</v>
      </c>
      <c r="REV247" s="29" t="e">
        <f t="shared" si="238"/>
        <v>#REF!</v>
      </c>
      <c r="REW247" s="29" t="e">
        <f t="shared" si="238"/>
        <v>#REF!</v>
      </c>
      <c r="REX247" s="29" t="e">
        <f t="shared" si="238"/>
        <v>#REF!</v>
      </c>
      <c r="REY247" s="29" t="e">
        <f t="shared" si="238"/>
        <v>#REF!</v>
      </c>
      <c r="REZ247" s="29" t="e">
        <f t="shared" si="238"/>
        <v>#REF!</v>
      </c>
      <c r="RFA247" s="29" t="e">
        <f t="shared" si="238"/>
        <v>#REF!</v>
      </c>
      <c r="RFB247" s="29" t="e">
        <f t="shared" si="238"/>
        <v>#REF!</v>
      </c>
      <c r="RFC247" s="29" t="e">
        <f t="shared" si="238"/>
        <v>#REF!</v>
      </c>
      <c r="RFD247" s="29" t="e">
        <f t="shared" si="238"/>
        <v>#REF!</v>
      </c>
      <c r="RFE247" s="29" t="e">
        <f t="shared" si="238"/>
        <v>#REF!</v>
      </c>
      <c r="RFF247" s="29" t="e">
        <f t="shared" si="238"/>
        <v>#REF!</v>
      </c>
      <c r="RFG247" s="29" t="e">
        <f t="shared" si="238"/>
        <v>#REF!</v>
      </c>
      <c r="RFH247" s="29" t="e">
        <f t="shared" si="238"/>
        <v>#REF!</v>
      </c>
      <c r="RFI247" s="29" t="e">
        <f t="shared" si="238"/>
        <v>#REF!</v>
      </c>
      <c r="RFJ247" s="29" t="e">
        <f t="shared" si="238"/>
        <v>#REF!</v>
      </c>
      <c r="RFK247" s="29" t="e">
        <f t="shared" si="238"/>
        <v>#REF!</v>
      </c>
      <c r="RFL247" s="29" t="e">
        <f t="shared" si="238"/>
        <v>#REF!</v>
      </c>
      <c r="RFM247" s="29" t="e">
        <f t="shared" si="238"/>
        <v>#REF!</v>
      </c>
      <c r="RFN247" s="29" t="e">
        <f t="shared" si="238"/>
        <v>#REF!</v>
      </c>
      <c r="RFO247" s="29" t="e">
        <f t="shared" si="238"/>
        <v>#REF!</v>
      </c>
      <c r="RFP247" s="29" t="e">
        <f t="shared" si="238"/>
        <v>#REF!</v>
      </c>
      <c r="RFQ247" s="29" t="e">
        <f t="shared" si="238"/>
        <v>#REF!</v>
      </c>
      <c r="RFR247" s="29" t="e">
        <f t="shared" si="238"/>
        <v>#REF!</v>
      </c>
      <c r="RFS247" s="29" t="e">
        <f t="shared" si="238"/>
        <v>#REF!</v>
      </c>
      <c r="RFT247" s="29" t="e">
        <f t="shared" si="238"/>
        <v>#REF!</v>
      </c>
      <c r="RFU247" s="29" t="e">
        <f t="shared" si="238"/>
        <v>#REF!</v>
      </c>
      <c r="RFV247" s="29" t="e">
        <f t="shared" si="238"/>
        <v>#REF!</v>
      </c>
      <c r="RFW247" s="29" t="e">
        <f t="shared" si="238"/>
        <v>#REF!</v>
      </c>
      <c r="RFX247" s="29" t="e">
        <f t="shared" si="238"/>
        <v>#REF!</v>
      </c>
      <c r="RFY247" s="29" t="e">
        <f t="shared" si="238"/>
        <v>#REF!</v>
      </c>
      <c r="RFZ247" s="29" t="e">
        <f t="shared" si="238"/>
        <v>#REF!</v>
      </c>
      <c r="RGA247" s="29" t="e">
        <f t="shared" si="238"/>
        <v>#REF!</v>
      </c>
      <c r="RGB247" s="29" t="e">
        <f t="shared" si="238"/>
        <v>#REF!</v>
      </c>
      <c r="RGC247" s="29" t="e">
        <f t="shared" si="238"/>
        <v>#REF!</v>
      </c>
      <c r="RGD247" s="29" t="e">
        <f t="shared" si="238"/>
        <v>#REF!</v>
      </c>
      <c r="RGE247" s="29" t="e">
        <f t="shared" si="238"/>
        <v>#REF!</v>
      </c>
      <c r="RGF247" s="29" t="e">
        <f t="shared" si="238"/>
        <v>#REF!</v>
      </c>
      <c r="RGG247" s="29" t="e">
        <f t="shared" si="238"/>
        <v>#REF!</v>
      </c>
      <c r="RGH247" s="29" t="e">
        <f t="shared" si="238"/>
        <v>#REF!</v>
      </c>
      <c r="RGI247" s="29" t="e">
        <f t="shared" si="238"/>
        <v>#REF!</v>
      </c>
      <c r="RGJ247" s="29" t="e">
        <f t="shared" si="238"/>
        <v>#REF!</v>
      </c>
      <c r="RGK247" s="29" t="e">
        <f t="shared" si="238"/>
        <v>#REF!</v>
      </c>
      <c r="RGL247" s="29" t="e">
        <f t="shared" si="238"/>
        <v>#REF!</v>
      </c>
      <c r="RGM247" s="29" t="e">
        <f t="shared" si="238"/>
        <v>#REF!</v>
      </c>
      <c r="RGN247" s="29" t="e">
        <f t="shared" si="238"/>
        <v>#REF!</v>
      </c>
      <c r="RGO247" s="29" t="e">
        <f t="shared" si="238"/>
        <v>#REF!</v>
      </c>
      <c r="RGP247" s="29" t="e">
        <f t="shared" si="238"/>
        <v>#REF!</v>
      </c>
      <c r="RGQ247" s="29" t="e">
        <f t="shared" si="238"/>
        <v>#REF!</v>
      </c>
      <c r="RGR247" s="29" t="e">
        <f t="shared" si="238"/>
        <v>#REF!</v>
      </c>
      <c r="RGS247" s="29" t="e">
        <f t="shared" ref="RGS247:RJD247" si="239">RGW247&amp;RGX247</f>
        <v>#REF!</v>
      </c>
      <c r="RGT247" s="29" t="e">
        <f t="shared" si="239"/>
        <v>#REF!</v>
      </c>
      <c r="RGU247" s="29" t="e">
        <f t="shared" si="239"/>
        <v>#REF!</v>
      </c>
      <c r="RGV247" s="29" t="e">
        <f t="shared" si="239"/>
        <v>#REF!</v>
      </c>
      <c r="RGW247" s="29" t="e">
        <f t="shared" si="239"/>
        <v>#REF!</v>
      </c>
      <c r="RGX247" s="29" t="e">
        <f t="shared" si="239"/>
        <v>#REF!</v>
      </c>
      <c r="RGY247" s="29" t="e">
        <f t="shared" si="239"/>
        <v>#REF!</v>
      </c>
      <c r="RGZ247" s="29" t="e">
        <f t="shared" si="239"/>
        <v>#REF!</v>
      </c>
      <c r="RHA247" s="29" t="e">
        <f t="shared" si="239"/>
        <v>#REF!</v>
      </c>
      <c r="RHB247" s="29" t="e">
        <f t="shared" si="239"/>
        <v>#REF!</v>
      </c>
      <c r="RHC247" s="29" t="e">
        <f t="shared" si="239"/>
        <v>#REF!</v>
      </c>
      <c r="RHD247" s="29" t="e">
        <f t="shared" si="239"/>
        <v>#REF!</v>
      </c>
      <c r="RHE247" s="29" t="e">
        <f t="shared" si="239"/>
        <v>#REF!</v>
      </c>
      <c r="RHF247" s="29" t="e">
        <f t="shared" si="239"/>
        <v>#REF!</v>
      </c>
      <c r="RHG247" s="29" t="e">
        <f t="shared" si="239"/>
        <v>#REF!</v>
      </c>
      <c r="RHH247" s="29" t="e">
        <f t="shared" si="239"/>
        <v>#REF!</v>
      </c>
      <c r="RHI247" s="29" t="e">
        <f t="shared" si="239"/>
        <v>#REF!</v>
      </c>
      <c r="RHJ247" s="29" t="e">
        <f t="shared" si="239"/>
        <v>#REF!</v>
      </c>
      <c r="RHK247" s="29" t="e">
        <f t="shared" si="239"/>
        <v>#REF!</v>
      </c>
      <c r="RHL247" s="29" t="e">
        <f t="shared" si="239"/>
        <v>#REF!</v>
      </c>
      <c r="RHM247" s="29" t="e">
        <f t="shared" si="239"/>
        <v>#REF!</v>
      </c>
      <c r="RHN247" s="29" t="e">
        <f t="shared" si="239"/>
        <v>#REF!</v>
      </c>
      <c r="RHO247" s="29" t="e">
        <f t="shared" si="239"/>
        <v>#REF!</v>
      </c>
      <c r="RHP247" s="29" t="e">
        <f t="shared" si="239"/>
        <v>#REF!</v>
      </c>
      <c r="RHQ247" s="29" t="e">
        <f t="shared" si="239"/>
        <v>#REF!</v>
      </c>
      <c r="RHR247" s="29" t="e">
        <f t="shared" si="239"/>
        <v>#REF!</v>
      </c>
      <c r="RHS247" s="29" t="e">
        <f t="shared" si="239"/>
        <v>#REF!</v>
      </c>
      <c r="RHT247" s="29" t="e">
        <f t="shared" si="239"/>
        <v>#REF!</v>
      </c>
      <c r="RHU247" s="29" t="e">
        <f t="shared" si="239"/>
        <v>#REF!</v>
      </c>
      <c r="RHV247" s="29" t="e">
        <f t="shared" si="239"/>
        <v>#REF!</v>
      </c>
      <c r="RHW247" s="29" t="e">
        <f t="shared" si="239"/>
        <v>#REF!</v>
      </c>
      <c r="RHX247" s="29" t="e">
        <f t="shared" si="239"/>
        <v>#REF!</v>
      </c>
      <c r="RHY247" s="29" t="e">
        <f t="shared" si="239"/>
        <v>#REF!</v>
      </c>
      <c r="RHZ247" s="29" t="e">
        <f t="shared" si="239"/>
        <v>#REF!</v>
      </c>
      <c r="RIA247" s="29" t="e">
        <f t="shared" si="239"/>
        <v>#REF!</v>
      </c>
      <c r="RIB247" s="29" t="e">
        <f t="shared" si="239"/>
        <v>#REF!</v>
      </c>
      <c r="RIC247" s="29" t="e">
        <f t="shared" si="239"/>
        <v>#REF!</v>
      </c>
      <c r="RID247" s="29" t="e">
        <f t="shared" si="239"/>
        <v>#REF!</v>
      </c>
      <c r="RIE247" s="29" t="e">
        <f t="shared" si="239"/>
        <v>#REF!</v>
      </c>
      <c r="RIF247" s="29" t="e">
        <f t="shared" si="239"/>
        <v>#REF!</v>
      </c>
      <c r="RIG247" s="29" t="e">
        <f t="shared" si="239"/>
        <v>#REF!</v>
      </c>
      <c r="RIH247" s="29" t="e">
        <f t="shared" si="239"/>
        <v>#REF!</v>
      </c>
      <c r="RII247" s="29" t="e">
        <f t="shared" si="239"/>
        <v>#REF!</v>
      </c>
      <c r="RIJ247" s="29" t="e">
        <f t="shared" si="239"/>
        <v>#REF!</v>
      </c>
      <c r="RIK247" s="29" t="e">
        <f t="shared" si="239"/>
        <v>#REF!</v>
      </c>
      <c r="RIL247" s="29" t="e">
        <f t="shared" si="239"/>
        <v>#REF!</v>
      </c>
      <c r="RIM247" s="29" t="e">
        <f t="shared" si="239"/>
        <v>#REF!</v>
      </c>
      <c r="RIN247" s="29" t="e">
        <f t="shared" si="239"/>
        <v>#REF!</v>
      </c>
      <c r="RIO247" s="29" t="e">
        <f t="shared" si="239"/>
        <v>#REF!</v>
      </c>
      <c r="RIP247" s="29" t="e">
        <f t="shared" si="239"/>
        <v>#REF!</v>
      </c>
      <c r="RIQ247" s="29" t="e">
        <f t="shared" si="239"/>
        <v>#REF!</v>
      </c>
      <c r="RIR247" s="29" t="e">
        <f t="shared" si="239"/>
        <v>#REF!</v>
      </c>
      <c r="RIS247" s="29" t="e">
        <f t="shared" si="239"/>
        <v>#REF!</v>
      </c>
      <c r="RIT247" s="29" t="e">
        <f t="shared" si="239"/>
        <v>#REF!</v>
      </c>
      <c r="RIU247" s="29" t="e">
        <f t="shared" si="239"/>
        <v>#REF!</v>
      </c>
      <c r="RIV247" s="29" t="e">
        <f t="shared" si="239"/>
        <v>#REF!</v>
      </c>
      <c r="RIW247" s="29" t="e">
        <f t="shared" si="239"/>
        <v>#REF!</v>
      </c>
      <c r="RIX247" s="29" t="e">
        <f t="shared" si="239"/>
        <v>#REF!</v>
      </c>
      <c r="RIY247" s="29" t="e">
        <f t="shared" si="239"/>
        <v>#REF!</v>
      </c>
      <c r="RIZ247" s="29" t="e">
        <f t="shared" si="239"/>
        <v>#REF!</v>
      </c>
      <c r="RJA247" s="29" t="e">
        <f t="shared" si="239"/>
        <v>#REF!</v>
      </c>
      <c r="RJB247" s="29" t="e">
        <f t="shared" si="239"/>
        <v>#REF!</v>
      </c>
      <c r="RJC247" s="29" t="e">
        <f t="shared" si="239"/>
        <v>#REF!</v>
      </c>
      <c r="RJD247" s="29" t="e">
        <f t="shared" si="239"/>
        <v>#REF!</v>
      </c>
      <c r="RJE247" s="29" t="e">
        <f t="shared" ref="RJE247:RLP247" si="240">RJI247&amp;RJJ247</f>
        <v>#REF!</v>
      </c>
      <c r="RJF247" s="29" t="e">
        <f t="shared" si="240"/>
        <v>#REF!</v>
      </c>
      <c r="RJG247" s="29" t="e">
        <f t="shared" si="240"/>
        <v>#REF!</v>
      </c>
      <c r="RJH247" s="29" t="e">
        <f t="shared" si="240"/>
        <v>#REF!</v>
      </c>
      <c r="RJI247" s="29" t="e">
        <f t="shared" si="240"/>
        <v>#REF!</v>
      </c>
      <c r="RJJ247" s="29" t="e">
        <f t="shared" si="240"/>
        <v>#REF!</v>
      </c>
      <c r="RJK247" s="29" t="e">
        <f t="shared" si="240"/>
        <v>#REF!</v>
      </c>
      <c r="RJL247" s="29" t="e">
        <f t="shared" si="240"/>
        <v>#REF!</v>
      </c>
      <c r="RJM247" s="29" t="e">
        <f t="shared" si="240"/>
        <v>#REF!</v>
      </c>
      <c r="RJN247" s="29" t="e">
        <f t="shared" si="240"/>
        <v>#REF!</v>
      </c>
      <c r="RJO247" s="29" t="e">
        <f t="shared" si="240"/>
        <v>#REF!</v>
      </c>
      <c r="RJP247" s="29" t="e">
        <f t="shared" si="240"/>
        <v>#REF!</v>
      </c>
      <c r="RJQ247" s="29" t="e">
        <f t="shared" si="240"/>
        <v>#REF!</v>
      </c>
      <c r="RJR247" s="29" t="e">
        <f t="shared" si="240"/>
        <v>#REF!</v>
      </c>
      <c r="RJS247" s="29" t="e">
        <f t="shared" si="240"/>
        <v>#REF!</v>
      </c>
      <c r="RJT247" s="29" t="e">
        <f t="shared" si="240"/>
        <v>#REF!</v>
      </c>
      <c r="RJU247" s="29" t="e">
        <f t="shared" si="240"/>
        <v>#REF!</v>
      </c>
      <c r="RJV247" s="29" t="e">
        <f t="shared" si="240"/>
        <v>#REF!</v>
      </c>
      <c r="RJW247" s="29" t="e">
        <f t="shared" si="240"/>
        <v>#REF!</v>
      </c>
      <c r="RJX247" s="29" t="e">
        <f t="shared" si="240"/>
        <v>#REF!</v>
      </c>
      <c r="RJY247" s="29" t="e">
        <f t="shared" si="240"/>
        <v>#REF!</v>
      </c>
      <c r="RJZ247" s="29" t="e">
        <f t="shared" si="240"/>
        <v>#REF!</v>
      </c>
      <c r="RKA247" s="29" t="e">
        <f t="shared" si="240"/>
        <v>#REF!</v>
      </c>
      <c r="RKB247" s="29" t="e">
        <f t="shared" si="240"/>
        <v>#REF!</v>
      </c>
      <c r="RKC247" s="29" t="e">
        <f t="shared" si="240"/>
        <v>#REF!</v>
      </c>
      <c r="RKD247" s="29" t="e">
        <f t="shared" si="240"/>
        <v>#REF!</v>
      </c>
      <c r="RKE247" s="29" t="e">
        <f t="shared" si="240"/>
        <v>#REF!</v>
      </c>
      <c r="RKF247" s="29" t="e">
        <f t="shared" si="240"/>
        <v>#REF!</v>
      </c>
      <c r="RKG247" s="29" t="e">
        <f t="shared" si="240"/>
        <v>#REF!</v>
      </c>
      <c r="RKH247" s="29" t="e">
        <f t="shared" si="240"/>
        <v>#REF!</v>
      </c>
      <c r="RKI247" s="29" t="e">
        <f t="shared" si="240"/>
        <v>#REF!</v>
      </c>
      <c r="RKJ247" s="29" t="e">
        <f t="shared" si="240"/>
        <v>#REF!</v>
      </c>
      <c r="RKK247" s="29" t="e">
        <f t="shared" si="240"/>
        <v>#REF!</v>
      </c>
      <c r="RKL247" s="29" t="e">
        <f t="shared" si="240"/>
        <v>#REF!</v>
      </c>
      <c r="RKM247" s="29" t="e">
        <f t="shared" si="240"/>
        <v>#REF!</v>
      </c>
      <c r="RKN247" s="29" t="e">
        <f t="shared" si="240"/>
        <v>#REF!</v>
      </c>
      <c r="RKO247" s="29" t="e">
        <f t="shared" si="240"/>
        <v>#REF!</v>
      </c>
      <c r="RKP247" s="29" t="e">
        <f t="shared" si="240"/>
        <v>#REF!</v>
      </c>
      <c r="RKQ247" s="29" t="e">
        <f t="shared" si="240"/>
        <v>#REF!</v>
      </c>
      <c r="RKR247" s="29" t="e">
        <f t="shared" si="240"/>
        <v>#REF!</v>
      </c>
      <c r="RKS247" s="29" t="e">
        <f t="shared" si="240"/>
        <v>#REF!</v>
      </c>
      <c r="RKT247" s="29" t="e">
        <f t="shared" si="240"/>
        <v>#REF!</v>
      </c>
      <c r="RKU247" s="29" t="e">
        <f t="shared" si="240"/>
        <v>#REF!</v>
      </c>
      <c r="RKV247" s="29" t="e">
        <f t="shared" si="240"/>
        <v>#REF!</v>
      </c>
      <c r="RKW247" s="29" t="e">
        <f t="shared" si="240"/>
        <v>#REF!</v>
      </c>
      <c r="RKX247" s="29" t="e">
        <f t="shared" si="240"/>
        <v>#REF!</v>
      </c>
      <c r="RKY247" s="29" t="e">
        <f t="shared" si="240"/>
        <v>#REF!</v>
      </c>
      <c r="RKZ247" s="29" t="e">
        <f t="shared" si="240"/>
        <v>#REF!</v>
      </c>
      <c r="RLA247" s="29" t="e">
        <f t="shared" si="240"/>
        <v>#REF!</v>
      </c>
      <c r="RLB247" s="29" t="e">
        <f t="shared" si="240"/>
        <v>#REF!</v>
      </c>
      <c r="RLC247" s="29" t="e">
        <f t="shared" si="240"/>
        <v>#REF!</v>
      </c>
      <c r="RLD247" s="29" t="e">
        <f t="shared" si="240"/>
        <v>#REF!</v>
      </c>
      <c r="RLE247" s="29" t="e">
        <f t="shared" si="240"/>
        <v>#REF!</v>
      </c>
      <c r="RLF247" s="29" t="e">
        <f t="shared" si="240"/>
        <v>#REF!</v>
      </c>
      <c r="RLG247" s="29" t="e">
        <f t="shared" si="240"/>
        <v>#REF!</v>
      </c>
      <c r="RLH247" s="29" t="e">
        <f t="shared" si="240"/>
        <v>#REF!</v>
      </c>
      <c r="RLI247" s="29" t="e">
        <f t="shared" si="240"/>
        <v>#REF!</v>
      </c>
      <c r="RLJ247" s="29" t="e">
        <f t="shared" si="240"/>
        <v>#REF!</v>
      </c>
      <c r="RLK247" s="29" t="e">
        <f t="shared" si="240"/>
        <v>#REF!</v>
      </c>
      <c r="RLL247" s="29" t="e">
        <f t="shared" si="240"/>
        <v>#REF!</v>
      </c>
      <c r="RLM247" s="29" t="e">
        <f t="shared" si="240"/>
        <v>#REF!</v>
      </c>
      <c r="RLN247" s="29" t="e">
        <f t="shared" si="240"/>
        <v>#REF!</v>
      </c>
      <c r="RLO247" s="29" t="e">
        <f t="shared" si="240"/>
        <v>#REF!</v>
      </c>
      <c r="RLP247" s="29" t="e">
        <f t="shared" si="240"/>
        <v>#REF!</v>
      </c>
      <c r="RLQ247" s="29" t="e">
        <f t="shared" ref="RLQ247:ROB247" si="241">RLU247&amp;RLV247</f>
        <v>#REF!</v>
      </c>
      <c r="RLR247" s="29" t="e">
        <f t="shared" si="241"/>
        <v>#REF!</v>
      </c>
      <c r="RLS247" s="29" t="e">
        <f t="shared" si="241"/>
        <v>#REF!</v>
      </c>
      <c r="RLT247" s="29" t="e">
        <f t="shared" si="241"/>
        <v>#REF!</v>
      </c>
      <c r="RLU247" s="29" t="e">
        <f t="shared" si="241"/>
        <v>#REF!</v>
      </c>
      <c r="RLV247" s="29" t="e">
        <f t="shared" si="241"/>
        <v>#REF!</v>
      </c>
      <c r="RLW247" s="29" t="e">
        <f t="shared" si="241"/>
        <v>#REF!</v>
      </c>
      <c r="RLX247" s="29" t="e">
        <f t="shared" si="241"/>
        <v>#REF!</v>
      </c>
      <c r="RLY247" s="29" t="e">
        <f t="shared" si="241"/>
        <v>#REF!</v>
      </c>
      <c r="RLZ247" s="29" t="e">
        <f t="shared" si="241"/>
        <v>#REF!</v>
      </c>
      <c r="RMA247" s="29" t="e">
        <f t="shared" si="241"/>
        <v>#REF!</v>
      </c>
      <c r="RMB247" s="29" t="e">
        <f t="shared" si="241"/>
        <v>#REF!</v>
      </c>
      <c r="RMC247" s="29" t="e">
        <f t="shared" si="241"/>
        <v>#REF!</v>
      </c>
      <c r="RMD247" s="29" t="e">
        <f t="shared" si="241"/>
        <v>#REF!</v>
      </c>
      <c r="RME247" s="29" t="e">
        <f t="shared" si="241"/>
        <v>#REF!</v>
      </c>
      <c r="RMF247" s="29" t="e">
        <f t="shared" si="241"/>
        <v>#REF!</v>
      </c>
      <c r="RMG247" s="29" t="e">
        <f t="shared" si="241"/>
        <v>#REF!</v>
      </c>
      <c r="RMH247" s="29" t="e">
        <f t="shared" si="241"/>
        <v>#REF!</v>
      </c>
      <c r="RMI247" s="29" t="e">
        <f t="shared" si="241"/>
        <v>#REF!</v>
      </c>
      <c r="RMJ247" s="29" t="e">
        <f t="shared" si="241"/>
        <v>#REF!</v>
      </c>
      <c r="RMK247" s="29" t="e">
        <f t="shared" si="241"/>
        <v>#REF!</v>
      </c>
      <c r="RML247" s="29" t="e">
        <f t="shared" si="241"/>
        <v>#REF!</v>
      </c>
      <c r="RMM247" s="29" t="e">
        <f t="shared" si="241"/>
        <v>#REF!</v>
      </c>
      <c r="RMN247" s="29" t="e">
        <f t="shared" si="241"/>
        <v>#REF!</v>
      </c>
      <c r="RMO247" s="29" t="e">
        <f t="shared" si="241"/>
        <v>#REF!</v>
      </c>
      <c r="RMP247" s="29" t="e">
        <f t="shared" si="241"/>
        <v>#REF!</v>
      </c>
      <c r="RMQ247" s="29" t="e">
        <f t="shared" si="241"/>
        <v>#REF!</v>
      </c>
      <c r="RMR247" s="29" t="e">
        <f t="shared" si="241"/>
        <v>#REF!</v>
      </c>
      <c r="RMS247" s="29" t="e">
        <f t="shared" si="241"/>
        <v>#REF!</v>
      </c>
      <c r="RMT247" s="29" t="e">
        <f t="shared" si="241"/>
        <v>#REF!</v>
      </c>
      <c r="RMU247" s="29" t="e">
        <f t="shared" si="241"/>
        <v>#REF!</v>
      </c>
      <c r="RMV247" s="29" t="e">
        <f t="shared" si="241"/>
        <v>#REF!</v>
      </c>
      <c r="RMW247" s="29" t="e">
        <f t="shared" si="241"/>
        <v>#REF!</v>
      </c>
      <c r="RMX247" s="29" t="e">
        <f t="shared" si="241"/>
        <v>#REF!</v>
      </c>
      <c r="RMY247" s="29" t="e">
        <f t="shared" si="241"/>
        <v>#REF!</v>
      </c>
      <c r="RMZ247" s="29" t="e">
        <f t="shared" si="241"/>
        <v>#REF!</v>
      </c>
      <c r="RNA247" s="29" t="e">
        <f t="shared" si="241"/>
        <v>#REF!</v>
      </c>
      <c r="RNB247" s="29" t="e">
        <f t="shared" si="241"/>
        <v>#REF!</v>
      </c>
      <c r="RNC247" s="29" t="e">
        <f t="shared" si="241"/>
        <v>#REF!</v>
      </c>
      <c r="RND247" s="29" t="e">
        <f t="shared" si="241"/>
        <v>#REF!</v>
      </c>
      <c r="RNE247" s="29" t="e">
        <f t="shared" si="241"/>
        <v>#REF!</v>
      </c>
      <c r="RNF247" s="29" t="e">
        <f t="shared" si="241"/>
        <v>#REF!</v>
      </c>
      <c r="RNG247" s="29" t="e">
        <f t="shared" si="241"/>
        <v>#REF!</v>
      </c>
      <c r="RNH247" s="29" t="e">
        <f t="shared" si="241"/>
        <v>#REF!</v>
      </c>
      <c r="RNI247" s="29" t="e">
        <f t="shared" si="241"/>
        <v>#REF!</v>
      </c>
      <c r="RNJ247" s="29" t="e">
        <f t="shared" si="241"/>
        <v>#REF!</v>
      </c>
      <c r="RNK247" s="29" t="e">
        <f t="shared" si="241"/>
        <v>#REF!</v>
      </c>
      <c r="RNL247" s="29" t="e">
        <f t="shared" si="241"/>
        <v>#REF!</v>
      </c>
      <c r="RNM247" s="29" t="e">
        <f t="shared" si="241"/>
        <v>#REF!</v>
      </c>
      <c r="RNN247" s="29" t="e">
        <f t="shared" si="241"/>
        <v>#REF!</v>
      </c>
      <c r="RNO247" s="29" t="e">
        <f t="shared" si="241"/>
        <v>#REF!</v>
      </c>
      <c r="RNP247" s="29" t="e">
        <f t="shared" si="241"/>
        <v>#REF!</v>
      </c>
      <c r="RNQ247" s="29" t="e">
        <f t="shared" si="241"/>
        <v>#REF!</v>
      </c>
      <c r="RNR247" s="29" t="e">
        <f t="shared" si="241"/>
        <v>#REF!</v>
      </c>
      <c r="RNS247" s="29" t="e">
        <f t="shared" si="241"/>
        <v>#REF!</v>
      </c>
      <c r="RNT247" s="29" t="e">
        <f t="shared" si="241"/>
        <v>#REF!</v>
      </c>
      <c r="RNU247" s="29" t="e">
        <f t="shared" si="241"/>
        <v>#REF!</v>
      </c>
      <c r="RNV247" s="29" t="e">
        <f t="shared" si="241"/>
        <v>#REF!</v>
      </c>
      <c r="RNW247" s="29" t="e">
        <f t="shared" si="241"/>
        <v>#REF!</v>
      </c>
      <c r="RNX247" s="29" t="e">
        <f t="shared" si="241"/>
        <v>#REF!</v>
      </c>
      <c r="RNY247" s="29" t="e">
        <f t="shared" si="241"/>
        <v>#REF!</v>
      </c>
      <c r="RNZ247" s="29" t="e">
        <f t="shared" si="241"/>
        <v>#REF!</v>
      </c>
      <c r="ROA247" s="29" t="e">
        <f t="shared" si="241"/>
        <v>#REF!</v>
      </c>
      <c r="ROB247" s="29" t="e">
        <f t="shared" si="241"/>
        <v>#REF!</v>
      </c>
      <c r="ROC247" s="29" t="e">
        <f t="shared" ref="ROC247:RQN247" si="242">ROG247&amp;ROH247</f>
        <v>#REF!</v>
      </c>
      <c r="ROD247" s="29" t="e">
        <f t="shared" si="242"/>
        <v>#REF!</v>
      </c>
      <c r="ROE247" s="29" t="e">
        <f t="shared" si="242"/>
        <v>#REF!</v>
      </c>
      <c r="ROF247" s="29" t="e">
        <f t="shared" si="242"/>
        <v>#REF!</v>
      </c>
      <c r="ROG247" s="29" t="e">
        <f t="shared" si="242"/>
        <v>#REF!</v>
      </c>
      <c r="ROH247" s="29" t="e">
        <f t="shared" si="242"/>
        <v>#REF!</v>
      </c>
      <c r="ROI247" s="29" t="e">
        <f t="shared" si="242"/>
        <v>#REF!</v>
      </c>
      <c r="ROJ247" s="29" t="e">
        <f t="shared" si="242"/>
        <v>#REF!</v>
      </c>
      <c r="ROK247" s="29" t="e">
        <f t="shared" si="242"/>
        <v>#REF!</v>
      </c>
      <c r="ROL247" s="29" t="e">
        <f t="shared" si="242"/>
        <v>#REF!</v>
      </c>
      <c r="ROM247" s="29" t="e">
        <f t="shared" si="242"/>
        <v>#REF!</v>
      </c>
      <c r="RON247" s="29" t="e">
        <f t="shared" si="242"/>
        <v>#REF!</v>
      </c>
      <c r="ROO247" s="29" t="e">
        <f t="shared" si="242"/>
        <v>#REF!</v>
      </c>
      <c r="ROP247" s="29" t="e">
        <f t="shared" si="242"/>
        <v>#REF!</v>
      </c>
      <c r="ROQ247" s="29" t="e">
        <f t="shared" si="242"/>
        <v>#REF!</v>
      </c>
      <c r="ROR247" s="29" t="e">
        <f t="shared" si="242"/>
        <v>#REF!</v>
      </c>
      <c r="ROS247" s="29" t="e">
        <f t="shared" si="242"/>
        <v>#REF!</v>
      </c>
      <c r="ROT247" s="29" t="e">
        <f t="shared" si="242"/>
        <v>#REF!</v>
      </c>
      <c r="ROU247" s="29" t="e">
        <f t="shared" si="242"/>
        <v>#REF!</v>
      </c>
      <c r="ROV247" s="29" t="e">
        <f t="shared" si="242"/>
        <v>#REF!</v>
      </c>
      <c r="ROW247" s="29" t="e">
        <f t="shared" si="242"/>
        <v>#REF!</v>
      </c>
      <c r="ROX247" s="29" t="e">
        <f t="shared" si="242"/>
        <v>#REF!</v>
      </c>
      <c r="ROY247" s="29" t="e">
        <f t="shared" si="242"/>
        <v>#REF!</v>
      </c>
      <c r="ROZ247" s="29" t="e">
        <f t="shared" si="242"/>
        <v>#REF!</v>
      </c>
      <c r="RPA247" s="29" t="e">
        <f t="shared" si="242"/>
        <v>#REF!</v>
      </c>
      <c r="RPB247" s="29" t="e">
        <f t="shared" si="242"/>
        <v>#REF!</v>
      </c>
      <c r="RPC247" s="29" t="e">
        <f t="shared" si="242"/>
        <v>#REF!</v>
      </c>
      <c r="RPD247" s="29" t="e">
        <f t="shared" si="242"/>
        <v>#REF!</v>
      </c>
      <c r="RPE247" s="29" t="e">
        <f t="shared" si="242"/>
        <v>#REF!</v>
      </c>
      <c r="RPF247" s="29" t="e">
        <f t="shared" si="242"/>
        <v>#REF!</v>
      </c>
      <c r="RPG247" s="29" t="e">
        <f t="shared" si="242"/>
        <v>#REF!</v>
      </c>
      <c r="RPH247" s="29" t="e">
        <f t="shared" si="242"/>
        <v>#REF!</v>
      </c>
      <c r="RPI247" s="29" t="e">
        <f t="shared" si="242"/>
        <v>#REF!</v>
      </c>
      <c r="RPJ247" s="29" t="e">
        <f t="shared" si="242"/>
        <v>#REF!</v>
      </c>
      <c r="RPK247" s="29" t="e">
        <f t="shared" si="242"/>
        <v>#REF!</v>
      </c>
      <c r="RPL247" s="29" t="e">
        <f t="shared" si="242"/>
        <v>#REF!</v>
      </c>
      <c r="RPM247" s="29" t="e">
        <f t="shared" si="242"/>
        <v>#REF!</v>
      </c>
      <c r="RPN247" s="29" t="e">
        <f t="shared" si="242"/>
        <v>#REF!</v>
      </c>
      <c r="RPO247" s="29" t="e">
        <f t="shared" si="242"/>
        <v>#REF!</v>
      </c>
      <c r="RPP247" s="29" t="e">
        <f t="shared" si="242"/>
        <v>#REF!</v>
      </c>
      <c r="RPQ247" s="29" t="e">
        <f t="shared" si="242"/>
        <v>#REF!</v>
      </c>
      <c r="RPR247" s="29" t="e">
        <f t="shared" si="242"/>
        <v>#REF!</v>
      </c>
      <c r="RPS247" s="29" t="e">
        <f t="shared" si="242"/>
        <v>#REF!</v>
      </c>
      <c r="RPT247" s="29" t="e">
        <f t="shared" si="242"/>
        <v>#REF!</v>
      </c>
      <c r="RPU247" s="29" t="e">
        <f t="shared" si="242"/>
        <v>#REF!</v>
      </c>
      <c r="RPV247" s="29" t="e">
        <f t="shared" si="242"/>
        <v>#REF!</v>
      </c>
      <c r="RPW247" s="29" t="e">
        <f t="shared" si="242"/>
        <v>#REF!</v>
      </c>
      <c r="RPX247" s="29" t="e">
        <f t="shared" si="242"/>
        <v>#REF!</v>
      </c>
      <c r="RPY247" s="29" t="e">
        <f t="shared" si="242"/>
        <v>#REF!</v>
      </c>
      <c r="RPZ247" s="29" t="e">
        <f t="shared" si="242"/>
        <v>#REF!</v>
      </c>
      <c r="RQA247" s="29" t="e">
        <f t="shared" si="242"/>
        <v>#REF!</v>
      </c>
      <c r="RQB247" s="29" t="e">
        <f t="shared" si="242"/>
        <v>#REF!</v>
      </c>
      <c r="RQC247" s="29" t="e">
        <f t="shared" si="242"/>
        <v>#REF!</v>
      </c>
      <c r="RQD247" s="29" t="e">
        <f t="shared" si="242"/>
        <v>#REF!</v>
      </c>
      <c r="RQE247" s="29" t="e">
        <f t="shared" si="242"/>
        <v>#REF!</v>
      </c>
      <c r="RQF247" s="29" t="e">
        <f t="shared" si="242"/>
        <v>#REF!</v>
      </c>
      <c r="RQG247" s="29" t="e">
        <f t="shared" si="242"/>
        <v>#REF!</v>
      </c>
      <c r="RQH247" s="29" t="e">
        <f t="shared" si="242"/>
        <v>#REF!</v>
      </c>
      <c r="RQI247" s="29" t="e">
        <f t="shared" si="242"/>
        <v>#REF!</v>
      </c>
      <c r="RQJ247" s="29" t="e">
        <f t="shared" si="242"/>
        <v>#REF!</v>
      </c>
      <c r="RQK247" s="29" t="e">
        <f t="shared" si="242"/>
        <v>#REF!</v>
      </c>
      <c r="RQL247" s="29" t="e">
        <f t="shared" si="242"/>
        <v>#REF!</v>
      </c>
      <c r="RQM247" s="29" t="e">
        <f t="shared" si="242"/>
        <v>#REF!</v>
      </c>
      <c r="RQN247" s="29" t="e">
        <f t="shared" si="242"/>
        <v>#REF!</v>
      </c>
      <c r="RQO247" s="29" t="e">
        <f t="shared" ref="RQO247:RSZ247" si="243">RQS247&amp;RQT247</f>
        <v>#REF!</v>
      </c>
      <c r="RQP247" s="29" t="e">
        <f t="shared" si="243"/>
        <v>#REF!</v>
      </c>
      <c r="RQQ247" s="29" t="e">
        <f t="shared" si="243"/>
        <v>#REF!</v>
      </c>
      <c r="RQR247" s="29" t="e">
        <f t="shared" si="243"/>
        <v>#REF!</v>
      </c>
      <c r="RQS247" s="29" t="e">
        <f t="shared" si="243"/>
        <v>#REF!</v>
      </c>
      <c r="RQT247" s="29" t="e">
        <f t="shared" si="243"/>
        <v>#REF!</v>
      </c>
      <c r="RQU247" s="29" t="e">
        <f t="shared" si="243"/>
        <v>#REF!</v>
      </c>
      <c r="RQV247" s="29" t="e">
        <f t="shared" si="243"/>
        <v>#REF!</v>
      </c>
      <c r="RQW247" s="29" t="e">
        <f t="shared" si="243"/>
        <v>#REF!</v>
      </c>
      <c r="RQX247" s="29" t="e">
        <f t="shared" si="243"/>
        <v>#REF!</v>
      </c>
      <c r="RQY247" s="29" t="e">
        <f t="shared" si="243"/>
        <v>#REF!</v>
      </c>
      <c r="RQZ247" s="29" t="e">
        <f t="shared" si="243"/>
        <v>#REF!</v>
      </c>
      <c r="RRA247" s="29" t="e">
        <f t="shared" si="243"/>
        <v>#REF!</v>
      </c>
      <c r="RRB247" s="29" t="e">
        <f t="shared" si="243"/>
        <v>#REF!</v>
      </c>
      <c r="RRC247" s="29" t="e">
        <f t="shared" si="243"/>
        <v>#REF!</v>
      </c>
      <c r="RRD247" s="29" t="e">
        <f t="shared" si="243"/>
        <v>#REF!</v>
      </c>
      <c r="RRE247" s="29" t="e">
        <f t="shared" si="243"/>
        <v>#REF!</v>
      </c>
      <c r="RRF247" s="29" t="e">
        <f t="shared" si="243"/>
        <v>#REF!</v>
      </c>
      <c r="RRG247" s="29" t="e">
        <f t="shared" si="243"/>
        <v>#REF!</v>
      </c>
      <c r="RRH247" s="29" t="e">
        <f t="shared" si="243"/>
        <v>#REF!</v>
      </c>
      <c r="RRI247" s="29" t="e">
        <f t="shared" si="243"/>
        <v>#REF!</v>
      </c>
      <c r="RRJ247" s="29" t="e">
        <f t="shared" si="243"/>
        <v>#REF!</v>
      </c>
      <c r="RRK247" s="29" t="e">
        <f t="shared" si="243"/>
        <v>#REF!</v>
      </c>
      <c r="RRL247" s="29" t="e">
        <f t="shared" si="243"/>
        <v>#REF!</v>
      </c>
      <c r="RRM247" s="29" t="e">
        <f t="shared" si="243"/>
        <v>#REF!</v>
      </c>
      <c r="RRN247" s="29" t="e">
        <f t="shared" si="243"/>
        <v>#REF!</v>
      </c>
      <c r="RRO247" s="29" t="e">
        <f t="shared" si="243"/>
        <v>#REF!</v>
      </c>
      <c r="RRP247" s="29" t="e">
        <f t="shared" si="243"/>
        <v>#REF!</v>
      </c>
      <c r="RRQ247" s="29" t="e">
        <f t="shared" si="243"/>
        <v>#REF!</v>
      </c>
      <c r="RRR247" s="29" t="e">
        <f t="shared" si="243"/>
        <v>#REF!</v>
      </c>
      <c r="RRS247" s="29" t="e">
        <f t="shared" si="243"/>
        <v>#REF!</v>
      </c>
      <c r="RRT247" s="29" t="e">
        <f t="shared" si="243"/>
        <v>#REF!</v>
      </c>
      <c r="RRU247" s="29" t="e">
        <f t="shared" si="243"/>
        <v>#REF!</v>
      </c>
      <c r="RRV247" s="29" t="e">
        <f t="shared" si="243"/>
        <v>#REF!</v>
      </c>
      <c r="RRW247" s="29" t="e">
        <f t="shared" si="243"/>
        <v>#REF!</v>
      </c>
      <c r="RRX247" s="29" t="e">
        <f t="shared" si="243"/>
        <v>#REF!</v>
      </c>
      <c r="RRY247" s="29" t="e">
        <f t="shared" si="243"/>
        <v>#REF!</v>
      </c>
      <c r="RRZ247" s="29" t="e">
        <f t="shared" si="243"/>
        <v>#REF!</v>
      </c>
      <c r="RSA247" s="29" t="e">
        <f t="shared" si="243"/>
        <v>#REF!</v>
      </c>
      <c r="RSB247" s="29" t="e">
        <f t="shared" si="243"/>
        <v>#REF!</v>
      </c>
      <c r="RSC247" s="29" t="e">
        <f t="shared" si="243"/>
        <v>#REF!</v>
      </c>
      <c r="RSD247" s="29" t="e">
        <f t="shared" si="243"/>
        <v>#REF!</v>
      </c>
      <c r="RSE247" s="29" t="e">
        <f t="shared" si="243"/>
        <v>#REF!</v>
      </c>
      <c r="RSF247" s="29" t="e">
        <f t="shared" si="243"/>
        <v>#REF!</v>
      </c>
      <c r="RSG247" s="29" t="e">
        <f t="shared" si="243"/>
        <v>#REF!</v>
      </c>
      <c r="RSH247" s="29" t="e">
        <f t="shared" si="243"/>
        <v>#REF!</v>
      </c>
      <c r="RSI247" s="29" t="e">
        <f t="shared" si="243"/>
        <v>#REF!</v>
      </c>
      <c r="RSJ247" s="29" t="e">
        <f t="shared" si="243"/>
        <v>#REF!</v>
      </c>
      <c r="RSK247" s="29" t="e">
        <f t="shared" si="243"/>
        <v>#REF!</v>
      </c>
      <c r="RSL247" s="29" t="e">
        <f t="shared" si="243"/>
        <v>#REF!</v>
      </c>
      <c r="RSM247" s="29" t="e">
        <f t="shared" si="243"/>
        <v>#REF!</v>
      </c>
      <c r="RSN247" s="29" t="e">
        <f t="shared" si="243"/>
        <v>#REF!</v>
      </c>
      <c r="RSO247" s="29" t="e">
        <f t="shared" si="243"/>
        <v>#REF!</v>
      </c>
      <c r="RSP247" s="29" t="e">
        <f t="shared" si="243"/>
        <v>#REF!</v>
      </c>
      <c r="RSQ247" s="29" t="e">
        <f t="shared" si="243"/>
        <v>#REF!</v>
      </c>
      <c r="RSR247" s="29" t="e">
        <f t="shared" si="243"/>
        <v>#REF!</v>
      </c>
      <c r="RSS247" s="29" t="e">
        <f t="shared" si="243"/>
        <v>#REF!</v>
      </c>
      <c r="RST247" s="29" t="e">
        <f t="shared" si="243"/>
        <v>#REF!</v>
      </c>
      <c r="RSU247" s="29" t="e">
        <f t="shared" si="243"/>
        <v>#REF!</v>
      </c>
      <c r="RSV247" s="29" t="e">
        <f t="shared" si="243"/>
        <v>#REF!</v>
      </c>
      <c r="RSW247" s="29" t="e">
        <f t="shared" si="243"/>
        <v>#REF!</v>
      </c>
      <c r="RSX247" s="29" t="e">
        <f t="shared" si="243"/>
        <v>#REF!</v>
      </c>
      <c r="RSY247" s="29" t="e">
        <f t="shared" si="243"/>
        <v>#REF!</v>
      </c>
      <c r="RSZ247" s="29" t="e">
        <f t="shared" si="243"/>
        <v>#REF!</v>
      </c>
      <c r="RTA247" s="29" t="e">
        <f t="shared" ref="RTA247:RVL247" si="244">RTE247&amp;RTF247</f>
        <v>#REF!</v>
      </c>
      <c r="RTB247" s="29" t="e">
        <f t="shared" si="244"/>
        <v>#REF!</v>
      </c>
      <c r="RTC247" s="29" t="e">
        <f t="shared" si="244"/>
        <v>#REF!</v>
      </c>
      <c r="RTD247" s="29" t="e">
        <f t="shared" si="244"/>
        <v>#REF!</v>
      </c>
      <c r="RTE247" s="29" t="e">
        <f t="shared" si="244"/>
        <v>#REF!</v>
      </c>
      <c r="RTF247" s="29" t="e">
        <f t="shared" si="244"/>
        <v>#REF!</v>
      </c>
      <c r="RTG247" s="29" t="e">
        <f t="shared" si="244"/>
        <v>#REF!</v>
      </c>
      <c r="RTH247" s="29" t="e">
        <f t="shared" si="244"/>
        <v>#REF!</v>
      </c>
      <c r="RTI247" s="29" t="e">
        <f t="shared" si="244"/>
        <v>#REF!</v>
      </c>
      <c r="RTJ247" s="29" t="e">
        <f t="shared" si="244"/>
        <v>#REF!</v>
      </c>
      <c r="RTK247" s="29" t="e">
        <f t="shared" si="244"/>
        <v>#REF!</v>
      </c>
      <c r="RTL247" s="29" t="e">
        <f t="shared" si="244"/>
        <v>#REF!</v>
      </c>
      <c r="RTM247" s="29" t="e">
        <f t="shared" si="244"/>
        <v>#REF!</v>
      </c>
      <c r="RTN247" s="29" t="e">
        <f t="shared" si="244"/>
        <v>#REF!</v>
      </c>
      <c r="RTO247" s="29" t="e">
        <f t="shared" si="244"/>
        <v>#REF!</v>
      </c>
      <c r="RTP247" s="29" t="e">
        <f t="shared" si="244"/>
        <v>#REF!</v>
      </c>
      <c r="RTQ247" s="29" t="e">
        <f t="shared" si="244"/>
        <v>#REF!</v>
      </c>
      <c r="RTR247" s="29" t="e">
        <f t="shared" si="244"/>
        <v>#REF!</v>
      </c>
      <c r="RTS247" s="29" t="e">
        <f t="shared" si="244"/>
        <v>#REF!</v>
      </c>
      <c r="RTT247" s="29" t="e">
        <f t="shared" si="244"/>
        <v>#REF!</v>
      </c>
      <c r="RTU247" s="29" t="e">
        <f t="shared" si="244"/>
        <v>#REF!</v>
      </c>
      <c r="RTV247" s="29" t="e">
        <f t="shared" si="244"/>
        <v>#REF!</v>
      </c>
      <c r="RTW247" s="29" t="e">
        <f t="shared" si="244"/>
        <v>#REF!</v>
      </c>
      <c r="RTX247" s="29" t="e">
        <f t="shared" si="244"/>
        <v>#REF!</v>
      </c>
      <c r="RTY247" s="29" t="e">
        <f t="shared" si="244"/>
        <v>#REF!</v>
      </c>
      <c r="RTZ247" s="29" t="e">
        <f t="shared" si="244"/>
        <v>#REF!</v>
      </c>
      <c r="RUA247" s="29" t="e">
        <f t="shared" si="244"/>
        <v>#REF!</v>
      </c>
      <c r="RUB247" s="29" t="e">
        <f t="shared" si="244"/>
        <v>#REF!</v>
      </c>
      <c r="RUC247" s="29" t="e">
        <f t="shared" si="244"/>
        <v>#REF!</v>
      </c>
      <c r="RUD247" s="29" t="e">
        <f t="shared" si="244"/>
        <v>#REF!</v>
      </c>
      <c r="RUE247" s="29" t="e">
        <f t="shared" si="244"/>
        <v>#REF!</v>
      </c>
      <c r="RUF247" s="29" t="e">
        <f t="shared" si="244"/>
        <v>#REF!</v>
      </c>
      <c r="RUG247" s="29" t="e">
        <f t="shared" si="244"/>
        <v>#REF!</v>
      </c>
      <c r="RUH247" s="29" t="e">
        <f t="shared" si="244"/>
        <v>#REF!</v>
      </c>
      <c r="RUI247" s="29" t="e">
        <f t="shared" si="244"/>
        <v>#REF!</v>
      </c>
      <c r="RUJ247" s="29" t="e">
        <f t="shared" si="244"/>
        <v>#REF!</v>
      </c>
      <c r="RUK247" s="29" t="e">
        <f t="shared" si="244"/>
        <v>#REF!</v>
      </c>
      <c r="RUL247" s="29" t="e">
        <f t="shared" si="244"/>
        <v>#REF!</v>
      </c>
      <c r="RUM247" s="29" t="e">
        <f t="shared" si="244"/>
        <v>#REF!</v>
      </c>
      <c r="RUN247" s="29" t="e">
        <f t="shared" si="244"/>
        <v>#REF!</v>
      </c>
      <c r="RUO247" s="29" t="e">
        <f t="shared" si="244"/>
        <v>#REF!</v>
      </c>
      <c r="RUP247" s="29" t="e">
        <f t="shared" si="244"/>
        <v>#REF!</v>
      </c>
      <c r="RUQ247" s="29" t="e">
        <f t="shared" si="244"/>
        <v>#REF!</v>
      </c>
      <c r="RUR247" s="29" t="e">
        <f t="shared" si="244"/>
        <v>#REF!</v>
      </c>
      <c r="RUS247" s="29" t="e">
        <f t="shared" si="244"/>
        <v>#REF!</v>
      </c>
      <c r="RUT247" s="29" t="e">
        <f t="shared" si="244"/>
        <v>#REF!</v>
      </c>
      <c r="RUU247" s="29" t="e">
        <f t="shared" si="244"/>
        <v>#REF!</v>
      </c>
      <c r="RUV247" s="29" t="e">
        <f t="shared" si="244"/>
        <v>#REF!</v>
      </c>
      <c r="RUW247" s="29" t="e">
        <f t="shared" si="244"/>
        <v>#REF!</v>
      </c>
      <c r="RUX247" s="29" t="e">
        <f t="shared" si="244"/>
        <v>#REF!</v>
      </c>
      <c r="RUY247" s="29" t="e">
        <f t="shared" si="244"/>
        <v>#REF!</v>
      </c>
      <c r="RUZ247" s="29" t="e">
        <f t="shared" si="244"/>
        <v>#REF!</v>
      </c>
      <c r="RVA247" s="29" t="e">
        <f t="shared" si="244"/>
        <v>#REF!</v>
      </c>
      <c r="RVB247" s="29" t="e">
        <f t="shared" si="244"/>
        <v>#REF!</v>
      </c>
      <c r="RVC247" s="29" t="e">
        <f t="shared" si="244"/>
        <v>#REF!</v>
      </c>
      <c r="RVD247" s="29" t="e">
        <f t="shared" si="244"/>
        <v>#REF!</v>
      </c>
      <c r="RVE247" s="29" t="e">
        <f t="shared" si="244"/>
        <v>#REF!</v>
      </c>
      <c r="RVF247" s="29" t="e">
        <f t="shared" si="244"/>
        <v>#REF!</v>
      </c>
      <c r="RVG247" s="29" t="e">
        <f t="shared" si="244"/>
        <v>#REF!</v>
      </c>
      <c r="RVH247" s="29" t="e">
        <f t="shared" si="244"/>
        <v>#REF!</v>
      </c>
      <c r="RVI247" s="29" t="e">
        <f t="shared" si="244"/>
        <v>#REF!</v>
      </c>
      <c r="RVJ247" s="29" t="e">
        <f t="shared" si="244"/>
        <v>#REF!</v>
      </c>
      <c r="RVK247" s="29" t="e">
        <f t="shared" si="244"/>
        <v>#REF!</v>
      </c>
      <c r="RVL247" s="29" t="e">
        <f t="shared" si="244"/>
        <v>#REF!</v>
      </c>
      <c r="RVM247" s="29" t="e">
        <f t="shared" ref="RVM247:RXX247" si="245">RVQ247&amp;RVR247</f>
        <v>#REF!</v>
      </c>
      <c r="RVN247" s="29" t="e">
        <f t="shared" si="245"/>
        <v>#REF!</v>
      </c>
      <c r="RVO247" s="29" t="e">
        <f t="shared" si="245"/>
        <v>#REF!</v>
      </c>
      <c r="RVP247" s="29" t="e">
        <f t="shared" si="245"/>
        <v>#REF!</v>
      </c>
      <c r="RVQ247" s="29" t="e">
        <f t="shared" si="245"/>
        <v>#REF!</v>
      </c>
      <c r="RVR247" s="29" t="e">
        <f t="shared" si="245"/>
        <v>#REF!</v>
      </c>
      <c r="RVS247" s="29" t="e">
        <f t="shared" si="245"/>
        <v>#REF!</v>
      </c>
      <c r="RVT247" s="29" t="e">
        <f t="shared" si="245"/>
        <v>#REF!</v>
      </c>
      <c r="RVU247" s="29" t="e">
        <f t="shared" si="245"/>
        <v>#REF!</v>
      </c>
      <c r="RVV247" s="29" t="e">
        <f t="shared" si="245"/>
        <v>#REF!</v>
      </c>
      <c r="RVW247" s="29" t="e">
        <f t="shared" si="245"/>
        <v>#REF!</v>
      </c>
      <c r="RVX247" s="29" t="e">
        <f t="shared" si="245"/>
        <v>#REF!</v>
      </c>
      <c r="RVY247" s="29" t="e">
        <f t="shared" si="245"/>
        <v>#REF!</v>
      </c>
      <c r="RVZ247" s="29" t="e">
        <f t="shared" si="245"/>
        <v>#REF!</v>
      </c>
      <c r="RWA247" s="29" t="e">
        <f t="shared" si="245"/>
        <v>#REF!</v>
      </c>
      <c r="RWB247" s="29" t="e">
        <f t="shared" si="245"/>
        <v>#REF!</v>
      </c>
      <c r="RWC247" s="29" t="e">
        <f t="shared" si="245"/>
        <v>#REF!</v>
      </c>
      <c r="RWD247" s="29" t="e">
        <f t="shared" si="245"/>
        <v>#REF!</v>
      </c>
      <c r="RWE247" s="29" t="e">
        <f t="shared" si="245"/>
        <v>#REF!</v>
      </c>
      <c r="RWF247" s="29" t="e">
        <f t="shared" si="245"/>
        <v>#REF!</v>
      </c>
      <c r="RWG247" s="29" t="e">
        <f t="shared" si="245"/>
        <v>#REF!</v>
      </c>
      <c r="RWH247" s="29" t="e">
        <f t="shared" si="245"/>
        <v>#REF!</v>
      </c>
      <c r="RWI247" s="29" t="e">
        <f t="shared" si="245"/>
        <v>#REF!</v>
      </c>
      <c r="RWJ247" s="29" t="e">
        <f t="shared" si="245"/>
        <v>#REF!</v>
      </c>
      <c r="RWK247" s="29" t="e">
        <f t="shared" si="245"/>
        <v>#REF!</v>
      </c>
      <c r="RWL247" s="29" t="e">
        <f t="shared" si="245"/>
        <v>#REF!</v>
      </c>
      <c r="RWM247" s="29" t="e">
        <f t="shared" si="245"/>
        <v>#REF!</v>
      </c>
      <c r="RWN247" s="29" t="e">
        <f t="shared" si="245"/>
        <v>#REF!</v>
      </c>
      <c r="RWO247" s="29" t="e">
        <f t="shared" si="245"/>
        <v>#REF!</v>
      </c>
      <c r="RWP247" s="29" t="e">
        <f t="shared" si="245"/>
        <v>#REF!</v>
      </c>
      <c r="RWQ247" s="29" t="e">
        <f t="shared" si="245"/>
        <v>#REF!</v>
      </c>
      <c r="RWR247" s="29" t="e">
        <f t="shared" si="245"/>
        <v>#REF!</v>
      </c>
      <c r="RWS247" s="29" t="e">
        <f t="shared" si="245"/>
        <v>#REF!</v>
      </c>
      <c r="RWT247" s="29" t="e">
        <f t="shared" si="245"/>
        <v>#REF!</v>
      </c>
      <c r="RWU247" s="29" t="e">
        <f t="shared" si="245"/>
        <v>#REF!</v>
      </c>
      <c r="RWV247" s="29" t="e">
        <f t="shared" si="245"/>
        <v>#REF!</v>
      </c>
      <c r="RWW247" s="29" t="e">
        <f t="shared" si="245"/>
        <v>#REF!</v>
      </c>
      <c r="RWX247" s="29" t="e">
        <f t="shared" si="245"/>
        <v>#REF!</v>
      </c>
      <c r="RWY247" s="29" t="e">
        <f t="shared" si="245"/>
        <v>#REF!</v>
      </c>
      <c r="RWZ247" s="29" t="e">
        <f t="shared" si="245"/>
        <v>#REF!</v>
      </c>
      <c r="RXA247" s="29" t="e">
        <f t="shared" si="245"/>
        <v>#REF!</v>
      </c>
      <c r="RXB247" s="29" t="e">
        <f t="shared" si="245"/>
        <v>#REF!</v>
      </c>
      <c r="RXC247" s="29" t="e">
        <f t="shared" si="245"/>
        <v>#REF!</v>
      </c>
      <c r="RXD247" s="29" t="e">
        <f t="shared" si="245"/>
        <v>#REF!</v>
      </c>
      <c r="RXE247" s="29" t="e">
        <f t="shared" si="245"/>
        <v>#REF!</v>
      </c>
      <c r="RXF247" s="29" t="e">
        <f t="shared" si="245"/>
        <v>#REF!</v>
      </c>
      <c r="RXG247" s="29" t="e">
        <f t="shared" si="245"/>
        <v>#REF!</v>
      </c>
      <c r="RXH247" s="29" t="e">
        <f t="shared" si="245"/>
        <v>#REF!</v>
      </c>
      <c r="RXI247" s="29" t="e">
        <f t="shared" si="245"/>
        <v>#REF!</v>
      </c>
      <c r="RXJ247" s="29" t="e">
        <f t="shared" si="245"/>
        <v>#REF!</v>
      </c>
      <c r="RXK247" s="29" t="e">
        <f t="shared" si="245"/>
        <v>#REF!</v>
      </c>
      <c r="RXL247" s="29" t="e">
        <f t="shared" si="245"/>
        <v>#REF!</v>
      </c>
      <c r="RXM247" s="29" t="e">
        <f t="shared" si="245"/>
        <v>#REF!</v>
      </c>
      <c r="RXN247" s="29" t="e">
        <f t="shared" si="245"/>
        <v>#REF!</v>
      </c>
      <c r="RXO247" s="29" t="e">
        <f t="shared" si="245"/>
        <v>#REF!</v>
      </c>
      <c r="RXP247" s="29" t="e">
        <f t="shared" si="245"/>
        <v>#REF!</v>
      </c>
      <c r="RXQ247" s="29" t="e">
        <f t="shared" si="245"/>
        <v>#REF!</v>
      </c>
      <c r="RXR247" s="29" t="e">
        <f t="shared" si="245"/>
        <v>#REF!</v>
      </c>
      <c r="RXS247" s="29" t="e">
        <f t="shared" si="245"/>
        <v>#REF!</v>
      </c>
      <c r="RXT247" s="29" t="e">
        <f t="shared" si="245"/>
        <v>#REF!</v>
      </c>
      <c r="RXU247" s="29" t="e">
        <f t="shared" si="245"/>
        <v>#REF!</v>
      </c>
      <c r="RXV247" s="29" t="e">
        <f t="shared" si="245"/>
        <v>#REF!</v>
      </c>
      <c r="RXW247" s="29" t="e">
        <f t="shared" si="245"/>
        <v>#REF!</v>
      </c>
      <c r="RXX247" s="29" t="e">
        <f t="shared" si="245"/>
        <v>#REF!</v>
      </c>
      <c r="RXY247" s="29" t="e">
        <f t="shared" ref="RXY247:SAJ247" si="246">RYC247&amp;RYD247</f>
        <v>#REF!</v>
      </c>
      <c r="RXZ247" s="29" t="e">
        <f t="shared" si="246"/>
        <v>#REF!</v>
      </c>
      <c r="RYA247" s="29" t="e">
        <f t="shared" si="246"/>
        <v>#REF!</v>
      </c>
      <c r="RYB247" s="29" t="e">
        <f t="shared" si="246"/>
        <v>#REF!</v>
      </c>
      <c r="RYC247" s="29" t="e">
        <f t="shared" si="246"/>
        <v>#REF!</v>
      </c>
      <c r="RYD247" s="29" t="e">
        <f t="shared" si="246"/>
        <v>#REF!</v>
      </c>
      <c r="RYE247" s="29" t="e">
        <f t="shared" si="246"/>
        <v>#REF!</v>
      </c>
      <c r="RYF247" s="29" t="e">
        <f t="shared" si="246"/>
        <v>#REF!</v>
      </c>
      <c r="RYG247" s="29" t="e">
        <f t="shared" si="246"/>
        <v>#REF!</v>
      </c>
      <c r="RYH247" s="29" t="e">
        <f t="shared" si="246"/>
        <v>#REF!</v>
      </c>
      <c r="RYI247" s="29" t="e">
        <f t="shared" si="246"/>
        <v>#REF!</v>
      </c>
      <c r="RYJ247" s="29" t="e">
        <f t="shared" si="246"/>
        <v>#REF!</v>
      </c>
      <c r="RYK247" s="29" t="e">
        <f t="shared" si="246"/>
        <v>#REF!</v>
      </c>
      <c r="RYL247" s="29" t="e">
        <f t="shared" si="246"/>
        <v>#REF!</v>
      </c>
      <c r="RYM247" s="29" t="e">
        <f t="shared" si="246"/>
        <v>#REF!</v>
      </c>
      <c r="RYN247" s="29" t="e">
        <f t="shared" si="246"/>
        <v>#REF!</v>
      </c>
      <c r="RYO247" s="29" t="e">
        <f t="shared" si="246"/>
        <v>#REF!</v>
      </c>
      <c r="RYP247" s="29" t="e">
        <f t="shared" si="246"/>
        <v>#REF!</v>
      </c>
      <c r="RYQ247" s="29" t="e">
        <f t="shared" si="246"/>
        <v>#REF!</v>
      </c>
      <c r="RYR247" s="29" t="e">
        <f t="shared" si="246"/>
        <v>#REF!</v>
      </c>
      <c r="RYS247" s="29" t="e">
        <f t="shared" si="246"/>
        <v>#REF!</v>
      </c>
      <c r="RYT247" s="29" t="e">
        <f t="shared" si="246"/>
        <v>#REF!</v>
      </c>
      <c r="RYU247" s="29" t="e">
        <f t="shared" si="246"/>
        <v>#REF!</v>
      </c>
      <c r="RYV247" s="29" t="e">
        <f t="shared" si="246"/>
        <v>#REF!</v>
      </c>
      <c r="RYW247" s="29" t="e">
        <f t="shared" si="246"/>
        <v>#REF!</v>
      </c>
      <c r="RYX247" s="29" t="e">
        <f t="shared" si="246"/>
        <v>#REF!</v>
      </c>
      <c r="RYY247" s="29" t="e">
        <f t="shared" si="246"/>
        <v>#REF!</v>
      </c>
      <c r="RYZ247" s="29" t="e">
        <f t="shared" si="246"/>
        <v>#REF!</v>
      </c>
      <c r="RZA247" s="29" t="e">
        <f t="shared" si="246"/>
        <v>#REF!</v>
      </c>
      <c r="RZB247" s="29" t="e">
        <f t="shared" si="246"/>
        <v>#REF!</v>
      </c>
      <c r="RZC247" s="29" t="e">
        <f t="shared" si="246"/>
        <v>#REF!</v>
      </c>
      <c r="RZD247" s="29" t="e">
        <f t="shared" si="246"/>
        <v>#REF!</v>
      </c>
      <c r="RZE247" s="29" t="e">
        <f t="shared" si="246"/>
        <v>#REF!</v>
      </c>
      <c r="RZF247" s="29" t="e">
        <f t="shared" si="246"/>
        <v>#REF!</v>
      </c>
      <c r="RZG247" s="29" t="e">
        <f t="shared" si="246"/>
        <v>#REF!</v>
      </c>
      <c r="RZH247" s="29" t="e">
        <f t="shared" si="246"/>
        <v>#REF!</v>
      </c>
      <c r="RZI247" s="29" t="e">
        <f t="shared" si="246"/>
        <v>#REF!</v>
      </c>
      <c r="RZJ247" s="29" t="e">
        <f t="shared" si="246"/>
        <v>#REF!</v>
      </c>
      <c r="RZK247" s="29" t="e">
        <f t="shared" si="246"/>
        <v>#REF!</v>
      </c>
      <c r="RZL247" s="29" t="e">
        <f t="shared" si="246"/>
        <v>#REF!</v>
      </c>
      <c r="RZM247" s="29" t="e">
        <f t="shared" si="246"/>
        <v>#REF!</v>
      </c>
      <c r="RZN247" s="29" t="e">
        <f t="shared" si="246"/>
        <v>#REF!</v>
      </c>
      <c r="RZO247" s="29" t="e">
        <f t="shared" si="246"/>
        <v>#REF!</v>
      </c>
      <c r="RZP247" s="29" t="e">
        <f t="shared" si="246"/>
        <v>#REF!</v>
      </c>
      <c r="RZQ247" s="29" t="e">
        <f t="shared" si="246"/>
        <v>#REF!</v>
      </c>
      <c r="RZR247" s="29" t="e">
        <f t="shared" si="246"/>
        <v>#REF!</v>
      </c>
      <c r="RZS247" s="29" t="e">
        <f t="shared" si="246"/>
        <v>#REF!</v>
      </c>
      <c r="RZT247" s="29" t="e">
        <f t="shared" si="246"/>
        <v>#REF!</v>
      </c>
      <c r="RZU247" s="29" t="e">
        <f t="shared" si="246"/>
        <v>#REF!</v>
      </c>
      <c r="RZV247" s="29" t="e">
        <f t="shared" si="246"/>
        <v>#REF!</v>
      </c>
      <c r="RZW247" s="29" t="e">
        <f t="shared" si="246"/>
        <v>#REF!</v>
      </c>
      <c r="RZX247" s="29" t="e">
        <f t="shared" si="246"/>
        <v>#REF!</v>
      </c>
      <c r="RZY247" s="29" t="e">
        <f t="shared" si="246"/>
        <v>#REF!</v>
      </c>
      <c r="RZZ247" s="29" t="e">
        <f t="shared" si="246"/>
        <v>#REF!</v>
      </c>
      <c r="SAA247" s="29" t="e">
        <f t="shared" si="246"/>
        <v>#REF!</v>
      </c>
      <c r="SAB247" s="29" t="e">
        <f t="shared" si="246"/>
        <v>#REF!</v>
      </c>
      <c r="SAC247" s="29" t="e">
        <f t="shared" si="246"/>
        <v>#REF!</v>
      </c>
      <c r="SAD247" s="29" t="e">
        <f t="shared" si="246"/>
        <v>#REF!</v>
      </c>
      <c r="SAE247" s="29" t="e">
        <f t="shared" si="246"/>
        <v>#REF!</v>
      </c>
      <c r="SAF247" s="29" t="e">
        <f t="shared" si="246"/>
        <v>#REF!</v>
      </c>
      <c r="SAG247" s="29" t="e">
        <f t="shared" si="246"/>
        <v>#REF!</v>
      </c>
      <c r="SAH247" s="29" t="e">
        <f t="shared" si="246"/>
        <v>#REF!</v>
      </c>
      <c r="SAI247" s="29" t="e">
        <f t="shared" si="246"/>
        <v>#REF!</v>
      </c>
      <c r="SAJ247" s="29" t="e">
        <f t="shared" si="246"/>
        <v>#REF!</v>
      </c>
      <c r="SAK247" s="29" t="e">
        <f t="shared" ref="SAK247:SCV247" si="247">SAO247&amp;SAP247</f>
        <v>#REF!</v>
      </c>
      <c r="SAL247" s="29" t="e">
        <f t="shared" si="247"/>
        <v>#REF!</v>
      </c>
      <c r="SAM247" s="29" t="e">
        <f t="shared" si="247"/>
        <v>#REF!</v>
      </c>
      <c r="SAN247" s="29" t="e">
        <f t="shared" si="247"/>
        <v>#REF!</v>
      </c>
      <c r="SAO247" s="29" t="e">
        <f t="shared" si="247"/>
        <v>#REF!</v>
      </c>
      <c r="SAP247" s="29" t="e">
        <f t="shared" si="247"/>
        <v>#REF!</v>
      </c>
      <c r="SAQ247" s="29" t="e">
        <f t="shared" si="247"/>
        <v>#REF!</v>
      </c>
      <c r="SAR247" s="29" t="e">
        <f t="shared" si="247"/>
        <v>#REF!</v>
      </c>
      <c r="SAS247" s="29" t="e">
        <f t="shared" si="247"/>
        <v>#REF!</v>
      </c>
      <c r="SAT247" s="29" t="e">
        <f t="shared" si="247"/>
        <v>#REF!</v>
      </c>
      <c r="SAU247" s="29" t="e">
        <f t="shared" si="247"/>
        <v>#REF!</v>
      </c>
      <c r="SAV247" s="29" t="e">
        <f t="shared" si="247"/>
        <v>#REF!</v>
      </c>
      <c r="SAW247" s="29" t="e">
        <f t="shared" si="247"/>
        <v>#REF!</v>
      </c>
      <c r="SAX247" s="29" t="e">
        <f t="shared" si="247"/>
        <v>#REF!</v>
      </c>
      <c r="SAY247" s="29" t="e">
        <f t="shared" si="247"/>
        <v>#REF!</v>
      </c>
      <c r="SAZ247" s="29" t="e">
        <f t="shared" si="247"/>
        <v>#REF!</v>
      </c>
      <c r="SBA247" s="29" t="e">
        <f t="shared" si="247"/>
        <v>#REF!</v>
      </c>
      <c r="SBB247" s="29" t="e">
        <f t="shared" si="247"/>
        <v>#REF!</v>
      </c>
      <c r="SBC247" s="29" t="e">
        <f t="shared" si="247"/>
        <v>#REF!</v>
      </c>
      <c r="SBD247" s="29" t="e">
        <f t="shared" si="247"/>
        <v>#REF!</v>
      </c>
      <c r="SBE247" s="29" t="e">
        <f t="shared" si="247"/>
        <v>#REF!</v>
      </c>
      <c r="SBF247" s="29" t="e">
        <f t="shared" si="247"/>
        <v>#REF!</v>
      </c>
      <c r="SBG247" s="29" t="e">
        <f t="shared" si="247"/>
        <v>#REF!</v>
      </c>
      <c r="SBH247" s="29" t="e">
        <f t="shared" si="247"/>
        <v>#REF!</v>
      </c>
      <c r="SBI247" s="29" t="e">
        <f t="shared" si="247"/>
        <v>#REF!</v>
      </c>
      <c r="SBJ247" s="29" t="e">
        <f t="shared" si="247"/>
        <v>#REF!</v>
      </c>
      <c r="SBK247" s="29" t="e">
        <f t="shared" si="247"/>
        <v>#REF!</v>
      </c>
      <c r="SBL247" s="29" t="e">
        <f t="shared" si="247"/>
        <v>#REF!</v>
      </c>
      <c r="SBM247" s="29" t="e">
        <f t="shared" si="247"/>
        <v>#REF!</v>
      </c>
      <c r="SBN247" s="29" t="e">
        <f t="shared" si="247"/>
        <v>#REF!</v>
      </c>
      <c r="SBO247" s="29" t="e">
        <f t="shared" si="247"/>
        <v>#REF!</v>
      </c>
      <c r="SBP247" s="29" t="e">
        <f t="shared" si="247"/>
        <v>#REF!</v>
      </c>
      <c r="SBQ247" s="29" t="e">
        <f t="shared" si="247"/>
        <v>#REF!</v>
      </c>
      <c r="SBR247" s="29" t="e">
        <f t="shared" si="247"/>
        <v>#REF!</v>
      </c>
      <c r="SBS247" s="29" t="e">
        <f t="shared" si="247"/>
        <v>#REF!</v>
      </c>
      <c r="SBT247" s="29" t="e">
        <f t="shared" si="247"/>
        <v>#REF!</v>
      </c>
      <c r="SBU247" s="29" t="e">
        <f t="shared" si="247"/>
        <v>#REF!</v>
      </c>
      <c r="SBV247" s="29" t="e">
        <f t="shared" si="247"/>
        <v>#REF!</v>
      </c>
      <c r="SBW247" s="29" t="e">
        <f t="shared" si="247"/>
        <v>#REF!</v>
      </c>
      <c r="SBX247" s="29" t="e">
        <f t="shared" si="247"/>
        <v>#REF!</v>
      </c>
      <c r="SBY247" s="29" t="e">
        <f t="shared" si="247"/>
        <v>#REF!</v>
      </c>
      <c r="SBZ247" s="29" t="e">
        <f t="shared" si="247"/>
        <v>#REF!</v>
      </c>
      <c r="SCA247" s="29" t="e">
        <f t="shared" si="247"/>
        <v>#REF!</v>
      </c>
      <c r="SCB247" s="29" t="e">
        <f t="shared" si="247"/>
        <v>#REF!</v>
      </c>
      <c r="SCC247" s="29" t="e">
        <f t="shared" si="247"/>
        <v>#REF!</v>
      </c>
      <c r="SCD247" s="29" t="e">
        <f t="shared" si="247"/>
        <v>#REF!</v>
      </c>
      <c r="SCE247" s="29" t="e">
        <f t="shared" si="247"/>
        <v>#REF!</v>
      </c>
      <c r="SCF247" s="29" t="e">
        <f t="shared" si="247"/>
        <v>#REF!</v>
      </c>
      <c r="SCG247" s="29" t="e">
        <f t="shared" si="247"/>
        <v>#REF!</v>
      </c>
      <c r="SCH247" s="29" t="e">
        <f t="shared" si="247"/>
        <v>#REF!</v>
      </c>
      <c r="SCI247" s="29" t="e">
        <f t="shared" si="247"/>
        <v>#REF!</v>
      </c>
      <c r="SCJ247" s="29" t="e">
        <f t="shared" si="247"/>
        <v>#REF!</v>
      </c>
      <c r="SCK247" s="29" t="e">
        <f t="shared" si="247"/>
        <v>#REF!</v>
      </c>
      <c r="SCL247" s="29" t="e">
        <f t="shared" si="247"/>
        <v>#REF!</v>
      </c>
      <c r="SCM247" s="29" t="e">
        <f t="shared" si="247"/>
        <v>#REF!</v>
      </c>
      <c r="SCN247" s="29" t="e">
        <f t="shared" si="247"/>
        <v>#REF!</v>
      </c>
      <c r="SCO247" s="29" t="e">
        <f t="shared" si="247"/>
        <v>#REF!</v>
      </c>
      <c r="SCP247" s="29" t="e">
        <f t="shared" si="247"/>
        <v>#REF!</v>
      </c>
      <c r="SCQ247" s="29" t="e">
        <f t="shared" si="247"/>
        <v>#REF!</v>
      </c>
      <c r="SCR247" s="29" t="e">
        <f t="shared" si="247"/>
        <v>#REF!</v>
      </c>
      <c r="SCS247" s="29" t="e">
        <f t="shared" si="247"/>
        <v>#REF!</v>
      </c>
      <c r="SCT247" s="29" t="e">
        <f t="shared" si="247"/>
        <v>#REF!</v>
      </c>
      <c r="SCU247" s="29" t="e">
        <f t="shared" si="247"/>
        <v>#REF!</v>
      </c>
      <c r="SCV247" s="29" t="e">
        <f t="shared" si="247"/>
        <v>#REF!</v>
      </c>
      <c r="SCW247" s="29" t="e">
        <f t="shared" ref="SCW247:SFH247" si="248">SDA247&amp;SDB247</f>
        <v>#REF!</v>
      </c>
      <c r="SCX247" s="29" t="e">
        <f t="shared" si="248"/>
        <v>#REF!</v>
      </c>
      <c r="SCY247" s="29" t="e">
        <f t="shared" si="248"/>
        <v>#REF!</v>
      </c>
      <c r="SCZ247" s="29" t="e">
        <f t="shared" si="248"/>
        <v>#REF!</v>
      </c>
      <c r="SDA247" s="29" t="e">
        <f t="shared" si="248"/>
        <v>#REF!</v>
      </c>
      <c r="SDB247" s="29" t="e">
        <f t="shared" si="248"/>
        <v>#REF!</v>
      </c>
      <c r="SDC247" s="29" t="e">
        <f t="shared" si="248"/>
        <v>#REF!</v>
      </c>
      <c r="SDD247" s="29" t="e">
        <f t="shared" si="248"/>
        <v>#REF!</v>
      </c>
      <c r="SDE247" s="29" t="e">
        <f t="shared" si="248"/>
        <v>#REF!</v>
      </c>
      <c r="SDF247" s="29" t="e">
        <f t="shared" si="248"/>
        <v>#REF!</v>
      </c>
      <c r="SDG247" s="29" t="e">
        <f t="shared" si="248"/>
        <v>#REF!</v>
      </c>
      <c r="SDH247" s="29" t="e">
        <f t="shared" si="248"/>
        <v>#REF!</v>
      </c>
      <c r="SDI247" s="29" t="e">
        <f t="shared" si="248"/>
        <v>#REF!</v>
      </c>
      <c r="SDJ247" s="29" t="e">
        <f t="shared" si="248"/>
        <v>#REF!</v>
      </c>
      <c r="SDK247" s="29" t="e">
        <f t="shared" si="248"/>
        <v>#REF!</v>
      </c>
      <c r="SDL247" s="29" t="e">
        <f t="shared" si="248"/>
        <v>#REF!</v>
      </c>
      <c r="SDM247" s="29" t="e">
        <f t="shared" si="248"/>
        <v>#REF!</v>
      </c>
      <c r="SDN247" s="29" t="e">
        <f t="shared" si="248"/>
        <v>#REF!</v>
      </c>
      <c r="SDO247" s="29" t="e">
        <f t="shared" si="248"/>
        <v>#REF!</v>
      </c>
      <c r="SDP247" s="29" t="e">
        <f t="shared" si="248"/>
        <v>#REF!</v>
      </c>
      <c r="SDQ247" s="29" t="e">
        <f t="shared" si="248"/>
        <v>#REF!</v>
      </c>
      <c r="SDR247" s="29" t="e">
        <f t="shared" si="248"/>
        <v>#REF!</v>
      </c>
      <c r="SDS247" s="29" t="e">
        <f t="shared" si="248"/>
        <v>#REF!</v>
      </c>
      <c r="SDT247" s="29" t="e">
        <f t="shared" si="248"/>
        <v>#REF!</v>
      </c>
      <c r="SDU247" s="29" t="e">
        <f t="shared" si="248"/>
        <v>#REF!</v>
      </c>
      <c r="SDV247" s="29" t="e">
        <f t="shared" si="248"/>
        <v>#REF!</v>
      </c>
      <c r="SDW247" s="29" t="e">
        <f t="shared" si="248"/>
        <v>#REF!</v>
      </c>
      <c r="SDX247" s="29" t="e">
        <f t="shared" si="248"/>
        <v>#REF!</v>
      </c>
      <c r="SDY247" s="29" t="e">
        <f t="shared" si="248"/>
        <v>#REF!</v>
      </c>
      <c r="SDZ247" s="29" t="e">
        <f t="shared" si="248"/>
        <v>#REF!</v>
      </c>
      <c r="SEA247" s="29" t="e">
        <f t="shared" si="248"/>
        <v>#REF!</v>
      </c>
      <c r="SEB247" s="29" t="e">
        <f t="shared" si="248"/>
        <v>#REF!</v>
      </c>
      <c r="SEC247" s="29" t="e">
        <f t="shared" si="248"/>
        <v>#REF!</v>
      </c>
      <c r="SED247" s="29" t="e">
        <f t="shared" si="248"/>
        <v>#REF!</v>
      </c>
      <c r="SEE247" s="29" t="e">
        <f t="shared" si="248"/>
        <v>#REF!</v>
      </c>
      <c r="SEF247" s="29" t="e">
        <f t="shared" si="248"/>
        <v>#REF!</v>
      </c>
      <c r="SEG247" s="29" t="e">
        <f t="shared" si="248"/>
        <v>#REF!</v>
      </c>
      <c r="SEH247" s="29" t="e">
        <f t="shared" si="248"/>
        <v>#REF!</v>
      </c>
      <c r="SEI247" s="29" t="e">
        <f t="shared" si="248"/>
        <v>#REF!</v>
      </c>
      <c r="SEJ247" s="29" t="e">
        <f t="shared" si="248"/>
        <v>#REF!</v>
      </c>
      <c r="SEK247" s="29" t="e">
        <f t="shared" si="248"/>
        <v>#REF!</v>
      </c>
      <c r="SEL247" s="29" t="e">
        <f t="shared" si="248"/>
        <v>#REF!</v>
      </c>
      <c r="SEM247" s="29" t="e">
        <f t="shared" si="248"/>
        <v>#REF!</v>
      </c>
      <c r="SEN247" s="29" t="e">
        <f t="shared" si="248"/>
        <v>#REF!</v>
      </c>
      <c r="SEO247" s="29" t="e">
        <f t="shared" si="248"/>
        <v>#REF!</v>
      </c>
      <c r="SEP247" s="29" t="e">
        <f t="shared" si="248"/>
        <v>#REF!</v>
      </c>
      <c r="SEQ247" s="29" t="e">
        <f t="shared" si="248"/>
        <v>#REF!</v>
      </c>
      <c r="SER247" s="29" t="e">
        <f t="shared" si="248"/>
        <v>#REF!</v>
      </c>
      <c r="SES247" s="29" t="e">
        <f t="shared" si="248"/>
        <v>#REF!</v>
      </c>
      <c r="SET247" s="29" t="e">
        <f t="shared" si="248"/>
        <v>#REF!</v>
      </c>
      <c r="SEU247" s="29" t="e">
        <f t="shared" si="248"/>
        <v>#REF!</v>
      </c>
      <c r="SEV247" s="29" t="e">
        <f t="shared" si="248"/>
        <v>#REF!</v>
      </c>
      <c r="SEW247" s="29" t="e">
        <f t="shared" si="248"/>
        <v>#REF!</v>
      </c>
      <c r="SEX247" s="29" t="e">
        <f t="shared" si="248"/>
        <v>#REF!</v>
      </c>
      <c r="SEY247" s="29" t="e">
        <f t="shared" si="248"/>
        <v>#REF!</v>
      </c>
      <c r="SEZ247" s="29" t="e">
        <f t="shared" si="248"/>
        <v>#REF!</v>
      </c>
      <c r="SFA247" s="29" t="e">
        <f t="shared" si="248"/>
        <v>#REF!</v>
      </c>
      <c r="SFB247" s="29" t="e">
        <f t="shared" si="248"/>
        <v>#REF!</v>
      </c>
      <c r="SFC247" s="29" t="e">
        <f t="shared" si="248"/>
        <v>#REF!</v>
      </c>
      <c r="SFD247" s="29" t="e">
        <f t="shared" si="248"/>
        <v>#REF!</v>
      </c>
      <c r="SFE247" s="29" t="e">
        <f t="shared" si="248"/>
        <v>#REF!</v>
      </c>
      <c r="SFF247" s="29" t="e">
        <f t="shared" si="248"/>
        <v>#REF!</v>
      </c>
      <c r="SFG247" s="29" t="e">
        <f t="shared" si="248"/>
        <v>#REF!</v>
      </c>
      <c r="SFH247" s="29" t="e">
        <f t="shared" si="248"/>
        <v>#REF!</v>
      </c>
      <c r="SFI247" s="29" t="e">
        <f t="shared" ref="SFI247:SHT247" si="249">SFM247&amp;SFN247</f>
        <v>#REF!</v>
      </c>
      <c r="SFJ247" s="29" t="e">
        <f t="shared" si="249"/>
        <v>#REF!</v>
      </c>
      <c r="SFK247" s="29" t="e">
        <f t="shared" si="249"/>
        <v>#REF!</v>
      </c>
      <c r="SFL247" s="29" t="e">
        <f t="shared" si="249"/>
        <v>#REF!</v>
      </c>
      <c r="SFM247" s="29" t="e">
        <f t="shared" si="249"/>
        <v>#REF!</v>
      </c>
      <c r="SFN247" s="29" t="e">
        <f t="shared" si="249"/>
        <v>#REF!</v>
      </c>
      <c r="SFO247" s="29" t="e">
        <f t="shared" si="249"/>
        <v>#REF!</v>
      </c>
      <c r="SFP247" s="29" t="e">
        <f t="shared" si="249"/>
        <v>#REF!</v>
      </c>
      <c r="SFQ247" s="29" t="e">
        <f t="shared" si="249"/>
        <v>#REF!</v>
      </c>
      <c r="SFR247" s="29" t="e">
        <f t="shared" si="249"/>
        <v>#REF!</v>
      </c>
      <c r="SFS247" s="29" t="e">
        <f t="shared" si="249"/>
        <v>#REF!</v>
      </c>
      <c r="SFT247" s="29" t="e">
        <f t="shared" si="249"/>
        <v>#REF!</v>
      </c>
      <c r="SFU247" s="29" t="e">
        <f t="shared" si="249"/>
        <v>#REF!</v>
      </c>
      <c r="SFV247" s="29" t="e">
        <f t="shared" si="249"/>
        <v>#REF!</v>
      </c>
      <c r="SFW247" s="29" t="e">
        <f t="shared" si="249"/>
        <v>#REF!</v>
      </c>
      <c r="SFX247" s="29" t="e">
        <f t="shared" si="249"/>
        <v>#REF!</v>
      </c>
      <c r="SFY247" s="29" t="e">
        <f t="shared" si="249"/>
        <v>#REF!</v>
      </c>
      <c r="SFZ247" s="29" t="e">
        <f t="shared" si="249"/>
        <v>#REF!</v>
      </c>
      <c r="SGA247" s="29" t="e">
        <f t="shared" si="249"/>
        <v>#REF!</v>
      </c>
      <c r="SGB247" s="29" t="e">
        <f t="shared" si="249"/>
        <v>#REF!</v>
      </c>
      <c r="SGC247" s="29" t="e">
        <f t="shared" si="249"/>
        <v>#REF!</v>
      </c>
      <c r="SGD247" s="29" t="e">
        <f t="shared" si="249"/>
        <v>#REF!</v>
      </c>
      <c r="SGE247" s="29" t="e">
        <f t="shared" si="249"/>
        <v>#REF!</v>
      </c>
      <c r="SGF247" s="29" t="e">
        <f t="shared" si="249"/>
        <v>#REF!</v>
      </c>
      <c r="SGG247" s="29" t="e">
        <f t="shared" si="249"/>
        <v>#REF!</v>
      </c>
      <c r="SGH247" s="29" t="e">
        <f t="shared" si="249"/>
        <v>#REF!</v>
      </c>
      <c r="SGI247" s="29" t="e">
        <f t="shared" si="249"/>
        <v>#REF!</v>
      </c>
      <c r="SGJ247" s="29" t="e">
        <f t="shared" si="249"/>
        <v>#REF!</v>
      </c>
      <c r="SGK247" s="29" t="e">
        <f t="shared" si="249"/>
        <v>#REF!</v>
      </c>
      <c r="SGL247" s="29" t="e">
        <f t="shared" si="249"/>
        <v>#REF!</v>
      </c>
      <c r="SGM247" s="29" t="e">
        <f t="shared" si="249"/>
        <v>#REF!</v>
      </c>
      <c r="SGN247" s="29" t="e">
        <f t="shared" si="249"/>
        <v>#REF!</v>
      </c>
      <c r="SGO247" s="29" t="e">
        <f t="shared" si="249"/>
        <v>#REF!</v>
      </c>
      <c r="SGP247" s="29" t="e">
        <f t="shared" si="249"/>
        <v>#REF!</v>
      </c>
      <c r="SGQ247" s="29" t="e">
        <f t="shared" si="249"/>
        <v>#REF!</v>
      </c>
      <c r="SGR247" s="29" t="e">
        <f t="shared" si="249"/>
        <v>#REF!</v>
      </c>
      <c r="SGS247" s="29" t="e">
        <f t="shared" si="249"/>
        <v>#REF!</v>
      </c>
      <c r="SGT247" s="29" t="e">
        <f t="shared" si="249"/>
        <v>#REF!</v>
      </c>
      <c r="SGU247" s="29" t="e">
        <f t="shared" si="249"/>
        <v>#REF!</v>
      </c>
      <c r="SGV247" s="29" t="e">
        <f t="shared" si="249"/>
        <v>#REF!</v>
      </c>
      <c r="SGW247" s="29" t="e">
        <f t="shared" si="249"/>
        <v>#REF!</v>
      </c>
      <c r="SGX247" s="29" t="e">
        <f t="shared" si="249"/>
        <v>#REF!</v>
      </c>
      <c r="SGY247" s="29" t="e">
        <f t="shared" si="249"/>
        <v>#REF!</v>
      </c>
      <c r="SGZ247" s="29" t="e">
        <f t="shared" si="249"/>
        <v>#REF!</v>
      </c>
      <c r="SHA247" s="29" t="e">
        <f t="shared" si="249"/>
        <v>#REF!</v>
      </c>
      <c r="SHB247" s="29" t="e">
        <f t="shared" si="249"/>
        <v>#REF!</v>
      </c>
      <c r="SHC247" s="29" t="e">
        <f t="shared" si="249"/>
        <v>#REF!</v>
      </c>
      <c r="SHD247" s="29" t="e">
        <f t="shared" si="249"/>
        <v>#REF!</v>
      </c>
      <c r="SHE247" s="29" t="e">
        <f t="shared" si="249"/>
        <v>#REF!</v>
      </c>
      <c r="SHF247" s="29" t="e">
        <f t="shared" si="249"/>
        <v>#REF!</v>
      </c>
      <c r="SHG247" s="29" t="e">
        <f t="shared" si="249"/>
        <v>#REF!</v>
      </c>
      <c r="SHH247" s="29" t="e">
        <f t="shared" si="249"/>
        <v>#REF!</v>
      </c>
      <c r="SHI247" s="29" t="e">
        <f t="shared" si="249"/>
        <v>#REF!</v>
      </c>
      <c r="SHJ247" s="29" t="e">
        <f t="shared" si="249"/>
        <v>#REF!</v>
      </c>
      <c r="SHK247" s="29" t="e">
        <f t="shared" si="249"/>
        <v>#REF!</v>
      </c>
      <c r="SHL247" s="29" t="e">
        <f t="shared" si="249"/>
        <v>#REF!</v>
      </c>
      <c r="SHM247" s="29" t="e">
        <f t="shared" si="249"/>
        <v>#REF!</v>
      </c>
      <c r="SHN247" s="29" t="e">
        <f t="shared" si="249"/>
        <v>#REF!</v>
      </c>
      <c r="SHO247" s="29" t="e">
        <f t="shared" si="249"/>
        <v>#REF!</v>
      </c>
      <c r="SHP247" s="29" t="e">
        <f t="shared" si="249"/>
        <v>#REF!</v>
      </c>
      <c r="SHQ247" s="29" t="e">
        <f t="shared" si="249"/>
        <v>#REF!</v>
      </c>
      <c r="SHR247" s="29" t="e">
        <f t="shared" si="249"/>
        <v>#REF!</v>
      </c>
      <c r="SHS247" s="29" t="e">
        <f t="shared" si="249"/>
        <v>#REF!</v>
      </c>
      <c r="SHT247" s="29" t="e">
        <f t="shared" si="249"/>
        <v>#REF!</v>
      </c>
      <c r="SHU247" s="29" t="e">
        <f t="shared" ref="SHU247:SKF247" si="250">SHY247&amp;SHZ247</f>
        <v>#REF!</v>
      </c>
      <c r="SHV247" s="29" t="e">
        <f t="shared" si="250"/>
        <v>#REF!</v>
      </c>
      <c r="SHW247" s="29" t="e">
        <f t="shared" si="250"/>
        <v>#REF!</v>
      </c>
      <c r="SHX247" s="29" t="e">
        <f t="shared" si="250"/>
        <v>#REF!</v>
      </c>
      <c r="SHY247" s="29" t="e">
        <f t="shared" si="250"/>
        <v>#REF!</v>
      </c>
      <c r="SHZ247" s="29" t="e">
        <f t="shared" si="250"/>
        <v>#REF!</v>
      </c>
      <c r="SIA247" s="29" t="e">
        <f t="shared" si="250"/>
        <v>#REF!</v>
      </c>
      <c r="SIB247" s="29" t="e">
        <f t="shared" si="250"/>
        <v>#REF!</v>
      </c>
      <c r="SIC247" s="29" t="e">
        <f t="shared" si="250"/>
        <v>#REF!</v>
      </c>
      <c r="SID247" s="29" t="e">
        <f t="shared" si="250"/>
        <v>#REF!</v>
      </c>
      <c r="SIE247" s="29" t="e">
        <f t="shared" si="250"/>
        <v>#REF!</v>
      </c>
      <c r="SIF247" s="29" t="e">
        <f t="shared" si="250"/>
        <v>#REF!</v>
      </c>
      <c r="SIG247" s="29" t="e">
        <f t="shared" si="250"/>
        <v>#REF!</v>
      </c>
      <c r="SIH247" s="29" t="e">
        <f t="shared" si="250"/>
        <v>#REF!</v>
      </c>
      <c r="SII247" s="29" t="e">
        <f t="shared" si="250"/>
        <v>#REF!</v>
      </c>
      <c r="SIJ247" s="29" t="e">
        <f t="shared" si="250"/>
        <v>#REF!</v>
      </c>
      <c r="SIK247" s="29" t="e">
        <f t="shared" si="250"/>
        <v>#REF!</v>
      </c>
      <c r="SIL247" s="29" t="e">
        <f t="shared" si="250"/>
        <v>#REF!</v>
      </c>
      <c r="SIM247" s="29" t="e">
        <f t="shared" si="250"/>
        <v>#REF!</v>
      </c>
      <c r="SIN247" s="29" t="e">
        <f t="shared" si="250"/>
        <v>#REF!</v>
      </c>
      <c r="SIO247" s="29" t="e">
        <f t="shared" si="250"/>
        <v>#REF!</v>
      </c>
      <c r="SIP247" s="29" t="e">
        <f t="shared" si="250"/>
        <v>#REF!</v>
      </c>
      <c r="SIQ247" s="29" t="e">
        <f t="shared" si="250"/>
        <v>#REF!</v>
      </c>
      <c r="SIR247" s="29" t="e">
        <f t="shared" si="250"/>
        <v>#REF!</v>
      </c>
      <c r="SIS247" s="29" t="e">
        <f t="shared" si="250"/>
        <v>#REF!</v>
      </c>
      <c r="SIT247" s="29" t="e">
        <f t="shared" si="250"/>
        <v>#REF!</v>
      </c>
      <c r="SIU247" s="29" t="e">
        <f t="shared" si="250"/>
        <v>#REF!</v>
      </c>
      <c r="SIV247" s="29" t="e">
        <f t="shared" si="250"/>
        <v>#REF!</v>
      </c>
      <c r="SIW247" s="29" t="e">
        <f t="shared" si="250"/>
        <v>#REF!</v>
      </c>
      <c r="SIX247" s="29" t="e">
        <f t="shared" si="250"/>
        <v>#REF!</v>
      </c>
      <c r="SIY247" s="29" t="e">
        <f t="shared" si="250"/>
        <v>#REF!</v>
      </c>
      <c r="SIZ247" s="29" t="e">
        <f t="shared" si="250"/>
        <v>#REF!</v>
      </c>
      <c r="SJA247" s="29" t="e">
        <f t="shared" si="250"/>
        <v>#REF!</v>
      </c>
      <c r="SJB247" s="29" t="e">
        <f t="shared" si="250"/>
        <v>#REF!</v>
      </c>
      <c r="SJC247" s="29" t="e">
        <f t="shared" si="250"/>
        <v>#REF!</v>
      </c>
      <c r="SJD247" s="29" t="e">
        <f t="shared" si="250"/>
        <v>#REF!</v>
      </c>
      <c r="SJE247" s="29" t="e">
        <f t="shared" si="250"/>
        <v>#REF!</v>
      </c>
      <c r="SJF247" s="29" t="e">
        <f t="shared" si="250"/>
        <v>#REF!</v>
      </c>
      <c r="SJG247" s="29" t="e">
        <f t="shared" si="250"/>
        <v>#REF!</v>
      </c>
      <c r="SJH247" s="29" t="e">
        <f t="shared" si="250"/>
        <v>#REF!</v>
      </c>
      <c r="SJI247" s="29" t="e">
        <f t="shared" si="250"/>
        <v>#REF!</v>
      </c>
      <c r="SJJ247" s="29" t="e">
        <f t="shared" si="250"/>
        <v>#REF!</v>
      </c>
      <c r="SJK247" s="29" t="e">
        <f t="shared" si="250"/>
        <v>#REF!</v>
      </c>
      <c r="SJL247" s="29" t="e">
        <f t="shared" si="250"/>
        <v>#REF!</v>
      </c>
      <c r="SJM247" s="29" t="e">
        <f t="shared" si="250"/>
        <v>#REF!</v>
      </c>
      <c r="SJN247" s="29" t="e">
        <f t="shared" si="250"/>
        <v>#REF!</v>
      </c>
      <c r="SJO247" s="29" t="e">
        <f t="shared" si="250"/>
        <v>#REF!</v>
      </c>
      <c r="SJP247" s="29" t="e">
        <f t="shared" si="250"/>
        <v>#REF!</v>
      </c>
      <c r="SJQ247" s="29" t="e">
        <f t="shared" si="250"/>
        <v>#REF!</v>
      </c>
      <c r="SJR247" s="29" t="e">
        <f t="shared" si="250"/>
        <v>#REF!</v>
      </c>
      <c r="SJS247" s="29" t="e">
        <f t="shared" si="250"/>
        <v>#REF!</v>
      </c>
      <c r="SJT247" s="29" t="e">
        <f t="shared" si="250"/>
        <v>#REF!</v>
      </c>
      <c r="SJU247" s="29" t="e">
        <f t="shared" si="250"/>
        <v>#REF!</v>
      </c>
      <c r="SJV247" s="29" t="e">
        <f t="shared" si="250"/>
        <v>#REF!</v>
      </c>
      <c r="SJW247" s="29" t="e">
        <f t="shared" si="250"/>
        <v>#REF!</v>
      </c>
      <c r="SJX247" s="29" t="e">
        <f t="shared" si="250"/>
        <v>#REF!</v>
      </c>
      <c r="SJY247" s="29" t="e">
        <f t="shared" si="250"/>
        <v>#REF!</v>
      </c>
      <c r="SJZ247" s="29" t="e">
        <f t="shared" si="250"/>
        <v>#REF!</v>
      </c>
      <c r="SKA247" s="29" t="e">
        <f t="shared" si="250"/>
        <v>#REF!</v>
      </c>
      <c r="SKB247" s="29" t="e">
        <f t="shared" si="250"/>
        <v>#REF!</v>
      </c>
      <c r="SKC247" s="29" t="e">
        <f t="shared" si="250"/>
        <v>#REF!</v>
      </c>
      <c r="SKD247" s="29" t="e">
        <f t="shared" si="250"/>
        <v>#REF!</v>
      </c>
      <c r="SKE247" s="29" t="e">
        <f t="shared" si="250"/>
        <v>#REF!</v>
      </c>
      <c r="SKF247" s="29" t="e">
        <f t="shared" si="250"/>
        <v>#REF!</v>
      </c>
      <c r="SKG247" s="29" t="e">
        <f t="shared" ref="SKG247:SMR247" si="251">SKK247&amp;SKL247</f>
        <v>#REF!</v>
      </c>
      <c r="SKH247" s="29" t="e">
        <f t="shared" si="251"/>
        <v>#REF!</v>
      </c>
      <c r="SKI247" s="29" t="e">
        <f t="shared" si="251"/>
        <v>#REF!</v>
      </c>
      <c r="SKJ247" s="29" t="e">
        <f t="shared" si="251"/>
        <v>#REF!</v>
      </c>
      <c r="SKK247" s="29" t="e">
        <f t="shared" si="251"/>
        <v>#REF!</v>
      </c>
      <c r="SKL247" s="29" t="e">
        <f t="shared" si="251"/>
        <v>#REF!</v>
      </c>
      <c r="SKM247" s="29" t="e">
        <f t="shared" si="251"/>
        <v>#REF!</v>
      </c>
      <c r="SKN247" s="29" t="e">
        <f t="shared" si="251"/>
        <v>#REF!</v>
      </c>
      <c r="SKO247" s="29" t="e">
        <f t="shared" si="251"/>
        <v>#REF!</v>
      </c>
      <c r="SKP247" s="29" t="e">
        <f t="shared" si="251"/>
        <v>#REF!</v>
      </c>
      <c r="SKQ247" s="29" t="e">
        <f t="shared" si="251"/>
        <v>#REF!</v>
      </c>
      <c r="SKR247" s="29" t="e">
        <f t="shared" si="251"/>
        <v>#REF!</v>
      </c>
      <c r="SKS247" s="29" t="e">
        <f t="shared" si="251"/>
        <v>#REF!</v>
      </c>
      <c r="SKT247" s="29" t="e">
        <f t="shared" si="251"/>
        <v>#REF!</v>
      </c>
      <c r="SKU247" s="29" t="e">
        <f t="shared" si="251"/>
        <v>#REF!</v>
      </c>
      <c r="SKV247" s="29" t="e">
        <f t="shared" si="251"/>
        <v>#REF!</v>
      </c>
      <c r="SKW247" s="29" t="e">
        <f t="shared" si="251"/>
        <v>#REF!</v>
      </c>
      <c r="SKX247" s="29" t="e">
        <f t="shared" si="251"/>
        <v>#REF!</v>
      </c>
      <c r="SKY247" s="29" t="e">
        <f t="shared" si="251"/>
        <v>#REF!</v>
      </c>
      <c r="SKZ247" s="29" t="e">
        <f t="shared" si="251"/>
        <v>#REF!</v>
      </c>
      <c r="SLA247" s="29" t="e">
        <f t="shared" si="251"/>
        <v>#REF!</v>
      </c>
      <c r="SLB247" s="29" t="e">
        <f t="shared" si="251"/>
        <v>#REF!</v>
      </c>
      <c r="SLC247" s="29" t="e">
        <f t="shared" si="251"/>
        <v>#REF!</v>
      </c>
      <c r="SLD247" s="29" t="e">
        <f t="shared" si="251"/>
        <v>#REF!</v>
      </c>
      <c r="SLE247" s="29" t="e">
        <f t="shared" si="251"/>
        <v>#REF!</v>
      </c>
      <c r="SLF247" s="29" t="e">
        <f t="shared" si="251"/>
        <v>#REF!</v>
      </c>
      <c r="SLG247" s="29" t="e">
        <f t="shared" si="251"/>
        <v>#REF!</v>
      </c>
      <c r="SLH247" s="29" t="e">
        <f t="shared" si="251"/>
        <v>#REF!</v>
      </c>
      <c r="SLI247" s="29" t="e">
        <f t="shared" si="251"/>
        <v>#REF!</v>
      </c>
      <c r="SLJ247" s="29" t="e">
        <f t="shared" si="251"/>
        <v>#REF!</v>
      </c>
      <c r="SLK247" s="29" t="e">
        <f t="shared" si="251"/>
        <v>#REF!</v>
      </c>
      <c r="SLL247" s="29" t="e">
        <f t="shared" si="251"/>
        <v>#REF!</v>
      </c>
      <c r="SLM247" s="29" t="e">
        <f t="shared" si="251"/>
        <v>#REF!</v>
      </c>
      <c r="SLN247" s="29" t="e">
        <f t="shared" si="251"/>
        <v>#REF!</v>
      </c>
      <c r="SLO247" s="29" t="e">
        <f t="shared" si="251"/>
        <v>#REF!</v>
      </c>
      <c r="SLP247" s="29" t="e">
        <f t="shared" si="251"/>
        <v>#REF!</v>
      </c>
      <c r="SLQ247" s="29" t="e">
        <f t="shared" si="251"/>
        <v>#REF!</v>
      </c>
      <c r="SLR247" s="29" t="e">
        <f t="shared" si="251"/>
        <v>#REF!</v>
      </c>
      <c r="SLS247" s="29" t="e">
        <f t="shared" si="251"/>
        <v>#REF!</v>
      </c>
      <c r="SLT247" s="29" t="e">
        <f t="shared" si="251"/>
        <v>#REF!</v>
      </c>
      <c r="SLU247" s="29" t="e">
        <f t="shared" si="251"/>
        <v>#REF!</v>
      </c>
      <c r="SLV247" s="29" t="e">
        <f t="shared" si="251"/>
        <v>#REF!</v>
      </c>
      <c r="SLW247" s="29" t="e">
        <f t="shared" si="251"/>
        <v>#REF!</v>
      </c>
      <c r="SLX247" s="29" t="e">
        <f t="shared" si="251"/>
        <v>#REF!</v>
      </c>
      <c r="SLY247" s="29" t="e">
        <f t="shared" si="251"/>
        <v>#REF!</v>
      </c>
      <c r="SLZ247" s="29" t="e">
        <f t="shared" si="251"/>
        <v>#REF!</v>
      </c>
      <c r="SMA247" s="29" t="e">
        <f t="shared" si="251"/>
        <v>#REF!</v>
      </c>
      <c r="SMB247" s="29" t="e">
        <f t="shared" si="251"/>
        <v>#REF!</v>
      </c>
      <c r="SMC247" s="29" t="e">
        <f t="shared" si="251"/>
        <v>#REF!</v>
      </c>
      <c r="SMD247" s="29" t="e">
        <f t="shared" si="251"/>
        <v>#REF!</v>
      </c>
      <c r="SME247" s="29" t="e">
        <f t="shared" si="251"/>
        <v>#REF!</v>
      </c>
      <c r="SMF247" s="29" t="e">
        <f t="shared" si="251"/>
        <v>#REF!</v>
      </c>
      <c r="SMG247" s="29" t="e">
        <f t="shared" si="251"/>
        <v>#REF!</v>
      </c>
      <c r="SMH247" s="29" t="e">
        <f t="shared" si="251"/>
        <v>#REF!</v>
      </c>
      <c r="SMI247" s="29" t="e">
        <f t="shared" si="251"/>
        <v>#REF!</v>
      </c>
      <c r="SMJ247" s="29" t="e">
        <f t="shared" si="251"/>
        <v>#REF!</v>
      </c>
      <c r="SMK247" s="29" t="e">
        <f t="shared" si="251"/>
        <v>#REF!</v>
      </c>
      <c r="SML247" s="29" t="e">
        <f t="shared" si="251"/>
        <v>#REF!</v>
      </c>
      <c r="SMM247" s="29" t="e">
        <f t="shared" si="251"/>
        <v>#REF!</v>
      </c>
      <c r="SMN247" s="29" t="e">
        <f t="shared" si="251"/>
        <v>#REF!</v>
      </c>
      <c r="SMO247" s="29" t="e">
        <f t="shared" si="251"/>
        <v>#REF!</v>
      </c>
      <c r="SMP247" s="29" t="e">
        <f t="shared" si="251"/>
        <v>#REF!</v>
      </c>
      <c r="SMQ247" s="29" t="e">
        <f t="shared" si="251"/>
        <v>#REF!</v>
      </c>
      <c r="SMR247" s="29" t="e">
        <f t="shared" si="251"/>
        <v>#REF!</v>
      </c>
      <c r="SMS247" s="29" t="e">
        <f t="shared" ref="SMS247:SPD247" si="252">SMW247&amp;SMX247</f>
        <v>#REF!</v>
      </c>
      <c r="SMT247" s="29" t="e">
        <f t="shared" si="252"/>
        <v>#REF!</v>
      </c>
      <c r="SMU247" s="29" t="e">
        <f t="shared" si="252"/>
        <v>#REF!</v>
      </c>
      <c r="SMV247" s="29" t="e">
        <f t="shared" si="252"/>
        <v>#REF!</v>
      </c>
      <c r="SMW247" s="29" t="e">
        <f t="shared" si="252"/>
        <v>#REF!</v>
      </c>
      <c r="SMX247" s="29" t="e">
        <f t="shared" si="252"/>
        <v>#REF!</v>
      </c>
      <c r="SMY247" s="29" t="e">
        <f t="shared" si="252"/>
        <v>#REF!</v>
      </c>
      <c r="SMZ247" s="29" t="e">
        <f t="shared" si="252"/>
        <v>#REF!</v>
      </c>
      <c r="SNA247" s="29" t="e">
        <f t="shared" si="252"/>
        <v>#REF!</v>
      </c>
      <c r="SNB247" s="29" t="e">
        <f t="shared" si="252"/>
        <v>#REF!</v>
      </c>
      <c r="SNC247" s="29" t="e">
        <f t="shared" si="252"/>
        <v>#REF!</v>
      </c>
      <c r="SND247" s="29" t="e">
        <f t="shared" si="252"/>
        <v>#REF!</v>
      </c>
      <c r="SNE247" s="29" t="e">
        <f t="shared" si="252"/>
        <v>#REF!</v>
      </c>
      <c r="SNF247" s="29" t="e">
        <f t="shared" si="252"/>
        <v>#REF!</v>
      </c>
      <c r="SNG247" s="29" t="e">
        <f t="shared" si="252"/>
        <v>#REF!</v>
      </c>
      <c r="SNH247" s="29" t="e">
        <f t="shared" si="252"/>
        <v>#REF!</v>
      </c>
      <c r="SNI247" s="29" t="e">
        <f t="shared" si="252"/>
        <v>#REF!</v>
      </c>
      <c r="SNJ247" s="29" t="e">
        <f t="shared" si="252"/>
        <v>#REF!</v>
      </c>
      <c r="SNK247" s="29" t="e">
        <f t="shared" si="252"/>
        <v>#REF!</v>
      </c>
      <c r="SNL247" s="29" t="e">
        <f t="shared" si="252"/>
        <v>#REF!</v>
      </c>
      <c r="SNM247" s="29" t="e">
        <f t="shared" si="252"/>
        <v>#REF!</v>
      </c>
      <c r="SNN247" s="29" t="e">
        <f t="shared" si="252"/>
        <v>#REF!</v>
      </c>
      <c r="SNO247" s="29" t="e">
        <f t="shared" si="252"/>
        <v>#REF!</v>
      </c>
      <c r="SNP247" s="29" t="e">
        <f t="shared" si="252"/>
        <v>#REF!</v>
      </c>
      <c r="SNQ247" s="29" t="e">
        <f t="shared" si="252"/>
        <v>#REF!</v>
      </c>
      <c r="SNR247" s="29" t="e">
        <f t="shared" si="252"/>
        <v>#REF!</v>
      </c>
      <c r="SNS247" s="29" t="e">
        <f t="shared" si="252"/>
        <v>#REF!</v>
      </c>
      <c r="SNT247" s="29" t="e">
        <f t="shared" si="252"/>
        <v>#REF!</v>
      </c>
      <c r="SNU247" s="29" t="e">
        <f t="shared" si="252"/>
        <v>#REF!</v>
      </c>
      <c r="SNV247" s="29" t="e">
        <f t="shared" si="252"/>
        <v>#REF!</v>
      </c>
      <c r="SNW247" s="29" t="e">
        <f t="shared" si="252"/>
        <v>#REF!</v>
      </c>
      <c r="SNX247" s="29" t="e">
        <f t="shared" si="252"/>
        <v>#REF!</v>
      </c>
      <c r="SNY247" s="29" t="e">
        <f t="shared" si="252"/>
        <v>#REF!</v>
      </c>
      <c r="SNZ247" s="29" t="e">
        <f t="shared" si="252"/>
        <v>#REF!</v>
      </c>
      <c r="SOA247" s="29" t="e">
        <f t="shared" si="252"/>
        <v>#REF!</v>
      </c>
      <c r="SOB247" s="29" t="e">
        <f t="shared" si="252"/>
        <v>#REF!</v>
      </c>
      <c r="SOC247" s="29" t="e">
        <f t="shared" si="252"/>
        <v>#REF!</v>
      </c>
      <c r="SOD247" s="29" t="e">
        <f t="shared" si="252"/>
        <v>#REF!</v>
      </c>
      <c r="SOE247" s="29" t="e">
        <f t="shared" si="252"/>
        <v>#REF!</v>
      </c>
      <c r="SOF247" s="29" t="e">
        <f t="shared" si="252"/>
        <v>#REF!</v>
      </c>
      <c r="SOG247" s="29" t="e">
        <f t="shared" si="252"/>
        <v>#REF!</v>
      </c>
      <c r="SOH247" s="29" t="e">
        <f t="shared" si="252"/>
        <v>#REF!</v>
      </c>
      <c r="SOI247" s="29" t="e">
        <f t="shared" si="252"/>
        <v>#REF!</v>
      </c>
      <c r="SOJ247" s="29" t="e">
        <f t="shared" si="252"/>
        <v>#REF!</v>
      </c>
      <c r="SOK247" s="29" t="e">
        <f t="shared" si="252"/>
        <v>#REF!</v>
      </c>
      <c r="SOL247" s="29" t="e">
        <f t="shared" si="252"/>
        <v>#REF!</v>
      </c>
      <c r="SOM247" s="29" t="e">
        <f t="shared" si="252"/>
        <v>#REF!</v>
      </c>
      <c r="SON247" s="29" t="e">
        <f t="shared" si="252"/>
        <v>#REF!</v>
      </c>
      <c r="SOO247" s="29" t="e">
        <f t="shared" si="252"/>
        <v>#REF!</v>
      </c>
      <c r="SOP247" s="29" t="e">
        <f t="shared" si="252"/>
        <v>#REF!</v>
      </c>
      <c r="SOQ247" s="29" t="e">
        <f t="shared" si="252"/>
        <v>#REF!</v>
      </c>
      <c r="SOR247" s="29" t="e">
        <f t="shared" si="252"/>
        <v>#REF!</v>
      </c>
      <c r="SOS247" s="29" t="e">
        <f t="shared" si="252"/>
        <v>#REF!</v>
      </c>
      <c r="SOT247" s="29" t="e">
        <f t="shared" si="252"/>
        <v>#REF!</v>
      </c>
      <c r="SOU247" s="29" t="e">
        <f t="shared" si="252"/>
        <v>#REF!</v>
      </c>
      <c r="SOV247" s="29" t="e">
        <f t="shared" si="252"/>
        <v>#REF!</v>
      </c>
      <c r="SOW247" s="29" t="e">
        <f t="shared" si="252"/>
        <v>#REF!</v>
      </c>
      <c r="SOX247" s="29" t="e">
        <f t="shared" si="252"/>
        <v>#REF!</v>
      </c>
      <c r="SOY247" s="29" t="e">
        <f t="shared" si="252"/>
        <v>#REF!</v>
      </c>
      <c r="SOZ247" s="29" t="e">
        <f t="shared" si="252"/>
        <v>#REF!</v>
      </c>
      <c r="SPA247" s="29" t="e">
        <f t="shared" si="252"/>
        <v>#REF!</v>
      </c>
      <c r="SPB247" s="29" t="e">
        <f t="shared" si="252"/>
        <v>#REF!</v>
      </c>
      <c r="SPC247" s="29" t="e">
        <f t="shared" si="252"/>
        <v>#REF!</v>
      </c>
      <c r="SPD247" s="29" t="e">
        <f t="shared" si="252"/>
        <v>#REF!</v>
      </c>
      <c r="SPE247" s="29" t="e">
        <f t="shared" ref="SPE247:SRP247" si="253">SPI247&amp;SPJ247</f>
        <v>#REF!</v>
      </c>
      <c r="SPF247" s="29" t="e">
        <f t="shared" si="253"/>
        <v>#REF!</v>
      </c>
      <c r="SPG247" s="29" t="e">
        <f t="shared" si="253"/>
        <v>#REF!</v>
      </c>
      <c r="SPH247" s="29" t="e">
        <f t="shared" si="253"/>
        <v>#REF!</v>
      </c>
      <c r="SPI247" s="29" t="e">
        <f t="shared" si="253"/>
        <v>#REF!</v>
      </c>
      <c r="SPJ247" s="29" t="e">
        <f t="shared" si="253"/>
        <v>#REF!</v>
      </c>
      <c r="SPK247" s="29" t="e">
        <f t="shared" si="253"/>
        <v>#REF!</v>
      </c>
      <c r="SPL247" s="29" t="e">
        <f t="shared" si="253"/>
        <v>#REF!</v>
      </c>
      <c r="SPM247" s="29" t="e">
        <f t="shared" si="253"/>
        <v>#REF!</v>
      </c>
      <c r="SPN247" s="29" t="e">
        <f t="shared" si="253"/>
        <v>#REF!</v>
      </c>
      <c r="SPO247" s="29" t="e">
        <f t="shared" si="253"/>
        <v>#REF!</v>
      </c>
      <c r="SPP247" s="29" t="e">
        <f t="shared" si="253"/>
        <v>#REF!</v>
      </c>
      <c r="SPQ247" s="29" t="e">
        <f t="shared" si="253"/>
        <v>#REF!</v>
      </c>
      <c r="SPR247" s="29" t="e">
        <f t="shared" si="253"/>
        <v>#REF!</v>
      </c>
      <c r="SPS247" s="29" t="e">
        <f t="shared" si="253"/>
        <v>#REF!</v>
      </c>
      <c r="SPT247" s="29" t="e">
        <f t="shared" si="253"/>
        <v>#REF!</v>
      </c>
      <c r="SPU247" s="29" t="e">
        <f t="shared" si="253"/>
        <v>#REF!</v>
      </c>
      <c r="SPV247" s="29" t="e">
        <f t="shared" si="253"/>
        <v>#REF!</v>
      </c>
      <c r="SPW247" s="29" t="e">
        <f t="shared" si="253"/>
        <v>#REF!</v>
      </c>
      <c r="SPX247" s="29" t="e">
        <f t="shared" si="253"/>
        <v>#REF!</v>
      </c>
      <c r="SPY247" s="29" t="e">
        <f t="shared" si="253"/>
        <v>#REF!</v>
      </c>
      <c r="SPZ247" s="29" t="e">
        <f t="shared" si="253"/>
        <v>#REF!</v>
      </c>
      <c r="SQA247" s="29" t="e">
        <f t="shared" si="253"/>
        <v>#REF!</v>
      </c>
      <c r="SQB247" s="29" t="e">
        <f t="shared" si="253"/>
        <v>#REF!</v>
      </c>
      <c r="SQC247" s="29" t="e">
        <f t="shared" si="253"/>
        <v>#REF!</v>
      </c>
      <c r="SQD247" s="29" t="e">
        <f t="shared" si="253"/>
        <v>#REF!</v>
      </c>
      <c r="SQE247" s="29" t="e">
        <f t="shared" si="253"/>
        <v>#REF!</v>
      </c>
      <c r="SQF247" s="29" t="e">
        <f t="shared" si="253"/>
        <v>#REF!</v>
      </c>
      <c r="SQG247" s="29" t="e">
        <f t="shared" si="253"/>
        <v>#REF!</v>
      </c>
      <c r="SQH247" s="29" t="e">
        <f t="shared" si="253"/>
        <v>#REF!</v>
      </c>
      <c r="SQI247" s="29" t="e">
        <f t="shared" si="253"/>
        <v>#REF!</v>
      </c>
      <c r="SQJ247" s="29" t="e">
        <f t="shared" si="253"/>
        <v>#REF!</v>
      </c>
      <c r="SQK247" s="29" t="e">
        <f t="shared" si="253"/>
        <v>#REF!</v>
      </c>
      <c r="SQL247" s="29" t="e">
        <f t="shared" si="253"/>
        <v>#REF!</v>
      </c>
      <c r="SQM247" s="29" t="e">
        <f t="shared" si="253"/>
        <v>#REF!</v>
      </c>
      <c r="SQN247" s="29" t="e">
        <f t="shared" si="253"/>
        <v>#REF!</v>
      </c>
      <c r="SQO247" s="29" t="e">
        <f t="shared" si="253"/>
        <v>#REF!</v>
      </c>
      <c r="SQP247" s="29" t="e">
        <f t="shared" si="253"/>
        <v>#REF!</v>
      </c>
      <c r="SQQ247" s="29" t="e">
        <f t="shared" si="253"/>
        <v>#REF!</v>
      </c>
      <c r="SQR247" s="29" t="e">
        <f t="shared" si="253"/>
        <v>#REF!</v>
      </c>
      <c r="SQS247" s="29" t="e">
        <f t="shared" si="253"/>
        <v>#REF!</v>
      </c>
      <c r="SQT247" s="29" t="e">
        <f t="shared" si="253"/>
        <v>#REF!</v>
      </c>
      <c r="SQU247" s="29" t="e">
        <f t="shared" si="253"/>
        <v>#REF!</v>
      </c>
      <c r="SQV247" s="29" t="e">
        <f t="shared" si="253"/>
        <v>#REF!</v>
      </c>
      <c r="SQW247" s="29" t="e">
        <f t="shared" si="253"/>
        <v>#REF!</v>
      </c>
      <c r="SQX247" s="29" t="e">
        <f t="shared" si="253"/>
        <v>#REF!</v>
      </c>
      <c r="SQY247" s="29" t="e">
        <f t="shared" si="253"/>
        <v>#REF!</v>
      </c>
      <c r="SQZ247" s="29" t="e">
        <f t="shared" si="253"/>
        <v>#REF!</v>
      </c>
      <c r="SRA247" s="29" t="e">
        <f t="shared" si="253"/>
        <v>#REF!</v>
      </c>
      <c r="SRB247" s="29" t="e">
        <f t="shared" si="253"/>
        <v>#REF!</v>
      </c>
      <c r="SRC247" s="29" t="e">
        <f t="shared" si="253"/>
        <v>#REF!</v>
      </c>
      <c r="SRD247" s="29" t="e">
        <f t="shared" si="253"/>
        <v>#REF!</v>
      </c>
      <c r="SRE247" s="29" t="e">
        <f t="shared" si="253"/>
        <v>#REF!</v>
      </c>
      <c r="SRF247" s="29" t="e">
        <f t="shared" si="253"/>
        <v>#REF!</v>
      </c>
      <c r="SRG247" s="29" t="e">
        <f t="shared" si="253"/>
        <v>#REF!</v>
      </c>
      <c r="SRH247" s="29" t="e">
        <f t="shared" si="253"/>
        <v>#REF!</v>
      </c>
      <c r="SRI247" s="29" t="e">
        <f t="shared" si="253"/>
        <v>#REF!</v>
      </c>
      <c r="SRJ247" s="29" t="e">
        <f t="shared" si="253"/>
        <v>#REF!</v>
      </c>
      <c r="SRK247" s="29" t="e">
        <f t="shared" si="253"/>
        <v>#REF!</v>
      </c>
      <c r="SRL247" s="29" t="e">
        <f t="shared" si="253"/>
        <v>#REF!</v>
      </c>
      <c r="SRM247" s="29" t="e">
        <f t="shared" si="253"/>
        <v>#REF!</v>
      </c>
      <c r="SRN247" s="29" t="e">
        <f t="shared" si="253"/>
        <v>#REF!</v>
      </c>
      <c r="SRO247" s="29" t="e">
        <f t="shared" si="253"/>
        <v>#REF!</v>
      </c>
      <c r="SRP247" s="29" t="e">
        <f t="shared" si="253"/>
        <v>#REF!</v>
      </c>
      <c r="SRQ247" s="29" t="e">
        <f t="shared" ref="SRQ247:SUB247" si="254">SRU247&amp;SRV247</f>
        <v>#REF!</v>
      </c>
      <c r="SRR247" s="29" t="e">
        <f t="shared" si="254"/>
        <v>#REF!</v>
      </c>
      <c r="SRS247" s="29" t="e">
        <f t="shared" si="254"/>
        <v>#REF!</v>
      </c>
      <c r="SRT247" s="29" t="e">
        <f t="shared" si="254"/>
        <v>#REF!</v>
      </c>
      <c r="SRU247" s="29" t="e">
        <f t="shared" si="254"/>
        <v>#REF!</v>
      </c>
      <c r="SRV247" s="29" t="e">
        <f t="shared" si="254"/>
        <v>#REF!</v>
      </c>
      <c r="SRW247" s="29" t="e">
        <f t="shared" si="254"/>
        <v>#REF!</v>
      </c>
      <c r="SRX247" s="29" t="e">
        <f t="shared" si="254"/>
        <v>#REF!</v>
      </c>
      <c r="SRY247" s="29" t="e">
        <f t="shared" si="254"/>
        <v>#REF!</v>
      </c>
      <c r="SRZ247" s="29" t="e">
        <f t="shared" si="254"/>
        <v>#REF!</v>
      </c>
      <c r="SSA247" s="29" t="e">
        <f t="shared" si="254"/>
        <v>#REF!</v>
      </c>
      <c r="SSB247" s="29" t="e">
        <f t="shared" si="254"/>
        <v>#REF!</v>
      </c>
      <c r="SSC247" s="29" t="e">
        <f t="shared" si="254"/>
        <v>#REF!</v>
      </c>
      <c r="SSD247" s="29" t="e">
        <f t="shared" si="254"/>
        <v>#REF!</v>
      </c>
      <c r="SSE247" s="29" t="e">
        <f t="shared" si="254"/>
        <v>#REF!</v>
      </c>
      <c r="SSF247" s="29" t="e">
        <f t="shared" si="254"/>
        <v>#REF!</v>
      </c>
      <c r="SSG247" s="29" t="e">
        <f t="shared" si="254"/>
        <v>#REF!</v>
      </c>
      <c r="SSH247" s="29" t="e">
        <f t="shared" si="254"/>
        <v>#REF!</v>
      </c>
      <c r="SSI247" s="29" t="e">
        <f t="shared" si="254"/>
        <v>#REF!</v>
      </c>
      <c r="SSJ247" s="29" t="e">
        <f t="shared" si="254"/>
        <v>#REF!</v>
      </c>
      <c r="SSK247" s="29" t="e">
        <f t="shared" si="254"/>
        <v>#REF!</v>
      </c>
      <c r="SSL247" s="29" t="e">
        <f t="shared" si="254"/>
        <v>#REF!</v>
      </c>
      <c r="SSM247" s="29" t="e">
        <f t="shared" si="254"/>
        <v>#REF!</v>
      </c>
      <c r="SSN247" s="29" t="e">
        <f t="shared" si="254"/>
        <v>#REF!</v>
      </c>
      <c r="SSO247" s="29" t="e">
        <f t="shared" si="254"/>
        <v>#REF!</v>
      </c>
      <c r="SSP247" s="29" t="e">
        <f t="shared" si="254"/>
        <v>#REF!</v>
      </c>
      <c r="SSQ247" s="29" t="e">
        <f t="shared" si="254"/>
        <v>#REF!</v>
      </c>
      <c r="SSR247" s="29" t="e">
        <f t="shared" si="254"/>
        <v>#REF!</v>
      </c>
      <c r="SSS247" s="29" t="e">
        <f t="shared" si="254"/>
        <v>#REF!</v>
      </c>
      <c r="SST247" s="29" t="e">
        <f t="shared" si="254"/>
        <v>#REF!</v>
      </c>
      <c r="SSU247" s="29" t="e">
        <f t="shared" si="254"/>
        <v>#REF!</v>
      </c>
      <c r="SSV247" s="29" t="e">
        <f t="shared" si="254"/>
        <v>#REF!</v>
      </c>
      <c r="SSW247" s="29" t="e">
        <f t="shared" si="254"/>
        <v>#REF!</v>
      </c>
      <c r="SSX247" s="29" t="e">
        <f t="shared" si="254"/>
        <v>#REF!</v>
      </c>
      <c r="SSY247" s="29" t="e">
        <f t="shared" si="254"/>
        <v>#REF!</v>
      </c>
      <c r="SSZ247" s="29" t="e">
        <f t="shared" si="254"/>
        <v>#REF!</v>
      </c>
      <c r="STA247" s="29" t="e">
        <f t="shared" si="254"/>
        <v>#REF!</v>
      </c>
      <c r="STB247" s="29" t="e">
        <f t="shared" si="254"/>
        <v>#REF!</v>
      </c>
      <c r="STC247" s="29" t="e">
        <f t="shared" si="254"/>
        <v>#REF!</v>
      </c>
      <c r="STD247" s="29" t="e">
        <f t="shared" si="254"/>
        <v>#REF!</v>
      </c>
      <c r="STE247" s="29" t="e">
        <f t="shared" si="254"/>
        <v>#REF!</v>
      </c>
      <c r="STF247" s="29" t="e">
        <f t="shared" si="254"/>
        <v>#REF!</v>
      </c>
      <c r="STG247" s="29" t="e">
        <f t="shared" si="254"/>
        <v>#REF!</v>
      </c>
      <c r="STH247" s="29" t="e">
        <f t="shared" si="254"/>
        <v>#REF!</v>
      </c>
      <c r="STI247" s="29" t="e">
        <f t="shared" si="254"/>
        <v>#REF!</v>
      </c>
      <c r="STJ247" s="29" t="e">
        <f t="shared" si="254"/>
        <v>#REF!</v>
      </c>
      <c r="STK247" s="29" t="e">
        <f t="shared" si="254"/>
        <v>#REF!</v>
      </c>
      <c r="STL247" s="29" t="e">
        <f t="shared" si="254"/>
        <v>#REF!</v>
      </c>
      <c r="STM247" s="29" t="e">
        <f t="shared" si="254"/>
        <v>#REF!</v>
      </c>
      <c r="STN247" s="29" t="e">
        <f t="shared" si="254"/>
        <v>#REF!</v>
      </c>
      <c r="STO247" s="29" t="e">
        <f t="shared" si="254"/>
        <v>#REF!</v>
      </c>
      <c r="STP247" s="29" t="e">
        <f t="shared" si="254"/>
        <v>#REF!</v>
      </c>
      <c r="STQ247" s="29" t="e">
        <f t="shared" si="254"/>
        <v>#REF!</v>
      </c>
      <c r="STR247" s="29" t="e">
        <f t="shared" si="254"/>
        <v>#REF!</v>
      </c>
      <c r="STS247" s="29" t="e">
        <f t="shared" si="254"/>
        <v>#REF!</v>
      </c>
      <c r="STT247" s="29" t="e">
        <f t="shared" si="254"/>
        <v>#REF!</v>
      </c>
      <c r="STU247" s="29" t="e">
        <f t="shared" si="254"/>
        <v>#REF!</v>
      </c>
      <c r="STV247" s="29" t="e">
        <f t="shared" si="254"/>
        <v>#REF!</v>
      </c>
      <c r="STW247" s="29" t="e">
        <f t="shared" si="254"/>
        <v>#REF!</v>
      </c>
      <c r="STX247" s="29" t="e">
        <f t="shared" si="254"/>
        <v>#REF!</v>
      </c>
      <c r="STY247" s="29" t="e">
        <f t="shared" si="254"/>
        <v>#REF!</v>
      </c>
      <c r="STZ247" s="29" t="e">
        <f t="shared" si="254"/>
        <v>#REF!</v>
      </c>
      <c r="SUA247" s="29" t="e">
        <f t="shared" si="254"/>
        <v>#REF!</v>
      </c>
      <c r="SUB247" s="29" t="e">
        <f t="shared" si="254"/>
        <v>#REF!</v>
      </c>
      <c r="SUC247" s="29" t="e">
        <f t="shared" ref="SUC247:SWN247" si="255">SUG247&amp;SUH247</f>
        <v>#REF!</v>
      </c>
      <c r="SUD247" s="29" t="e">
        <f t="shared" si="255"/>
        <v>#REF!</v>
      </c>
      <c r="SUE247" s="29" t="e">
        <f t="shared" si="255"/>
        <v>#REF!</v>
      </c>
      <c r="SUF247" s="29" t="e">
        <f t="shared" si="255"/>
        <v>#REF!</v>
      </c>
      <c r="SUG247" s="29" t="e">
        <f t="shared" si="255"/>
        <v>#REF!</v>
      </c>
      <c r="SUH247" s="29" t="e">
        <f t="shared" si="255"/>
        <v>#REF!</v>
      </c>
      <c r="SUI247" s="29" t="e">
        <f t="shared" si="255"/>
        <v>#REF!</v>
      </c>
      <c r="SUJ247" s="29" t="e">
        <f t="shared" si="255"/>
        <v>#REF!</v>
      </c>
      <c r="SUK247" s="29" t="e">
        <f t="shared" si="255"/>
        <v>#REF!</v>
      </c>
      <c r="SUL247" s="29" t="e">
        <f t="shared" si="255"/>
        <v>#REF!</v>
      </c>
      <c r="SUM247" s="29" t="e">
        <f t="shared" si="255"/>
        <v>#REF!</v>
      </c>
      <c r="SUN247" s="29" t="e">
        <f t="shared" si="255"/>
        <v>#REF!</v>
      </c>
      <c r="SUO247" s="29" t="e">
        <f t="shared" si="255"/>
        <v>#REF!</v>
      </c>
      <c r="SUP247" s="29" t="e">
        <f t="shared" si="255"/>
        <v>#REF!</v>
      </c>
      <c r="SUQ247" s="29" t="e">
        <f t="shared" si="255"/>
        <v>#REF!</v>
      </c>
      <c r="SUR247" s="29" t="e">
        <f t="shared" si="255"/>
        <v>#REF!</v>
      </c>
      <c r="SUS247" s="29" t="e">
        <f t="shared" si="255"/>
        <v>#REF!</v>
      </c>
      <c r="SUT247" s="29" t="e">
        <f t="shared" si="255"/>
        <v>#REF!</v>
      </c>
      <c r="SUU247" s="29" t="e">
        <f t="shared" si="255"/>
        <v>#REF!</v>
      </c>
      <c r="SUV247" s="29" t="e">
        <f t="shared" si="255"/>
        <v>#REF!</v>
      </c>
      <c r="SUW247" s="29" t="e">
        <f t="shared" si="255"/>
        <v>#REF!</v>
      </c>
      <c r="SUX247" s="29" t="e">
        <f t="shared" si="255"/>
        <v>#REF!</v>
      </c>
      <c r="SUY247" s="29" t="e">
        <f t="shared" si="255"/>
        <v>#REF!</v>
      </c>
      <c r="SUZ247" s="29" t="e">
        <f t="shared" si="255"/>
        <v>#REF!</v>
      </c>
      <c r="SVA247" s="29" t="e">
        <f t="shared" si="255"/>
        <v>#REF!</v>
      </c>
      <c r="SVB247" s="29" t="e">
        <f t="shared" si="255"/>
        <v>#REF!</v>
      </c>
      <c r="SVC247" s="29" t="e">
        <f t="shared" si="255"/>
        <v>#REF!</v>
      </c>
      <c r="SVD247" s="29" t="e">
        <f t="shared" si="255"/>
        <v>#REF!</v>
      </c>
      <c r="SVE247" s="29" t="e">
        <f t="shared" si="255"/>
        <v>#REF!</v>
      </c>
      <c r="SVF247" s="29" t="e">
        <f t="shared" si="255"/>
        <v>#REF!</v>
      </c>
      <c r="SVG247" s="29" t="e">
        <f t="shared" si="255"/>
        <v>#REF!</v>
      </c>
      <c r="SVH247" s="29" t="e">
        <f t="shared" si="255"/>
        <v>#REF!</v>
      </c>
      <c r="SVI247" s="29" t="e">
        <f t="shared" si="255"/>
        <v>#REF!</v>
      </c>
      <c r="SVJ247" s="29" t="e">
        <f t="shared" si="255"/>
        <v>#REF!</v>
      </c>
      <c r="SVK247" s="29" t="e">
        <f t="shared" si="255"/>
        <v>#REF!</v>
      </c>
      <c r="SVL247" s="29" t="e">
        <f t="shared" si="255"/>
        <v>#REF!</v>
      </c>
      <c r="SVM247" s="29" t="e">
        <f t="shared" si="255"/>
        <v>#REF!</v>
      </c>
      <c r="SVN247" s="29" t="e">
        <f t="shared" si="255"/>
        <v>#REF!</v>
      </c>
      <c r="SVO247" s="29" t="e">
        <f t="shared" si="255"/>
        <v>#REF!</v>
      </c>
      <c r="SVP247" s="29" t="e">
        <f t="shared" si="255"/>
        <v>#REF!</v>
      </c>
      <c r="SVQ247" s="29" t="e">
        <f t="shared" si="255"/>
        <v>#REF!</v>
      </c>
      <c r="SVR247" s="29" t="e">
        <f t="shared" si="255"/>
        <v>#REF!</v>
      </c>
      <c r="SVS247" s="29" t="e">
        <f t="shared" si="255"/>
        <v>#REF!</v>
      </c>
      <c r="SVT247" s="29" t="e">
        <f t="shared" si="255"/>
        <v>#REF!</v>
      </c>
      <c r="SVU247" s="29" t="e">
        <f t="shared" si="255"/>
        <v>#REF!</v>
      </c>
      <c r="SVV247" s="29" t="e">
        <f t="shared" si="255"/>
        <v>#REF!</v>
      </c>
      <c r="SVW247" s="29" t="e">
        <f t="shared" si="255"/>
        <v>#REF!</v>
      </c>
      <c r="SVX247" s="29" t="e">
        <f t="shared" si="255"/>
        <v>#REF!</v>
      </c>
      <c r="SVY247" s="29" t="e">
        <f t="shared" si="255"/>
        <v>#REF!</v>
      </c>
      <c r="SVZ247" s="29" t="e">
        <f t="shared" si="255"/>
        <v>#REF!</v>
      </c>
      <c r="SWA247" s="29" t="e">
        <f t="shared" si="255"/>
        <v>#REF!</v>
      </c>
      <c r="SWB247" s="29" t="e">
        <f t="shared" si="255"/>
        <v>#REF!</v>
      </c>
      <c r="SWC247" s="29" t="e">
        <f t="shared" si="255"/>
        <v>#REF!</v>
      </c>
      <c r="SWD247" s="29" t="e">
        <f t="shared" si="255"/>
        <v>#REF!</v>
      </c>
      <c r="SWE247" s="29" t="e">
        <f t="shared" si="255"/>
        <v>#REF!</v>
      </c>
      <c r="SWF247" s="29" t="e">
        <f t="shared" si="255"/>
        <v>#REF!</v>
      </c>
      <c r="SWG247" s="29" t="e">
        <f t="shared" si="255"/>
        <v>#REF!</v>
      </c>
      <c r="SWH247" s="29" t="e">
        <f t="shared" si="255"/>
        <v>#REF!</v>
      </c>
      <c r="SWI247" s="29" t="e">
        <f t="shared" si="255"/>
        <v>#REF!</v>
      </c>
      <c r="SWJ247" s="29" t="e">
        <f t="shared" si="255"/>
        <v>#REF!</v>
      </c>
      <c r="SWK247" s="29" t="e">
        <f t="shared" si="255"/>
        <v>#REF!</v>
      </c>
      <c r="SWL247" s="29" t="e">
        <f t="shared" si="255"/>
        <v>#REF!</v>
      </c>
      <c r="SWM247" s="29" t="e">
        <f t="shared" si="255"/>
        <v>#REF!</v>
      </c>
      <c r="SWN247" s="29" t="e">
        <f t="shared" si="255"/>
        <v>#REF!</v>
      </c>
      <c r="SWO247" s="29" t="e">
        <f t="shared" ref="SWO247:SYZ247" si="256">SWS247&amp;SWT247</f>
        <v>#REF!</v>
      </c>
      <c r="SWP247" s="29" t="e">
        <f t="shared" si="256"/>
        <v>#REF!</v>
      </c>
      <c r="SWQ247" s="29" t="e">
        <f t="shared" si="256"/>
        <v>#REF!</v>
      </c>
      <c r="SWR247" s="29" t="e">
        <f t="shared" si="256"/>
        <v>#REF!</v>
      </c>
      <c r="SWS247" s="29" t="e">
        <f t="shared" si="256"/>
        <v>#REF!</v>
      </c>
      <c r="SWT247" s="29" t="e">
        <f t="shared" si="256"/>
        <v>#REF!</v>
      </c>
      <c r="SWU247" s="29" t="e">
        <f t="shared" si="256"/>
        <v>#REF!</v>
      </c>
      <c r="SWV247" s="29" t="e">
        <f t="shared" si="256"/>
        <v>#REF!</v>
      </c>
      <c r="SWW247" s="29" t="e">
        <f t="shared" si="256"/>
        <v>#REF!</v>
      </c>
      <c r="SWX247" s="29" t="e">
        <f t="shared" si="256"/>
        <v>#REF!</v>
      </c>
      <c r="SWY247" s="29" t="e">
        <f t="shared" si="256"/>
        <v>#REF!</v>
      </c>
      <c r="SWZ247" s="29" t="e">
        <f t="shared" si="256"/>
        <v>#REF!</v>
      </c>
      <c r="SXA247" s="29" t="e">
        <f t="shared" si="256"/>
        <v>#REF!</v>
      </c>
      <c r="SXB247" s="29" t="e">
        <f t="shared" si="256"/>
        <v>#REF!</v>
      </c>
      <c r="SXC247" s="29" t="e">
        <f t="shared" si="256"/>
        <v>#REF!</v>
      </c>
      <c r="SXD247" s="29" t="e">
        <f t="shared" si="256"/>
        <v>#REF!</v>
      </c>
      <c r="SXE247" s="29" t="e">
        <f t="shared" si="256"/>
        <v>#REF!</v>
      </c>
      <c r="SXF247" s="29" t="e">
        <f t="shared" si="256"/>
        <v>#REF!</v>
      </c>
      <c r="SXG247" s="29" t="e">
        <f t="shared" si="256"/>
        <v>#REF!</v>
      </c>
      <c r="SXH247" s="29" t="e">
        <f t="shared" si="256"/>
        <v>#REF!</v>
      </c>
      <c r="SXI247" s="29" t="e">
        <f t="shared" si="256"/>
        <v>#REF!</v>
      </c>
      <c r="SXJ247" s="29" t="e">
        <f t="shared" si="256"/>
        <v>#REF!</v>
      </c>
      <c r="SXK247" s="29" t="e">
        <f t="shared" si="256"/>
        <v>#REF!</v>
      </c>
      <c r="SXL247" s="29" t="e">
        <f t="shared" si="256"/>
        <v>#REF!</v>
      </c>
      <c r="SXM247" s="29" t="e">
        <f t="shared" si="256"/>
        <v>#REF!</v>
      </c>
      <c r="SXN247" s="29" t="e">
        <f t="shared" si="256"/>
        <v>#REF!</v>
      </c>
      <c r="SXO247" s="29" t="e">
        <f t="shared" si="256"/>
        <v>#REF!</v>
      </c>
      <c r="SXP247" s="29" t="e">
        <f t="shared" si="256"/>
        <v>#REF!</v>
      </c>
      <c r="SXQ247" s="29" t="e">
        <f t="shared" si="256"/>
        <v>#REF!</v>
      </c>
      <c r="SXR247" s="29" t="e">
        <f t="shared" si="256"/>
        <v>#REF!</v>
      </c>
      <c r="SXS247" s="29" t="e">
        <f t="shared" si="256"/>
        <v>#REF!</v>
      </c>
      <c r="SXT247" s="29" t="e">
        <f t="shared" si="256"/>
        <v>#REF!</v>
      </c>
      <c r="SXU247" s="29" t="e">
        <f t="shared" si="256"/>
        <v>#REF!</v>
      </c>
      <c r="SXV247" s="29" t="e">
        <f t="shared" si="256"/>
        <v>#REF!</v>
      </c>
      <c r="SXW247" s="29" t="e">
        <f t="shared" si="256"/>
        <v>#REF!</v>
      </c>
      <c r="SXX247" s="29" t="e">
        <f t="shared" si="256"/>
        <v>#REF!</v>
      </c>
      <c r="SXY247" s="29" t="e">
        <f t="shared" si="256"/>
        <v>#REF!</v>
      </c>
      <c r="SXZ247" s="29" t="e">
        <f t="shared" si="256"/>
        <v>#REF!</v>
      </c>
      <c r="SYA247" s="29" t="e">
        <f t="shared" si="256"/>
        <v>#REF!</v>
      </c>
      <c r="SYB247" s="29" t="e">
        <f t="shared" si="256"/>
        <v>#REF!</v>
      </c>
      <c r="SYC247" s="29" t="e">
        <f t="shared" si="256"/>
        <v>#REF!</v>
      </c>
      <c r="SYD247" s="29" t="e">
        <f t="shared" si="256"/>
        <v>#REF!</v>
      </c>
      <c r="SYE247" s="29" t="e">
        <f t="shared" si="256"/>
        <v>#REF!</v>
      </c>
      <c r="SYF247" s="29" t="e">
        <f t="shared" si="256"/>
        <v>#REF!</v>
      </c>
      <c r="SYG247" s="29" t="e">
        <f t="shared" si="256"/>
        <v>#REF!</v>
      </c>
      <c r="SYH247" s="29" t="e">
        <f t="shared" si="256"/>
        <v>#REF!</v>
      </c>
      <c r="SYI247" s="29" t="e">
        <f t="shared" si="256"/>
        <v>#REF!</v>
      </c>
      <c r="SYJ247" s="29" t="e">
        <f t="shared" si="256"/>
        <v>#REF!</v>
      </c>
      <c r="SYK247" s="29" t="e">
        <f t="shared" si="256"/>
        <v>#REF!</v>
      </c>
      <c r="SYL247" s="29" t="e">
        <f t="shared" si="256"/>
        <v>#REF!</v>
      </c>
      <c r="SYM247" s="29" t="e">
        <f t="shared" si="256"/>
        <v>#REF!</v>
      </c>
      <c r="SYN247" s="29" t="e">
        <f t="shared" si="256"/>
        <v>#REF!</v>
      </c>
      <c r="SYO247" s="29" t="e">
        <f t="shared" si="256"/>
        <v>#REF!</v>
      </c>
      <c r="SYP247" s="29" t="e">
        <f t="shared" si="256"/>
        <v>#REF!</v>
      </c>
      <c r="SYQ247" s="29" t="e">
        <f t="shared" si="256"/>
        <v>#REF!</v>
      </c>
      <c r="SYR247" s="29" t="e">
        <f t="shared" si="256"/>
        <v>#REF!</v>
      </c>
      <c r="SYS247" s="29" t="e">
        <f t="shared" si="256"/>
        <v>#REF!</v>
      </c>
      <c r="SYT247" s="29" t="e">
        <f t="shared" si="256"/>
        <v>#REF!</v>
      </c>
      <c r="SYU247" s="29" t="e">
        <f t="shared" si="256"/>
        <v>#REF!</v>
      </c>
      <c r="SYV247" s="29" t="e">
        <f t="shared" si="256"/>
        <v>#REF!</v>
      </c>
      <c r="SYW247" s="29" t="e">
        <f t="shared" si="256"/>
        <v>#REF!</v>
      </c>
      <c r="SYX247" s="29" t="e">
        <f t="shared" si="256"/>
        <v>#REF!</v>
      </c>
      <c r="SYY247" s="29" t="e">
        <f t="shared" si="256"/>
        <v>#REF!</v>
      </c>
      <c r="SYZ247" s="29" t="e">
        <f t="shared" si="256"/>
        <v>#REF!</v>
      </c>
      <c r="SZA247" s="29" t="e">
        <f t="shared" ref="SZA247:TBL247" si="257">SZE247&amp;SZF247</f>
        <v>#REF!</v>
      </c>
      <c r="SZB247" s="29" t="e">
        <f t="shared" si="257"/>
        <v>#REF!</v>
      </c>
      <c r="SZC247" s="29" t="e">
        <f t="shared" si="257"/>
        <v>#REF!</v>
      </c>
      <c r="SZD247" s="29" t="e">
        <f t="shared" si="257"/>
        <v>#REF!</v>
      </c>
      <c r="SZE247" s="29" t="e">
        <f t="shared" si="257"/>
        <v>#REF!</v>
      </c>
      <c r="SZF247" s="29" t="e">
        <f t="shared" si="257"/>
        <v>#REF!</v>
      </c>
      <c r="SZG247" s="29" t="e">
        <f t="shared" si="257"/>
        <v>#REF!</v>
      </c>
      <c r="SZH247" s="29" t="e">
        <f t="shared" si="257"/>
        <v>#REF!</v>
      </c>
      <c r="SZI247" s="29" t="e">
        <f t="shared" si="257"/>
        <v>#REF!</v>
      </c>
      <c r="SZJ247" s="29" t="e">
        <f t="shared" si="257"/>
        <v>#REF!</v>
      </c>
      <c r="SZK247" s="29" t="e">
        <f t="shared" si="257"/>
        <v>#REF!</v>
      </c>
      <c r="SZL247" s="29" t="e">
        <f t="shared" si="257"/>
        <v>#REF!</v>
      </c>
      <c r="SZM247" s="29" t="e">
        <f t="shared" si="257"/>
        <v>#REF!</v>
      </c>
      <c r="SZN247" s="29" t="e">
        <f t="shared" si="257"/>
        <v>#REF!</v>
      </c>
      <c r="SZO247" s="29" t="e">
        <f t="shared" si="257"/>
        <v>#REF!</v>
      </c>
      <c r="SZP247" s="29" t="e">
        <f t="shared" si="257"/>
        <v>#REF!</v>
      </c>
      <c r="SZQ247" s="29" t="e">
        <f t="shared" si="257"/>
        <v>#REF!</v>
      </c>
      <c r="SZR247" s="29" t="e">
        <f t="shared" si="257"/>
        <v>#REF!</v>
      </c>
      <c r="SZS247" s="29" t="e">
        <f t="shared" si="257"/>
        <v>#REF!</v>
      </c>
      <c r="SZT247" s="29" t="e">
        <f t="shared" si="257"/>
        <v>#REF!</v>
      </c>
      <c r="SZU247" s="29" t="e">
        <f t="shared" si="257"/>
        <v>#REF!</v>
      </c>
      <c r="SZV247" s="29" t="e">
        <f t="shared" si="257"/>
        <v>#REF!</v>
      </c>
      <c r="SZW247" s="29" t="e">
        <f t="shared" si="257"/>
        <v>#REF!</v>
      </c>
      <c r="SZX247" s="29" t="e">
        <f t="shared" si="257"/>
        <v>#REF!</v>
      </c>
      <c r="SZY247" s="29" t="e">
        <f t="shared" si="257"/>
        <v>#REF!</v>
      </c>
      <c r="SZZ247" s="29" t="e">
        <f t="shared" si="257"/>
        <v>#REF!</v>
      </c>
      <c r="TAA247" s="29" t="e">
        <f t="shared" si="257"/>
        <v>#REF!</v>
      </c>
      <c r="TAB247" s="29" t="e">
        <f t="shared" si="257"/>
        <v>#REF!</v>
      </c>
      <c r="TAC247" s="29" t="e">
        <f t="shared" si="257"/>
        <v>#REF!</v>
      </c>
      <c r="TAD247" s="29" t="e">
        <f t="shared" si="257"/>
        <v>#REF!</v>
      </c>
      <c r="TAE247" s="29" t="e">
        <f t="shared" si="257"/>
        <v>#REF!</v>
      </c>
      <c r="TAF247" s="29" t="e">
        <f t="shared" si="257"/>
        <v>#REF!</v>
      </c>
      <c r="TAG247" s="29" t="e">
        <f t="shared" si="257"/>
        <v>#REF!</v>
      </c>
      <c r="TAH247" s="29" t="e">
        <f t="shared" si="257"/>
        <v>#REF!</v>
      </c>
      <c r="TAI247" s="29" t="e">
        <f t="shared" si="257"/>
        <v>#REF!</v>
      </c>
      <c r="TAJ247" s="29" t="e">
        <f t="shared" si="257"/>
        <v>#REF!</v>
      </c>
      <c r="TAK247" s="29" t="e">
        <f t="shared" si="257"/>
        <v>#REF!</v>
      </c>
      <c r="TAL247" s="29" t="e">
        <f t="shared" si="257"/>
        <v>#REF!</v>
      </c>
      <c r="TAM247" s="29" t="e">
        <f t="shared" si="257"/>
        <v>#REF!</v>
      </c>
      <c r="TAN247" s="29" t="e">
        <f t="shared" si="257"/>
        <v>#REF!</v>
      </c>
      <c r="TAO247" s="29" t="e">
        <f t="shared" si="257"/>
        <v>#REF!</v>
      </c>
      <c r="TAP247" s="29" t="e">
        <f t="shared" si="257"/>
        <v>#REF!</v>
      </c>
      <c r="TAQ247" s="29" t="e">
        <f t="shared" si="257"/>
        <v>#REF!</v>
      </c>
      <c r="TAR247" s="29" t="e">
        <f t="shared" si="257"/>
        <v>#REF!</v>
      </c>
      <c r="TAS247" s="29" t="e">
        <f t="shared" si="257"/>
        <v>#REF!</v>
      </c>
      <c r="TAT247" s="29" t="e">
        <f t="shared" si="257"/>
        <v>#REF!</v>
      </c>
      <c r="TAU247" s="29" t="e">
        <f t="shared" si="257"/>
        <v>#REF!</v>
      </c>
      <c r="TAV247" s="29" t="e">
        <f t="shared" si="257"/>
        <v>#REF!</v>
      </c>
      <c r="TAW247" s="29" t="e">
        <f t="shared" si="257"/>
        <v>#REF!</v>
      </c>
      <c r="TAX247" s="29" t="e">
        <f t="shared" si="257"/>
        <v>#REF!</v>
      </c>
      <c r="TAY247" s="29" t="e">
        <f t="shared" si="257"/>
        <v>#REF!</v>
      </c>
      <c r="TAZ247" s="29" t="e">
        <f t="shared" si="257"/>
        <v>#REF!</v>
      </c>
      <c r="TBA247" s="29" t="e">
        <f t="shared" si="257"/>
        <v>#REF!</v>
      </c>
      <c r="TBB247" s="29" t="e">
        <f t="shared" si="257"/>
        <v>#REF!</v>
      </c>
      <c r="TBC247" s="29" t="e">
        <f t="shared" si="257"/>
        <v>#REF!</v>
      </c>
      <c r="TBD247" s="29" t="e">
        <f t="shared" si="257"/>
        <v>#REF!</v>
      </c>
      <c r="TBE247" s="29" t="e">
        <f t="shared" si="257"/>
        <v>#REF!</v>
      </c>
      <c r="TBF247" s="29" t="e">
        <f t="shared" si="257"/>
        <v>#REF!</v>
      </c>
      <c r="TBG247" s="29" t="e">
        <f t="shared" si="257"/>
        <v>#REF!</v>
      </c>
      <c r="TBH247" s="29" t="e">
        <f t="shared" si="257"/>
        <v>#REF!</v>
      </c>
      <c r="TBI247" s="29" t="e">
        <f t="shared" si="257"/>
        <v>#REF!</v>
      </c>
      <c r="TBJ247" s="29" t="e">
        <f t="shared" si="257"/>
        <v>#REF!</v>
      </c>
      <c r="TBK247" s="29" t="e">
        <f t="shared" si="257"/>
        <v>#REF!</v>
      </c>
      <c r="TBL247" s="29" t="e">
        <f t="shared" si="257"/>
        <v>#REF!</v>
      </c>
      <c r="TBM247" s="29" t="e">
        <f t="shared" ref="TBM247:TDX247" si="258">TBQ247&amp;TBR247</f>
        <v>#REF!</v>
      </c>
      <c r="TBN247" s="29" t="e">
        <f t="shared" si="258"/>
        <v>#REF!</v>
      </c>
      <c r="TBO247" s="29" t="e">
        <f t="shared" si="258"/>
        <v>#REF!</v>
      </c>
      <c r="TBP247" s="29" t="e">
        <f t="shared" si="258"/>
        <v>#REF!</v>
      </c>
      <c r="TBQ247" s="29" t="e">
        <f t="shared" si="258"/>
        <v>#REF!</v>
      </c>
      <c r="TBR247" s="29" t="e">
        <f t="shared" si="258"/>
        <v>#REF!</v>
      </c>
      <c r="TBS247" s="29" t="e">
        <f t="shared" si="258"/>
        <v>#REF!</v>
      </c>
      <c r="TBT247" s="29" t="e">
        <f t="shared" si="258"/>
        <v>#REF!</v>
      </c>
      <c r="TBU247" s="29" t="e">
        <f t="shared" si="258"/>
        <v>#REF!</v>
      </c>
      <c r="TBV247" s="29" t="e">
        <f t="shared" si="258"/>
        <v>#REF!</v>
      </c>
      <c r="TBW247" s="29" t="e">
        <f t="shared" si="258"/>
        <v>#REF!</v>
      </c>
      <c r="TBX247" s="29" t="e">
        <f t="shared" si="258"/>
        <v>#REF!</v>
      </c>
      <c r="TBY247" s="29" t="e">
        <f t="shared" si="258"/>
        <v>#REF!</v>
      </c>
      <c r="TBZ247" s="29" t="e">
        <f t="shared" si="258"/>
        <v>#REF!</v>
      </c>
      <c r="TCA247" s="29" t="e">
        <f t="shared" si="258"/>
        <v>#REF!</v>
      </c>
      <c r="TCB247" s="29" t="e">
        <f t="shared" si="258"/>
        <v>#REF!</v>
      </c>
      <c r="TCC247" s="29" t="e">
        <f t="shared" si="258"/>
        <v>#REF!</v>
      </c>
      <c r="TCD247" s="29" t="e">
        <f t="shared" si="258"/>
        <v>#REF!</v>
      </c>
      <c r="TCE247" s="29" t="e">
        <f t="shared" si="258"/>
        <v>#REF!</v>
      </c>
      <c r="TCF247" s="29" t="e">
        <f t="shared" si="258"/>
        <v>#REF!</v>
      </c>
      <c r="TCG247" s="29" t="e">
        <f t="shared" si="258"/>
        <v>#REF!</v>
      </c>
      <c r="TCH247" s="29" t="e">
        <f t="shared" si="258"/>
        <v>#REF!</v>
      </c>
      <c r="TCI247" s="29" t="e">
        <f t="shared" si="258"/>
        <v>#REF!</v>
      </c>
      <c r="TCJ247" s="29" t="e">
        <f t="shared" si="258"/>
        <v>#REF!</v>
      </c>
      <c r="TCK247" s="29" t="e">
        <f t="shared" si="258"/>
        <v>#REF!</v>
      </c>
      <c r="TCL247" s="29" t="e">
        <f t="shared" si="258"/>
        <v>#REF!</v>
      </c>
      <c r="TCM247" s="29" t="e">
        <f t="shared" si="258"/>
        <v>#REF!</v>
      </c>
      <c r="TCN247" s="29" t="e">
        <f t="shared" si="258"/>
        <v>#REF!</v>
      </c>
      <c r="TCO247" s="29" t="e">
        <f t="shared" si="258"/>
        <v>#REF!</v>
      </c>
      <c r="TCP247" s="29" t="e">
        <f t="shared" si="258"/>
        <v>#REF!</v>
      </c>
      <c r="TCQ247" s="29" t="e">
        <f t="shared" si="258"/>
        <v>#REF!</v>
      </c>
      <c r="TCR247" s="29" t="e">
        <f t="shared" si="258"/>
        <v>#REF!</v>
      </c>
      <c r="TCS247" s="29" t="e">
        <f t="shared" si="258"/>
        <v>#REF!</v>
      </c>
      <c r="TCT247" s="29" t="e">
        <f t="shared" si="258"/>
        <v>#REF!</v>
      </c>
      <c r="TCU247" s="29" t="e">
        <f t="shared" si="258"/>
        <v>#REF!</v>
      </c>
      <c r="TCV247" s="29" t="e">
        <f t="shared" si="258"/>
        <v>#REF!</v>
      </c>
      <c r="TCW247" s="29" t="e">
        <f t="shared" si="258"/>
        <v>#REF!</v>
      </c>
      <c r="TCX247" s="29" t="e">
        <f t="shared" si="258"/>
        <v>#REF!</v>
      </c>
      <c r="TCY247" s="29" t="e">
        <f t="shared" si="258"/>
        <v>#REF!</v>
      </c>
      <c r="TCZ247" s="29" t="e">
        <f t="shared" si="258"/>
        <v>#REF!</v>
      </c>
      <c r="TDA247" s="29" t="e">
        <f t="shared" si="258"/>
        <v>#REF!</v>
      </c>
      <c r="TDB247" s="29" t="e">
        <f t="shared" si="258"/>
        <v>#REF!</v>
      </c>
      <c r="TDC247" s="29" t="e">
        <f t="shared" si="258"/>
        <v>#REF!</v>
      </c>
      <c r="TDD247" s="29" t="e">
        <f t="shared" si="258"/>
        <v>#REF!</v>
      </c>
      <c r="TDE247" s="29" t="e">
        <f t="shared" si="258"/>
        <v>#REF!</v>
      </c>
      <c r="TDF247" s="29" t="e">
        <f t="shared" si="258"/>
        <v>#REF!</v>
      </c>
      <c r="TDG247" s="29" t="e">
        <f t="shared" si="258"/>
        <v>#REF!</v>
      </c>
      <c r="TDH247" s="29" t="e">
        <f t="shared" si="258"/>
        <v>#REF!</v>
      </c>
      <c r="TDI247" s="29" t="e">
        <f t="shared" si="258"/>
        <v>#REF!</v>
      </c>
      <c r="TDJ247" s="29" t="e">
        <f t="shared" si="258"/>
        <v>#REF!</v>
      </c>
      <c r="TDK247" s="29" t="e">
        <f t="shared" si="258"/>
        <v>#REF!</v>
      </c>
      <c r="TDL247" s="29" t="e">
        <f t="shared" si="258"/>
        <v>#REF!</v>
      </c>
      <c r="TDM247" s="29" t="e">
        <f t="shared" si="258"/>
        <v>#REF!</v>
      </c>
      <c r="TDN247" s="29" t="e">
        <f t="shared" si="258"/>
        <v>#REF!</v>
      </c>
      <c r="TDO247" s="29" t="e">
        <f t="shared" si="258"/>
        <v>#REF!</v>
      </c>
      <c r="TDP247" s="29" t="e">
        <f t="shared" si="258"/>
        <v>#REF!</v>
      </c>
      <c r="TDQ247" s="29" t="e">
        <f t="shared" si="258"/>
        <v>#REF!</v>
      </c>
      <c r="TDR247" s="29" t="e">
        <f t="shared" si="258"/>
        <v>#REF!</v>
      </c>
      <c r="TDS247" s="29" t="e">
        <f t="shared" si="258"/>
        <v>#REF!</v>
      </c>
      <c r="TDT247" s="29" t="e">
        <f t="shared" si="258"/>
        <v>#REF!</v>
      </c>
      <c r="TDU247" s="29" t="e">
        <f t="shared" si="258"/>
        <v>#REF!</v>
      </c>
      <c r="TDV247" s="29" t="e">
        <f t="shared" si="258"/>
        <v>#REF!</v>
      </c>
      <c r="TDW247" s="29" t="e">
        <f t="shared" si="258"/>
        <v>#REF!</v>
      </c>
      <c r="TDX247" s="29" t="e">
        <f t="shared" si="258"/>
        <v>#REF!</v>
      </c>
      <c r="TDY247" s="29" t="e">
        <f t="shared" ref="TDY247:TGJ247" si="259">TEC247&amp;TED247</f>
        <v>#REF!</v>
      </c>
      <c r="TDZ247" s="29" t="e">
        <f t="shared" si="259"/>
        <v>#REF!</v>
      </c>
      <c r="TEA247" s="29" t="e">
        <f t="shared" si="259"/>
        <v>#REF!</v>
      </c>
      <c r="TEB247" s="29" t="e">
        <f t="shared" si="259"/>
        <v>#REF!</v>
      </c>
      <c r="TEC247" s="29" t="e">
        <f t="shared" si="259"/>
        <v>#REF!</v>
      </c>
      <c r="TED247" s="29" t="e">
        <f t="shared" si="259"/>
        <v>#REF!</v>
      </c>
      <c r="TEE247" s="29" t="e">
        <f t="shared" si="259"/>
        <v>#REF!</v>
      </c>
      <c r="TEF247" s="29" t="e">
        <f t="shared" si="259"/>
        <v>#REF!</v>
      </c>
      <c r="TEG247" s="29" t="e">
        <f t="shared" si="259"/>
        <v>#REF!</v>
      </c>
      <c r="TEH247" s="29" t="e">
        <f t="shared" si="259"/>
        <v>#REF!</v>
      </c>
      <c r="TEI247" s="29" t="e">
        <f t="shared" si="259"/>
        <v>#REF!</v>
      </c>
      <c r="TEJ247" s="29" t="e">
        <f t="shared" si="259"/>
        <v>#REF!</v>
      </c>
      <c r="TEK247" s="29" t="e">
        <f t="shared" si="259"/>
        <v>#REF!</v>
      </c>
      <c r="TEL247" s="29" t="e">
        <f t="shared" si="259"/>
        <v>#REF!</v>
      </c>
      <c r="TEM247" s="29" t="e">
        <f t="shared" si="259"/>
        <v>#REF!</v>
      </c>
      <c r="TEN247" s="29" t="e">
        <f t="shared" si="259"/>
        <v>#REF!</v>
      </c>
      <c r="TEO247" s="29" t="e">
        <f t="shared" si="259"/>
        <v>#REF!</v>
      </c>
      <c r="TEP247" s="29" t="e">
        <f t="shared" si="259"/>
        <v>#REF!</v>
      </c>
      <c r="TEQ247" s="29" t="e">
        <f t="shared" si="259"/>
        <v>#REF!</v>
      </c>
      <c r="TER247" s="29" t="e">
        <f t="shared" si="259"/>
        <v>#REF!</v>
      </c>
      <c r="TES247" s="29" t="e">
        <f t="shared" si="259"/>
        <v>#REF!</v>
      </c>
      <c r="TET247" s="29" t="e">
        <f t="shared" si="259"/>
        <v>#REF!</v>
      </c>
      <c r="TEU247" s="29" t="e">
        <f t="shared" si="259"/>
        <v>#REF!</v>
      </c>
      <c r="TEV247" s="29" t="e">
        <f t="shared" si="259"/>
        <v>#REF!</v>
      </c>
      <c r="TEW247" s="29" t="e">
        <f t="shared" si="259"/>
        <v>#REF!</v>
      </c>
      <c r="TEX247" s="29" t="e">
        <f t="shared" si="259"/>
        <v>#REF!</v>
      </c>
      <c r="TEY247" s="29" t="e">
        <f t="shared" si="259"/>
        <v>#REF!</v>
      </c>
      <c r="TEZ247" s="29" t="e">
        <f t="shared" si="259"/>
        <v>#REF!</v>
      </c>
      <c r="TFA247" s="29" t="e">
        <f t="shared" si="259"/>
        <v>#REF!</v>
      </c>
      <c r="TFB247" s="29" t="e">
        <f t="shared" si="259"/>
        <v>#REF!</v>
      </c>
      <c r="TFC247" s="29" t="e">
        <f t="shared" si="259"/>
        <v>#REF!</v>
      </c>
      <c r="TFD247" s="29" t="e">
        <f t="shared" si="259"/>
        <v>#REF!</v>
      </c>
      <c r="TFE247" s="29" t="e">
        <f t="shared" si="259"/>
        <v>#REF!</v>
      </c>
      <c r="TFF247" s="29" t="e">
        <f t="shared" si="259"/>
        <v>#REF!</v>
      </c>
      <c r="TFG247" s="29" t="e">
        <f t="shared" si="259"/>
        <v>#REF!</v>
      </c>
      <c r="TFH247" s="29" t="e">
        <f t="shared" si="259"/>
        <v>#REF!</v>
      </c>
      <c r="TFI247" s="29" t="e">
        <f t="shared" si="259"/>
        <v>#REF!</v>
      </c>
      <c r="TFJ247" s="29" t="e">
        <f t="shared" si="259"/>
        <v>#REF!</v>
      </c>
      <c r="TFK247" s="29" t="e">
        <f t="shared" si="259"/>
        <v>#REF!</v>
      </c>
      <c r="TFL247" s="29" t="e">
        <f t="shared" si="259"/>
        <v>#REF!</v>
      </c>
      <c r="TFM247" s="29" t="e">
        <f t="shared" si="259"/>
        <v>#REF!</v>
      </c>
      <c r="TFN247" s="29" t="e">
        <f t="shared" si="259"/>
        <v>#REF!</v>
      </c>
      <c r="TFO247" s="29" t="e">
        <f t="shared" si="259"/>
        <v>#REF!</v>
      </c>
      <c r="TFP247" s="29" t="e">
        <f t="shared" si="259"/>
        <v>#REF!</v>
      </c>
      <c r="TFQ247" s="29" t="e">
        <f t="shared" si="259"/>
        <v>#REF!</v>
      </c>
      <c r="TFR247" s="29" t="e">
        <f t="shared" si="259"/>
        <v>#REF!</v>
      </c>
      <c r="TFS247" s="29" t="e">
        <f t="shared" si="259"/>
        <v>#REF!</v>
      </c>
      <c r="TFT247" s="29" t="e">
        <f t="shared" si="259"/>
        <v>#REF!</v>
      </c>
      <c r="TFU247" s="29" t="e">
        <f t="shared" si="259"/>
        <v>#REF!</v>
      </c>
      <c r="TFV247" s="29" t="e">
        <f t="shared" si="259"/>
        <v>#REF!</v>
      </c>
      <c r="TFW247" s="29" t="e">
        <f t="shared" si="259"/>
        <v>#REF!</v>
      </c>
      <c r="TFX247" s="29" t="e">
        <f t="shared" si="259"/>
        <v>#REF!</v>
      </c>
      <c r="TFY247" s="29" t="e">
        <f t="shared" si="259"/>
        <v>#REF!</v>
      </c>
      <c r="TFZ247" s="29" t="e">
        <f t="shared" si="259"/>
        <v>#REF!</v>
      </c>
      <c r="TGA247" s="29" t="e">
        <f t="shared" si="259"/>
        <v>#REF!</v>
      </c>
      <c r="TGB247" s="29" t="e">
        <f t="shared" si="259"/>
        <v>#REF!</v>
      </c>
      <c r="TGC247" s="29" t="e">
        <f t="shared" si="259"/>
        <v>#REF!</v>
      </c>
      <c r="TGD247" s="29" t="e">
        <f t="shared" si="259"/>
        <v>#REF!</v>
      </c>
      <c r="TGE247" s="29" t="e">
        <f t="shared" si="259"/>
        <v>#REF!</v>
      </c>
      <c r="TGF247" s="29" t="e">
        <f t="shared" si="259"/>
        <v>#REF!</v>
      </c>
      <c r="TGG247" s="29" t="e">
        <f t="shared" si="259"/>
        <v>#REF!</v>
      </c>
      <c r="TGH247" s="29" t="e">
        <f t="shared" si="259"/>
        <v>#REF!</v>
      </c>
      <c r="TGI247" s="29" t="e">
        <f t="shared" si="259"/>
        <v>#REF!</v>
      </c>
      <c r="TGJ247" s="29" t="e">
        <f t="shared" si="259"/>
        <v>#REF!</v>
      </c>
      <c r="TGK247" s="29" t="e">
        <f t="shared" ref="TGK247:TIV247" si="260">TGO247&amp;TGP247</f>
        <v>#REF!</v>
      </c>
      <c r="TGL247" s="29" t="e">
        <f t="shared" si="260"/>
        <v>#REF!</v>
      </c>
      <c r="TGM247" s="29" t="e">
        <f t="shared" si="260"/>
        <v>#REF!</v>
      </c>
      <c r="TGN247" s="29" t="e">
        <f t="shared" si="260"/>
        <v>#REF!</v>
      </c>
      <c r="TGO247" s="29" t="e">
        <f t="shared" si="260"/>
        <v>#REF!</v>
      </c>
      <c r="TGP247" s="29" t="e">
        <f t="shared" si="260"/>
        <v>#REF!</v>
      </c>
      <c r="TGQ247" s="29" t="e">
        <f t="shared" si="260"/>
        <v>#REF!</v>
      </c>
      <c r="TGR247" s="29" t="e">
        <f t="shared" si="260"/>
        <v>#REF!</v>
      </c>
      <c r="TGS247" s="29" t="e">
        <f t="shared" si="260"/>
        <v>#REF!</v>
      </c>
      <c r="TGT247" s="29" t="e">
        <f t="shared" si="260"/>
        <v>#REF!</v>
      </c>
      <c r="TGU247" s="29" t="e">
        <f t="shared" si="260"/>
        <v>#REF!</v>
      </c>
      <c r="TGV247" s="29" t="e">
        <f t="shared" si="260"/>
        <v>#REF!</v>
      </c>
      <c r="TGW247" s="29" t="e">
        <f t="shared" si="260"/>
        <v>#REF!</v>
      </c>
      <c r="TGX247" s="29" t="e">
        <f t="shared" si="260"/>
        <v>#REF!</v>
      </c>
      <c r="TGY247" s="29" t="e">
        <f t="shared" si="260"/>
        <v>#REF!</v>
      </c>
      <c r="TGZ247" s="29" t="e">
        <f t="shared" si="260"/>
        <v>#REF!</v>
      </c>
      <c r="THA247" s="29" t="e">
        <f t="shared" si="260"/>
        <v>#REF!</v>
      </c>
      <c r="THB247" s="29" t="e">
        <f t="shared" si="260"/>
        <v>#REF!</v>
      </c>
      <c r="THC247" s="29" t="e">
        <f t="shared" si="260"/>
        <v>#REF!</v>
      </c>
      <c r="THD247" s="29" t="e">
        <f t="shared" si="260"/>
        <v>#REF!</v>
      </c>
      <c r="THE247" s="29" t="e">
        <f t="shared" si="260"/>
        <v>#REF!</v>
      </c>
      <c r="THF247" s="29" t="e">
        <f t="shared" si="260"/>
        <v>#REF!</v>
      </c>
      <c r="THG247" s="29" t="e">
        <f t="shared" si="260"/>
        <v>#REF!</v>
      </c>
      <c r="THH247" s="29" t="e">
        <f t="shared" si="260"/>
        <v>#REF!</v>
      </c>
      <c r="THI247" s="29" t="e">
        <f t="shared" si="260"/>
        <v>#REF!</v>
      </c>
      <c r="THJ247" s="29" t="e">
        <f t="shared" si="260"/>
        <v>#REF!</v>
      </c>
      <c r="THK247" s="29" t="e">
        <f t="shared" si="260"/>
        <v>#REF!</v>
      </c>
      <c r="THL247" s="29" t="e">
        <f t="shared" si="260"/>
        <v>#REF!</v>
      </c>
      <c r="THM247" s="29" t="e">
        <f t="shared" si="260"/>
        <v>#REF!</v>
      </c>
      <c r="THN247" s="29" t="e">
        <f t="shared" si="260"/>
        <v>#REF!</v>
      </c>
      <c r="THO247" s="29" t="e">
        <f t="shared" si="260"/>
        <v>#REF!</v>
      </c>
      <c r="THP247" s="29" t="e">
        <f t="shared" si="260"/>
        <v>#REF!</v>
      </c>
      <c r="THQ247" s="29" t="e">
        <f t="shared" si="260"/>
        <v>#REF!</v>
      </c>
      <c r="THR247" s="29" t="e">
        <f t="shared" si="260"/>
        <v>#REF!</v>
      </c>
      <c r="THS247" s="29" t="e">
        <f t="shared" si="260"/>
        <v>#REF!</v>
      </c>
      <c r="THT247" s="29" t="e">
        <f t="shared" si="260"/>
        <v>#REF!</v>
      </c>
      <c r="THU247" s="29" t="e">
        <f t="shared" si="260"/>
        <v>#REF!</v>
      </c>
      <c r="THV247" s="29" t="e">
        <f t="shared" si="260"/>
        <v>#REF!</v>
      </c>
      <c r="THW247" s="29" t="e">
        <f t="shared" si="260"/>
        <v>#REF!</v>
      </c>
      <c r="THX247" s="29" t="e">
        <f t="shared" si="260"/>
        <v>#REF!</v>
      </c>
      <c r="THY247" s="29" t="e">
        <f t="shared" si="260"/>
        <v>#REF!</v>
      </c>
      <c r="THZ247" s="29" t="e">
        <f t="shared" si="260"/>
        <v>#REF!</v>
      </c>
      <c r="TIA247" s="29" t="e">
        <f t="shared" si="260"/>
        <v>#REF!</v>
      </c>
      <c r="TIB247" s="29" t="e">
        <f t="shared" si="260"/>
        <v>#REF!</v>
      </c>
      <c r="TIC247" s="29" t="e">
        <f t="shared" si="260"/>
        <v>#REF!</v>
      </c>
      <c r="TID247" s="29" t="e">
        <f t="shared" si="260"/>
        <v>#REF!</v>
      </c>
      <c r="TIE247" s="29" t="e">
        <f t="shared" si="260"/>
        <v>#REF!</v>
      </c>
      <c r="TIF247" s="29" t="e">
        <f t="shared" si="260"/>
        <v>#REF!</v>
      </c>
      <c r="TIG247" s="29" t="e">
        <f t="shared" si="260"/>
        <v>#REF!</v>
      </c>
      <c r="TIH247" s="29" t="e">
        <f t="shared" si="260"/>
        <v>#REF!</v>
      </c>
      <c r="TII247" s="29" t="e">
        <f t="shared" si="260"/>
        <v>#REF!</v>
      </c>
      <c r="TIJ247" s="29" t="e">
        <f t="shared" si="260"/>
        <v>#REF!</v>
      </c>
      <c r="TIK247" s="29" t="e">
        <f t="shared" si="260"/>
        <v>#REF!</v>
      </c>
      <c r="TIL247" s="29" t="e">
        <f t="shared" si="260"/>
        <v>#REF!</v>
      </c>
      <c r="TIM247" s="29" t="e">
        <f t="shared" si="260"/>
        <v>#REF!</v>
      </c>
      <c r="TIN247" s="29" t="e">
        <f t="shared" si="260"/>
        <v>#REF!</v>
      </c>
      <c r="TIO247" s="29" t="e">
        <f t="shared" si="260"/>
        <v>#REF!</v>
      </c>
      <c r="TIP247" s="29" t="e">
        <f t="shared" si="260"/>
        <v>#REF!</v>
      </c>
      <c r="TIQ247" s="29" t="e">
        <f t="shared" si="260"/>
        <v>#REF!</v>
      </c>
      <c r="TIR247" s="29" t="e">
        <f t="shared" si="260"/>
        <v>#REF!</v>
      </c>
      <c r="TIS247" s="29" t="e">
        <f t="shared" si="260"/>
        <v>#REF!</v>
      </c>
      <c r="TIT247" s="29" t="e">
        <f t="shared" si="260"/>
        <v>#REF!</v>
      </c>
      <c r="TIU247" s="29" t="e">
        <f t="shared" si="260"/>
        <v>#REF!</v>
      </c>
      <c r="TIV247" s="29" t="e">
        <f t="shared" si="260"/>
        <v>#REF!</v>
      </c>
      <c r="TIW247" s="29" t="e">
        <f t="shared" ref="TIW247:TLH247" si="261">TJA247&amp;TJB247</f>
        <v>#REF!</v>
      </c>
      <c r="TIX247" s="29" t="e">
        <f t="shared" si="261"/>
        <v>#REF!</v>
      </c>
      <c r="TIY247" s="29" t="e">
        <f t="shared" si="261"/>
        <v>#REF!</v>
      </c>
      <c r="TIZ247" s="29" t="e">
        <f t="shared" si="261"/>
        <v>#REF!</v>
      </c>
      <c r="TJA247" s="29" t="e">
        <f t="shared" si="261"/>
        <v>#REF!</v>
      </c>
      <c r="TJB247" s="29" t="e">
        <f t="shared" si="261"/>
        <v>#REF!</v>
      </c>
      <c r="TJC247" s="29" t="e">
        <f t="shared" si="261"/>
        <v>#REF!</v>
      </c>
      <c r="TJD247" s="29" t="e">
        <f t="shared" si="261"/>
        <v>#REF!</v>
      </c>
      <c r="TJE247" s="29" t="e">
        <f t="shared" si="261"/>
        <v>#REF!</v>
      </c>
      <c r="TJF247" s="29" t="e">
        <f t="shared" si="261"/>
        <v>#REF!</v>
      </c>
      <c r="TJG247" s="29" t="e">
        <f t="shared" si="261"/>
        <v>#REF!</v>
      </c>
      <c r="TJH247" s="29" t="e">
        <f t="shared" si="261"/>
        <v>#REF!</v>
      </c>
      <c r="TJI247" s="29" t="e">
        <f t="shared" si="261"/>
        <v>#REF!</v>
      </c>
      <c r="TJJ247" s="29" t="e">
        <f t="shared" si="261"/>
        <v>#REF!</v>
      </c>
      <c r="TJK247" s="29" t="e">
        <f t="shared" si="261"/>
        <v>#REF!</v>
      </c>
      <c r="TJL247" s="29" t="e">
        <f t="shared" si="261"/>
        <v>#REF!</v>
      </c>
      <c r="TJM247" s="29" t="e">
        <f t="shared" si="261"/>
        <v>#REF!</v>
      </c>
      <c r="TJN247" s="29" t="e">
        <f t="shared" si="261"/>
        <v>#REF!</v>
      </c>
      <c r="TJO247" s="29" t="e">
        <f t="shared" si="261"/>
        <v>#REF!</v>
      </c>
      <c r="TJP247" s="29" t="e">
        <f t="shared" si="261"/>
        <v>#REF!</v>
      </c>
      <c r="TJQ247" s="29" t="e">
        <f t="shared" si="261"/>
        <v>#REF!</v>
      </c>
      <c r="TJR247" s="29" t="e">
        <f t="shared" si="261"/>
        <v>#REF!</v>
      </c>
      <c r="TJS247" s="29" t="e">
        <f t="shared" si="261"/>
        <v>#REF!</v>
      </c>
      <c r="TJT247" s="29" t="e">
        <f t="shared" si="261"/>
        <v>#REF!</v>
      </c>
      <c r="TJU247" s="29" t="e">
        <f t="shared" si="261"/>
        <v>#REF!</v>
      </c>
      <c r="TJV247" s="29" t="e">
        <f t="shared" si="261"/>
        <v>#REF!</v>
      </c>
      <c r="TJW247" s="29" t="e">
        <f t="shared" si="261"/>
        <v>#REF!</v>
      </c>
      <c r="TJX247" s="29" t="e">
        <f t="shared" si="261"/>
        <v>#REF!</v>
      </c>
      <c r="TJY247" s="29" t="e">
        <f t="shared" si="261"/>
        <v>#REF!</v>
      </c>
      <c r="TJZ247" s="29" t="e">
        <f t="shared" si="261"/>
        <v>#REF!</v>
      </c>
      <c r="TKA247" s="29" t="e">
        <f t="shared" si="261"/>
        <v>#REF!</v>
      </c>
      <c r="TKB247" s="29" t="e">
        <f t="shared" si="261"/>
        <v>#REF!</v>
      </c>
      <c r="TKC247" s="29" t="e">
        <f t="shared" si="261"/>
        <v>#REF!</v>
      </c>
      <c r="TKD247" s="29" t="e">
        <f t="shared" si="261"/>
        <v>#REF!</v>
      </c>
      <c r="TKE247" s="29" t="e">
        <f t="shared" si="261"/>
        <v>#REF!</v>
      </c>
      <c r="TKF247" s="29" t="e">
        <f t="shared" si="261"/>
        <v>#REF!</v>
      </c>
      <c r="TKG247" s="29" t="e">
        <f t="shared" si="261"/>
        <v>#REF!</v>
      </c>
      <c r="TKH247" s="29" t="e">
        <f t="shared" si="261"/>
        <v>#REF!</v>
      </c>
      <c r="TKI247" s="29" t="e">
        <f t="shared" si="261"/>
        <v>#REF!</v>
      </c>
      <c r="TKJ247" s="29" t="e">
        <f t="shared" si="261"/>
        <v>#REF!</v>
      </c>
      <c r="TKK247" s="29" t="e">
        <f t="shared" si="261"/>
        <v>#REF!</v>
      </c>
      <c r="TKL247" s="29" t="e">
        <f t="shared" si="261"/>
        <v>#REF!</v>
      </c>
      <c r="TKM247" s="29" t="e">
        <f t="shared" si="261"/>
        <v>#REF!</v>
      </c>
      <c r="TKN247" s="29" t="e">
        <f t="shared" si="261"/>
        <v>#REF!</v>
      </c>
      <c r="TKO247" s="29" t="e">
        <f t="shared" si="261"/>
        <v>#REF!</v>
      </c>
      <c r="TKP247" s="29" t="e">
        <f t="shared" si="261"/>
        <v>#REF!</v>
      </c>
      <c r="TKQ247" s="29" t="e">
        <f t="shared" si="261"/>
        <v>#REF!</v>
      </c>
      <c r="TKR247" s="29" t="e">
        <f t="shared" si="261"/>
        <v>#REF!</v>
      </c>
      <c r="TKS247" s="29" t="e">
        <f t="shared" si="261"/>
        <v>#REF!</v>
      </c>
      <c r="TKT247" s="29" t="e">
        <f t="shared" si="261"/>
        <v>#REF!</v>
      </c>
      <c r="TKU247" s="29" t="e">
        <f t="shared" si="261"/>
        <v>#REF!</v>
      </c>
      <c r="TKV247" s="29" t="e">
        <f t="shared" si="261"/>
        <v>#REF!</v>
      </c>
      <c r="TKW247" s="29" t="e">
        <f t="shared" si="261"/>
        <v>#REF!</v>
      </c>
      <c r="TKX247" s="29" t="e">
        <f t="shared" si="261"/>
        <v>#REF!</v>
      </c>
      <c r="TKY247" s="29" t="e">
        <f t="shared" si="261"/>
        <v>#REF!</v>
      </c>
      <c r="TKZ247" s="29" t="e">
        <f t="shared" si="261"/>
        <v>#REF!</v>
      </c>
      <c r="TLA247" s="29" t="e">
        <f t="shared" si="261"/>
        <v>#REF!</v>
      </c>
      <c r="TLB247" s="29" t="e">
        <f t="shared" si="261"/>
        <v>#REF!</v>
      </c>
      <c r="TLC247" s="29" t="e">
        <f t="shared" si="261"/>
        <v>#REF!</v>
      </c>
      <c r="TLD247" s="29" t="e">
        <f t="shared" si="261"/>
        <v>#REF!</v>
      </c>
      <c r="TLE247" s="29" t="e">
        <f t="shared" si="261"/>
        <v>#REF!</v>
      </c>
      <c r="TLF247" s="29" t="e">
        <f t="shared" si="261"/>
        <v>#REF!</v>
      </c>
      <c r="TLG247" s="29" t="e">
        <f t="shared" si="261"/>
        <v>#REF!</v>
      </c>
      <c r="TLH247" s="29" t="e">
        <f t="shared" si="261"/>
        <v>#REF!</v>
      </c>
      <c r="TLI247" s="29" t="e">
        <f t="shared" ref="TLI247:TNT247" si="262">TLM247&amp;TLN247</f>
        <v>#REF!</v>
      </c>
      <c r="TLJ247" s="29" t="e">
        <f t="shared" si="262"/>
        <v>#REF!</v>
      </c>
      <c r="TLK247" s="29" t="e">
        <f t="shared" si="262"/>
        <v>#REF!</v>
      </c>
      <c r="TLL247" s="29" t="e">
        <f t="shared" si="262"/>
        <v>#REF!</v>
      </c>
      <c r="TLM247" s="29" t="e">
        <f t="shared" si="262"/>
        <v>#REF!</v>
      </c>
      <c r="TLN247" s="29" t="e">
        <f t="shared" si="262"/>
        <v>#REF!</v>
      </c>
      <c r="TLO247" s="29" t="e">
        <f t="shared" si="262"/>
        <v>#REF!</v>
      </c>
      <c r="TLP247" s="29" t="e">
        <f t="shared" si="262"/>
        <v>#REF!</v>
      </c>
      <c r="TLQ247" s="29" t="e">
        <f t="shared" si="262"/>
        <v>#REF!</v>
      </c>
      <c r="TLR247" s="29" t="e">
        <f t="shared" si="262"/>
        <v>#REF!</v>
      </c>
      <c r="TLS247" s="29" t="e">
        <f t="shared" si="262"/>
        <v>#REF!</v>
      </c>
      <c r="TLT247" s="29" t="e">
        <f t="shared" si="262"/>
        <v>#REF!</v>
      </c>
      <c r="TLU247" s="29" t="e">
        <f t="shared" si="262"/>
        <v>#REF!</v>
      </c>
      <c r="TLV247" s="29" t="e">
        <f t="shared" si="262"/>
        <v>#REF!</v>
      </c>
      <c r="TLW247" s="29" t="e">
        <f t="shared" si="262"/>
        <v>#REF!</v>
      </c>
      <c r="TLX247" s="29" t="e">
        <f t="shared" si="262"/>
        <v>#REF!</v>
      </c>
      <c r="TLY247" s="29" t="e">
        <f t="shared" si="262"/>
        <v>#REF!</v>
      </c>
      <c r="TLZ247" s="29" t="e">
        <f t="shared" si="262"/>
        <v>#REF!</v>
      </c>
      <c r="TMA247" s="29" t="e">
        <f t="shared" si="262"/>
        <v>#REF!</v>
      </c>
      <c r="TMB247" s="29" t="e">
        <f t="shared" si="262"/>
        <v>#REF!</v>
      </c>
      <c r="TMC247" s="29" t="e">
        <f t="shared" si="262"/>
        <v>#REF!</v>
      </c>
      <c r="TMD247" s="29" t="e">
        <f t="shared" si="262"/>
        <v>#REF!</v>
      </c>
      <c r="TME247" s="29" t="e">
        <f t="shared" si="262"/>
        <v>#REF!</v>
      </c>
      <c r="TMF247" s="29" t="e">
        <f t="shared" si="262"/>
        <v>#REF!</v>
      </c>
      <c r="TMG247" s="29" t="e">
        <f t="shared" si="262"/>
        <v>#REF!</v>
      </c>
      <c r="TMH247" s="29" t="e">
        <f t="shared" si="262"/>
        <v>#REF!</v>
      </c>
      <c r="TMI247" s="29" t="e">
        <f t="shared" si="262"/>
        <v>#REF!</v>
      </c>
      <c r="TMJ247" s="29" t="e">
        <f t="shared" si="262"/>
        <v>#REF!</v>
      </c>
      <c r="TMK247" s="29" t="e">
        <f t="shared" si="262"/>
        <v>#REF!</v>
      </c>
      <c r="TML247" s="29" t="e">
        <f t="shared" si="262"/>
        <v>#REF!</v>
      </c>
      <c r="TMM247" s="29" t="e">
        <f t="shared" si="262"/>
        <v>#REF!</v>
      </c>
      <c r="TMN247" s="29" t="e">
        <f t="shared" si="262"/>
        <v>#REF!</v>
      </c>
      <c r="TMO247" s="29" t="e">
        <f t="shared" si="262"/>
        <v>#REF!</v>
      </c>
      <c r="TMP247" s="29" t="e">
        <f t="shared" si="262"/>
        <v>#REF!</v>
      </c>
      <c r="TMQ247" s="29" t="e">
        <f t="shared" si="262"/>
        <v>#REF!</v>
      </c>
      <c r="TMR247" s="29" t="e">
        <f t="shared" si="262"/>
        <v>#REF!</v>
      </c>
      <c r="TMS247" s="29" t="e">
        <f t="shared" si="262"/>
        <v>#REF!</v>
      </c>
      <c r="TMT247" s="29" t="e">
        <f t="shared" si="262"/>
        <v>#REF!</v>
      </c>
      <c r="TMU247" s="29" t="e">
        <f t="shared" si="262"/>
        <v>#REF!</v>
      </c>
      <c r="TMV247" s="29" t="e">
        <f t="shared" si="262"/>
        <v>#REF!</v>
      </c>
      <c r="TMW247" s="29" t="e">
        <f t="shared" si="262"/>
        <v>#REF!</v>
      </c>
      <c r="TMX247" s="29" t="e">
        <f t="shared" si="262"/>
        <v>#REF!</v>
      </c>
      <c r="TMY247" s="29" t="e">
        <f t="shared" si="262"/>
        <v>#REF!</v>
      </c>
      <c r="TMZ247" s="29" t="e">
        <f t="shared" si="262"/>
        <v>#REF!</v>
      </c>
      <c r="TNA247" s="29" t="e">
        <f t="shared" si="262"/>
        <v>#REF!</v>
      </c>
      <c r="TNB247" s="29" t="e">
        <f t="shared" si="262"/>
        <v>#REF!</v>
      </c>
      <c r="TNC247" s="29" t="e">
        <f t="shared" si="262"/>
        <v>#REF!</v>
      </c>
      <c r="TND247" s="29" t="e">
        <f t="shared" si="262"/>
        <v>#REF!</v>
      </c>
      <c r="TNE247" s="29" t="e">
        <f t="shared" si="262"/>
        <v>#REF!</v>
      </c>
      <c r="TNF247" s="29" t="e">
        <f t="shared" si="262"/>
        <v>#REF!</v>
      </c>
      <c r="TNG247" s="29" t="e">
        <f t="shared" si="262"/>
        <v>#REF!</v>
      </c>
      <c r="TNH247" s="29" t="e">
        <f t="shared" si="262"/>
        <v>#REF!</v>
      </c>
      <c r="TNI247" s="29" t="e">
        <f t="shared" si="262"/>
        <v>#REF!</v>
      </c>
      <c r="TNJ247" s="29" t="e">
        <f t="shared" si="262"/>
        <v>#REF!</v>
      </c>
      <c r="TNK247" s="29" t="e">
        <f t="shared" si="262"/>
        <v>#REF!</v>
      </c>
      <c r="TNL247" s="29" t="e">
        <f t="shared" si="262"/>
        <v>#REF!</v>
      </c>
      <c r="TNM247" s="29" t="e">
        <f t="shared" si="262"/>
        <v>#REF!</v>
      </c>
      <c r="TNN247" s="29" t="e">
        <f t="shared" si="262"/>
        <v>#REF!</v>
      </c>
      <c r="TNO247" s="29" t="e">
        <f t="shared" si="262"/>
        <v>#REF!</v>
      </c>
      <c r="TNP247" s="29" t="e">
        <f t="shared" si="262"/>
        <v>#REF!</v>
      </c>
      <c r="TNQ247" s="29" t="e">
        <f t="shared" si="262"/>
        <v>#REF!</v>
      </c>
      <c r="TNR247" s="29" t="e">
        <f t="shared" si="262"/>
        <v>#REF!</v>
      </c>
      <c r="TNS247" s="29" t="e">
        <f t="shared" si="262"/>
        <v>#REF!</v>
      </c>
      <c r="TNT247" s="29" t="e">
        <f t="shared" si="262"/>
        <v>#REF!</v>
      </c>
      <c r="TNU247" s="29" t="e">
        <f t="shared" ref="TNU247:TQF247" si="263">TNY247&amp;TNZ247</f>
        <v>#REF!</v>
      </c>
      <c r="TNV247" s="29" t="e">
        <f t="shared" si="263"/>
        <v>#REF!</v>
      </c>
      <c r="TNW247" s="29" t="e">
        <f t="shared" si="263"/>
        <v>#REF!</v>
      </c>
      <c r="TNX247" s="29" t="e">
        <f t="shared" si="263"/>
        <v>#REF!</v>
      </c>
      <c r="TNY247" s="29" t="e">
        <f t="shared" si="263"/>
        <v>#REF!</v>
      </c>
      <c r="TNZ247" s="29" t="e">
        <f t="shared" si="263"/>
        <v>#REF!</v>
      </c>
      <c r="TOA247" s="29" t="e">
        <f t="shared" si="263"/>
        <v>#REF!</v>
      </c>
      <c r="TOB247" s="29" t="e">
        <f t="shared" si="263"/>
        <v>#REF!</v>
      </c>
      <c r="TOC247" s="29" t="e">
        <f t="shared" si="263"/>
        <v>#REF!</v>
      </c>
      <c r="TOD247" s="29" t="e">
        <f t="shared" si="263"/>
        <v>#REF!</v>
      </c>
      <c r="TOE247" s="29" t="e">
        <f t="shared" si="263"/>
        <v>#REF!</v>
      </c>
      <c r="TOF247" s="29" t="e">
        <f t="shared" si="263"/>
        <v>#REF!</v>
      </c>
      <c r="TOG247" s="29" t="e">
        <f t="shared" si="263"/>
        <v>#REF!</v>
      </c>
      <c r="TOH247" s="29" t="e">
        <f t="shared" si="263"/>
        <v>#REF!</v>
      </c>
      <c r="TOI247" s="29" t="e">
        <f t="shared" si="263"/>
        <v>#REF!</v>
      </c>
      <c r="TOJ247" s="29" t="e">
        <f t="shared" si="263"/>
        <v>#REF!</v>
      </c>
      <c r="TOK247" s="29" t="e">
        <f t="shared" si="263"/>
        <v>#REF!</v>
      </c>
      <c r="TOL247" s="29" t="e">
        <f t="shared" si="263"/>
        <v>#REF!</v>
      </c>
      <c r="TOM247" s="29" t="e">
        <f t="shared" si="263"/>
        <v>#REF!</v>
      </c>
      <c r="TON247" s="29" t="e">
        <f t="shared" si="263"/>
        <v>#REF!</v>
      </c>
      <c r="TOO247" s="29" t="e">
        <f t="shared" si="263"/>
        <v>#REF!</v>
      </c>
      <c r="TOP247" s="29" t="e">
        <f t="shared" si="263"/>
        <v>#REF!</v>
      </c>
      <c r="TOQ247" s="29" t="e">
        <f t="shared" si="263"/>
        <v>#REF!</v>
      </c>
      <c r="TOR247" s="29" t="e">
        <f t="shared" si="263"/>
        <v>#REF!</v>
      </c>
      <c r="TOS247" s="29" t="e">
        <f t="shared" si="263"/>
        <v>#REF!</v>
      </c>
      <c r="TOT247" s="29" t="e">
        <f t="shared" si="263"/>
        <v>#REF!</v>
      </c>
      <c r="TOU247" s="29" t="e">
        <f t="shared" si="263"/>
        <v>#REF!</v>
      </c>
      <c r="TOV247" s="29" t="e">
        <f t="shared" si="263"/>
        <v>#REF!</v>
      </c>
      <c r="TOW247" s="29" t="e">
        <f t="shared" si="263"/>
        <v>#REF!</v>
      </c>
      <c r="TOX247" s="29" t="e">
        <f t="shared" si="263"/>
        <v>#REF!</v>
      </c>
      <c r="TOY247" s="29" t="e">
        <f t="shared" si="263"/>
        <v>#REF!</v>
      </c>
      <c r="TOZ247" s="29" t="e">
        <f t="shared" si="263"/>
        <v>#REF!</v>
      </c>
      <c r="TPA247" s="29" t="e">
        <f t="shared" si="263"/>
        <v>#REF!</v>
      </c>
      <c r="TPB247" s="29" t="e">
        <f t="shared" si="263"/>
        <v>#REF!</v>
      </c>
      <c r="TPC247" s="29" t="e">
        <f t="shared" si="263"/>
        <v>#REF!</v>
      </c>
      <c r="TPD247" s="29" t="e">
        <f t="shared" si="263"/>
        <v>#REF!</v>
      </c>
      <c r="TPE247" s="29" t="e">
        <f t="shared" si="263"/>
        <v>#REF!</v>
      </c>
      <c r="TPF247" s="29" t="e">
        <f t="shared" si="263"/>
        <v>#REF!</v>
      </c>
      <c r="TPG247" s="29" t="e">
        <f t="shared" si="263"/>
        <v>#REF!</v>
      </c>
      <c r="TPH247" s="29" t="e">
        <f t="shared" si="263"/>
        <v>#REF!</v>
      </c>
      <c r="TPI247" s="29" t="e">
        <f t="shared" si="263"/>
        <v>#REF!</v>
      </c>
      <c r="TPJ247" s="29" t="e">
        <f t="shared" si="263"/>
        <v>#REF!</v>
      </c>
      <c r="TPK247" s="29" t="e">
        <f t="shared" si="263"/>
        <v>#REF!</v>
      </c>
      <c r="TPL247" s="29" t="e">
        <f t="shared" si="263"/>
        <v>#REF!</v>
      </c>
      <c r="TPM247" s="29" t="e">
        <f t="shared" si="263"/>
        <v>#REF!</v>
      </c>
      <c r="TPN247" s="29" t="e">
        <f t="shared" si="263"/>
        <v>#REF!</v>
      </c>
      <c r="TPO247" s="29" t="e">
        <f t="shared" si="263"/>
        <v>#REF!</v>
      </c>
      <c r="TPP247" s="29" t="e">
        <f t="shared" si="263"/>
        <v>#REF!</v>
      </c>
      <c r="TPQ247" s="29" t="e">
        <f t="shared" si="263"/>
        <v>#REF!</v>
      </c>
      <c r="TPR247" s="29" t="e">
        <f t="shared" si="263"/>
        <v>#REF!</v>
      </c>
      <c r="TPS247" s="29" t="e">
        <f t="shared" si="263"/>
        <v>#REF!</v>
      </c>
      <c r="TPT247" s="29" t="e">
        <f t="shared" si="263"/>
        <v>#REF!</v>
      </c>
      <c r="TPU247" s="29" t="e">
        <f t="shared" si="263"/>
        <v>#REF!</v>
      </c>
      <c r="TPV247" s="29" t="e">
        <f t="shared" si="263"/>
        <v>#REF!</v>
      </c>
      <c r="TPW247" s="29" t="e">
        <f t="shared" si="263"/>
        <v>#REF!</v>
      </c>
      <c r="TPX247" s="29" t="e">
        <f t="shared" si="263"/>
        <v>#REF!</v>
      </c>
      <c r="TPY247" s="29" t="e">
        <f t="shared" si="263"/>
        <v>#REF!</v>
      </c>
      <c r="TPZ247" s="29" t="e">
        <f t="shared" si="263"/>
        <v>#REF!</v>
      </c>
      <c r="TQA247" s="29" t="e">
        <f t="shared" si="263"/>
        <v>#REF!</v>
      </c>
      <c r="TQB247" s="29" t="e">
        <f t="shared" si="263"/>
        <v>#REF!</v>
      </c>
      <c r="TQC247" s="29" t="e">
        <f t="shared" si="263"/>
        <v>#REF!</v>
      </c>
      <c r="TQD247" s="29" t="e">
        <f t="shared" si="263"/>
        <v>#REF!</v>
      </c>
      <c r="TQE247" s="29" t="e">
        <f t="shared" si="263"/>
        <v>#REF!</v>
      </c>
      <c r="TQF247" s="29" t="e">
        <f t="shared" si="263"/>
        <v>#REF!</v>
      </c>
      <c r="TQG247" s="29" t="e">
        <f t="shared" ref="TQG247:TSR247" si="264">TQK247&amp;TQL247</f>
        <v>#REF!</v>
      </c>
      <c r="TQH247" s="29" t="e">
        <f t="shared" si="264"/>
        <v>#REF!</v>
      </c>
      <c r="TQI247" s="29" t="e">
        <f t="shared" si="264"/>
        <v>#REF!</v>
      </c>
      <c r="TQJ247" s="29" t="e">
        <f t="shared" si="264"/>
        <v>#REF!</v>
      </c>
      <c r="TQK247" s="29" t="e">
        <f t="shared" si="264"/>
        <v>#REF!</v>
      </c>
      <c r="TQL247" s="29" t="e">
        <f t="shared" si="264"/>
        <v>#REF!</v>
      </c>
      <c r="TQM247" s="29" t="e">
        <f t="shared" si="264"/>
        <v>#REF!</v>
      </c>
      <c r="TQN247" s="29" t="e">
        <f t="shared" si="264"/>
        <v>#REF!</v>
      </c>
      <c r="TQO247" s="29" t="e">
        <f t="shared" si="264"/>
        <v>#REF!</v>
      </c>
      <c r="TQP247" s="29" t="e">
        <f t="shared" si="264"/>
        <v>#REF!</v>
      </c>
      <c r="TQQ247" s="29" t="e">
        <f t="shared" si="264"/>
        <v>#REF!</v>
      </c>
      <c r="TQR247" s="29" t="e">
        <f t="shared" si="264"/>
        <v>#REF!</v>
      </c>
      <c r="TQS247" s="29" t="e">
        <f t="shared" si="264"/>
        <v>#REF!</v>
      </c>
      <c r="TQT247" s="29" t="e">
        <f t="shared" si="264"/>
        <v>#REF!</v>
      </c>
      <c r="TQU247" s="29" t="e">
        <f t="shared" si="264"/>
        <v>#REF!</v>
      </c>
      <c r="TQV247" s="29" t="e">
        <f t="shared" si="264"/>
        <v>#REF!</v>
      </c>
      <c r="TQW247" s="29" t="e">
        <f t="shared" si="264"/>
        <v>#REF!</v>
      </c>
      <c r="TQX247" s="29" t="e">
        <f t="shared" si="264"/>
        <v>#REF!</v>
      </c>
      <c r="TQY247" s="29" t="e">
        <f t="shared" si="264"/>
        <v>#REF!</v>
      </c>
      <c r="TQZ247" s="29" t="e">
        <f t="shared" si="264"/>
        <v>#REF!</v>
      </c>
      <c r="TRA247" s="29" t="e">
        <f t="shared" si="264"/>
        <v>#REF!</v>
      </c>
      <c r="TRB247" s="29" t="e">
        <f t="shared" si="264"/>
        <v>#REF!</v>
      </c>
      <c r="TRC247" s="29" t="e">
        <f t="shared" si="264"/>
        <v>#REF!</v>
      </c>
      <c r="TRD247" s="29" t="e">
        <f t="shared" si="264"/>
        <v>#REF!</v>
      </c>
      <c r="TRE247" s="29" t="e">
        <f t="shared" si="264"/>
        <v>#REF!</v>
      </c>
      <c r="TRF247" s="29" t="e">
        <f t="shared" si="264"/>
        <v>#REF!</v>
      </c>
      <c r="TRG247" s="29" t="e">
        <f t="shared" si="264"/>
        <v>#REF!</v>
      </c>
      <c r="TRH247" s="29" t="e">
        <f t="shared" si="264"/>
        <v>#REF!</v>
      </c>
      <c r="TRI247" s="29" t="e">
        <f t="shared" si="264"/>
        <v>#REF!</v>
      </c>
      <c r="TRJ247" s="29" t="e">
        <f t="shared" si="264"/>
        <v>#REF!</v>
      </c>
      <c r="TRK247" s="29" t="e">
        <f t="shared" si="264"/>
        <v>#REF!</v>
      </c>
      <c r="TRL247" s="29" t="e">
        <f t="shared" si="264"/>
        <v>#REF!</v>
      </c>
      <c r="TRM247" s="29" t="e">
        <f t="shared" si="264"/>
        <v>#REF!</v>
      </c>
      <c r="TRN247" s="29" t="e">
        <f t="shared" si="264"/>
        <v>#REF!</v>
      </c>
      <c r="TRO247" s="29" t="e">
        <f t="shared" si="264"/>
        <v>#REF!</v>
      </c>
      <c r="TRP247" s="29" t="e">
        <f t="shared" si="264"/>
        <v>#REF!</v>
      </c>
      <c r="TRQ247" s="29" t="e">
        <f t="shared" si="264"/>
        <v>#REF!</v>
      </c>
      <c r="TRR247" s="29" t="e">
        <f t="shared" si="264"/>
        <v>#REF!</v>
      </c>
      <c r="TRS247" s="29" t="e">
        <f t="shared" si="264"/>
        <v>#REF!</v>
      </c>
      <c r="TRT247" s="29" t="e">
        <f t="shared" si="264"/>
        <v>#REF!</v>
      </c>
      <c r="TRU247" s="29" t="e">
        <f t="shared" si="264"/>
        <v>#REF!</v>
      </c>
      <c r="TRV247" s="29" t="e">
        <f t="shared" si="264"/>
        <v>#REF!</v>
      </c>
      <c r="TRW247" s="29" t="e">
        <f t="shared" si="264"/>
        <v>#REF!</v>
      </c>
      <c r="TRX247" s="29" t="e">
        <f t="shared" si="264"/>
        <v>#REF!</v>
      </c>
      <c r="TRY247" s="29" t="e">
        <f t="shared" si="264"/>
        <v>#REF!</v>
      </c>
      <c r="TRZ247" s="29" t="e">
        <f t="shared" si="264"/>
        <v>#REF!</v>
      </c>
      <c r="TSA247" s="29" t="e">
        <f t="shared" si="264"/>
        <v>#REF!</v>
      </c>
      <c r="TSB247" s="29" t="e">
        <f t="shared" si="264"/>
        <v>#REF!</v>
      </c>
      <c r="TSC247" s="29" t="e">
        <f t="shared" si="264"/>
        <v>#REF!</v>
      </c>
      <c r="TSD247" s="29" t="e">
        <f t="shared" si="264"/>
        <v>#REF!</v>
      </c>
      <c r="TSE247" s="29" t="e">
        <f t="shared" si="264"/>
        <v>#REF!</v>
      </c>
      <c r="TSF247" s="29" t="e">
        <f t="shared" si="264"/>
        <v>#REF!</v>
      </c>
      <c r="TSG247" s="29" t="e">
        <f t="shared" si="264"/>
        <v>#REF!</v>
      </c>
      <c r="TSH247" s="29" t="e">
        <f t="shared" si="264"/>
        <v>#REF!</v>
      </c>
      <c r="TSI247" s="29" t="e">
        <f t="shared" si="264"/>
        <v>#REF!</v>
      </c>
      <c r="TSJ247" s="29" t="e">
        <f t="shared" si="264"/>
        <v>#REF!</v>
      </c>
      <c r="TSK247" s="29" t="e">
        <f t="shared" si="264"/>
        <v>#REF!</v>
      </c>
      <c r="TSL247" s="29" t="e">
        <f t="shared" si="264"/>
        <v>#REF!</v>
      </c>
      <c r="TSM247" s="29" t="e">
        <f t="shared" si="264"/>
        <v>#REF!</v>
      </c>
      <c r="TSN247" s="29" t="e">
        <f t="shared" si="264"/>
        <v>#REF!</v>
      </c>
      <c r="TSO247" s="29" t="e">
        <f t="shared" si="264"/>
        <v>#REF!</v>
      </c>
      <c r="TSP247" s="29" t="e">
        <f t="shared" si="264"/>
        <v>#REF!</v>
      </c>
      <c r="TSQ247" s="29" t="e">
        <f t="shared" si="264"/>
        <v>#REF!</v>
      </c>
      <c r="TSR247" s="29" t="e">
        <f t="shared" si="264"/>
        <v>#REF!</v>
      </c>
      <c r="TSS247" s="29" t="e">
        <f t="shared" ref="TSS247:TVD247" si="265">TSW247&amp;TSX247</f>
        <v>#REF!</v>
      </c>
      <c r="TST247" s="29" t="e">
        <f t="shared" si="265"/>
        <v>#REF!</v>
      </c>
      <c r="TSU247" s="29" t="e">
        <f t="shared" si="265"/>
        <v>#REF!</v>
      </c>
      <c r="TSV247" s="29" t="e">
        <f t="shared" si="265"/>
        <v>#REF!</v>
      </c>
      <c r="TSW247" s="29" t="e">
        <f t="shared" si="265"/>
        <v>#REF!</v>
      </c>
      <c r="TSX247" s="29" t="e">
        <f t="shared" si="265"/>
        <v>#REF!</v>
      </c>
      <c r="TSY247" s="29" t="e">
        <f t="shared" si="265"/>
        <v>#REF!</v>
      </c>
      <c r="TSZ247" s="29" t="e">
        <f t="shared" si="265"/>
        <v>#REF!</v>
      </c>
      <c r="TTA247" s="29" t="e">
        <f t="shared" si="265"/>
        <v>#REF!</v>
      </c>
      <c r="TTB247" s="29" t="e">
        <f t="shared" si="265"/>
        <v>#REF!</v>
      </c>
      <c r="TTC247" s="29" t="e">
        <f t="shared" si="265"/>
        <v>#REF!</v>
      </c>
      <c r="TTD247" s="29" t="e">
        <f t="shared" si="265"/>
        <v>#REF!</v>
      </c>
      <c r="TTE247" s="29" t="e">
        <f t="shared" si="265"/>
        <v>#REF!</v>
      </c>
      <c r="TTF247" s="29" t="e">
        <f t="shared" si="265"/>
        <v>#REF!</v>
      </c>
      <c r="TTG247" s="29" t="e">
        <f t="shared" si="265"/>
        <v>#REF!</v>
      </c>
      <c r="TTH247" s="29" t="e">
        <f t="shared" si="265"/>
        <v>#REF!</v>
      </c>
      <c r="TTI247" s="29" t="e">
        <f t="shared" si="265"/>
        <v>#REF!</v>
      </c>
      <c r="TTJ247" s="29" t="e">
        <f t="shared" si="265"/>
        <v>#REF!</v>
      </c>
      <c r="TTK247" s="29" t="e">
        <f t="shared" si="265"/>
        <v>#REF!</v>
      </c>
      <c r="TTL247" s="29" t="e">
        <f t="shared" si="265"/>
        <v>#REF!</v>
      </c>
      <c r="TTM247" s="29" t="e">
        <f t="shared" si="265"/>
        <v>#REF!</v>
      </c>
      <c r="TTN247" s="29" t="e">
        <f t="shared" si="265"/>
        <v>#REF!</v>
      </c>
      <c r="TTO247" s="29" t="e">
        <f t="shared" si="265"/>
        <v>#REF!</v>
      </c>
      <c r="TTP247" s="29" t="e">
        <f t="shared" si="265"/>
        <v>#REF!</v>
      </c>
      <c r="TTQ247" s="29" t="e">
        <f t="shared" si="265"/>
        <v>#REF!</v>
      </c>
      <c r="TTR247" s="29" t="e">
        <f t="shared" si="265"/>
        <v>#REF!</v>
      </c>
      <c r="TTS247" s="29" t="e">
        <f t="shared" si="265"/>
        <v>#REF!</v>
      </c>
      <c r="TTT247" s="29" t="e">
        <f t="shared" si="265"/>
        <v>#REF!</v>
      </c>
      <c r="TTU247" s="29" t="e">
        <f t="shared" si="265"/>
        <v>#REF!</v>
      </c>
      <c r="TTV247" s="29" t="e">
        <f t="shared" si="265"/>
        <v>#REF!</v>
      </c>
      <c r="TTW247" s="29" t="e">
        <f t="shared" si="265"/>
        <v>#REF!</v>
      </c>
      <c r="TTX247" s="29" t="e">
        <f t="shared" si="265"/>
        <v>#REF!</v>
      </c>
      <c r="TTY247" s="29" t="e">
        <f t="shared" si="265"/>
        <v>#REF!</v>
      </c>
      <c r="TTZ247" s="29" t="e">
        <f t="shared" si="265"/>
        <v>#REF!</v>
      </c>
      <c r="TUA247" s="29" t="e">
        <f t="shared" si="265"/>
        <v>#REF!</v>
      </c>
      <c r="TUB247" s="29" t="e">
        <f t="shared" si="265"/>
        <v>#REF!</v>
      </c>
      <c r="TUC247" s="29" t="e">
        <f t="shared" si="265"/>
        <v>#REF!</v>
      </c>
      <c r="TUD247" s="29" t="e">
        <f t="shared" si="265"/>
        <v>#REF!</v>
      </c>
      <c r="TUE247" s="29" t="e">
        <f t="shared" si="265"/>
        <v>#REF!</v>
      </c>
      <c r="TUF247" s="29" t="e">
        <f t="shared" si="265"/>
        <v>#REF!</v>
      </c>
      <c r="TUG247" s="29" t="e">
        <f t="shared" si="265"/>
        <v>#REF!</v>
      </c>
      <c r="TUH247" s="29" t="e">
        <f t="shared" si="265"/>
        <v>#REF!</v>
      </c>
      <c r="TUI247" s="29" t="e">
        <f t="shared" si="265"/>
        <v>#REF!</v>
      </c>
      <c r="TUJ247" s="29" t="e">
        <f t="shared" si="265"/>
        <v>#REF!</v>
      </c>
      <c r="TUK247" s="29" t="e">
        <f t="shared" si="265"/>
        <v>#REF!</v>
      </c>
      <c r="TUL247" s="29" t="e">
        <f t="shared" si="265"/>
        <v>#REF!</v>
      </c>
      <c r="TUM247" s="29" t="e">
        <f t="shared" si="265"/>
        <v>#REF!</v>
      </c>
      <c r="TUN247" s="29" t="e">
        <f t="shared" si="265"/>
        <v>#REF!</v>
      </c>
      <c r="TUO247" s="29" t="e">
        <f t="shared" si="265"/>
        <v>#REF!</v>
      </c>
      <c r="TUP247" s="29" t="e">
        <f t="shared" si="265"/>
        <v>#REF!</v>
      </c>
      <c r="TUQ247" s="29" t="e">
        <f t="shared" si="265"/>
        <v>#REF!</v>
      </c>
      <c r="TUR247" s="29" t="e">
        <f t="shared" si="265"/>
        <v>#REF!</v>
      </c>
      <c r="TUS247" s="29" t="e">
        <f t="shared" si="265"/>
        <v>#REF!</v>
      </c>
      <c r="TUT247" s="29" t="e">
        <f t="shared" si="265"/>
        <v>#REF!</v>
      </c>
      <c r="TUU247" s="29" t="e">
        <f t="shared" si="265"/>
        <v>#REF!</v>
      </c>
      <c r="TUV247" s="29" t="e">
        <f t="shared" si="265"/>
        <v>#REF!</v>
      </c>
      <c r="TUW247" s="29" t="e">
        <f t="shared" si="265"/>
        <v>#REF!</v>
      </c>
      <c r="TUX247" s="29" t="e">
        <f t="shared" si="265"/>
        <v>#REF!</v>
      </c>
      <c r="TUY247" s="29" t="e">
        <f t="shared" si="265"/>
        <v>#REF!</v>
      </c>
      <c r="TUZ247" s="29" t="e">
        <f t="shared" si="265"/>
        <v>#REF!</v>
      </c>
      <c r="TVA247" s="29" t="e">
        <f t="shared" si="265"/>
        <v>#REF!</v>
      </c>
      <c r="TVB247" s="29" t="e">
        <f t="shared" si="265"/>
        <v>#REF!</v>
      </c>
      <c r="TVC247" s="29" t="e">
        <f t="shared" si="265"/>
        <v>#REF!</v>
      </c>
      <c r="TVD247" s="29" t="e">
        <f t="shared" si="265"/>
        <v>#REF!</v>
      </c>
      <c r="TVE247" s="29" t="e">
        <f t="shared" ref="TVE247:TXP247" si="266">TVI247&amp;TVJ247</f>
        <v>#REF!</v>
      </c>
      <c r="TVF247" s="29" t="e">
        <f t="shared" si="266"/>
        <v>#REF!</v>
      </c>
      <c r="TVG247" s="29" t="e">
        <f t="shared" si="266"/>
        <v>#REF!</v>
      </c>
      <c r="TVH247" s="29" t="e">
        <f t="shared" si="266"/>
        <v>#REF!</v>
      </c>
      <c r="TVI247" s="29" t="e">
        <f t="shared" si="266"/>
        <v>#REF!</v>
      </c>
      <c r="TVJ247" s="29" t="e">
        <f t="shared" si="266"/>
        <v>#REF!</v>
      </c>
      <c r="TVK247" s="29" t="e">
        <f t="shared" si="266"/>
        <v>#REF!</v>
      </c>
      <c r="TVL247" s="29" t="e">
        <f t="shared" si="266"/>
        <v>#REF!</v>
      </c>
      <c r="TVM247" s="29" t="e">
        <f t="shared" si="266"/>
        <v>#REF!</v>
      </c>
      <c r="TVN247" s="29" t="e">
        <f t="shared" si="266"/>
        <v>#REF!</v>
      </c>
      <c r="TVO247" s="29" t="e">
        <f t="shared" si="266"/>
        <v>#REF!</v>
      </c>
      <c r="TVP247" s="29" t="e">
        <f t="shared" si="266"/>
        <v>#REF!</v>
      </c>
      <c r="TVQ247" s="29" t="e">
        <f t="shared" si="266"/>
        <v>#REF!</v>
      </c>
      <c r="TVR247" s="29" t="e">
        <f t="shared" si="266"/>
        <v>#REF!</v>
      </c>
      <c r="TVS247" s="29" t="e">
        <f t="shared" si="266"/>
        <v>#REF!</v>
      </c>
      <c r="TVT247" s="29" t="e">
        <f t="shared" si="266"/>
        <v>#REF!</v>
      </c>
      <c r="TVU247" s="29" t="e">
        <f t="shared" si="266"/>
        <v>#REF!</v>
      </c>
      <c r="TVV247" s="29" t="e">
        <f t="shared" si="266"/>
        <v>#REF!</v>
      </c>
      <c r="TVW247" s="29" t="e">
        <f t="shared" si="266"/>
        <v>#REF!</v>
      </c>
      <c r="TVX247" s="29" t="e">
        <f t="shared" si="266"/>
        <v>#REF!</v>
      </c>
      <c r="TVY247" s="29" t="e">
        <f t="shared" si="266"/>
        <v>#REF!</v>
      </c>
      <c r="TVZ247" s="29" t="e">
        <f t="shared" si="266"/>
        <v>#REF!</v>
      </c>
      <c r="TWA247" s="29" t="e">
        <f t="shared" si="266"/>
        <v>#REF!</v>
      </c>
      <c r="TWB247" s="29" t="e">
        <f t="shared" si="266"/>
        <v>#REF!</v>
      </c>
      <c r="TWC247" s="29" t="e">
        <f t="shared" si="266"/>
        <v>#REF!</v>
      </c>
      <c r="TWD247" s="29" t="e">
        <f t="shared" si="266"/>
        <v>#REF!</v>
      </c>
      <c r="TWE247" s="29" t="e">
        <f t="shared" si="266"/>
        <v>#REF!</v>
      </c>
      <c r="TWF247" s="29" t="e">
        <f t="shared" si="266"/>
        <v>#REF!</v>
      </c>
      <c r="TWG247" s="29" t="e">
        <f t="shared" si="266"/>
        <v>#REF!</v>
      </c>
      <c r="TWH247" s="29" t="e">
        <f t="shared" si="266"/>
        <v>#REF!</v>
      </c>
      <c r="TWI247" s="29" t="e">
        <f t="shared" si="266"/>
        <v>#REF!</v>
      </c>
      <c r="TWJ247" s="29" t="e">
        <f t="shared" si="266"/>
        <v>#REF!</v>
      </c>
      <c r="TWK247" s="29" t="e">
        <f t="shared" si="266"/>
        <v>#REF!</v>
      </c>
      <c r="TWL247" s="29" t="e">
        <f t="shared" si="266"/>
        <v>#REF!</v>
      </c>
      <c r="TWM247" s="29" t="e">
        <f t="shared" si="266"/>
        <v>#REF!</v>
      </c>
      <c r="TWN247" s="29" t="e">
        <f t="shared" si="266"/>
        <v>#REF!</v>
      </c>
      <c r="TWO247" s="29" t="e">
        <f t="shared" si="266"/>
        <v>#REF!</v>
      </c>
      <c r="TWP247" s="29" t="e">
        <f t="shared" si="266"/>
        <v>#REF!</v>
      </c>
      <c r="TWQ247" s="29" t="e">
        <f t="shared" si="266"/>
        <v>#REF!</v>
      </c>
      <c r="TWR247" s="29" t="e">
        <f t="shared" si="266"/>
        <v>#REF!</v>
      </c>
      <c r="TWS247" s="29" t="e">
        <f t="shared" si="266"/>
        <v>#REF!</v>
      </c>
      <c r="TWT247" s="29" t="e">
        <f t="shared" si="266"/>
        <v>#REF!</v>
      </c>
      <c r="TWU247" s="29" t="e">
        <f t="shared" si="266"/>
        <v>#REF!</v>
      </c>
      <c r="TWV247" s="29" t="e">
        <f t="shared" si="266"/>
        <v>#REF!</v>
      </c>
      <c r="TWW247" s="29" t="e">
        <f t="shared" si="266"/>
        <v>#REF!</v>
      </c>
      <c r="TWX247" s="29" t="e">
        <f t="shared" si="266"/>
        <v>#REF!</v>
      </c>
      <c r="TWY247" s="29" t="e">
        <f t="shared" si="266"/>
        <v>#REF!</v>
      </c>
      <c r="TWZ247" s="29" t="e">
        <f t="shared" si="266"/>
        <v>#REF!</v>
      </c>
      <c r="TXA247" s="29" t="e">
        <f t="shared" si="266"/>
        <v>#REF!</v>
      </c>
      <c r="TXB247" s="29" t="e">
        <f t="shared" si="266"/>
        <v>#REF!</v>
      </c>
      <c r="TXC247" s="29" t="e">
        <f t="shared" si="266"/>
        <v>#REF!</v>
      </c>
      <c r="TXD247" s="29" t="e">
        <f t="shared" si="266"/>
        <v>#REF!</v>
      </c>
      <c r="TXE247" s="29" t="e">
        <f t="shared" si="266"/>
        <v>#REF!</v>
      </c>
      <c r="TXF247" s="29" t="e">
        <f t="shared" si="266"/>
        <v>#REF!</v>
      </c>
      <c r="TXG247" s="29" t="e">
        <f t="shared" si="266"/>
        <v>#REF!</v>
      </c>
      <c r="TXH247" s="29" t="e">
        <f t="shared" si="266"/>
        <v>#REF!</v>
      </c>
      <c r="TXI247" s="29" t="e">
        <f t="shared" si="266"/>
        <v>#REF!</v>
      </c>
      <c r="TXJ247" s="29" t="e">
        <f t="shared" si="266"/>
        <v>#REF!</v>
      </c>
      <c r="TXK247" s="29" t="e">
        <f t="shared" si="266"/>
        <v>#REF!</v>
      </c>
      <c r="TXL247" s="29" t="e">
        <f t="shared" si="266"/>
        <v>#REF!</v>
      </c>
      <c r="TXM247" s="29" t="e">
        <f t="shared" si="266"/>
        <v>#REF!</v>
      </c>
      <c r="TXN247" s="29" t="e">
        <f t="shared" si="266"/>
        <v>#REF!</v>
      </c>
      <c r="TXO247" s="29" t="e">
        <f t="shared" si="266"/>
        <v>#REF!</v>
      </c>
      <c r="TXP247" s="29" t="e">
        <f t="shared" si="266"/>
        <v>#REF!</v>
      </c>
      <c r="TXQ247" s="29" t="e">
        <f t="shared" ref="TXQ247:UAB247" si="267">TXU247&amp;TXV247</f>
        <v>#REF!</v>
      </c>
      <c r="TXR247" s="29" t="e">
        <f t="shared" si="267"/>
        <v>#REF!</v>
      </c>
      <c r="TXS247" s="29" t="e">
        <f t="shared" si="267"/>
        <v>#REF!</v>
      </c>
      <c r="TXT247" s="29" t="e">
        <f t="shared" si="267"/>
        <v>#REF!</v>
      </c>
      <c r="TXU247" s="29" t="e">
        <f t="shared" si="267"/>
        <v>#REF!</v>
      </c>
      <c r="TXV247" s="29" t="e">
        <f t="shared" si="267"/>
        <v>#REF!</v>
      </c>
      <c r="TXW247" s="29" t="e">
        <f t="shared" si="267"/>
        <v>#REF!</v>
      </c>
      <c r="TXX247" s="29" t="e">
        <f t="shared" si="267"/>
        <v>#REF!</v>
      </c>
      <c r="TXY247" s="29" t="e">
        <f t="shared" si="267"/>
        <v>#REF!</v>
      </c>
      <c r="TXZ247" s="29" t="e">
        <f t="shared" si="267"/>
        <v>#REF!</v>
      </c>
      <c r="TYA247" s="29" t="e">
        <f t="shared" si="267"/>
        <v>#REF!</v>
      </c>
      <c r="TYB247" s="29" t="e">
        <f t="shared" si="267"/>
        <v>#REF!</v>
      </c>
      <c r="TYC247" s="29" t="e">
        <f t="shared" si="267"/>
        <v>#REF!</v>
      </c>
      <c r="TYD247" s="29" t="e">
        <f t="shared" si="267"/>
        <v>#REF!</v>
      </c>
      <c r="TYE247" s="29" t="e">
        <f t="shared" si="267"/>
        <v>#REF!</v>
      </c>
      <c r="TYF247" s="29" t="e">
        <f t="shared" si="267"/>
        <v>#REF!</v>
      </c>
      <c r="TYG247" s="29" t="e">
        <f t="shared" si="267"/>
        <v>#REF!</v>
      </c>
      <c r="TYH247" s="29" t="e">
        <f t="shared" si="267"/>
        <v>#REF!</v>
      </c>
      <c r="TYI247" s="29" t="e">
        <f t="shared" si="267"/>
        <v>#REF!</v>
      </c>
      <c r="TYJ247" s="29" t="e">
        <f t="shared" si="267"/>
        <v>#REF!</v>
      </c>
      <c r="TYK247" s="29" t="e">
        <f t="shared" si="267"/>
        <v>#REF!</v>
      </c>
      <c r="TYL247" s="29" t="e">
        <f t="shared" si="267"/>
        <v>#REF!</v>
      </c>
      <c r="TYM247" s="29" t="e">
        <f t="shared" si="267"/>
        <v>#REF!</v>
      </c>
      <c r="TYN247" s="29" t="e">
        <f t="shared" si="267"/>
        <v>#REF!</v>
      </c>
      <c r="TYO247" s="29" t="e">
        <f t="shared" si="267"/>
        <v>#REF!</v>
      </c>
      <c r="TYP247" s="29" t="e">
        <f t="shared" si="267"/>
        <v>#REF!</v>
      </c>
      <c r="TYQ247" s="29" t="e">
        <f t="shared" si="267"/>
        <v>#REF!</v>
      </c>
      <c r="TYR247" s="29" t="e">
        <f t="shared" si="267"/>
        <v>#REF!</v>
      </c>
      <c r="TYS247" s="29" t="e">
        <f t="shared" si="267"/>
        <v>#REF!</v>
      </c>
      <c r="TYT247" s="29" t="e">
        <f t="shared" si="267"/>
        <v>#REF!</v>
      </c>
      <c r="TYU247" s="29" t="e">
        <f t="shared" si="267"/>
        <v>#REF!</v>
      </c>
      <c r="TYV247" s="29" t="e">
        <f t="shared" si="267"/>
        <v>#REF!</v>
      </c>
      <c r="TYW247" s="29" t="e">
        <f t="shared" si="267"/>
        <v>#REF!</v>
      </c>
      <c r="TYX247" s="29" t="e">
        <f t="shared" si="267"/>
        <v>#REF!</v>
      </c>
      <c r="TYY247" s="29" t="e">
        <f t="shared" si="267"/>
        <v>#REF!</v>
      </c>
      <c r="TYZ247" s="29" t="e">
        <f t="shared" si="267"/>
        <v>#REF!</v>
      </c>
      <c r="TZA247" s="29" t="e">
        <f t="shared" si="267"/>
        <v>#REF!</v>
      </c>
      <c r="TZB247" s="29" t="e">
        <f t="shared" si="267"/>
        <v>#REF!</v>
      </c>
      <c r="TZC247" s="29" t="e">
        <f t="shared" si="267"/>
        <v>#REF!</v>
      </c>
      <c r="TZD247" s="29" t="e">
        <f t="shared" si="267"/>
        <v>#REF!</v>
      </c>
      <c r="TZE247" s="29" t="e">
        <f t="shared" si="267"/>
        <v>#REF!</v>
      </c>
      <c r="TZF247" s="29" t="e">
        <f t="shared" si="267"/>
        <v>#REF!</v>
      </c>
      <c r="TZG247" s="29" t="e">
        <f t="shared" si="267"/>
        <v>#REF!</v>
      </c>
      <c r="TZH247" s="29" t="e">
        <f t="shared" si="267"/>
        <v>#REF!</v>
      </c>
      <c r="TZI247" s="29" t="e">
        <f t="shared" si="267"/>
        <v>#REF!</v>
      </c>
      <c r="TZJ247" s="29" t="e">
        <f t="shared" si="267"/>
        <v>#REF!</v>
      </c>
      <c r="TZK247" s="29" t="e">
        <f t="shared" si="267"/>
        <v>#REF!</v>
      </c>
      <c r="TZL247" s="29" t="e">
        <f t="shared" si="267"/>
        <v>#REF!</v>
      </c>
      <c r="TZM247" s="29" t="e">
        <f t="shared" si="267"/>
        <v>#REF!</v>
      </c>
      <c r="TZN247" s="29" t="e">
        <f t="shared" si="267"/>
        <v>#REF!</v>
      </c>
      <c r="TZO247" s="29" t="e">
        <f t="shared" si="267"/>
        <v>#REF!</v>
      </c>
      <c r="TZP247" s="29" t="e">
        <f t="shared" si="267"/>
        <v>#REF!</v>
      </c>
      <c r="TZQ247" s="29" t="e">
        <f t="shared" si="267"/>
        <v>#REF!</v>
      </c>
      <c r="TZR247" s="29" t="e">
        <f t="shared" si="267"/>
        <v>#REF!</v>
      </c>
      <c r="TZS247" s="29" t="e">
        <f t="shared" si="267"/>
        <v>#REF!</v>
      </c>
      <c r="TZT247" s="29" t="e">
        <f t="shared" si="267"/>
        <v>#REF!</v>
      </c>
      <c r="TZU247" s="29" t="e">
        <f t="shared" si="267"/>
        <v>#REF!</v>
      </c>
      <c r="TZV247" s="29" t="e">
        <f t="shared" si="267"/>
        <v>#REF!</v>
      </c>
      <c r="TZW247" s="29" t="e">
        <f t="shared" si="267"/>
        <v>#REF!</v>
      </c>
      <c r="TZX247" s="29" t="e">
        <f t="shared" si="267"/>
        <v>#REF!</v>
      </c>
      <c r="TZY247" s="29" t="e">
        <f t="shared" si="267"/>
        <v>#REF!</v>
      </c>
      <c r="TZZ247" s="29" t="e">
        <f t="shared" si="267"/>
        <v>#REF!</v>
      </c>
      <c r="UAA247" s="29" t="e">
        <f t="shared" si="267"/>
        <v>#REF!</v>
      </c>
      <c r="UAB247" s="29" t="e">
        <f t="shared" si="267"/>
        <v>#REF!</v>
      </c>
      <c r="UAC247" s="29" t="e">
        <f t="shared" ref="UAC247:UCN247" si="268">UAG247&amp;UAH247</f>
        <v>#REF!</v>
      </c>
      <c r="UAD247" s="29" t="e">
        <f t="shared" si="268"/>
        <v>#REF!</v>
      </c>
      <c r="UAE247" s="29" t="e">
        <f t="shared" si="268"/>
        <v>#REF!</v>
      </c>
      <c r="UAF247" s="29" t="e">
        <f t="shared" si="268"/>
        <v>#REF!</v>
      </c>
      <c r="UAG247" s="29" t="e">
        <f t="shared" si="268"/>
        <v>#REF!</v>
      </c>
      <c r="UAH247" s="29" t="e">
        <f t="shared" si="268"/>
        <v>#REF!</v>
      </c>
      <c r="UAI247" s="29" t="e">
        <f t="shared" si="268"/>
        <v>#REF!</v>
      </c>
      <c r="UAJ247" s="29" t="e">
        <f t="shared" si="268"/>
        <v>#REF!</v>
      </c>
      <c r="UAK247" s="29" t="e">
        <f t="shared" si="268"/>
        <v>#REF!</v>
      </c>
      <c r="UAL247" s="29" t="e">
        <f t="shared" si="268"/>
        <v>#REF!</v>
      </c>
      <c r="UAM247" s="29" t="e">
        <f t="shared" si="268"/>
        <v>#REF!</v>
      </c>
      <c r="UAN247" s="29" t="e">
        <f t="shared" si="268"/>
        <v>#REF!</v>
      </c>
      <c r="UAO247" s="29" t="e">
        <f t="shared" si="268"/>
        <v>#REF!</v>
      </c>
      <c r="UAP247" s="29" t="e">
        <f t="shared" si="268"/>
        <v>#REF!</v>
      </c>
      <c r="UAQ247" s="29" t="e">
        <f t="shared" si="268"/>
        <v>#REF!</v>
      </c>
      <c r="UAR247" s="29" t="e">
        <f t="shared" si="268"/>
        <v>#REF!</v>
      </c>
      <c r="UAS247" s="29" t="e">
        <f t="shared" si="268"/>
        <v>#REF!</v>
      </c>
      <c r="UAT247" s="29" t="e">
        <f t="shared" si="268"/>
        <v>#REF!</v>
      </c>
      <c r="UAU247" s="29" t="e">
        <f t="shared" si="268"/>
        <v>#REF!</v>
      </c>
      <c r="UAV247" s="29" t="e">
        <f t="shared" si="268"/>
        <v>#REF!</v>
      </c>
      <c r="UAW247" s="29" t="e">
        <f t="shared" si="268"/>
        <v>#REF!</v>
      </c>
      <c r="UAX247" s="29" t="e">
        <f t="shared" si="268"/>
        <v>#REF!</v>
      </c>
      <c r="UAY247" s="29" t="e">
        <f t="shared" si="268"/>
        <v>#REF!</v>
      </c>
      <c r="UAZ247" s="29" t="e">
        <f t="shared" si="268"/>
        <v>#REF!</v>
      </c>
      <c r="UBA247" s="29" t="e">
        <f t="shared" si="268"/>
        <v>#REF!</v>
      </c>
      <c r="UBB247" s="29" t="e">
        <f t="shared" si="268"/>
        <v>#REF!</v>
      </c>
      <c r="UBC247" s="29" t="e">
        <f t="shared" si="268"/>
        <v>#REF!</v>
      </c>
      <c r="UBD247" s="29" t="e">
        <f t="shared" si="268"/>
        <v>#REF!</v>
      </c>
      <c r="UBE247" s="29" t="e">
        <f t="shared" si="268"/>
        <v>#REF!</v>
      </c>
      <c r="UBF247" s="29" t="e">
        <f t="shared" si="268"/>
        <v>#REF!</v>
      </c>
      <c r="UBG247" s="29" t="e">
        <f t="shared" si="268"/>
        <v>#REF!</v>
      </c>
      <c r="UBH247" s="29" t="e">
        <f t="shared" si="268"/>
        <v>#REF!</v>
      </c>
      <c r="UBI247" s="29" t="e">
        <f t="shared" si="268"/>
        <v>#REF!</v>
      </c>
      <c r="UBJ247" s="29" t="e">
        <f t="shared" si="268"/>
        <v>#REF!</v>
      </c>
      <c r="UBK247" s="29" t="e">
        <f t="shared" si="268"/>
        <v>#REF!</v>
      </c>
      <c r="UBL247" s="29" t="e">
        <f t="shared" si="268"/>
        <v>#REF!</v>
      </c>
      <c r="UBM247" s="29" t="e">
        <f t="shared" si="268"/>
        <v>#REF!</v>
      </c>
      <c r="UBN247" s="29" t="e">
        <f t="shared" si="268"/>
        <v>#REF!</v>
      </c>
      <c r="UBO247" s="29" t="e">
        <f t="shared" si="268"/>
        <v>#REF!</v>
      </c>
      <c r="UBP247" s="29" t="e">
        <f t="shared" si="268"/>
        <v>#REF!</v>
      </c>
      <c r="UBQ247" s="29" t="e">
        <f t="shared" si="268"/>
        <v>#REF!</v>
      </c>
      <c r="UBR247" s="29" t="e">
        <f t="shared" si="268"/>
        <v>#REF!</v>
      </c>
      <c r="UBS247" s="29" t="e">
        <f t="shared" si="268"/>
        <v>#REF!</v>
      </c>
      <c r="UBT247" s="29" t="e">
        <f t="shared" si="268"/>
        <v>#REF!</v>
      </c>
      <c r="UBU247" s="29" t="e">
        <f t="shared" si="268"/>
        <v>#REF!</v>
      </c>
      <c r="UBV247" s="29" t="e">
        <f t="shared" si="268"/>
        <v>#REF!</v>
      </c>
      <c r="UBW247" s="29" t="e">
        <f t="shared" si="268"/>
        <v>#REF!</v>
      </c>
      <c r="UBX247" s="29" t="e">
        <f t="shared" si="268"/>
        <v>#REF!</v>
      </c>
      <c r="UBY247" s="29" t="e">
        <f t="shared" si="268"/>
        <v>#REF!</v>
      </c>
      <c r="UBZ247" s="29" t="e">
        <f t="shared" si="268"/>
        <v>#REF!</v>
      </c>
      <c r="UCA247" s="29" t="e">
        <f t="shared" si="268"/>
        <v>#REF!</v>
      </c>
      <c r="UCB247" s="29" t="e">
        <f t="shared" si="268"/>
        <v>#REF!</v>
      </c>
      <c r="UCC247" s="29" t="e">
        <f t="shared" si="268"/>
        <v>#REF!</v>
      </c>
      <c r="UCD247" s="29" t="e">
        <f t="shared" si="268"/>
        <v>#REF!</v>
      </c>
      <c r="UCE247" s="29" t="e">
        <f t="shared" si="268"/>
        <v>#REF!</v>
      </c>
      <c r="UCF247" s="29" t="e">
        <f t="shared" si="268"/>
        <v>#REF!</v>
      </c>
      <c r="UCG247" s="29" t="e">
        <f t="shared" si="268"/>
        <v>#REF!</v>
      </c>
      <c r="UCH247" s="29" t="e">
        <f t="shared" si="268"/>
        <v>#REF!</v>
      </c>
      <c r="UCI247" s="29" t="e">
        <f t="shared" si="268"/>
        <v>#REF!</v>
      </c>
      <c r="UCJ247" s="29" t="e">
        <f t="shared" si="268"/>
        <v>#REF!</v>
      </c>
      <c r="UCK247" s="29" t="e">
        <f t="shared" si="268"/>
        <v>#REF!</v>
      </c>
      <c r="UCL247" s="29" t="e">
        <f t="shared" si="268"/>
        <v>#REF!</v>
      </c>
      <c r="UCM247" s="29" t="e">
        <f t="shared" si="268"/>
        <v>#REF!</v>
      </c>
      <c r="UCN247" s="29" t="e">
        <f t="shared" si="268"/>
        <v>#REF!</v>
      </c>
      <c r="UCO247" s="29" t="e">
        <f t="shared" ref="UCO247:UEZ247" si="269">UCS247&amp;UCT247</f>
        <v>#REF!</v>
      </c>
      <c r="UCP247" s="29" t="e">
        <f t="shared" si="269"/>
        <v>#REF!</v>
      </c>
      <c r="UCQ247" s="29" t="e">
        <f t="shared" si="269"/>
        <v>#REF!</v>
      </c>
      <c r="UCR247" s="29" t="e">
        <f t="shared" si="269"/>
        <v>#REF!</v>
      </c>
      <c r="UCS247" s="29" t="e">
        <f t="shared" si="269"/>
        <v>#REF!</v>
      </c>
      <c r="UCT247" s="29" t="e">
        <f t="shared" si="269"/>
        <v>#REF!</v>
      </c>
      <c r="UCU247" s="29" t="e">
        <f t="shared" si="269"/>
        <v>#REF!</v>
      </c>
      <c r="UCV247" s="29" t="e">
        <f t="shared" si="269"/>
        <v>#REF!</v>
      </c>
      <c r="UCW247" s="29" t="e">
        <f t="shared" si="269"/>
        <v>#REF!</v>
      </c>
      <c r="UCX247" s="29" t="e">
        <f t="shared" si="269"/>
        <v>#REF!</v>
      </c>
      <c r="UCY247" s="29" t="e">
        <f t="shared" si="269"/>
        <v>#REF!</v>
      </c>
      <c r="UCZ247" s="29" t="e">
        <f t="shared" si="269"/>
        <v>#REF!</v>
      </c>
      <c r="UDA247" s="29" t="e">
        <f t="shared" si="269"/>
        <v>#REF!</v>
      </c>
      <c r="UDB247" s="29" t="e">
        <f t="shared" si="269"/>
        <v>#REF!</v>
      </c>
      <c r="UDC247" s="29" t="e">
        <f t="shared" si="269"/>
        <v>#REF!</v>
      </c>
      <c r="UDD247" s="29" t="e">
        <f t="shared" si="269"/>
        <v>#REF!</v>
      </c>
      <c r="UDE247" s="29" t="e">
        <f t="shared" si="269"/>
        <v>#REF!</v>
      </c>
      <c r="UDF247" s="29" t="e">
        <f t="shared" si="269"/>
        <v>#REF!</v>
      </c>
      <c r="UDG247" s="29" t="e">
        <f t="shared" si="269"/>
        <v>#REF!</v>
      </c>
      <c r="UDH247" s="29" t="e">
        <f t="shared" si="269"/>
        <v>#REF!</v>
      </c>
      <c r="UDI247" s="29" t="e">
        <f t="shared" si="269"/>
        <v>#REF!</v>
      </c>
      <c r="UDJ247" s="29" t="e">
        <f t="shared" si="269"/>
        <v>#REF!</v>
      </c>
      <c r="UDK247" s="29" t="e">
        <f t="shared" si="269"/>
        <v>#REF!</v>
      </c>
      <c r="UDL247" s="29" t="e">
        <f t="shared" si="269"/>
        <v>#REF!</v>
      </c>
      <c r="UDM247" s="29" t="e">
        <f t="shared" si="269"/>
        <v>#REF!</v>
      </c>
      <c r="UDN247" s="29" t="e">
        <f t="shared" si="269"/>
        <v>#REF!</v>
      </c>
      <c r="UDO247" s="29" t="e">
        <f t="shared" si="269"/>
        <v>#REF!</v>
      </c>
      <c r="UDP247" s="29" t="e">
        <f t="shared" si="269"/>
        <v>#REF!</v>
      </c>
      <c r="UDQ247" s="29" t="e">
        <f t="shared" si="269"/>
        <v>#REF!</v>
      </c>
      <c r="UDR247" s="29" t="e">
        <f t="shared" si="269"/>
        <v>#REF!</v>
      </c>
      <c r="UDS247" s="29" t="e">
        <f t="shared" si="269"/>
        <v>#REF!</v>
      </c>
      <c r="UDT247" s="29" t="e">
        <f t="shared" si="269"/>
        <v>#REF!</v>
      </c>
      <c r="UDU247" s="29" t="e">
        <f t="shared" si="269"/>
        <v>#REF!</v>
      </c>
      <c r="UDV247" s="29" t="e">
        <f t="shared" si="269"/>
        <v>#REF!</v>
      </c>
      <c r="UDW247" s="29" t="e">
        <f t="shared" si="269"/>
        <v>#REF!</v>
      </c>
      <c r="UDX247" s="29" t="e">
        <f t="shared" si="269"/>
        <v>#REF!</v>
      </c>
      <c r="UDY247" s="29" t="e">
        <f t="shared" si="269"/>
        <v>#REF!</v>
      </c>
      <c r="UDZ247" s="29" t="e">
        <f t="shared" si="269"/>
        <v>#REF!</v>
      </c>
      <c r="UEA247" s="29" t="e">
        <f t="shared" si="269"/>
        <v>#REF!</v>
      </c>
      <c r="UEB247" s="29" t="e">
        <f t="shared" si="269"/>
        <v>#REF!</v>
      </c>
      <c r="UEC247" s="29" t="e">
        <f t="shared" si="269"/>
        <v>#REF!</v>
      </c>
      <c r="UED247" s="29" t="e">
        <f t="shared" si="269"/>
        <v>#REF!</v>
      </c>
      <c r="UEE247" s="29" t="e">
        <f t="shared" si="269"/>
        <v>#REF!</v>
      </c>
      <c r="UEF247" s="29" t="e">
        <f t="shared" si="269"/>
        <v>#REF!</v>
      </c>
      <c r="UEG247" s="29" t="e">
        <f t="shared" si="269"/>
        <v>#REF!</v>
      </c>
      <c r="UEH247" s="29" t="e">
        <f t="shared" si="269"/>
        <v>#REF!</v>
      </c>
      <c r="UEI247" s="29" t="e">
        <f t="shared" si="269"/>
        <v>#REF!</v>
      </c>
      <c r="UEJ247" s="29" t="e">
        <f t="shared" si="269"/>
        <v>#REF!</v>
      </c>
      <c r="UEK247" s="29" t="e">
        <f t="shared" si="269"/>
        <v>#REF!</v>
      </c>
      <c r="UEL247" s="29" t="e">
        <f t="shared" si="269"/>
        <v>#REF!</v>
      </c>
      <c r="UEM247" s="29" t="e">
        <f t="shared" si="269"/>
        <v>#REF!</v>
      </c>
      <c r="UEN247" s="29" t="e">
        <f t="shared" si="269"/>
        <v>#REF!</v>
      </c>
      <c r="UEO247" s="29" t="e">
        <f t="shared" si="269"/>
        <v>#REF!</v>
      </c>
      <c r="UEP247" s="29" t="e">
        <f t="shared" si="269"/>
        <v>#REF!</v>
      </c>
      <c r="UEQ247" s="29" t="e">
        <f t="shared" si="269"/>
        <v>#REF!</v>
      </c>
      <c r="UER247" s="29" t="e">
        <f t="shared" si="269"/>
        <v>#REF!</v>
      </c>
      <c r="UES247" s="29" t="e">
        <f t="shared" si="269"/>
        <v>#REF!</v>
      </c>
      <c r="UET247" s="29" t="e">
        <f t="shared" si="269"/>
        <v>#REF!</v>
      </c>
      <c r="UEU247" s="29" t="e">
        <f t="shared" si="269"/>
        <v>#REF!</v>
      </c>
      <c r="UEV247" s="29" t="e">
        <f t="shared" si="269"/>
        <v>#REF!</v>
      </c>
      <c r="UEW247" s="29" t="e">
        <f t="shared" si="269"/>
        <v>#REF!</v>
      </c>
      <c r="UEX247" s="29" t="e">
        <f t="shared" si="269"/>
        <v>#REF!</v>
      </c>
      <c r="UEY247" s="29" t="e">
        <f t="shared" si="269"/>
        <v>#REF!</v>
      </c>
      <c r="UEZ247" s="29" t="e">
        <f t="shared" si="269"/>
        <v>#REF!</v>
      </c>
      <c r="UFA247" s="29" t="e">
        <f t="shared" ref="UFA247:UHL247" si="270">UFE247&amp;UFF247</f>
        <v>#REF!</v>
      </c>
      <c r="UFB247" s="29" t="e">
        <f t="shared" si="270"/>
        <v>#REF!</v>
      </c>
      <c r="UFC247" s="29" t="e">
        <f t="shared" si="270"/>
        <v>#REF!</v>
      </c>
      <c r="UFD247" s="29" t="e">
        <f t="shared" si="270"/>
        <v>#REF!</v>
      </c>
      <c r="UFE247" s="29" t="e">
        <f t="shared" si="270"/>
        <v>#REF!</v>
      </c>
      <c r="UFF247" s="29" t="e">
        <f t="shared" si="270"/>
        <v>#REF!</v>
      </c>
      <c r="UFG247" s="29" t="e">
        <f t="shared" si="270"/>
        <v>#REF!</v>
      </c>
      <c r="UFH247" s="29" t="e">
        <f t="shared" si="270"/>
        <v>#REF!</v>
      </c>
      <c r="UFI247" s="29" t="e">
        <f t="shared" si="270"/>
        <v>#REF!</v>
      </c>
      <c r="UFJ247" s="29" t="e">
        <f t="shared" si="270"/>
        <v>#REF!</v>
      </c>
      <c r="UFK247" s="29" t="e">
        <f t="shared" si="270"/>
        <v>#REF!</v>
      </c>
      <c r="UFL247" s="29" t="e">
        <f t="shared" si="270"/>
        <v>#REF!</v>
      </c>
      <c r="UFM247" s="29" t="e">
        <f t="shared" si="270"/>
        <v>#REF!</v>
      </c>
      <c r="UFN247" s="29" t="e">
        <f t="shared" si="270"/>
        <v>#REF!</v>
      </c>
      <c r="UFO247" s="29" t="e">
        <f t="shared" si="270"/>
        <v>#REF!</v>
      </c>
      <c r="UFP247" s="29" t="e">
        <f t="shared" si="270"/>
        <v>#REF!</v>
      </c>
      <c r="UFQ247" s="29" t="e">
        <f t="shared" si="270"/>
        <v>#REF!</v>
      </c>
      <c r="UFR247" s="29" t="e">
        <f t="shared" si="270"/>
        <v>#REF!</v>
      </c>
      <c r="UFS247" s="29" t="e">
        <f t="shared" si="270"/>
        <v>#REF!</v>
      </c>
      <c r="UFT247" s="29" t="e">
        <f t="shared" si="270"/>
        <v>#REF!</v>
      </c>
      <c r="UFU247" s="29" t="e">
        <f t="shared" si="270"/>
        <v>#REF!</v>
      </c>
      <c r="UFV247" s="29" t="e">
        <f t="shared" si="270"/>
        <v>#REF!</v>
      </c>
      <c r="UFW247" s="29" t="e">
        <f t="shared" si="270"/>
        <v>#REF!</v>
      </c>
      <c r="UFX247" s="29" t="e">
        <f t="shared" si="270"/>
        <v>#REF!</v>
      </c>
      <c r="UFY247" s="29" t="e">
        <f t="shared" si="270"/>
        <v>#REF!</v>
      </c>
      <c r="UFZ247" s="29" t="e">
        <f t="shared" si="270"/>
        <v>#REF!</v>
      </c>
      <c r="UGA247" s="29" t="e">
        <f t="shared" si="270"/>
        <v>#REF!</v>
      </c>
      <c r="UGB247" s="29" t="e">
        <f t="shared" si="270"/>
        <v>#REF!</v>
      </c>
      <c r="UGC247" s="29" t="e">
        <f t="shared" si="270"/>
        <v>#REF!</v>
      </c>
      <c r="UGD247" s="29" t="e">
        <f t="shared" si="270"/>
        <v>#REF!</v>
      </c>
      <c r="UGE247" s="29" t="e">
        <f t="shared" si="270"/>
        <v>#REF!</v>
      </c>
      <c r="UGF247" s="29" t="e">
        <f t="shared" si="270"/>
        <v>#REF!</v>
      </c>
      <c r="UGG247" s="29" t="e">
        <f t="shared" si="270"/>
        <v>#REF!</v>
      </c>
      <c r="UGH247" s="29" t="e">
        <f t="shared" si="270"/>
        <v>#REF!</v>
      </c>
      <c r="UGI247" s="29" t="e">
        <f t="shared" si="270"/>
        <v>#REF!</v>
      </c>
      <c r="UGJ247" s="29" t="e">
        <f t="shared" si="270"/>
        <v>#REF!</v>
      </c>
      <c r="UGK247" s="29" t="e">
        <f t="shared" si="270"/>
        <v>#REF!</v>
      </c>
      <c r="UGL247" s="29" t="e">
        <f t="shared" si="270"/>
        <v>#REF!</v>
      </c>
      <c r="UGM247" s="29" t="e">
        <f t="shared" si="270"/>
        <v>#REF!</v>
      </c>
      <c r="UGN247" s="29" t="e">
        <f t="shared" si="270"/>
        <v>#REF!</v>
      </c>
      <c r="UGO247" s="29" t="e">
        <f t="shared" si="270"/>
        <v>#REF!</v>
      </c>
      <c r="UGP247" s="29" t="e">
        <f t="shared" si="270"/>
        <v>#REF!</v>
      </c>
      <c r="UGQ247" s="29" t="e">
        <f t="shared" si="270"/>
        <v>#REF!</v>
      </c>
      <c r="UGR247" s="29" t="e">
        <f t="shared" si="270"/>
        <v>#REF!</v>
      </c>
      <c r="UGS247" s="29" t="e">
        <f t="shared" si="270"/>
        <v>#REF!</v>
      </c>
      <c r="UGT247" s="29" t="e">
        <f t="shared" si="270"/>
        <v>#REF!</v>
      </c>
      <c r="UGU247" s="29" t="e">
        <f t="shared" si="270"/>
        <v>#REF!</v>
      </c>
      <c r="UGV247" s="29" t="e">
        <f t="shared" si="270"/>
        <v>#REF!</v>
      </c>
      <c r="UGW247" s="29" t="e">
        <f t="shared" si="270"/>
        <v>#REF!</v>
      </c>
      <c r="UGX247" s="29" t="e">
        <f t="shared" si="270"/>
        <v>#REF!</v>
      </c>
      <c r="UGY247" s="29" t="e">
        <f t="shared" si="270"/>
        <v>#REF!</v>
      </c>
      <c r="UGZ247" s="29" t="e">
        <f t="shared" si="270"/>
        <v>#REF!</v>
      </c>
      <c r="UHA247" s="29" t="e">
        <f t="shared" si="270"/>
        <v>#REF!</v>
      </c>
      <c r="UHB247" s="29" t="e">
        <f t="shared" si="270"/>
        <v>#REF!</v>
      </c>
      <c r="UHC247" s="29" t="e">
        <f t="shared" si="270"/>
        <v>#REF!</v>
      </c>
      <c r="UHD247" s="29" t="e">
        <f t="shared" si="270"/>
        <v>#REF!</v>
      </c>
      <c r="UHE247" s="29" t="e">
        <f t="shared" si="270"/>
        <v>#REF!</v>
      </c>
      <c r="UHF247" s="29" t="e">
        <f t="shared" si="270"/>
        <v>#REF!</v>
      </c>
      <c r="UHG247" s="29" t="e">
        <f t="shared" si="270"/>
        <v>#REF!</v>
      </c>
      <c r="UHH247" s="29" t="e">
        <f t="shared" si="270"/>
        <v>#REF!</v>
      </c>
      <c r="UHI247" s="29" t="e">
        <f t="shared" si="270"/>
        <v>#REF!</v>
      </c>
      <c r="UHJ247" s="29" t="e">
        <f t="shared" si="270"/>
        <v>#REF!</v>
      </c>
      <c r="UHK247" s="29" t="e">
        <f t="shared" si="270"/>
        <v>#REF!</v>
      </c>
      <c r="UHL247" s="29" t="e">
        <f t="shared" si="270"/>
        <v>#REF!</v>
      </c>
      <c r="UHM247" s="29" t="e">
        <f t="shared" ref="UHM247:UJX247" si="271">UHQ247&amp;UHR247</f>
        <v>#REF!</v>
      </c>
      <c r="UHN247" s="29" t="e">
        <f t="shared" si="271"/>
        <v>#REF!</v>
      </c>
      <c r="UHO247" s="29" t="e">
        <f t="shared" si="271"/>
        <v>#REF!</v>
      </c>
      <c r="UHP247" s="29" t="e">
        <f t="shared" si="271"/>
        <v>#REF!</v>
      </c>
      <c r="UHQ247" s="29" t="e">
        <f t="shared" si="271"/>
        <v>#REF!</v>
      </c>
      <c r="UHR247" s="29" t="e">
        <f t="shared" si="271"/>
        <v>#REF!</v>
      </c>
      <c r="UHS247" s="29" t="e">
        <f t="shared" si="271"/>
        <v>#REF!</v>
      </c>
      <c r="UHT247" s="29" t="e">
        <f t="shared" si="271"/>
        <v>#REF!</v>
      </c>
      <c r="UHU247" s="29" t="e">
        <f t="shared" si="271"/>
        <v>#REF!</v>
      </c>
      <c r="UHV247" s="29" t="e">
        <f t="shared" si="271"/>
        <v>#REF!</v>
      </c>
      <c r="UHW247" s="29" t="e">
        <f t="shared" si="271"/>
        <v>#REF!</v>
      </c>
      <c r="UHX247" s="29" t="e">
        <f t="shared" si="271"/>
        <v>#REF!</v>
      </c>
      <c r="UHY247" s="29" t="e">
        <f t="shared" si="271"/>
        <v>#REF!</v>
      </c>
      <c r="UHZ247" s="29" t="e">
        <f t="shared" si="271"/>
        <v>#REF!</v>
      </c>
      <c r="UIA247" s="29" t="e">
        <f t="shared" si="271"/>
        <v>#REF!</v>
      </c>
      <c r="UIB247" s="29" t="e">
        <f t="shared" si="271"/>
        <v>#REF!</v>
      </c>
      <c r="UIC247" s="29" t="e">
        <f t="shared" si="271"/>
        <v>#REF!</v>
      </c>
      <c r="UID247" s="29" t="e">
        <f t="shared" si="271"/>
        <v>#REF!</v>
      </c>
      <c r="UIE247" s="29" t="e">
        <f t="shared" si="271"/>
        <v>#REF!</v>
      </c>
      <c r="UIF247" s="29" t="e">
        <f t="shared" si="271"/>
        <v>#REF!</v>
      </c>
      <c r="UIG247" s="29" t="e">
        <f t="shared" si="271"/>
        <v>#REF!</v>
      </c>
      <c r="UIH247" s="29" t="e">
        <f t="shared" si="271"/>
        <v>#REF!</v>
      </c>
      <c r="UII247" s="29" t="e">
        <f t="shared" si="271"/>
        <v>#REF!</v>
      </c>
      <c r="UIJ247" s="29" t="e">
        <f t="shared" si="271"/>
        <v>#REF!</v>
      </c>
      <c r="UIK247" s="29" t="e">
        <f t="shared" si="271"/>
        <v>#REF!</v>
      </c>
      <c r="UIL247" s="29" t="e">
        <f t="shared" si="271"/>
        <v>#REF!</v>
      </c>
      <c r="UIM247" s="29" t="e">
        <f t="shared" si="271"/>
        <v>#REF!</v>
      </c>
      <c r="UIN247" s="29" t="e">
        <f t="shared" si="271"/>
        <v>#REF!</v>
      </c>
      <c r="UIO247" s="29" t="e">
        <f t="shared" si="271"/>
        <v>#REF!</v>
      </c>
      <c r="UIP247" s="29" t="e">
        <f t="shared" si="271"/>
        <v>#REF!</v>
      </c>
      <c r="UIQ247" s="29" t="e">
        <f t="shared" si="271"/>
        <v>#REF!</v>
      </c>
      <c r="UIR247" s="29" t="e">
        <f t="shared" si="271"/>
        <v>#REF!</v>
      </c>
      <c r="UIS247" s="29" t="e">
        <f t="shared" si="271"/>
        <v>#REF!</v>
      </c>
      <c r="UIT247" s="29" t="e">
        <f t="shared" si="271"/>
        <v>#REF!</v>
      </c>
      <c r="UIU247" s="29" t="e">
        <f t="shared" si="271"/>
        <v>#REF!</v>
      </c>
      <c r="UIV247" s="29" t="e">
        <f t="shared" si="271"/>
        <v>#REF!</v>
      </c>
      <c r="UIW247" s="29" t="e">
        <f t="shared" si="271"/>
        <v>#REF!</v>
      </c>
      <c r="UIX247" s="29" t="e">
        <f t="shared" si="271"/>
        <v>#REF!</v>
      </c>
      <c r="UIY247" s="29" t="e">
        <f t="shared" si="271"/>
        <v>#REF!</v>
      </c>
      <c r="UIZ247" s="29" t="e">
        <f t="shared" si="271"/>
        <v>#REF!</v>
      </c>
      <c r="UJA247" s="29" t="e">
        <f t="shared" si="271"/>
        <v>#REF!</v>
      </c>
      <c r="UJB247" s="29" t="e">
        <f t="shared" si="271"/>
        <v>#REF!</v>
      </c>
      <c r="UJC247" s="29" t="e">
        <f t="shared" si="271"/>
        <v>#REF!</v>
      </c>
      <c r="UJD247" s="29" t="e">
        <f t="shared" si="271"/>
        <v>#REF!</v>
      </c>
      <c r="UJE247" s="29" t="e">
        <f t="shared" si="271"/>
        <v>#REF!</v>
      </c>
      <c r="UJF247" s="29" t="e">
        <f t="shared" si="271"/>
        <v>#REF!</v>
      </c>
      <c r="UJG247" s="29" t="e">
        <f t="shared" si="271"/>
        <v>#REF!</v>
      </c>
      <c r="UJH247" s="29" t="e">
        <f t="shared" si="271"/>
        <v>#REF!</v>
      </c>
      <c r="UJI247" s="29" t="e">
        <f t="shared" si="271"/>
        <v>#REF!</v>
      </c>
      <c r="UJJ247" s="29" t="e">
        <f t="shared" si="271"/>
        <v>#REF!</v>
      </c>
      <c r="UJK247" s="29" t="e">
        <f t="shared" si="271"/>
        <v>#REF!</v>
      </c>
      <c r="UJL247" s="29" t="e">
        <f t="shared" si="271"/>
        <v>#REF!</v>
      </c>
      <c r="UJM247" s="29" t="e">
        <f t="shared" si="271"/>
        <v>#REF!</v>
      </c>
      <c r="UJN247" s="29" t="e">
        <f t="shared" si="271"/>
        <v>#REF!</v>
      </c>
      <c r="UJO247" s="29" t="e">
        <f t="shared" si="271"/>
        <v>#REF!</v>
      </c>
      <c r="UJP247" s="29" t="e">
        <f t="shared" si="271"/>
        <v>#REF!</v>
      </c>
      <c r="UJQ247" s="29" t="e">
        <f t="shared" si="271"/>
        <v>#REF!</v>
      </c>
      <c r="UJR247" s="29" t="e">
        <f t="shared" si="271"/>
        <v>#REF!</v>
      </c>
      <c r="UJS247" s="29" t="e">
        <f t="shared" si="271"/>
        <v>#REF!</v>
      </c>
      <c r="UJT247" s="29" t="e">
        <f t="shared" si="271"/>
        <v>#REF!</v>
      </c>
      <c r="UJU247" s="29" t="e">
        <f t="shared" si="271"/>
        <v>#REF!</v>
      </c>
      <c r="UJV247" s="29" t="e">
        <f t="shared" si="271"/>
        <v>#REF!</v>
      </c>
      <c r="UJW247" s="29" t="e">
        <f t="shared" si="271"/>
        <v>#REF!</v>
      </c>
      <c r="UJX247" s="29" t="e">
        <f t="shared" si="271"/>
        <v>#REF!</v>
      </c>
      <c r="UJY247" s="29" t="e">
        <f t="shared" ref="UJY247:UMJ247" si="272">UKC247&amp;UKD247</f>
        <v>#REF!</v>
      </c>
      <c r="UJZ247" s="29" t="e">
        <f t="shared" si="272"/>
        <v>#REF!</v>
      </c>
      <c r="UKA247" s="29" t="e">
        <f t="shared" si="272"/>
        <v>#REF!</v>
      </c>
      <c r="UKB247" s="29" t="e">
        <f t="shared" si="272"/>
        <v>#REF!</v>
      </c>
      <c r="UKC247" s="29" t="e">
        <f t="shared" si="272"/>
        <v>#REF!</v>
      </c>
      <c r="UKD247" s="29" t="e">
        <f t="shared" si="272"/>
        <v>#REF!</v>
      </c>
      <c r="UKE247" s="29" t="e">
        <f t="shared" si="272"/>
        <v>#REF!</v>
      </c>
      <c r="UKF247" s="29" t="e">
        <f t="shared" si="272"/>
        <v>#REF!</v>
      </c>
      <c r="UKG247" s="29" t="e">
        <f t="shared" si="272"/>
        <v>#REF!</v>
      </c>
      <c r="UKH247" s="29" t="e">
        <f t="shared" si="272"/>
        <v>#REF!</v>
      </c>
      <c r="UKI247" s="29" t="e">
        <f t="shared" si="272"/>
        <v>#REF!</v>
      </c>
      <c r="UKJ247" s="29" t="e">
        <f t="shared" si="272"/>
        <v>#REF!</v>
      </c>
      <c r="UKK247" s="29" t="e">
        <f t="shared" si="272"/>
        <v>#REF!</v>
      </c>
      <c r="UKL247" s="29" t="e">
        <f t="shared" si="272"/>
        <v>#REF!</v>
      </c>
      <c r="UKM247" s="29" t="e">
        <f t="shared" si="272"/>
        <v>#REF!</v>
      </c>
      <c r="UKN247" s="29" t="e">
        <f t="shared" si="272"/>
        <v>#REF!</v>
      </c>
      <c r="UKO247" s="29" t="e">
        <f t="shared" si="272"/>
        <v>#REF!</v>
      </c>
      <c r="UKP247" s="29" t="e">
        <f t="shared" si="272"/>
        <v>#REF!</v>
      </c>
      <c r="UKQ247" s="29" t="e">
        <f t="shared" si="272"/>
        <v>#REF!</v>
      </c>
      <c r="UKR247" s="29" t="e">
        <f t="shared" si="272"/>
        <v>#REF!</v>
      </c>
      <c r="UKS247" s="29" t="e">
        <f t="shared" si="272"/>
        <v>#REF!</v>
      </c>
      <c r="UKT247" s="29" t="e">
        <f t="shared" si="272"/>
        <v>#REF!</v>
      </c>
      <c r="UKU247" s="29" t="e">
        <f t="shared" si="272"/>
        <v>#REF!</v>
      </c>
      <c r="UKV247" s="29" t="e">
        <f t="shared" si="272"/>
        <v>#REF!</v>
      </c>
      <c r="UKW247" s="29" t="e">
        <f t="shared" si="272"/>
        <v>#REF!</v>
      </c>
      <c r="UKX247" s="29" t="e">
        <f t="shared" si="272"/>
        <v>#REF!</v>
      </c>
      <c r="UKY247" s="29" t="e">
        <f t="shared" si="272"/>
        <v>#REF!</v>
      </c>
      <c r="UKZ247" s="29" t="e">
        <f t="shared" si="272"/>
        <v>#REF!</v>
      </c>
      <c r="ULA247" s="29" t="e">
        <f t="shared" si="272"/>
        <v>#REF!</v>
      </c>
      <c r="ULB247" s="29" t="e">
        <f t="shared" si="272"/>
        <v>#REF!</v>
      </c>
      <c r="ULC247" s="29" t="e">
        <f t="shared" si="272"/>
        <v>#REF!</v>
      </c>
      <c r="ULD247" s="29" t="e">
        <f t="shared" si="272"/>
        <v>#REF!</v>
      </c>
      <c r="ULE247" s="29" t="e">
        <f t="shared" si="272"/>
        <v>#REF!</v>
      </c>
      <c r="ULF247" s="29" t="e">
        <f t="shared" si="272"/>
        <v>#REF!</v>
      </c>
      <c r="ULG247" s="29" t="e">
        <f t="shared" si="272"/>
        <v>#REF!</v>
      </c>
      <c r="ULH247" s="29" t="e">
        <f t="shared" si="272"/>
        <v>#REF!</v>
      </c>
      <c r="ULI247" s="29" t="e">
        <f t="shared" si="272"/>
        <v>#REF!</v>
      </c>
      <c r="ULJ247" s="29" t="e">
        <f t="shared" si="272"/>
        <v>#REF!</v>
      </c>
      <c r="ULK247" s="29" t="e">
        <f t="shared" si="272"/>
        <v>#REF!</v>
      </c>
      <c r="ULL247" s="29" t="e">
        <f t="shared" si="272"/>
        <v>#REF!</v>
      </c>
      <c r="ULM247" s="29" t="e">
        <f t="shared" si="272"/>
        <v>#REF!</v>
      </c>
      <c r="ULN247" s="29" t="e">
        <f t="shared" si="272"/>
        <v>#REF!</v>
      </c>
      <c r="ULO247" s="29" t="e">
        <f t="shared" si="272"/>
        <v>#REF!</v>
      </c>
      <c r="ULP247" s="29" t="e">
        <f t="shared" si="272"/>
        <v>#REF!</v>
      </c>
      <c r="ULQ247" s="29" t="e">
        <f t="shared" si="272"/>
        <v>#REF!</v>
      </c>
      <c r="ULR247" s="29" t="e">
        <f t="shared" si="272"/>
        <v>#REF!</v>
      </c>
      <c r="ULS247" s="29" t="e">
        <f t="shared" si="272"/>
        <v>#REF!</v>
      </c>
      <c r="ULT247" s="29" t="e">
        <f t="shared" si="272"/>
        <v>#REF!</v>
      </c>
      <c r="ULU247" s="29" t="e">
        <f t="shared" si="272"/>
        <v>#REF!</v>
      </c>
      <c r="ULV247" s="29" t="e">
        <f t="shared" si="272"/>
        <v>#REF!</v>
      </c>
      <c r="ULW247" s="29" t="e">
        <f t="shared" si="272"/>
        <v>#REF!</v>
      </c>
      <c r="ULX247" s="29" t="e">
        <f t="shared" si="272"/>
        <v>#REF!</v>
      </c>
      <c r="ULY247" s="29" t="e">
        <f t="shared" si="272"/>
        <v>#REF!</v>
      </c>
      <c r="ULZ247" s="29" t="e">
        <f t="shared" si="272"/>
        <v>#REF!</v>
      </c>
      <c r="UMA247" s="29" t="e">
        <f t="shared" si="272"/>
        <v>#REF!</v>
      </c>
      <c r="UMB247" s="29" t="e">
        <f t="shared" si="272"/>
        <v>#REF!</v>
      </c>
      <c r="UMC247" s="29" t="e">
        <f t="shared" si="272"/>
        <v>#REF!</v>
      </c>
      <c r="UMD247" s="29" t="e">
        <f t="shared" si="272"/>
        <v>#REF!</v>
      </c>
      <c r="UME247" s="29" t="e">
        <f t="shared" si="272"/>
        <v>#REF!</v>
      </c>
      <c r="UMF247" s="29" t="e">
        <f t="shared" si="272"/>
        <v>#REF!</v>
      </c>
      <c r="UMG247" s="29" t="e">
        <f t="shared" si="272"/>
        <v>#REF!</v>
      </c>
      <c r="UMH247" s="29" t="e">
        <f t="shared" si="272"/>
        <v>#REF!</v>
      </c>
      <c r="UMI247" s="29" t="e">
        <f t="shared" si="272"/>
        <v>#REF!</v>
      </c>
      <c r="UMJ247" s="29" t="e">
        <f t="shared" si="272"/>
        <v>#REF!</v>
      </c>
      <c r="UMK247" s="29" t="e">
        <f t="shared" ref="UMK247:UOV247" si="273">UMO247&amp;UMP247</f>
        <v>#REF!</v>
      </c>
      <c r="UML247" s="29" t="e">
        <f t="shared" si="273"/>
        <v>#REF!</v>
      </c>
      <c r="UMM247" s="29" t="e">
        <f t="shared" si="273"/>
        <v>#REF!</v>
      </c>
      <c r="UMN247" s="29" t="e">
        <f t="shared" si="273"/>
        <v>#REF!</v>
      </c>
      <c r="UMO247" s="29" t="e">
        <f t="shared" si="273"/>
        <v>#REF!</v>
      </c>
      <c r="UMP247" s="29" t="e">
        <f t="shared" si="273"/>
        <v>#REF!</v>
      </c>
      <c r="UMQ247" s="29" t="e">
        <f t="shared" si="273"/>
        <v>#REF!</v>
      </c>
      <c r="UMR247" s="29" t="e">
        <f t="shared" si="273"/>
        <v>#REF!</v>
      </c>
      <c r="UMS247" s="29" t="e">
        <f t="shared" si="273"/>
        <v>#REF!</v>
      </c>
      <c r="UMT247" s="29" t="e">
        <f t="shared" si="273"/>
        <v>#REF!</v>
      </c>
      <c r="UMU247" s="29" t="e">
        <f t="shared" si="273"/>
        <v>#REF!</v>
      </c>
      <c r="UMV247" s="29" t="e">
        <f t="shared" si="273"/>
        <v>#REF!</v>
      </c>
      <c r="UMW247" s="29" t="e">
        <f t="shared" si="273"/>
        <v>#REF!</v>
      </c>
      <c r="UMX247" s="29" t="e">
        <f t="shared" si="273"/>
        <v>#REF!</v>
      </c>
      <c r="UMY247" s="29" t="e">
        <f t="shared" si="273"/>
        <v>#REF!</v>
      </c>
      <c r="UMZ247" s="29" t="e">
        <f t="shared" si="273"/>
        <v>#REF!</v>
      </c>
      <c r="UNA247" s="29" t="e">
        <f t="shared" si="273"/>
        <v>#REF!</v>
      </c>
      <c r="UNB247" s="29" t="e">
        <f t="shared" si="273"/>
        <v>#REF!</v>
      </c>
      <c r="UNC247" s="29" t="e">
        <f t="shared" si="273"/>
        <v>#REF!</v>
      </c>
      <c r="UND247" s="29" t="e">
        <f t="shared" si="273"/>
        <v>#REF!</v>
      </c>
      <c r="UNE247" s="29" t="e">
        <f t="shared" si="273"/>
        <v>#REF!</v>
      </c>
      <c r="UNF247" s="29" t="e">
        <f t="shared" si="273"/>
        <v>#REF!</v>
      </c>
      <c r="UNG247" s="29" t="e">
        <f t="shared" si="273"/>
        <v>#REF!</v>
      </c>
      <c r="UNH247" s="29" t="e">
        <f t="shared" si="273"/>
        <v>#REF!</v>
      </c>
      <c r="UNI247" s="29" t="e">
        <f t="shared" si="273"/>
        <v>#REF!</v>
      </c>
      <c r="UNJ247" s="29" t="e">
        <f t="shared" si="273"/>
        <v>#REF!</v>
      </c>
      <c r="UNK247" s="29" t="e">
        <f t="shared" si="273"/>
        <v>#REF!</v>
      </c>
      <c r="UNL247" s="29" t="e">
        <f t="shared" si="273"/>
        <v>#REF!</v>
      </c>
      <c r="UNM247" s="29" t="e">
        <f t="shared" si="273"/>
        <v>#REF!</v>
      </c>
      <c r="UNN247" s="29" t="e">
        <f t="shared" si="273"/>
        <v>#REF!</v>
      </c>
      <c r="UNO247" s="29" t="e">
        <f t="shared" si="273"/>
        <v>#REF!</v>
      </c>
      <c r="UNP247" s="29" t="e">
        <f t="shared" si="273"/>
        <v>#REF!</v>
      </c>
      <c r="UNQ247" s="29" t="e">
        <f t="shared" si="273"/>
        <v>#REF!</v>
      </c>
      <c r="UNR247" s="29" t="e">
        <f t="shared" si="273"/>
        <v>#REF!</v>
      </c>
      <c r="UNS247" s="29" t="e">
        <f t="shared" si="273"/>
        <v>#REF!</v>
      </c>
      <c r="UNT247" s="29" t="e">
        <f t="shared" si="273"/>
        <v>#REF!</v>
      </c>
      <c r="UNU247" s="29" t="e">
        <f t="shared" si="273"/>
        <v>#REF!</v>
      </c>
      <c r="UNV247" s="29" t="e">
        <f t="shared" si="273"/>
        <v>#REF!</v>
      </c>
      <c r="UNW247" s="29" t="e">
        <f t="shared" si="273"/>
        <v>#REF!</v>
      </c>
      <c r="UNX247" s="29" t="e">
        <f t="shared" si="273"/>
        <v>#REF!</v>
      </c>
      <c r="UNY247" s="29" t="e">
        <f t="shared" si="273"/>
        <v>#REF!</v>
      </c>
      <c r="UNZ247" s="29" t="e">
        <f t="shared" si="273"/>
        <v>#REF!</v>
      </c>
      <c r="UOA247" s="29" t="e">
        <f t="shared" si="273"/>
        <v>#REF!</v>
      </c>
      <c r="UOB247" s="29" t="e">
        <f t="shared" si="273"/>
        <v>#REF!</v>
      </c>
      <c r="UOC247" s="29" t="e">
        <f t="shared" si="273"/>
        <v>#REF!</v>
      </c>
      <c r="UOD247" s="29" t="e">
        <f t="shared" si="273"/>
        <v>#REF!</v>
      </c>
      <c r="UOE247" s="29" t="e">
        <f t="shared" si="273"/>
        <v>#REF!</v>
      </c>
      <c r="UOF247" s="29" t="e">
        <f t="shared" si="273"/>
        <v>#REF!</v>
      </c>
      <c r="UOG247" s="29" t="e">
        <f t="shared" si="273"/>
        <v>#REF!</v>
      </c>
      <c r="UOH247" s="29" t="e">
        <f t="shared" si="273"/>
        <v>#REF!</v>
      </c>
      <c r="UOI247" s="29" t="e">
        <f t="shared" si="273"/>
        <v>#REF!</v>
      </c>
      <c r="UOJ247" s="29" t="e">
        <f t="shared" si="273"/>
        <v>#REF!</v>
      </c>
      <c r="UOK247" s="29" t="e">
        <f t="shared" si="273"/>
        <v>#REF!</v>
      </c>
      <c r="UOL247" s="29" t="e">
        <f t="shared" si="273"/>
        <v>#REF!</v>
      </c>
      <c r="UOM247" s="29" t="e">
        <f t="shared" si="273"/>
        <v>#REF!</v>
      </c>
      <c r="UON247" s="29" t="e">
        <f t="shared" si="273"/>
        <v>#REF!</v>
      </c>
      <c r="UOO247" s="29" t="e">
        <f t="shared" si="273"/>
        <v>#REF!</v>
      </c>
      <c r="UOP247" s="29" t="e">
        <f t="shared" si="273"/>
        <v>#REF!</v>
      </c>
      <c r="UOQ247" s="29" t="e">
        <f t="shared" si="273"/>
        <v>#REF!</v>
      </c>
      <c r="UOR247" s="29" t="e">
        <f t="shared" si="273"/>
        <v>#REF!</v>
      </c>
      <c r="UOS247" s="29" t="e">
        <f t="shared" si="273"/>
        <v>#REF!</v>
      </c>
      <c r="UOT247" s="29" t="e">
        <f t="shared" si="273"/>
        <v>#REF!</v>
      </c>
      <c r="UOU247" s="29" t="e">
        <f t="shared" si="273"/>
        <v>#REF!</v>
      </c>
      <c r="UOV247" s="29" t="e">
        <f t="shared" si="273"/>
        <v>#REF!</v>
      </c>
      <c r="UOW247" s="29" t="e">
        <f t="shared" ref="UOW247:URH247" si="274">UPA247&amp;UPB247</f>
        <v>#REF!</v>
      </c>
      <c r="UOX247" s="29" t="e">
        <f t="shared" si="274"/>
        <v>#REF!</v>
      </c>
      <c r="UOY247" s="29" t="e">
        <f t="shared" si="274"/>
        <v>#REF!</v>
      </c>
      <c r="UOZ247" s="29" t="e">
        <f t="shared" si="274"/>
        <v>#REF!</v>
      </c>
      <c r="UPA247" s="29" t="e">
        <f t="shared" si="274"/>
        <v>#REF!</v>
      </c>
      <c r="UPB247" s="29" t="e">
        <f t="shared" si="274"/>
        <v>#REF!</v>
      </c>
      <c r="UPC247" s="29" t="e">
        <f t="shared" si="274"/>
        <v>#REF!</v>
      </c>
      <c r="UPD247" s="29" t="e">
        <f t="shared" si="274"/>
        <v>#REF!</v>
      </c>
      <c r="UPE247" s="29" t="e">
        <f t="shared" si="274"/>
        <v>#REF!</v>
      </c>
      <c r="UPF247" s="29" t="e">
        <f t="shared" si="274"/>
        <v>#REF!</v>
      </c>
      <c r="UPG247" s="29" t="e">
        <f t="shared" si="274"/>
        <v>#REF!</v>
      </c>
      <c r="UPH247" s="29" t="e">
        <f t="shared" si="274"/>
        <v>#REF!</v>
      </c>
      <c r="UPI247" s="29" t="e">
        <f t="shared" si="274"/>
        <v>#REF!</v>
      </c>
      <c r="UPJ247" s="29" t="e">
        <f t="shared" si="274"/>
        <v>#REF!</v>
      </c>
      <c r="UPK247" s="29" t="e">
        <f t="shared" si="274"/>
        <v>#REF!</v>
      </c>
      <c r="UPL247" s="29" t="e">
        <f t="shared" si="274"/>
        <v>#REF!</v>
      </c>
      <c r="UPM247" s="29" t="e">
        <f t="shared" si="274"/>
        <v>#REF!</v>
      </c>
      <c r="UPN247" s="29" t="e">
        <f t="shared" si="274"/>
        <v>#REF!</v>
      </c>
      <c r="UPO247" s="29" t="e">
        <f t="shared" si="274"/>
        <v>#REF!</v>
      </c>
      <c r="UPP247" s="29" t="e">
        <f t="shared" si="274"/>
        <v>#REF!</v>
      </c>
      <c r="UPQ247" s="29" t="e">
        <f t="shared" si="274"/>
        <v>#REF!</v>
      </c>
      <c r="UPR247" s="29" t="e">
        <f t="shared" si="274"/>
        <v>#REF!</v>
      </c>
      <c r="UPS247" s="29" t="e">
        <f t="shared" si="274"/>
        <v>#REF!</v>
      </c>
      <c r="UPT247" s="29" t="e">
        <f t="shared" si="274"/>
        <v>#REF!</v>
      </c>
      <c r="UPU247" s="29" t="e">
        <f t="shared" si="274"/>
        <v>#REF!</v>
      </c>
      <c r="UPV247" s="29" t="e">
        <f t="shared" si="274"/>
        <v>#REF!</v>
      </c>
      <c r="UPW247" s="29" t="e">
        <f t="shared" si="274"/>
        <v>#REF!</v>
      </c>
      <c r="UPX247" s="29" t="e">
        <f t="shared" si="274"/>
        <v>#REF!</v>
      </c>
      <c r="UPY247" s="29" t="e">
        <f t="shared" si="274"/>
        <v>#REF!</v>
      </c>
      <c r="UPZ247" s="29" t="e">
        <f t="shared" si="274"/>
        <v>#REF!</v>
      </c>
      <c r="UQA247" s="29" t="e">
        <f t="shared" si="274"/>
        <v>#REF!</v>
      </c>
      <c r="UQB247" s="29" t="e">
        <f t="shared" si="274"/>
        <v>#REF!</v>
      </c>
      <c r="UQC247" s="29" t="e">
        <f t="shared" si="274"/>
        <v>#REF!</v>
      </c>
      <c r="UQD247" s="29" t="e">
        <f t="shared" si="274"/>
        <v>#REF!</v>
      </c>
      <c r="UQE247" s="29" t="e">
        <f t="shared" si="274"/>
        <v>#REF!</v>
      </c>
      <c r="UQF247" s="29" t="e">
        <f t="shared" si="274"/>
        <v>#REF!</v>
      </c>
      <c r="UQG247" s="29" t="e">
        <f t="shared" si="274"/>
        <v>#REF!</v>
      </c>
      <c r="UQH247" s="29" t="e">
        <f t="shared" si="274"/>
        <v>#REF!</v>
      </c>
      <c r="UQI247" s="29" t="e">
        <f t="shared" si="274"/>
        <v>#REF!</v>
      </c>
      <c r="UQJ247" s="29" t="e">
        <f t="shared" si="274"/>
        <v>#REF!</v>
      </c>
      <c r="UQK247" s="29" t="e">
        <f t="shared" si="274"/>
        <v>#REF!</v>
      </c>
      <c r="UQL247" s="29" t="e">
        <f t="shared" si="274"/>
        <v>#REF!</v>
      </c>
      <c r="UQM247" s="29" t="e">
        <f t="shared" si="274"/>
        <v>#REF!</v>
      </c>
      <c r="UQN247" s="29" t="e">
        <f t="shared" si="274"/>
        <v>#REF!</v>
      </c>
      <c r="UQO247" s="29" t="e">
        <f t="shared" si="274"/>
        <v>#REF!</v>
      </c>
      <c r="UQP247" s="29" t="e">
        <f t="shared" si="274"/>
        <v>#REF!</v>
      </c>
      <c r="UQQ247" s="29" t="e">
        <f t="shared" si="274"/>
        <v>#REF!</v>
      </c>
      <c r="UQR247" s="29" t="e">
        <f t="shared" si="274"/>
        <v>#REF!</v>
      </c>
      <c r="UQS247" s="29" t="e">
        <f t="shared" si="274"/>
        <v>#REF!</v>
      </c>
      <c r="UQT247" s="29" t="e">
        <f t="shared" si="274"/>
        <v>#REF!</v>
      </c>
      <c r="UQU247" s="29" t="e">
        <f t="shared" si="274"/>
        <v>#REF!</v>
      </c>
      <c r="UQV247" s="29" t="e">
        <f t="shared" si="274"/>
        <v>#REF!</v>
      </c>
      <c r="UQW247" s="29" t="e">
        <f t="shared" si="274"/>
        <v>#REF!</v>
      </c>
      <c r="UQX247" s="29" t="e">
        <f t="shared" si="274"/>
        <v>#REF!</v>
      </c>
      <c r="UQY247" s="29" t="e">
        <f t="shared" si="274"/>
        <v>#REF!</v>
      </c>
      <c r="UQZ247" s="29" t="e">
        <f t="shared" si="274"/>
        <v>#REF!</v>
      </c>
      <c r="URA247" s="29" t="e">
        <f t="shared" si="274"/>
        <v>#REF!</v>
      </c>
      <c r="URB247" s="29" t="e">
        <f t="shared" si="274"/>
        <v>#REF!</v>
      </c>
      <c r="URC247" s="29" t="e">
        <f t="shared" si="274"/>
        <v>#REF!</v>
      </c>
      <c r="URD247" s="29" t="e">
        <f t="shared" si="274"/>
        <v>#REF!</v>
      </c>
      <c r="URE247" s="29" t="e">
        <f t="shared" si="274"/>
        <v>#REF!</v>
      </c>
      <c r="URF247" s="29" t="e">
        <f t="shared" si="274"/>
        <v>#REF!</v>
      </c>
      <c r="URG247" s="29" t="e">
        <f t="shared" si="274"/>
        <v>#REF!</v>
      </c>
      <c r="URH247" s="29" t="e">
        <f t="shared" si="274"/>
        <v>#REF!</v>
      </c>
      <c r="URI247" s="29" t="e">
        <f t="shared" ref="URI247:UTT247" si="275">URM247&amp;URN247</f>
        <v>#REF!</v>
      </c>
      <c r="URJ247" s="29" t="e">
        <f t="shared" si="275"/>
        <v>#REF!</v>
      </c>
      <c r="URK247" s="29" t="e">
        <f t="shared" si="275"/>
        <v>#REF!</v>
      </c>
      <c r="URL247" s="29" t="e">
        <f t="shared" si="275"/>
        <v>#REF!</v>
      </c>
      <c r="URM247" s="29" t="e">
        <f t="shared" si="275"/>
        <v>#REF!</v>
      </c>
      <c r="URN247" s="29" t="e">
        <f t="shared" si="275"/>
        <v>#REF!</v>
      </c>
      <c r="URO247" s="29" t="e">
        <f t="shared" si="275"/>
        <v>#REF!</v>
      </c>
      <c r="URP247" s="29" t="e">
        <f t="shared" si="275"/>
        <v>#REF!</v>
      </c>
      <c r="URQ247" s="29" t="e">
        <f t="shared" si="275"/>
        <v>#REF!</v>
      </c>
      <c r="URR247" s="29" t="e">
        <f t="shared" si="275"/>
        <v>#REF!</v>
      </c>
      <c r="URS247" s="29" t="e">
        <f t="shared" si="275"/>
        <v>#REF!</v>
      </c>
      <c r="URT247" s="29" t="e">
        <f t="shared" si="275"/>
        <v>#REF!</v>
      </c>
      <c r="URU247" s="29" t="e">
        <f t="shared" si="275"/>
        <v>#REF!</v>
      </c>
      <c r="URV247" s="29" t="e">
        <f t="shared" si="275"/>
        <v>#REF!</v>
      </c>
      <c r="URW247" s="29" t="e">
        <f t="shared" si="275"/>
        <v>#REF!</v>
      </c>
      <c r="URX247" s="29" t="e">
        <f t="shared" si="275"/>
        <v>#REF!</v>
      </c>
      <c r="URY247" s="29" t="e">
        <f t="shared" si="275"/>
        <v>#REF!</v>
      </c>
      <c r="URZ247" s="29" t="e">
        <f t="shared" si="275"/>
        <v>#REF!</v>
      </c>
      <c r="USA247" s="29" t="e">
        <f t="shared" si="275"/>
        <v>#REF!</v>
      </c>
      <c r="USB247" s="29" t="e">
        <f t="shared" si="275"/>
        <v>#REF!</v>
      </c>
      <c r="USC247" s="29" t="e">
        <f t="shared" si="275"/>
        <v>#REF!</v>
      </c>
      <c r="USD247" s="29" t="e">
        <f t="shared" si="275"/>
        <v>#REF!</v>
      </c>
      <c r="USE247" s="29" t="e">
        <f t="shared" si="275"/>
        <v>#REF!</v>
      </c>
      <c r="USF247" s="29" t="e">
        <f t="shared" si="275"/>
        <v>#REF!</v>
      </c>
      <c r="USG247" s="29" t="e">
        <f t="shared" si="275"/>
        <v>#REF!</v>
      </c>
      <c r="USH247" s="29" t="e">
        <f t="shared" si="275"/>
        <v>#REF!</v>
      </c>
      <c r="USI247" s="29" t="e">
        <f t="shared" si="275"/>
        <v>#REF!</v>
      </c>
      <c r="USJ247" s="29" t="e">
        <f t="shared" si="275"/>
        <v>#REF!</v>
      </c>
      <c r="USK247" s="29" t="e">
        <f t="shared" si="275"/>
        <v>#REF!</v>
      </c>
      <c r="USL247" s="29" t="e">
        <f t="shared" si="275"/>
        <v>#REF!</v>
      </c>
      <c r="USM247" s="29" t="e">
        <f t="shared" si="275"/>
        <v>#REF!</v>
      </c>
      <c r="USN247" s="29" t="e">
        <f t="shared" si="275"/>
        <v>#REF!</v>
      </c>
      <c r="USO247" s="29" t="e">
        <f t="shared" si="275"/>
        <v>#REF!</v>
      </c>
      <c r="USP247" s="29" t="e">
        <f t="shared" si="275"/>
        <v>#REF!</v>
      </c>
      <c r="USQ247" s="29" t="e">
        <f t="shared" si="275"/>
        <v>#REF!</v>
      </c>
      <c r="USR247" s="29" t="e">
        <f t="shared" si="275"/>
        <v>#REF!</v>
      </c>
      <c r="USS247" s="29" t="e">
        <f t="shared" si="275"/>
        <v>#REF!</v>
      </c>
      <c r="UST247" s="29" t="e">
        <f t="shared" si="275"/>
        <v>#REF!</v>
      </c>
      <c r="USU247" s="29" t="e">
        <f t="shared" si="275"/>
        <v>#REF!</v>
      </c>
      <c r="USV247" s="29" t="e">
        <f t="shared" si="275"/>
        <v>#REF!</v>
      </c>
      <c r="USW247" s="29" t="e">
        <f t="shared" si="275"/>
        <v>#REF!</v>
      </c>
      <c r="USX247" s="29" t="e">
        <f t="shared" si="275"/>
        <v>#REF!</v>
      </c>
      <c r="USY247" s="29" t="e">
        <f t="shared" si="275"/>
        <v>#REF!</v>
      </c>
      <c r="USZ247" s="29" t="e">
        <f t="shared" si="275"/>
        <v>#REF!</v>
      </c>
      <c r="UTA247" s="29" t="e">
        <f t="shared" si="275"/>
        <v>#REF!</v>
      </c>
      <c r="UTB247" s="29" t="e">
        <f t="shared" si="275"/>
        <v>#REF!</v>
      </c>
      <c r="UTC247" s="29" t="e">
        <f t="shared" si="275"/>
        <v>#REF!</v>
      </c>
      <c r="UTD247" s="29" t="e">
        <f t="shared" si="275"/>
        <v>#REF!</v>
      </c>
      <c r="UTE247" s="29" t="e">
        <f t="shared" si="275"/>
        <v>#REF!</v>
      </c>
      <c r="UTF247" s="29" t="e">
        <f t="shared" si="275"/>
        <v>#REF!</v>
      </c>
      <c r="UTG247" s="29" t="e">
        <f t="shared" si="275"/>
        <v>#REF!</v>
      </c>
      <c r="UTH247" s="29" t="e">
        <f t="shared" si="275"/>
        <v>#REF!</v>
      </c>
      <c r="UTI247" s="29" t="e">
        <f t="shared" si="275"/>
        <v>#REF!</v>
      </c>
      <c r="UTJ247" s="29" t="e">
        <f t="shared" si="275"/>
        <v>#REF!</v>
      </c>
      <c r="UTK247" s="29" t="e">
        <f t="shared" si="275"/>
        <v>#REF!</v>
      </c>
      <c r="UTL247" s="29" t="e">
        <f t="shared" si="275"/>
        <v>#REF!</v>
      </c>
      <c r="UTM247" s="29" t="e">
        <f t="shared" si="275"/>
        <v>#REF!</v>
      </c>
      <c r="UTN247" s="29" t="e">
        <f t="shared" si="275"/>
        <v>#REF!</v>
      </c>
      <c r="UTO247" s="29" t="e">
        <f t="shared" si="275"/>
        <v>#REF!</v>
      </c>
      <c r="UTP247" s="29" t="e">
        <f t="shared" si="275"/>
        <v>#REF!</v>
      </c>
      <c r="UTQ247" s="29" t="e">
        <f t="shared" si="275"/>
        <v>#REF!</v>
      </c>
      <c r="UTR247" s="29" t="e">
        <f t="shared" si="275"/>
        <v>#REF!</v>
      </c>
      <c r="UTS247" s="29" t="e">
        <f t="shared" si="275"/>
        <v>#REF!</v>
      </c>
      <c r="UTT247" s="29" t="e">
        <f t="shared" si="275"/>
        <v>#REF!</v>
      </c>
      <c r="UTU247" s="29" t="e">
        <f t="shared" ref="UTU247:UWF247" si="276">UTY247&amp;UTZ247</f>
        <v>#REF!</v>
      </c>
      <c r="UTV247" s="29" t="e">
        <f t="shared" si="276"/>
        <v>#REF!</v>
      </c>
      <c r="UTW247" s="29" t="e">
        <f t="shared" si="276"/>
        <v>#REF!</v>
      </c>
      <c r="UTX247" s="29" t="e">
        <f t="shared" si="276"/>
        <v>#REF!</v>
      </c>
      <c r="UTY247" s="29" t="e">
        <f t="shared" si="276"/>
        <v>#REF!</v>
      </c>
      <c r="UTZ247" s="29" t="e">
        <f t="shared" si="276"/>
        <v>#REF!</v>
      </c>
      <c r="UUA247" s="29" t="e">
        <f t="shared" si="276"/>
        <v>#REF!</v>
      </c>
      <c r="UUB247" s="29" t="e">
        <f t="shared" si="276"/>
        <v>#REF!</v>
      </c>
      <c r="UUC247" s="29" t="e">
        <f t="shared" si="276"/>
        <v>#REF!</v>
      </c>
      <c r="UUD247" s="29" t="e">
        <f t="shared" si="276"/>
        <v>#REF!</v>
      </c>
      <c r="UUE247" s="29" t="e">
        <f t="shared" si="276"/>
        <v>#REF!</v>
      </c>
      <c r="UUF247" s="29" t="e">
        <f t="shared" si="276"/>
        <v>#REF!</v>
      </c>
      <c r="UUG247" s="29" t="e">
        <f t="shared" si="276"/>
        <v>#REF!</v>
      </c>
      <c r="UUH247" s="29" t="e">
        <f t="shared" si="276"/>
        <v>#REF!</v>
      </c>
      <c r="UUI247" s="29" t="e">
        <f t="shared" si="276"/>
        <v>#REF!</v>
      </c>
      <c r="UUJ247" s="29" t="e">
        <f t="shared" si="276"/>
        <v>#REF!</v>
      </c>
      <c r="UUK247" s="29" t="e">
        <f t="shared" si="276"/>
        <v>#REF!</v>
      </c>
      <c r="UUL247" s="29" t="e">
        <f t="shared" si="276"/>
        <v>#REF!</v>
      </c>
      <c r="UUM247" s="29" t="e">
        <f t="shared" si="276"/>
        <v>#REF!</v>
      </c>
      <c r="UUN247" s="29" t="e">
        <f t="shared" si="276"/>
        <v>#REF!</v>
      </c>
      <c r="UUO247" s="29" t="e">
        <f t="shared" si="276"/>
        <v>#REF!</v>
      </c>
      <c r="UUP247" s="29" t="e">
        <f t="shared" si="276"/>
        <v>#REF!</v>
      </c>
      <c r="UUQ247" s="29" t="e">
        <f t="shared" si="276"/>
        <v>#REF!</v>
      </c>
      <c r="UUR247" s="29" t="e">
        <f t="shared" si="276"/>
        <v>#REF!</v>
      </c>
      <c r="UUS247" s="29" t="e">
        <f t="shared" si="276"/>
        <v>#REF!</v>
      </c>
      <c r="UUT247" s="29" t="e">
        <f t="shared" si="276"/>
        <v>#REF!</v>
      </c>
      <c r="UUU247" s="29" t="e">
        <f t="shared" si="276"/>
        <v>#REF!</v>
      </c>
      <c r="UUV247" s="29" t="e">
        <f t="shared" si="276"/>
        <v>#REF!</v>
      </c>
      <c r="UUW247" s="29" t="e">
        <f t="shared" si="276"/>
        <v>#REF!</v>
      </c>
      <c r="UUX247" s="29" t="e">
        <f t="shared" si="276"/>
        <v>#REF!</v>
      </c>
      <c r="UUY247" s="29" t="e">
        <f t="shared" si="276"/>
        <v>#REF!</v>
      </c>
      <c r="UUZ247" s="29" t="e">
        <f t="shared" si="276"/>
        <v>#REF!</v>
      </c>
      <c r="UVA247" s="29" t="e">
        <f t="shared" si="276"/>
        <v>#REF!</v>
      </c>
      <c r="UVB247" s="29" t="e">
        <f t="shared" si="276"/>
        <v>#REF!</v>
      </c>
      <c r="UVC247" s="29" t="e">
        <f t="shared" si="276"/>
        <v>#REF!</v>
      </c>
      <c r="UVD247" s="29" t="e">
        <f t="shared" si="276"/>
        <v>#REF!</v>
      </c>
      <c r="UVE247" s="29" t="e">
        <f t="shared" si="276"/>
        <v>#REF!</v>
      </c>
      <c r="UVF247" s="29" t="e">
        <f t="shared" si="276"/>
        <v>#REF!</v>
      </c>
      <c r="UVG247" s="29" t="e">
        <f t="shared" si="276"/>
        <v>#REF!</v>
      </c>
      <c r="UVH247" s="29" t="e">
        <f t="shared" si="276"/>
        <v>#REF!</v>
      </c>
      <c r="UVI247" s="29" t="e">
        <f t="shared" si="276"/>
        <v>#REF!</v>
      </c>
      <c r="UVJ247" s="29" t="e">
        <f t="shared" si="276"/>
        <v>#REF!</v>
      </c>
      <c r="UVK247" s="29" t="e">
        <f t="shared" si="276"/>
        <v>#REF!</v>
      </c>
      <c r="UVL247" s="29" t="e">
        <f t="shared" si="276"/>
        <v>#REF!</v>
      </c>
      <c r="UVM247" s="29" t="e">
        <f t="shared" si="276"/>
        <v>#REF!</v>
      </c>
      <c r="UVN247" s="29" t="e">
        <f t="shared" si="276"/>
        <v>#REF!</v>
      </c>
      <c r="UVO247" s="29" t="e">
        <f t="shared" si="276"/>
        <v>#REF!</v>
      </c>
      <c r="UVP247" s="29" t="e">
        <f t="shared" si="276"/>
        <v>#REF!</v>
      </c>
      <c r="UVQ247" s="29" t="e">
        <f t="shared" si="276"/>
        <v>#REF!</v>
      </c>
      <c r="UVR247" s="29" t="e">
        <f t="shared" si="276"/>
        <v>#REF!</v>
      </c>
      <c r="UVS247" s="29" t="e">
        <f t="shared" si="276"/>
        <v>#REF!</v>
      </c>
      <c r="UVT247" s="29" t="e">
        <f t="shared" si="276"/>
        <v>#REF!</v>
      </c>
      <c r="UVU247" s="29" t="e">
        <f t="shared" si="276"/>
        <v>#REF!</v>
      </c>
      <c r="UVV247" s="29" t="e">
        <f t="shared" si="276"/>
        <v>#REF!</v>
      </c>
      <c r="UVW247" s="29" t="e">
        <f t="shared" si="276"/>
        <v>#REF!</v>
      </c>
      <c r="UVX247" s="29" t="e">
        <f t="shared" si="276"/>
        <v>#REF!</v>
      </c>
      <c r="UVY247" s="29" t="e">
        <f t="shared" si="276"/>
        <v>#REF!</v>
      </c>
      <c r="UVZ247" s="29" t="e">
        <f t="shared" si="276"/>
        <v>#REF!</v>
      </c>
      <c r="UWA247" s="29" t="e">
        <f t="shared" si="276"/>
        <v>#REF!</v>
      </c>
      <c r="UWB247" s="29" t="e">
        <f t="shared" si="276"/>
        <v>#REF!</v>
      </c>
      <c r="UWC247" s="29" t="e">
        <f t="shared" si="276"/>
        <v>#REF!</v>
      </c>
      <c r="UWD247" s="29" t="e">
        <f t="shared" si="276"/>
        <v>#REF!</v>
      </c>
      <c r="UWE247" s="29" t="e">
        <f t="shared" si="276"/>
        <v>#REF!</v>
      </c>
      <c r="UWF247" s="29" t="e">
        <f t="shared" si="276"/>
        <v>#REF!</v>
      </c>
      <c r="UWG247" s="29" t="e">
        <f t="shared" ref="UWG247:UYR247" si="277">UWK247&amp;UWL247</f>
        <v>#REF!</v>
      </c>
      <c r="UWH247" s="29" t="e">
        <f t="shared" si="277"/>
        <v>#REF!</v>
      </c>
      <c r="UWI247" s="29" t="e">
        <f t="shared" si="277"/>
        <v>#REF!</v>
      </c>
      <c r="UWJ247" s="29" t="e">
        <f t="shared" si="277"/>
        <v>#REF!</v>
      </c>
      <c r="UWK247" s="29" t="e">
        <f t="shared" si="277"/>
        <v>#REF!</v>
      </c>
      <c r="UWL247" s="29" t="e">
        <f t="shared" si="277"/>
        <v>#REF!</v>
      </c>
      <c r="UWM247" s="29" t="e">
        <f t="shared" si="277"/>
        <v>#REF!</v>
      </c>
      <c r="UWN247" s="29" t="e">
        <f t="shared" si="277"/>
        <v>#REF!</v>
      </c>
      <c r="UWO247" s="29" t="e">
        <f t="shared" si="277"/>
        <v>#REF!</v>
      </c>
      <c r="UWP247" s="29" t="e">
        <f t="shared" si="277"/>
        <v>#REF!</v>
      </c>
      <c r="UWQ247" s="29" t="e">
        <f t="shared" si="277"/>
        <v>#REF!</v>
      </c>
      <c r="UWR247" s="29" t="e">
        <f t="shared" si="277"/>
        <v>#REF!</v>
      </c>
      <c r="UWS247" s="29" t="e">
        <f t="shared" si="277"/>
        <v>#REF!</v>
      </c>
      <c r="UWT247" s="29" t="e">
        <f t="shared" si="277"/>
        <v>#REF!</v>
      </c>
      <c r="UWU247" s="29" t="e">
        <f t="shared" si="277"/>
        <v>#REF!</v>
      </c>
      <c r="UWV247" s="29" t="e">
        <f t="shared" si="277"/>
        <v>#REF!</v>
      </c>
      <c r="UWW247" s="29" t="e">
        <f t="shared" si="277"/>
        <v>#REF!</v>
      </c>
      <c r="UWX247" s="29" t="e">
        <f t="shared" si="277"/>
        <v>#REF!</v>
      </c>
      <c r="UWY247" s="29" t="e">
        <f t="shared" si="277"/>
        <v>#REF!</v>
      </c>
      <c r="UWZ247" s="29" t="e">
        <f t="shared" si="277"/>
        <v>#REF!</v>
      </c>
      <c r="UXA247" s="29" t="e">
        <f t="shared" si="277"/>
        <v>#REF!</v>
      </c>
      <c r="UXB247" s="29" t="e">
        <f t="shared" si="277"/>
        <v>#REF!</v>
      </c>
      <c r="UXC247" s="29" t="e">
        <f t="shared" si="277"/>
        <v>#REF!</v>
      </c>
      <c r="UXD247" s="29" t="e">
        <f t="shared" si="277"/>
        <v>#REF!</v>
      </c>
      <c r="UXE247" s="29" t="e">
        <f t="shared" si="277"/>
        <v>#REF!</v>
      </c>
      <c r="UXF247" s="29" t="e">
        <f t="shared" si="277"/>
        <v>#REF!</v>
      </c>
      <c r="UXG247" s="29" t="e">
        <f t="shared" si="277"/>
        <v>#REF!</v>
      </c>
      <c r="UXH247" s="29" t="e">
        <f t="shared" si="277"/>
        <v>#REF!</v>
      </c>
      <c r="UXI247" s="29" t="e">
        <f t="shared" si="277"/>
        <v>#REF!</v>
      </c>
      <c r="UXJ247" s="29" t="e">
        <f t="shared" si="277"/>
        <v>#REF!</v>
      </c>
      <c r="UXK247" s="29" t="e">
        <f t="shared" si="277"/>
        <v>#REF!</v>
      </c>
      <c r="UXL247" s="29" t="e">
        <f t="shared" si="277"/>
        <v>#REF!</v>
      </c>
      <c r="UXM247" s="29" t="e">
        <f t="shared" si="277"/>
        <v>#REF!</v>
      </c>
      <c r="UXN247" s="29" t="e">
        <f t="shared" si="277"/>
        <v>#REF!</v>
      </c>
      <c r="UXO247" s="29" t="e">
        <f t="shared" si="277"/>
        <v>#REF!</v>
      </c>
      <c r="UXP247" s="29" t="e">
        <f t="shared" si="277"/>
        <v>#REF!</v>
      </c>
      <c r="UXQ247" s="29" t="e">
        <f t="shared" si="277"/>
        <v>#REF!</v>
      </c>
      <c r="UXR247" s="29" t="e">
        <f t="shared" si="277"/>
        <v>#REF!</v>
      </c>
      <c r="UXS247" s="29" t="e">
        <f t="shared" si="277"/>
        <v>#REF!</v>
      </c>
      <c r="UXT247" s="29" t="e">
        <f t="shared" si="277"/>
        <v>#REF!</v>
      </c>
      <c r="UXU247" s="29" t="e">
        <f t="shared" si="277"/>
        <v>#REF!</v>
      </c>
      <c r="UXV247" s="29" t="e">
        <f t="shared" si="277"/>
        <v>#REF!</v>
      </c>
      <c r="UXW247" s="29" t="e">
        <f t="shared" si="277"/>
        <v>#REF!</v>
      </c>
      <c r="UXX247" s="29" t="e">
        <f t="shared" si="277"/>
        <v>#REF!</v>
      </c>
      <c r="UXY247" s="29" t="e">
        <f t="shared" si="277"/>
        <v>#REF!</v>
      </c>
      <c r="UXZ247" s="29" t="e">
        <f t="shared" si="277"/>
        <v>#REF!</v>
      </c>
      <c r="UYA247" s="29" t="e">
        <f t="shared" si="277"/>
        <v>#REF!</v>
      </c>
      <c r="UYB247" s="29" t="e">
        <f t="shared" si="277"/>
        <v>#REF!</v>
      </c>
      <c r="UYC247" s="29" t="e">
        <f t="shared" si="277"/>
        <v>#REF!</v>
      </c>
      <c r="UYD247" s="29" t="e">
        <f t="shared" si="277"/>
        <v>#REF!</v>
      </c>
      <c r="UYE247" s="29" t="e">
        <f t="shared" si="277"/>
        <v>#REF!</v>
      </c>
      <c r="UYF247" s="29" t="e">
        <f t="shared" si="277"/>
        <v>#REF!</v>
      </c>
      <c r="UYG247" s="29" t="e">
        <f t="shared" si="277"/>
        <v>#REF!</v>
      </c>
      <c r="UYH247" s="29" t="e">
        <f t="shared" si="277"/>
        <v>#REF!</v>
      </c>
      <c r="UYI247" s="29" t="e">
        <f t="shared" si="277"/>
        <v>#REF!</v>
      </c>
      <c r="UYJ247" s="29" t="e">
        <f t="shared" si="277"/>
        <v>#REF!</v>
      </c>
      <c r="UYK247" s="29" t="e">
        <f t="shared" si="277"/>
        <v>#REF!</v>
      </c>
      <c r="UYL247" s="29" t="e">
        <f t="shared" si="277"/>
        <v>#REF!</v>
      </c>
      <c r="UYM247" s="29" t="e">
        <f t="shared" si="277"/>
        <v>#REF!</v>
      </c>
      <c r="UYN247" s="29" t="e">
        <f t="shared" si="277"/>
        <v>#REF!</v>
      </c>
      <c r="UYO247" s="29" t="e">
        <f t="shared" si="277"/>
        <v>#REF!</v>
      </c>
      <c r="UYP247" s="29" t="e">
        <f t="shared" si="277"/>
        <v>#REF!</v>
      </c>
      <c r="UYQ247" s="29" t="e">
        <f t="shared" si="277"/>
        <v>#REF!</v>
      </c>
      <c r="UYR247" s="29" t="e">
        <f t="shared" si="277"/>
        <v>#REF!</v>
      </c>
      <c r="UYS247" s="29" t="e">
        <f t="shared" ref="UYS247:VBD247" si="278">UYW247&amp;UYX247</f>
        <v>#REF!</v>
      </c>
      <c r="UYT247" s="29" t="e">
        <f t="shared" si="278"/>
        <v>#REF!</v>
      </c>
      <c r="UYU247" s="29" t="e">
        <f t="shared" si="278"/>
        <v>#REF!</v>
      </c>
      <c r="UYV247" s="29" t="e">
        <f t="shared" si="278"/>
        <v>#REF!</v>
      </c>
      <c r="UYW247" s="29" t="e">
        <f t="shared" si="278"/>
        <v>#REF!</v>
      </c>
      <c r="UYX247" s="29" t="e">
        <f t="shared" si="278"/>
        <v>#REF!</v>
      </c>
      <c r="UYY247" s="29" t="e">
        <f t="shared" si="278"/>
        <v>#REF!</v>
      </c>
      <c r="UYZ247" s="29" t="e">
        <f t="shared" si="278"/>
        <v>#REF!</v>
      </c>
      <c r="UZA247" s="29" t="e">
        <f t="shared" si="278"/>
        <v>#REF!</v>
      </c>
      <c r="UZB247" s="29" t="e">
        <f t="shared" si="278"/>
        <v>#REF!</v>
      </c>
      <c r="UZC247" s="29" t="e">
        <f t="shared" si="278"/>
        <v>#REF!</v>
      </c>
      <c r="UZD247" s="29" t="e">
        <f t="shared" si="278"/>
        <v>#REF!</v>
      </c>
      <c r="UZE247" s="29" t="e">
        <f t="shared" si="278"/>
        <v>#REF!</v>
      </c>
      <c r="UZF247" s="29" t="e">
        <f t="shared" si="278"/>
        <v>#REF!</v>
      </c>
      <c r="UZG247" s="29" t="e">
        <f t="shared" si="278"/>
        <v>#REF!</v>
      </c>
      <c r="UZH247" s="29" t="e">
        <f t="shared" si="278"/>
        <v>#REF!</v>
      </c>
      <c r="UZI247" s="29" t="e">
        <f t="shared" si="278"/>
        <v>#REF!</v>
      </c>
      <c r="UZJ247" s="29" t="e">
        <f t="shared" si="278"/>
        <v>#REF!</v>
      </c>
      <c r="UZK247" s="29" t="e">
        <f t="shared" si="278"/>
        <v>#REF!</v>
      </c>
      <c r="UZL247" s="29" t="e">
        <f t="shared" si="278"/>
        <v>#REF!</v>
      </c>
      <c r="UZM247" s="29" t="e">
        <f t="shared" si="278"/>
        <v>#REF!</v>
      </c>
      <c r="UZN247" s="29" t="e">
        <f t="shared" si="278"/>
        <v>#REF!</v>
      </c>
      <c r="UZO247" s="29" t="e">
        <f t="shared" si="278"/>
        <v>#REF!</v>
      </c>
      <c r="UZP247" s="29" t="e">
        <f t="shared" si="278"/>
        <v>#REF!</v>
      </c>
      <c r="UZQ247" s="29" t="e">
        <f t="shared" si="278"/>
        <v>#REF!</v>
      </c>
      <c r="UZR247" s="29" t="e">
        <f t="shared" si="278"/>
        <v>#REF!</v>
      </c>
      <c r="UZS247" s="29" t="e">
        <f t="shared" si="278"/>
        <v>#REF!</v>
      </c>
      <c r="UZT247" s="29" t="e">
        <f t="shared" si="278"/>
        <v>#REF!</v>
      </c>
      <c r="UZU247" s="29" t="e">
        <f t="shared" si="278"/>
        <v>#REF!</v>
      </c>
      <c r="UZV247" s="29" t="e">
        <f t="shared" si="278"/>
        <v>#REF!</v>
      </c>
      <c r="UZW247" s="29" t="e">
        <f t="shared" si="278"/>
        <v>#REF!</v>
      </c>
      <c r="UZX247" s="29" t="e">
        <f t="shared" si="278"/>
        <v>#REF!</v>
      </c>
      <c r="UZY247" s="29" t="e">
        <f t="shared" si="278"/>
        <v>#REF!</v>
      </c>
      <c r="UZZ247" s="29" t="e">
        <f t="shared" si="278"/>
        <v>#REF!</v>
      </c>
      <c r="VAA247" s="29" t="e">
        <f t="shared" si="278"/>
        <v>#REF!</v>
      </c>
      <c r="VAB247" s="29" t="e">
        <f t="shared" si="278"/>
        <v>#REF!</v>
      </c>
      <c r="VAC247" s="29" t="e">
        <f t="shared" si="278"/>
        <v>#REF!</v>
      </c>
      <c r="VAD247" s="29" t="e">
        <f t="shared" si="278"/>
        <v>#REF!</v>
      </c>
      <c r="VAE247" s="29" t="e">
        <f t="shared" si="278"/>
        <v>#REF!</v>
      </c>
      <c r="VAF247" s="29" t="e">
        <f t="shared" si="278"/>
        <v>#REF!</v>
      </c>
      <c r="VAG247" s="29" t="e">
        <f t="shared" si="278"/>
        <v>#REF!</v>
      </c>
      <c r="VAH247" s="29" t="e">
        <f t="shared" si="278"/>
        <v>#REF!</v>
      </c>
      <c r="VAI247" s="29" t="e">
        <f t="shared" si="278"/>
        <v>#REF!</v>
      </c>
      <c r="VAJ247" s="29" t="e">
        <f t="shared" si="278"/>
        <v>#REF!</v>
      </c>
      <c r="VAK247" s="29" t="e">
        <f t="shared" si="278"/>
        <v>#REF!</v>
      </c>
      <c r="VAL247" s="29" t="e">
        <f t="shared" si="278"/>
        <v>#REF!</v>
      </c>
      <c r="VAM247" s="29" t="e">
        <f t="shared" si="278"/>
        <v>#REF!</v>
      </c>
      <c r="VAN247" s="29" t="e">
        <f t="shared" si="278"/>
        <v>#REF!</v>
      </c>
      <c r="VAO247" s="29" t="e">
        <f t="shared" si="278"/>
        <v>#REF!</v>
      </c>
      <c r="VAP247" s="29" t="e">
        <f t="shared" si="278"/>
        <v>#REF!</v>
      </c>
      <c r="VAQ247" s="29" t="e">
        <f t="shared" si="278"/>
        <v>#REF!</v>
      </c>
      <c r="VAR247" s="29" t="e">
        <f t="shared" si="278"/>
        <v>#REF!</v>
      </c>
      <c r="VAS247" s="29" t="e">
        <f t="shared" si="278"/>
        <v>#REF!</v>
      </c>
      <c r="VAT247" s="29" t="e">
        <f t="shared" si="278"/>
        <v>#REF!</v>
      </c>
      <c r="VAU247" s="29" t="e">
        <f t="shared" si="278"/>
        <v>#REF!</v>
      </c>
      <c r="VAV247" s="29" t="e">
        <f t="shared" si="278"/>
        <v>#REF!</v>
      </c>
      <c r="VAW247" s="29" t="e">
        <f t="shared" si="278"/>
        <v>#REF!</v>
      </c>
      <c r="VAX247" s="29" t="e">
        <f t="shared" si="278"/>
        <v>#REF!</v>
      </c>
      <c r="VAY247" s="29" t="e">
        <f t="shared" si="278"/>
        <v>#REF!</v>
      </c>
      <c r="VAZ247" s="29" t="e">
        <f t="shared" si="278"/>
        <v>#REF!</v>
      </c>
      <c r="VBA247" s="29" t="e">
        <f t="shared" si="278"/>
        <v>#REF!</v>
      </c>
      <c r="VBB247" s="29" t="e">
        <f t="shared" si="278"/>
        <v>#REF!</v>
      </c>
      <c r="VBC247" s="29" t="e">
        <f t="shared" si="278"/>
        <v>#REF!</v>
      </c>
      <c r="VBD247" s="29" t="e">
        <f t="shared" si="278"/>
        <v>#REF!</v>
      </c>
      <c r="VBE247" s="29" t="e">
        <f t="shared" ref="VBE247:VDP247" si="279">VBI247&amp;VBJ247</f>
        <v>#REF!</v>
      </c>
      <c r="VBF247" s="29" t="e">
        <f t="shared" si="279"/>
        <v>#REF!</v>
      </c>
      <c r="VBG247" s="29" t="e">
        <f t="shared" si="279"/>
        <v>#REF!</v>
      </c>
      <c r="VBH247" s="29" t="e">
        <f t="shared" si="279"/>
        <v>#REF!</v>
      </c>
      <c r="VBI247" s="29" t="e">
        <f t="shared" si="279"/>
        <v>#REF!</v>
      </c>
      <c r="VBJ247" s="29" t="e">
        <f t="shared" si="279"/>
        <v>#REF!</v>
      </c>
      <c r="VBK247" s="29" t="e">
        <f t="shared" si="279"/>
        <v>#REF!</v>
      </c>
      <c r="VBL247" s="29" t="e">
        <f t="shared" si="279"/>
        <v>#REF!</v>
      </c>
      <c r="VBM247" s="29" t="e">
        <f t="shared" si="279"/>
        <v>#REF!</v>
      </c>
      <c r="VBN247" s="29" t="e">
        <f t="shared" si="279"/>
        <v>#REF!</v>
      </c>
      <c r="VBO247" s="29" t="e">
        <f t="shared" si="279"/>
        <v>#REF!</v>
      </c>
      <c r="VBP247" s="29" t="e">
        <f t="shared" si="279"/>
        <v>#REF!</v>
      </c>
      <c r="VBQ247" s="29" t="e">
        <f t="shared" si="279"/>
        <v>#REF!</v>
      </c>
      <c r="VBR247" s="29" t="e">
        <f t="shared" si="279"/>
        <v>#REF!</v>
      </c>
      <c r="VBS247" s="29" t="e">
        <f t="shared" si="279"/>
        <v>#REF!</v>
      </c>
      <c r="VBT247" s="29" t="e">
        <f t="shared" si="279"/>
        <v>#REF!</v>
      </c>
      <c r="VBU247" s="29" t="e">
        <f t="shared" si="279"/>
        <v>#REF!</v>
      </c>
      <c r="VBV247" s="29" t="e">
        <f t="shared" si="279"/>
        <v>#REF!</v>
      </c>
      <c r="VBW247" s="29" t="e">
        <f t="shared" si="279"/>
        <v>#REF!</v>
      </c>
      <c r="VBX247" s="29" t="e">
        <f t="shared" si="279"/>
        <v>#REF!</v>
      </c>
      <c r="VBY247" s="29" t="e">
        <f t="shared" si="279"/>
        <v>#REF!</v>
      </c>
      <c r="VBZ247" s="29" t="e">
        <f t="shared" si="279"/>
        <v>#REF!</v>
      </c>
      <c r="VCA247" s="29" t="e">
        <f t="shared" si="279"/>
        <v>#REF!</v>
      </c>
      <c r="VCB247" s="29" t="e">
        <f t="shared" si="279"/>
        <v>#REF!</v>
      </c>
      <c r="VCC247" s="29" t="e">
        <f t="shared" si="279"/>
        <v>#REF!</v>
      </c>
      <c r="VCD247" s="29" t="e">
        <f t="shared" si="279"/>
        <v>#REF!</v>
      </c>
      <c r="VCE247" s="29" t="e">
        <f t="shared" si="279"/>
        <v>#REF!</v>
      </c>
      <c r="VCF247" s="29" t="e">
        <f t="shared" si="279"/>
        <v>#REF!</v>
      </c>
      <c r="VCG247" s="29" t="e">
        <f t="shared" si="279"/>
        <v>#REF!</v>
      </c>
      <c r="VCH247" s="29" t="e">
        <f t="shared" si="279"/>
        <v>#REF!</v>
      </c>
      <c r="VCI247" s="29" t="e">
        <f t="shared" si="279"/>
        <v>#REF!</v>
      </c>
      <c r="VCJ247" s="29" t="e">
        <f t="shared" si="279"/>
        <v>#REF!</v>
      </c>
      <c r="VCK247" s="29" t="e">
        <f t="shared" si="279"/>
        <v>#REF!</v>
      </c>
      <c r="VCL247" s="29" t="e">
        <f t="shared" si="279"/>
        <v>#REF!</v>
      </c>
      <c r="VCM247" s="29" t="e">
        <f t="shared" si="279"/>
        <v>#REF!</v>
      </c>
      <c r="VCN247" s="29" t="e">
        <f t="shared" si="279"/>
        <v>#REF!</v>
      </c>
      <c r="VCO247" s="29" t="e">
        <f t="shared" si="279"/>
        <v>#REF!</v>
      </c>
      <c r="VCP247" s="29" t="e">
        <f t="shared" si="279"/>
        <v>#REF!</v>
      </c>
      <c r="VCQ247" s="29" t="e">
        <f t="shared" si="279"/>
        <v>#REF!</v>
      </c>
      <c r="VCR247" s="29" t="e">
        <f t="shared" si="279"/>
        <v>#REF!</v>
      </c>
      <c r="VCS247" s="29" t="e">
        <f t="shared" si="279"/>
        <v>#REF!</v>
      </c>
      <c r="VCT247" s="29" t="e">
        <f t="shared" si="279"/>
        <v>#REF!</v>
      </c>
      <c r="VCU247" s="29" t="e">
        <f t="shared" si="279"/>
        <v>#REF!</v>
      </c>
      <c r="VCV247" s="29" t="e">
        <f t="shared" si="279"/>
        <v>#REF!</v>
      </c>
      <c r="VCW247" s="29" t="e">
        <f t="shared" si="279"/>
        <v>#REF!</v>
      </c>
      <c r="VCX247" s="29" t="e">
        <f t="shared" si="279"/>
        <v>#REF!</v>
      </c>
      <c r="VCY247" s="29" t="e">
        <f t="shared" si="279"/>
        <v>#REF!</v>
      </c>
      <c r="VCZ247" s="29" t="e">
        <f t="shared" si="279"/>
        <v>#REF!</v>
      </c>
      <c r="VDA247" s="29" t="e">
        <f t="shared" si="279"/>
        <v>#REF!</v>
      </c>
      <c r="VDB247" s="29" t="e">
        <f t="shared" si="279"/>
        <v>#REF!</v>
      </c>
      <c r="VDC247" s="29" t="e">
        <f t="shared" si="279"/>
        <v>#REF!</v>
      </c>
      <c r="VDD247" s="29" t="e">
        <f t="shared" si="279"/>
        <v>#REF!</v>
      </c>
      <c r="VDE247" s="29" t="e">
        <f t="shared" si="279"/>
        <v>#REF!</v>
      </c>
      <c r="VDF247" s="29" t="e">
        <f t="shared" si="279"/>
        <v>#REF!</v>
      </c>
      <c r="VDG247" s="29" t="e">
        <f t="shared" si="279"/>
        <v>#REF!</v>
      </c>
      <c r="VDH247" s="29" t="e">
        <f t="shared" si="279"/>
        <v>#REF!</v>
      </c>
      <c r="VDI247" s="29" t="e">
        <f t="shared" si="279"/>
        <v>#REF!</v>
      </c>
      <c r="VDJ247" s="29" t="e">
        <f t="shared" si="279"/>
        <v>#REF!</v>
      </c>
      <c r="VDK247" s="29" t="e">
        <f t="shared" si="279"/>
        <v>#REF!</v>
      </c>
      <c r="VDL247" s="29" t="e">
        <f t="shared" si="279"/>
        <v>#REF!</v>
      </c>
      <c r="VDM247" s="29" t="e">
        <f t="shared" si="279"/>
        <v>#REF!</v>
      </c>
      <c r="VDN247" s="29" t="e">
        <f t="shared" si="279"/>
        <v>#REF!</v>
      </c>
      <c r="VDO247" s="29" t="e">
        <f t="shared" si="279"/>
        <v>#REF!</v>
      </c>
      <c r="VDP247" s="29" t="e">
        <f t="shared" si="279"/>
        <v>#REF!</v>
      </c>
      <c r="VDQ247" s="29" t="e">
        <f t="shared" ref="VDQ247:VGB247" si="280">VDU247&amp;VDV247</f>
        <v>#REF!</v>
      </c>
      <c r="VDR247" s="29" t="e">
        <f t="shared" si="280"/>
        <v>#REF!</v>
      </c>
      <c r="VDS247" s="29" t="e">
        <f t="shared" si="280"/>
        <v>#REF!</v>
      </c>
      <c r="VDT247" s="29" t="e">
        <f t="shared" si="280"/>
        <v>#REF!</v>
      </c>
      <c r="VDU247" s="29" t="e">
        <f t="shared" si="280"/>
        <v>#REF!</v>
      </c>
      <c r="VDV247" s="29" t="e">
        <f t="shared" si="280"/>
        <v>#REF!</v>
      </c>
      <c r="VDW247" s="29" t="e">
        <f t="shared" si="280"/>
        <v>#REF!</v>
      </c>
      <c r="VDX247" s="29" t="e">
        <f t="shared" si="280"/>
        <v>#REF!</v>
      </c>
      <c r="VDY247" s="29" t="e">
        <f t="shared" si="280"/>
        <v>#REF!</v>
      </c>
      <c r="VDZ247" s="29" t="e">
        <f t="shared" si="280"/>
        <v>#REF!</v>
      </c>
      <c r="VEA247" s="29" t="e">
        <f t="shared" si="280"/>
        <v>#REF!</v>
      </c>
      <c r="VEB247" s="29" t="e">
        <f t="shared" si="280"/>
        <v>#REF!</v>
      </c>
      <c r="VEC247" s="29" t="e">
        <f t="shared" si="280"/>
        <v>#REF!</v>
      </c>
      <c r="VED247" s="29" t="e">
        <f t="shared" si="280"/>
        <v>#REF!</v>
      </c>
      <c r="VEE247" s="29" t="e">
        <f t="shared" si="280"/>
        <v>#REF!</v>
      </c>
      <c r="VEF247" s="29" t="e">
        <f t="shared" si="280"/>
        <v>#REF!</v>
      </c>
      <c r="VEG247" s="29" t="e">
        <f t="shared" si="280"/>
        <v>#REF!</v>
      </c>
      <c r="VEH247" s="29" t="e">
        <f t="shared" si="280"/>
        <v>#REF!</v>
      </c>
      <c r="VEI247" s="29" t="e">
        <f t="shared" si="280"/>
        <v>#REF!</v>
      </c>
      <c r="VEJ247" s="29" t="e">
        <f t="shared" si="280"/>
        <v>#REF!</v>
      </c>
      <c r="VEK247" s="29" t="e">
        <f t="shared" si="280"/>
        <v>#REF!</v>
      </c>
      <c r="VEL247" s="29" t="e">
        <f t="shared" si="280"/>
        <v>#REF!</v>
      </c>
      <c r="VEM247" s="29" t="e">
        <f t="shared" si="280"/>
        <v>#REF!</v>
      </c>
      <c r="VEN247" s="29" t="e">
        <f t="shared" si="280"/>
        <v>#REF!</v>
      </c>
      <c r="VEO247" s="29" t="e">
        <f t="shared" si="280"/>
        <v>#REF!</v>
      </c>
      <c r="VEP247" s="29" t="e">
        <f t="shared" si="280"/>
        <v>#REF!</v>
      </c>
      <c r="VEQ247" s="29" t="e">
        <f t="shared" si="280"/>
        <v>#REF!</v>
      </c>
      <c r="VER247" s="29" t="e">
        <f t="shared" si="280"/>
        <v>#REF!</v>
      </c>
      <c r="VES247" s="29" t="e">
        <f t="shared" si="280"/>
        <v>#REF!</v>
      </c>
      <c r="VET247" s="29" t="e">
        <f t="shared" si="280"/>
        <v>#REF!</v>
      </c>
      <c r="VEU247" s="29" t="e">
        <f t="shared" si="280"/>
        <v>#REF!</v>
      </c>
      <c r="VEV247" s="29" t="e">
        <f t="shared" si="280"/>
        <v>#REF!</v>
      </c>
      <c r="VEW247" s="29" t="e">
        <f t="shared" si="280"/>
        <v>#REF!</v>
      </c>
      <c r="VEX247" s="29" t="e">
        <f t="shared" si="280"/>
        <v>#REF!</v>
      </c>
      <c r="VEY247" s="29" t="e">
        <f t="shared" si="280"/>
        <v>#REF!</v>
      </c>
      <c r="VEZ247" s="29" t="e">
        <f t="shared" si="280"/>
        <v>#REF!</v>
      </c>
      <c r="VFA247" s="29" t="e">
        <f t="shared" si="280"/>
        <v>#REF!</v>
      </c>
      <c r="VFB247" s="29" t="e">
        <f t="shared" si="280"/>
        <v>#REF!</v>
      </c>
      <c r="VFC247" s="29" t="e">
        <f t="shared" si="280"/>
        <v>#REF!</v>
      </c>
      <c r="VFD247" s="29" t="e">
        <f t="shared" si="280"/>
        <v>#REF!</v>
      </c>
      <c r="VFE247" s="29" t="e">
        <f t="shared" si="280"/>
        <v>#REF!</v>
      </c>
      <c r="VFF247" s="29" t="e">
        <f t="shared" si="280"/>
        <v>#REF!</v>
      </c>
      <c r="VFG247" s="29" t="e">
        <f t="shared" si="280"/>
        <v>#REF!</v>
      </c>
      <c r="VFH247" s="29" t="e">
        <f t="shared" si="280"/>
        <v>#REF!</v>
      </c>
      <c r="VFI247" s="29" t="e">
        <f t="shared" si="280"/>
        <v>#REF!</v>
      </c>
      <c r="VFJ247" s="29" t="e">
        <f t="shared" si="280"/>
        <v>#REF!</v>
      </c>
      <c r="VFK247" s="29" t="e">
        <f t="shared" si="280"/>
        <v>#REF!</v>
      </c>
      <c r="VFL247" s="29" t="e">
        <f t="shared" si="280"/>
        <v>#REF!</v>
      </c>
      <c r="VFM247" s="29" t="e">
        <f t="shared" si="280"/>
        <v>#REF!</v>
      </c>
      <c r="VFN247" s="29" t="e">
        <f t="shared" si="280"/>
        <v>#REF!</v>
      </c>
      <c r="VFO247" s="29" t="e">
        <f t="shared" si="280"/>
        <v>#REF!</v>
      </c>
      <c r="VFP247" s="29" t="e">
        <f t="shared" si="280"/>
        <v>#REF!</v>
      </c>
      <c r="VFQ247" s="29" t="e">
        <f t="shared" si="280"/>
        <v>#REF!</v>
      </c>
      <c r="VFR247" s="29" t="e">
        <f t="shared" si="280"/>
        <v>#REF!</v>
      </c>
      <c r="VFS247" s="29" t="e">
        <f t="shared" si="280"/>
        <v>#REF!</v>
      </c>
      <c r="VFT247" s="29" t="e">
        <f t="shared" si="280"/>
        <v>#REF!</v>
      </c>
      <c r="VFU247" s="29" t="e">
        <f t="shared" si="280"/>
        <v>#REF!</v>
      </c>
      <c r="VFV247" s="29" t="e">
        <f t="shared" si="280"/>
        <v>#REF!</v>
      </c>
      <c r="VFW247" s="29" t="e">
        <f t="shared" si="280"/>
        <v>#REF!</v>
      </c>
      <c r="VFX247" s="29" t="e">
        <f t="shared" si="280"/>
        <v>#REF!</v>
      </c>
      <c r="VFY247" s="29" t="e">
        <f t="shared" si="280"/>
        <v>#REF!</v>
      </c>
      <c r="VFZ247" s="29" t="e">
        <f t="shared" si="280"/>
        <v>#REF!</v>
      </c>
      <c r="VGA247" s="29" t="e">
        <f t="shared" si="280"/>
        <v>#REF!</v>
      </c>
      <c r="VGB247" s="29" t="e">
        <f t="shared" si="280"/>
        <v>#REF!</v>
      </c>
      <c r="VGC247" s="29" t="e">
        <f t="shared" ref="VGC247:VIN247" si="281">VGG247&amp;VGH247</f>
        <v>#REF!</v>
      </c>
      <c r="VGD247" s="29" t="e">
        <f t="shared" si="281"/>
        <v>#REF!</v>
      </c>
      <c r="VGE247" s="29" t="e">
        <f t="shared" si="281"/>
        <v>#REF!</v>
      </c>
      <c r="VGF247" s="29" t="e">
        <f t="shared" si="281"/>
        <v>#REF!</v>
      </c>
      <c r="VGG247" s="29" t="e">
        <f t="shared" si="281"/>
        <v>#REF!</v>
      </c>
      <c r="VGH247" s="29" t="e">
        <f t="shared" si="281"/>
        <v>#REF!</v>
      </c>
      <c r="VGI247" s="29" t="e">
        <f t="shared" si="281"/>
        <v>#REF!</v>
      </c>
      <c r="VGJ247" s="29" t="e">
        <f t="shared" si="281"/>
        <v>#REF!</v>
      </c>
      <c r="VGK247" s="29" t="e">
        <f t="shared" si="281"/>
        <v>#REF!</v>
      </c>
      <c r="VGL247" s="29" t="e">
        <f t="shared" si="281"/>
        <v>#REF!</v>
      </c>
      <c r="VGM247" s="29" t="e">
        <f t="shared" si="281"/>
        <v>#REF!</v>
      </c>
      <c r="VGN247" s="29" t="e">
        <f t="shared" si="281"/>
        <v>#REF!</v>
      </c>
      <c r="VGO247" s="29" t="e">
        <f t="shared" si="281"/>
        <v>#REF!</v>
      </c>
      <c r="VGP247" s="29" t="e">
        <f t="shared" si="281"/>
        <v>#REF!</v>
      </c>
      <c r="VGQ247" s="29" t="e">
        <f t="shared" si="281"/>
        <v>#REF!</v>
      </c>
      <c r="VGR247" s="29" t="e">
        <f t="shared" si="281"/>
        <v>#REF!</v>
      </c>
      <c r="VGS247" s="29" t="e">
        <f t="shared" si="281"/>
        <v>#REF!</v>
      </c>
      <c r="VGT247" s="29" t="e">
        <f t="shared" si="281"/>
        <v>#REF!</v>
      </c>
      <c r="VGU247" s="29" t="e">
        <f t="shared" si="281"/>
        <v>#REF!</v>
      </c>
      <c r="VGV247" s="29" t="e">
        <f t="shared" si="281"/>
        <v>#REF!</v>
      </c>
      <c r="VGW247" s="29" t="e">
        <f t="shared" si="281"/>
        <v>#REF!</v>
      </c>
      <c r="VGX247" s="29" t="e">
        <f t="shared" si="281"/>
        <v>#REF!</v>
      </c>
      <c r="VGY247" s="29" t="e">
        <f t="shared" si="281"/>
        <v>#REF!</v>
      </c>
      <c r="VGZ247" s="29" t="e">
        <f t="shared" si="281"/>
        <v>#REF!</v>
      </c>
      <c r="VHA247" s="29" t="e">
        <f t="shared" si="281"/>
        <v>#REF!</v>
      </c>
      <c r="VHB247" s="29" t="e">
        <f t="shared" si="281"/>
        <v>#REF!</v>
      </c>
      <c r="VHC247" s="29" t="e">
        <f t="shared" si="281"/>
        <v>#REF!</v>
      </c>
      <c r="VHD247" s="29" t="e">
        <f t="shared" si="281"/>
        <v>#REF!</v>
      </c>
      <c r="VHE247" s="29" t="e">
        <f t="shared" si="281"/>
        <v>#REF!</v>
      </c>
      <c r="VHF247" s="29" t="e">
        <f t="shared" si="281"/>
        <v>#REF!</v>
      </c>
      <c r="VHG247" s="29" t="e">
        <f t="shared" si="281"/>
        <v>#REF!</v>
      </c>
      <c r="VHH247" s="29" t="e">
        <f t="shared" si="281"/>
        <v>#REF!</v>
      </c>
      <c r="VHI247" s="29" t="e">
        <f t="shared" si="281"/>
        <v>#REF!</v>
      </c>
      <c r="VHJ247" s="29" t="e">
        <f t="shared" si="281"/>
        <v>#REF!</v>
      </c>
      <c r="VHK247" s="29" t="e">
        <f t="shared" si="281"/>
        <v>#REF!</v>
      </c>
      <c r="VHL247" s="29" t="e">
        <f t="shared" si="281"/>
        <v>#REF!</v>
      </c>
      <c r="VHM247" s="29" t="e">
        <f t="shared" si="281"/>
        <v>#REF!</v>
      </c>
      <c r="VHN247" s="29" t="e">
        <f t="shared" si="281"/>
        <v>#REF!</v>
      </c>
      <c r="VHO247" s="29" t="e">
        <f t="shared" si="281"/>
        <v>#REF!</v>
      </c>
      <c r="VHP247" s="29" t="e">
        <f t="shared" si="281"/>
        <v>#REF!</v>
      </c>
      <c r="VHQ247" s="29" t="e">
        <f t="shared" si="281"/>
        <v>#REF!</v>
      </c>
      <c r="VHR247" s="29" t="e">
        <f t="shared" si="281"/>
        <v>#REF!</v>
      </c>
      <c r="VHS247" s="29" t="e">
        <f t="shared" si="281"/>
        <v>#REF!</v>
      </c>
      <c r="VHT247" s="29" t="e">
        <f t="shared" si="281"/>
        <v>#REF!</v>
      </c>
      <c r="VHU247" s="29" t="e">
        <f t="shared" si="281"/>
        <v>#REF!</v>
      </c>
      <c r="VHV247" s="29" t="e">
        <f t="shared" si="281"/>
        <v>#REF!</v>
      </c>
      <c r="VHW247" s="29" t="e">
        <f t="shared" si="281"/>
        <v>#REF!</v>
      </c>
      <c r="VHX247" s="29" t="e">
        <f t="shared" si="281"/>
        <v>#REF!</v>
      </c>
      <c r="VHY247" s="29" t="e">
        <f t="shared" si="281"/>
        <v>#REF!</v>
      </c>
      <c r="VHZ247" s="29" t="e">
        <f t="shared" si="281"/>
        <v>#REF!</v>
      </c>
      <c r="VIA247" s="29" t="e">
        <f t="shared" si="281"/>
        <v>#REF!</v>
      </c>
      <c r="VIB247" s="29" t="e">
        <f t="shared" si="281"/>
        <v>#REF!</v>
      </c>
      <c r="VIC247" s="29" t="e">
        <f t="shared" si="281"/>
        <v>#REF!</v>
      </c>
      <c r="VID247" s="29" t="e">
        <f t="shared" si="281"/>
        <v>#REF!</v>
      </c>
      <c r="VIE247" s="29" t="e">
        <f t="shared" si="281"/>
        <v>#REF!</v>
      </c>
      <c r="VIF247" s="29" t="e">
        <f t="shared" si="281"/>
        <v>#REF!</v>
      </c>
      <c r="VIG247" s="29" t="e">
        <f t="shared" si="281"/>
        <v>#REF!</v>
      </c>
      <c r="VIH247" s="29" t="e">
        <f t="shared" si="281"/>
        <v>#REF!</v>
      </c>
      <c r="VII247" s="29" t="e">
        <f t="shared" si="281"/>
        <v>#REF!</v>
      </c>
      <c r="VIJ247" s="29" t="e">
        <f t="shared" si="281"/>
        <v>#REF!</v>
      </c>
      <c r="VIK247" s="29" t="e">
        <f t="shared" si="281"/>
        <v>#REF!</v>
      </c>
      <c r="VIL247" s="29" t="e">
        <f t="shared" si="281"/>
        <v>#REF!</v>
      </c>
      <c r="VIM247" s="29" t="e">
        <f t="shared" si="281"/>
        <v>#REF!</v>
      </c>
      <c r="VIN247" s="29" t="e">
        <f t="shared" si="281"/>
        <v>#REF!</v>
      </c>
      <c r="VIO247" s="29" t="e">
        <f t="shared" ref="VIO247:VKZ247" si="282">VIS247&amp;VIT247</f>
        <v>#REF!</v>
      </c>
      <c r="VIP247" s="29" t="e">
        <f t="shared" si="282"/>
        <v>#REF!</v>
      </c>
      <c r="VIQ247" s="29" t="e">
        <f t="shared" si="282"/>
        <v>#REF!</v>
      </c>
      <c r="VIR247" s="29" t="e">
        <f t="shared" si="282"/>
        <v>#REF!</v>
      </c>
      <c r="VIS247" s="29" t="e">
        <f t="shared" si="282"/>
        <v>#REF!</v>
      </c>
      <c r="VIT247" s="29" t="e">
        <f t="shared" si="282"/>
        <v>#REF!</v>
      </c>
      <c r="VIU247" s="29" t="e">
        <f t="shared" si="282"/>
        <v>#REF!</v>
      </c>
      <c r="VIV247" s="29" t="e">
        <f t="shared" si="282"/>
        <v>#REF!</v>
      </c>
      <c r="VIW247" s="29" t="e">
        <f t="shared" si="282"/>
        <v>#REF!</v>
      </c>
      <c r="VIX247" s="29" t="e">
        <f t="shared" si="282"/>
        <v>#REF!</v>
      </c>
      <c r="VIY247" s="29" t="e">
        <f t="shared" si="282"/>
        <v>#REF!</v>
      </c>
      <c r="VIZ247" s="29" t="e">
        <f t="shared" si="282"/>
        <v>#REF!</v>
      </c>
      <c r="VJA247" s="29" t="e">
        <f t="shared" si="282"/>
        <v>#REF!</v>
      </c>
      <c r="VJB247" s="29" t="e">
        <f t="shared" si="282"/>
        <v>#REF!</v>
      </c>
      <c r="VJC247" s="29" t="e">
        <f t="shared" si="282"/>
        <v>#REF!</v>
      </c>
      <c r="VJD247" s="29" t="e">
        <f t="shared" si="282"/>
        <v>#REF!</v>
      </c>
      <c r="VJE247" s="29" t="e">
        <f t="shared" si="282"/>
        <v>#REF!</v>
      </c>
      <c r="VJF247" s="29" t="e">
        <f t="shared" si="282"/>
        <v>#REF!</v>
      </c>
      <c r="VJG247" s="29" t="e">
        <f t="shared" si="282"/>
        <v>#REF!</v>
      </c>
      <c r="VJH247" s="29" t="e">
        <f t="shared" si="282"/>
        <v>#REF!</v>
      </c>
      <c r="VJI247" s="29" t="e">
        <f t="shared" si="282"/>
        <v>#REF!</v>
      </c>
      <c r="VJJ247" s="29" t="e">
        <f t="shared" si="282"/>
        <v>#REF!</v>
      </c>
      <c r="VJK247" s="29" t="e">
        <f t="shared" si="282"/>
        <v>#REF!</v>
      </c>
      <c r="VJL247" s="29" t="e">
        <f t="shared" si="282"/>
        <v>#REF!</v>
      </c>
      <c r="VJM247" s="29" t="e">
        <f t="shared" si="282"/>
        <v>#REF!</v>
      </c>
      <c r="VJN247" s="29" t="e">
        <f t="shared" si="282"/>
        <v>#REF!</v>
      </c>
      <c r="VJO247" s="29" t="e">
        <f t="shared" si="282"/>
        <v>#REF!</v>
      </c>
      <c r="VJP247" s="29" t="e">
        <f t="shared" si="282"/>
        <v>#REF!</v>
      </c>
      <c r="VJQ247" s="29" t="e">
        <f t="shared" si="282"/>
        <v>#REF!</v>
      </c>
      <c r="VJR247" s="29" t="e">
        <f t="shared" si="282"/>
        <v>#REF!</v>
      </c>
      <c r="VJS247" s="29" t="e">
        <f t="shared" si="282"/>
        <v>#REF!</v>
      </c>
      <c r="VJT247" s="29" t="e">
        <f t="shared" si="282"/>
        <v>#REF!</v>
      </c>
      <c r="VJU247" s="29" t="e">
        <f t="shared" si="282"/>
        <v>#REF!</v>
      </c>
      <c r="VJV247" s="29" t="e">
        <f t="shared" si="282"/>
        <v>#REF!</v>
      </c>
      <c r="VJW247" s="29" t="e">
        <f t="shared" si="282"/>
        <v>#REF!</v>
      </c>
      <c r="VJX247" s="29" t="e">
        <f t="shared" si="282"/>
        <v>#REF!</v>
      </c>
      <c r="VJY247" s="29" t="e">
        <f t="shared" si="282"/>
        <v>#REF!</v>
      </c>
      <c r="VJZ247" s="29" t="e">
        <f t="shared" si="282"/>
        <v>#REF!</v>
      </c>
      <c r="VKA247" s="29" t="e">
        <f t="shared" si="282"/>
        <v>#REF!</v>
      </c>
      <c r="VKB247" s="29" t="e">
        <f t="shared" si="282"/>
        <v>#REF!</v>
      </c>
      <c r="VKC247" s="29" t="e">
        <f t="shared" si="282"/>
        <v>#REF!</v>
      </c>
      <c r="VKD247" s="29" t="e">
        <f t="shared" si="282"/>
        <v>#REF!</v>
      </c>
      <c r="VKE247" s="29" t="e">
        <f t="shared" si="282"/>
        <v>#REF!</v>
      </c>
      <c r="VKF247" s="29" t="e">
        <f t="shared" si="282"/>
        <v>#REF!</v>
      </c>
      <c r="VKG247" s="29" t="e">
        <f t="shared" si="282"/>
        <v>#REF!</v>
      </c>
      <c r="VKH247" s="29" t="e">
        <f t="shared" si="282"/>
        <v>#REF!</v>
      </c>
      <c r="VKI247" s="29" t="e">
        <f t="shared" si="282"/>
        <v>#REF!</v>
      </c>
      <c r="VKJ247" s="29" t="e">
        <f t="shared" si="282"/>
        <v>#REF!</v>
      </c>
      <c r="VKK247" s="29" t="e">
        <f t="shared" si="282"/>
        <v>#REF!</v>
      </c>
      <c r="VKL247" s="29" t="e">
        <f t="shared" si="282"/>
        <v>#REF!</v>
      </c>
      <c r="VKM247" s="29" t="e">
        <f t="shared" si="282"/>
        <v>#REF!</v>
      </c>
      <c r="VKN247" s="29" t="e">
        <f t="shared" si="282"/>
        <v>#REF!</v>
      </c>
      <c r="VKO247" s="29" t="e">
        <f t="shared" si="282"/>
        <v>#REF!</v>
      </c>
      <c r="VKP247" s="29" t="e">
        <f t="shared" si="282"/>
        <v>#REF!</v>
      </c>
      <c r="VKQ247" s="29" t="e">
        <f t="shared" si="282"/>
        <v>#REF!</v>
      </c>
      <c r="VKR247" s="29" t="e">
        <f t="shared" si="282"/>
        <v>#REF!</v>
      </c>
      <c r="VKS247" s="29" t="e">
        <f t="shared" si="282"/>
        <v>#REF!</v>
      </c>
      <c r="VKT247" s="29" t="e">
        <f t="shared" si="282"/>
        <v>#REF!</v>
      </c>
      <c r="VKU247" s="29" t="e">
        <f t="shared" si="282"/>
        <v>#REF!</v>
      </c>
      <c r="VKV247" s="29" t="e">
        <f t="shared" si="282"/>
        <v>#REF!</v>
      </c>
      <c r="VKW247" s="29" t="e">
        <f t="shared" si="282"/>
        <v>#REF!</v>
      </c>
      <c r="VKX247" s="29" t="e">
        <f t="shared" si="282"/>
        <v>#REF!</v>
      </c>
      <c r="VKY247" s="29" t="e">
        <f t="shared" si="282"/>
        <v>#REF!</v>
      </c>
      <c r="VKZ247" s="29" t="e">
        <f t="shared" si="282"/>
        <v>#REF!</v>
      </c>
      <c r="VLA247" s="29" t="e">
        <f t="shared" ref="VLA247:VNL247" si="283">VLE247&amp;VLF247</f>
        <v>#REF!</v>
      </c>
      <c r="VLB247" s="29" t="e">
        <f t="shared" si="283"/>
        <v>#REF!</v>
      </c>
      <c r="VLC247" s="29" t="e">
        <f t="shared" si="283"/>
        <v>#REF!</v>
      </c>
      <c r="VLD247" s="29" t="e">
        <f t="shared" si="283"/>
        <v>#REF!</v>
      </c>
      <c r="VLE247" s="29" t="e">
        <f t="shared" si="283"/>
        <v>#REF!</v>
      </c>
      <c r="VLF247" s="29" t="e">
        <f t="shared" si="283"/>
        <v>#REF!</v>
      </c>
      <c r="VLG247" s="29" t="e">
        <f t="shared" si="283"/>
        <v>#REF!</v>
      </c>
      <c r="VLH247" s="29" t="e">
        <f t="shared" si="283"/>
        <v>#REF!</v>
      </c>
      <c r="VLI247" s="29" t="e">
        <f t="shared" si="283"/>
        <v>#REF!</v>
      </c>
      <c r="VLJ247" s="29" t="e">
        <f t="shared" si="283"/>
        <v>#REF!</v>
      </c>
      <c r="VLK247" s="29" t="e">
        <f t="shared" si="283"/>
        <v>#REF!</v>
      </c>
      <c r="VLL247" s="29" t="e">
        <f t="shared" si="283"/>
        <v>#REF!</v>
      </c>
      <c r="VLM247" s="29" t="e">
        <f t="shared" si="283"/>
        <v>#REF!</v>
      </c>
      <c r="VLN247" s="29" t="e">
        <f t="shared" si="283"/>
        <v>#REF!</v>
      </c>
      <c r="VLO247" s="29" t="e">
        <f t="shared" si="283"/>
        <v>#REF!</v>
      </c>
      <c r="VLP247" s="29" t="e">
        <f t="shared" si="283"/>
        <v>#REF!</v>
      </c>
      <c r="VLQ247" s="29" t="e">
        <f t="shared" si="283"/>
        <v>#REF!</v>
      </c>
      <c r="VLR247" s="29" t="e">
        <f t="shared" si="283"/>
        <v>#REF!</v>
      </c>
      <c r="VLS247" s="29" t="e">
        <f t="shared" si="283"/>
        <v>#REF!</v>
      </c>
      <c r="VLT247" s="29" t="e">
        <f t="shared" si="283"/>
        <v>#REF!</v>
      </c>
      <c r="VLU247" s="29" t="e">
        <f t="shared" si="283"/>
        <v>#REF!</v>
      </c>
      <c r="VLV247" s="29" t="e">
        <f t="shared" si="283"/>
        <v>#REF!</v>
      </c>
      <c r="VLW247" s="29" t="e">
        <f t="shared" si="283"/>
        <v>#REF!</v>
      </c>
      <c r="VLX247" s="29" t="e">
        <f t="shared" si="283"/>
        <v>#REF!</v>
      </c>
      <c r="VLY247" s="29" t="e">
        <f t="shared" si="283"/>
        <v>#REF!</v>
      </c>
      <c r="VLZ247" s="29" t="e">
        <f t="shared" si="283"/>
        <v>#REF!</v>
      </c>
      <c r="VMA247" s="29" t="e">
        <f t="shared" si="283"/>
        <v>#REF!</v>
      </c>
      <c r="VMB247" s="29" t="e">
        <f t="shared" si="283"/>
        <v>#REF!</v>
      </c>
      <c r="VMC247" s="29" t="e">
        <f t="shared" si="283"/>
        <v>#REF!</v>
      </c>
      <c r="VMD247" s="29" t="e">
        <f t="shared" si="283"/>
        <v>#REF!</v>
      </c>
      <c r="VME247" s="29" t="e">
        <f t="shared" si="283"/>
        <v>#REF!</v>
      </c>
      <c r="VMF247" s="29" t="e">
        <f t="shared" si="283"/>
        <v>#REF!</v>
      </c>
      <c r="VMG247" s="29" t="e">
        <f t="shared" si="283"/>
        <v>#REF!</v>
      </c>
      <c r="VMH247" s="29" t="e">
        <f t="shared" si="283"/>
        <v>#REF!</v>
      </c>
      <c r="VMI247" s="29" t="e">
        <f t="shared" si="283"/>
        <v>#REF!</v>
      </c>
      <c r="VMJ247" s="29" t="e">
        <f t="shared" si="283"/>
        <v>#REF!</v>
      </c>
      <c r="VMK247" s="29" t="e">
        <f t="shared" si="283"/>
        <v>#REF!</v>
      </c>
      <c r="VML247" s="29" t="e">
        <f t="shared" si="283"/>
        <v>#REF!</v>
      </c>
      <c r="VMM247" s="29" t="e">
        <f t="shared" si="283"/>
        <v>#REF!</v>
      </c>
      <c r="VMN247" s="29" t="e">
        <f t="shared" si="283"/>
        <v>#REF!</v>
      </c>
      <c r="VMO247" s="29" t="e">
        <f t="shared" si="283"/>
        <v>#REF!</v>
      </c>
      <c r="VMP247" s="29" t="e">
        <f t="shared" si="283"/>
        <v>#REF!</v>
      </c>
      <c r="VMQ247" s="29" t="e">
        <f t="shared" si="283"/>
        <v>#REF!</v>
      </c>
      <c r="VMR247" s="29" t="e">
        <f t="shared" si="283"/>
        <v>#REF!</v>
      </c>
      <c r="VMS247" s="29" t="e">
        <f t="shared" si="283"/>
        <v>#REF!</v>
      </c>
      <c r="VMT247" s="29" t="e">
        <f t="shared" si="283"/>
        <v>#REF!</v>
      </c>
      <c r="VMU247" s="29" t="e">
        <f t="shared" si="283"/>
        <v>#REF!</v>
      </c>
      <c r="VMV247" s="29" t="e">
        <f t="shared" si="283"/>
        <v>#REF!</v>
      </c>
      <c r="VMW247" s="29" t="e">
        <f t="shared" si="283"/>
        <v>#REF!</v>
      </c>
      <c r="VMX247" s="29" t="e">
        <f t="shared" si="283"/>
        <v>#REF!</v>
      </c>
      <c r="VMY247" s="29" t="e">
        <f t="shared" si="283"/>
        <v>#REF!</v>
      </c>
      <c r="VMZ247" s="29" t="e">
        <f t="shared" si="283"/>
        <v>#REF!</v>
      </c>
      <c r="VNA247" s="29" t="e">
        <f t="shared" si="283"/>
        <v>#REF!</v>
      </c>
      <c r="VNB247" s="29" t="e">
        <f t="shared" si="283"/>
        <v>#REF!</v>
      </c>
      <c r="VNC247" s="29" t="e">
        <f t="shared" si="283"/>
        <v>#REF!</v>
      </c>
      <c r="VND247" s="29" t="e">
        <f t="shared" si="283"/>
        <v>#REF!</v>
      </c>
      <c r="VNE247" s="29" t="e">
        <f t="shared" si="283"/>
        <v>#REF!</v>
      </c>
      <c r="VNF247" s="29" t="e">
        <f t="shared" si="283"/>
        <v>#REF!</v>
      </c>
      <c r="VNG247" s="29" t="e">
        <f t="shared" si="283"/>
        <v>#REF!</v>
      </c>
      <c r="VNH247" s="29" t="e">
        <f t="shared" si="283"/>
        <v>#REF!</v>
      </c>
      <c r="VNI247" s="29" t="e">
        <f t="shared" si="283"/>
        <v>#REF!</v>
      </c>
      <c r="VNJ247" s="29" t="e">
        <f t="shared" si="283"/>
        <v>#REF!</v>
      </c>
      <c r="VNK247" s="29" t="e">
        <f t="shared" si="283"/>
        <v>#REF!</v>
      </c>
      <c r="VNL247" s="29" t="e">
        <f t="shared" si="283"/>
        <v>#REF!</v>
      </c>
      <c r="VNM247" s="29" t="e">
        <f t="shared" ref="VNM247:VPX247" si="284">VNQ247&amp;VNR247</f>
        <v>#REF!</v>
      </c>
      <c r="VNN247" s="29" t="e">
        <f t="shared" si="284"/>
        <v>#REF!</v>
      </c>
      <c r="VNO247" s="29" t="e">
        <f t="shared" si="284"/>
        <v>#REF!</v>
      </c>
      <c r="VNP247" s="29" t="e">
        <f t="shared" si="284"/>
        <v>#REF!</v>
      </c>
      <c r="VNQ247" s="29" t="e">
        <f t="shared" si="284"/>
        <v>#REF!</v>
      </c>
      <c r="VNR247" s="29" t="e">
        <f t="shared" si="284"/>
        <v>#REF!</v>
      </c>
      <c r="VNS247" s="29" t="e">
        <f t="shared" si="284"/>
        <v>#REF!</v>
      </c>
      <c r="VNT247" s="29" t="e">
        <f t="shared" si="284"/>
        <v>#REF!</v>
      </c>
      <c r="VNU247" s="29" t="e">
        <f t="shared" si="284"/>
        <v>#REF!</v>
      </c>
      <c r="VNV247" s="29" t="e">
        <f t="shared" si="284"/>
        <v>#REF!</v>
      </c>
      <c r="VNW247" s="29" t="e">
        <f t="shared" si="284"/>
        <v>#REF!</v>
      </c>
      <c r="VNX247" s="29" t="e">
        <f t="shared" si="284"/>
        <v>#REF!</v>
      </c>
      <c r="VNY247" s="29" t="e">
        <f t="shared" si="284"/>
        <v>#REF!</v>
      </c>
      <c r="VNZ247" s="29" t="e">
        <f t="shared" si="284"/>
        <v>#REF!</v>
      </c>
      <c r="VOA247" s="29" t="e">
        <f t="shared" si="284"/>
        <v>#REF!</v>
      </c>
      <c r="VOB247" s="29" t="e">
        <f t="shared" si="284"/>
        <v>#REF!</v>
      </c>
      <c r="VOC247" s="29" t="e">
        <f t="shared" si="284"/>
        <v>#REF!</v>
      </c>
      <c r="VOD247" s="29" t="e">
        <f t="shared" si="284"/>
        <v>#REF!</v>
      </c>
      <c r="VOE247" s="29" t="e">
        <f t="shared" si="284"/>
        <v>#REF!</v>
      </c>
      <c r="VOF247" s="29" t="e">
        <f t="shared" si="284"/>
        <v>#REF!</v>
      </c>
      <c r="VOG247" s="29" t="e">
        <f t="shared" si="284"/>
        <v>#REF!</v>
      </c>
      <c r="VOH247" s="29" t="e">
        <f t="shared" si="284"/>
        <v>#REF!</v>
      </c>
      <c r="VOI247" s="29" t="e">
        <f t="shared" si="284"/>
        <v>#REF!</v>
      </c>
      <c r="VOJ247" s="29" t="e">
        <f t="shared" si="284"/>
        <v>#REF!</v>
      </c>
      <c r="VOK247" s="29" t="e">
        <f t="shared" si="284"/>
        <v>#REF!</v>
      </c>
      <c r="VOL247" s="29" t="e">
        <f t="shared" si="284"/>
        <v>#REF!</v>
      </c>
      <c r="VOM247" s="29" t="e">
        <f t="shared" si="284"/>
        <v>#REF!</v>
      </c>
      <c r="VON247" s="29" t="e">
        <f t="shared" si="284"/>
        <v>#REF!</v>
      </c>
      <c r="VOO247" s="29" t="e">
        <f t="shared" si="284"/>
        <v>#REF!</v>
      </c>
      <c r="VOP247" s="29" t="e">
        <f t="shared" si="284"/>
        <v>#REF!</v>
      </c>
      <c r="VOQ247" s="29" t="e">
        <f t="shared" si="284"/>
        <v>#REF!</v>
      </c>
      <c r="VOR247" s="29" t="e">
        <f t="shared" si="284"/>
        <v>#REF!</v>
      </c>
      <c r="VOS247" s="29" t="e">
        <f t="shared" si="284"/>
        <v>#REF!</v>
      </c>
      <c r="VOT247" s="29" t="e">
        <f t="shared" si="284"/>
        <v>#REF!</v>
      </c>
      <c r="VOU247" s="29" t="e">
        <f t="shared" si="284"/>
        <v>#REF!</v>
      </c>
      <c r="VOV247" s="29" t="e">
        <f t="shared" si="284"/>
        <v>#REF!</v>
      </c>
      <c r="VOW247" s="29" t="e">
        <f t="shared" si="284"/>
        <v>#REF!</v>
      </c>
      <c r="VOX247" s="29" t="e">
        <f t="shared" si="284"/>
        <v>#REF!</v>
      </c>
      <c r="VOY247" s="29" t="e">
        <f t="shared" si="284"/>
        <v>#REF!</v>
      </c>
      <c r="VOZ247" s="29" t="e">
        <f t="shared" si="284"/>
        <v>#REF!</v>
      </c>
      <c r="VPA247" s="29" t="e">
        <f t="shared" si="284"/>
        <v>#REF!</v>
      </c>
      <c r="VPB247" s="29" t="e">
        <f t="shared" si="284"/>
        <v>#REF!</v>
      </c>
      <c r="VPC247" s="29" t="e">
        <f t="shared" si="284"/>
        <v>#REF!</v>
      </c>
      <c r="VPD247" s="29" t="e">
        <f t="shared" si="284"/>
        <v>#REF!</v>
      </c>
      <c r="VPE247" s="29" t="e">
        <f t="shared" si="284"/>
        <v>#REF!</v>
      </c>
      <c r="VPF247" s="29" t="e">
        <f t="shared" si="284"/>
        <v>#REF!</v>
      </c>
      <c r="VPG247" s="29" t="e">
        <f t="shared" si="284"/>
        <v>#REF!</v>
      </c>
      <c r="VPH247" s="29" t="e">
        <f t="shared" si="284"/>
        <v>#REF!</v>
      </c>
      <c r="VPI247" s="29" t="e">
        <f t="shared" si="284"/>
        <v>#REF!</v>
      </c>
      <c r="VPJ247" s="29" t="e">
        <f t="shared" si="284"/>
        <v>#REF!</v>
      </c>
      <c r="VPK247" s="29" t="e">
        <f t="shared" si="284"/>
        <v>#REF!</v>
      </c>
      <c r="VPL247" s="29" t="e">
        <f t="shared" si="284"/>
        <v>#REF!</v>
      </c>
      <c r="VPM247" s="29" t="e">
        <f t="shared" si="284"/>
        <v>#REF!</v>
      </c>
      <c r="VPN247" s="29" t="e">
        <f t="shared" si="284"/>
        <v>#REF!</v>
      </c>
      <c r="VPO247" s="29" t="e">
        <f t="shared" si="284"/>
        <v>#REF!</v>
      </c>
      <c r="VPP247" s="29" t="e">
        <f t="shared" si="284"/>
        <v>#REF!</v>
      </c>
      <c r="VPQ247" s="29" t="e">
        <f t="shared" si="284"/>
        <v>#REF!</v>
      </c>
      <c r="VPR247" s="29" t="e">
        <f t="shared" si="284"/>
        <v>#REF!</v>
      </c>
      <c r="VPS247" s="29" t="e">
        <f t="shared" si="284"/>
        <v>#REF!</v>
      </c>
      <c r="VPT247" s="29" t="e">
        <f t="shared" si="284"/>
        <v>#REF!</v>
      </c>
      <c r="VPU247" s="29" t="e">
        <f t="shared" si="284"/>
        <v>#REF!</v>
      </c>
      <c r="VPV247" s="29" t="e">
        <f t="shared" si="284"/>
        <v>#REF!</v>
      </c>
      <c r="VPW247" s="29" t="e">
        <f t="shared" si="284"/>
        <v>#REF!</v>
      </c>
      <c r="VPX247" s="29" t="e">
        <f t="shared" si="284"/>
        <v>#REF!</v>
      </c>
      <c r="VPY247" s="29" t="e">
        <f t="shared" ref="VPY247:VSJ247" si="285">VQC247&amp;VQD247</f>
        <v>#REF!</v>
      </c>
      <c r="VPZ247" s="29" t="e">
        <f t="shared" si="285"/>
        <v>#REF!</v>
      </c>
      <c r="VQA247" s="29" t="e">
        <f t="shared" si="285"/>
        <v>#REF!</v>
      </c>
      <c r="VQB247" s="29" t="e">
        <f t="shared" si="285"/>
        <v>#REF!</v>
      </c>
      <c r="VQC247" s="29" t="e">
        <f t="shared" si="285"/>
        <v>#REF!</v>
      </c>
      <c r="VQD247" s="29" t="e">
        <f t="shared" si="285"/>
        <v>#REF!</v>
      </c>
      <c r="VQE247" s="29" t="e">
        <f t="shared" si="285"/>
        <v>#REF!</v>
      </c>
      <c r="VQF247" s="29" t="e">
        <f t="shared" si="285"/>
        <v>#REF!</v>
      </c>
      <c r="VQG247" s="29" t="e">
        <f t="shared" si="285"/>
        <v>#REF!</v>
      </c>
      <c r="VQH247" s="29" t="e">
        <f t="shared" si="285"/>
        <v>#REF!</v>
      </c>
      <c r="VQI247" s="29" t="e">
        <f t="shared" si="285"/>
        <v>#REF!</v>
      </c>
      <c r="VQJ247" s="29" t="e">
        <f t="shared" si="285"/>
        <v>#REF!</v>
      </c>
      <c r="VQK247" s="29" t="e">
        <f t="shared" si="285"/>
        <v>#REF!</v>
      </c>
      <c r="VQL247" s="29" t="e">
        <f t="shared" si="285"/>
        <v>#REF!</v>
      </c>
      <c r="VQM247" s="29" t="e">
        <f t="shared" si="285"/>
        <v>#REF!</v>
      </c>
      <c r="VQN247" s="29" t="e">
        <f t="shared" si="285"/>
        <v>#REF!</v>
      </c>
      <c r="VQO247" s="29" t="e">
        <f t="shared" si="285"/>
        <v>#REF!</v>
      </c>
      <c r="VQP247" s="29" t="e">
        <f t="shared" si="285"/>
        <v>#REF!</v>
      </c>
      <c r="VQQ247" s="29" t="e">
        <f t="shared" si="285"/>
        <v>#REF!</v>
      </c>
      <c r="VQR247" s="29" t="e">
        <f t="shared" si="285"/>
        <v>#REF!</v>
      </c>
      <c r="VQS247" s="29" t="e">
        <f t="shared" si="285"/>
        <v>#REF!</v>
      </c>
      <c r="VQT247" s="29" t="e">
        <f t="shared" si="285"/>
        <v>#REF!</v>
      </c>
      <c r="VQU247" s="29" t="e">
        <f t="shared" si="285"/>
        <v>#REF!</v>
      </c>
      <c r="VQV247" s="29" t="e">
        <f t="shared" si="285"/>
        <v>#REF!</v>
      </c>
      <c r="VQW247" s="29" t="e">
        <f t="shared" si="285"/>
        <v>#REF!</v>
      </c>
      <c r="VQX247" s="29" t="e">
        <f t="shared" si="285"/>
        <v>#REF!</v>
      </c>
      <c r="VQY247" s="29" t="e">
        <f t="shared" si="285"/>
        <v>#REF!</v>
      </c>
      <c r="VQZ247" s="29" t="e">
        <f t="shared" si="285"/>
        <v>#REF!</v>
      </c>
      <c r="VRA247" s="29" t="e">
        <f t="shared" si="285"/>
        <v>#REF!</v>
      </c>
      <c r="VRB247" s="29" t="e">
        <f t="shared" si="285"/>
        <v>#REF!</v>
      </c>
      <c r="VRC247" s="29" t="e">
        <f t="shared" si="285"/>
        <v>#REF!</v>
      </c>
      <c r="VRD247" s="29" t="e">
        <f t="shared" si="285"/>
        <v>#REF!</v>
      </c>
      <c r="VRE247" s="29" t="e">
        <f t="shared" si="285"/>
        <v>#REF!</v>
      </c>
      <c r="VRF247" s="29" t="e">
        <f t="shared" si="285"/>
        <v>#REF!</v>
      </c>
      <c r="VRG247" s="29" t="e">
        <f t="shared" si="285"/>
        <v>#REF!</v>
      </c>
      <c r="VRH247" s="29" t="e">
        <f t="shared" si="285"/>
        <v>#REF!</v>
      </c>
      <c r="VRI247" s="29" t="e">
        <f t="shared" si="285"/>
        <v>#REF!</v>
      </c>
      <c r="VRJ247" s="29" t="e">
        <f t="shared" si="285"/>
        <v>#REF!</v>
      </c>
      <c r="VRK247" s="29" t="e">
        <f t="shared" si="285"/>
        <v>#REF!</v>
      </c>
      <c r="VRL247" s="29" t="e">
        <f t="shared" si="285"/>
        <v>#REF!</v>
      </c>
      <c r="VRM247" s="29" t="e">
        <f t="shared" si="285"/>
        <v>#REF!</v>
      </c>
      <c r="VRN247" s="29" t="e">
        <f t="shared" si="285"/>
        <v>#REF!</v>
      </c>
      <c r="VRO247" s="29" t="e">
        <f t="shared" si="285"/>
        <v>#REF!</v>
      </c>
      <c r="VRP247" s="29" t="e">
        <f t="shared" si="285"/>
        <v>#REF!</v>
      </c>
      <c r="VRQ247" s="29" t="e">
        <f t="shared" si="285"/>
        <v>#REF!</v>
      </c>
      <c r="VRR247" s="29" t="e">
        <f t="shared" si="285"/>
        <v>#REF!</v>
      </c>
      <c r="VRS247" s="29" t="e">
        <f t="shared" si="285"/>
        <v>#REF!</v>
      </c>
      <c r="VRT247" s="29" t="e">
        <f t="shared" si="285"/>
        <v>#REF!</v>
      </c>
      <c r="VRU247" s="29" t="e">
        <f t="shared" si="285"/>
        <v>#REF!</v>
      </c>
      <c r="VRV247" s="29" t="e">
        <f t="shared" si="285"/>
        <v>#REF!</v>
      </c>
      <c r="VRW247" s="29" t="e">
        <f t="shared" si="285"/>
        <v>#REF!</v>
      </c>
      <c r="VRX247" s="29" t="e">
        <f t="shared" si="285"/>
        <v>#REF!</v>
      </c>
      <c r="VRY247" s="29" t="e">
        <f t="shared" si="285"/>
        <v>#REF!</v>
      </c>
      <c r="VRZ247" s="29" t="e">
        <f t="shared" si="285"/>
        <v>#REF!</v>
      </c>
      <c r="VSA247" s="29" t="e">
        <f t="shared" si="285"/>
        <v>#REF!</v>
      </c>
      <c r="VSB247" s="29" t="e">
        <f t="shared" si="285"/>
        <v>#REF!</v>
      </c>
      <c r="VSC247" s="29" t="e">
        <f t="shared" si="285"/>
        <v>#REF!</v>
      </c>
      <c r="VSD247" s="29" t="e">
        <f t="shared" si="285"/>
        <v>#REF!</v>
      </c>
      <c r="VSE247" s="29" t="e">
        <f t="shared" si="285"/>
        <v>#REF!</v>
      </c>
      <c r="VSF247" s="29" t="e">
        <f t="shared" si="285"/>
        <v>#REF!</v>
      </c>
      <c r="VSG247" s="29" t="e">
        <f t="shared" si="285"/>
        <v>#REF!</v>
      </c>
      <c r="VSH247" s="29" t="e">
        <f t="shared" si="285"/>
        <v>#REF!</v>
      </c>
      <c r="VSI247" s="29" t="e">
        <f t="shared" si="285"/>
        <v>#REF!</v>
      </c>
      <c r="VSJ247" s="29" t="e">
        <f t="shared" si="285"/>
        <v>#REF!</v>
      </c>
      <c r="VSK247" s="29" t="e">
        <f t="shared" ref="VSK247:VUV247" si="286">VSO247&amp;VSP247</f>
        <v>#REF!</v>
      </c>
      <c r="VSL247" s="29" t="e">
        <f t="shared" si="286"/>
        <v>#REF!</v>
      </c>
      <c r="VSM247" s="29" t="e">
        <f t="shared" si="286"/>
        <v>#REF!</v>
      </c>
      <c r="VSN247" s="29" t="e">
        <f t="shared" si="286"/>
        <v>#REF!</v>
      </c>
      <c r="VSO247" s="29" t="e">
        <f t="shared" si="286"/>
        <v>#REF!</v>
      </c>
      <c r="VSP247" s="29" t="e">
        <f t="shared" si="286"/>
        <v>#REF!</v>
      </c>
      <c r="VSQ247" s="29" t="e">
        <f t="shared" si="286"/>
        <v>#REF!</v>
      </c>
      <c r="VSR247" s="29" t="e">
        <f t="shared" si="286"/>
        <v>#REF!</v>
      </c>
      <c r="VSS247" s="29" t="e">
        <f t="shared" si="286"/>
        <v>#REF!</v>
      </c>
      <c r="VST247" s="29" t="e">
        <f t="shared" si="286"/>
        <v>#REF!</v>
      </c>
      <c r="VSU247" s="29" t="e">
        <f t="shared" si="286"/>
        <v>#REF!</v>
      </c>
      <c r="VSV247" s="29" t="e">
        <f t="shared" si="286"/>
        <v>#REF!</v>
      </c>
      <c r="VSW247" s="29" t="e">
        <f t="shared" si="286"/>
        <v>#REF!</v>
      </c>
      <c r="VSX247" s="29" t="e">
        <f t="shared" si="286"/>
        <v>#REF!</v>
      </c>
      <c r="VSY247" s="29" t="e">
        <f t="shared" si="286"/>
        <v>#REF!</v>
      </c>
      <c r="VSZ247" s="29" t="e">
        <f t="shared" si="286"/>
        <v>#REF!</v>
      </c>
      <c r="VTA247" s="29" t="e">
        <f t="shared" si="286"/>
        <v>#REF!</v>
      </c>
      <c r="VTB247" s="29" t="e">
        <f t="shared" si="286"/>
        <v>#REF!</v>
      </c>
      <c r="VTC247" s="29" t="e">
        <f t="shared" si="286"/>
        <v>#REF!</v>
      </c>
      <c r="VTD247" s="29" t="e">
        <f t="shared" si="286"/>
        <v>#REF!</v>
      </c>
      <c r="VTE247" s="29" t="e">
        <f t="shared" si="286"/>
        <v>#REF!</v>
      </c>
      <c r="VTF247" s="29" t="e">
        <f t="shared" si="286"/>
        <v>#REF!</v>
      </c>
      <c r="VTG247" s="29" t="e">
        <f t="shared" si="286"/>
        <v>#REF!</v>
      </c>
      <c r="VTH247" s="29" t="e">
        <f t="shared" si="286"/>
        <v>#REF!</v>
      </c>
      <c r="VTI247" s="29" t="e">
        <f t="shared" si="286"/>
        <v>#REF!</v>
      </c>
      <c r="VTJ247" s="29" t="e">
        <f t="shared" si="286"/>
        <v>#REF!</v>
      </c>
      <c r="VTK247" s="29" t="e">
        <f t="shared" si="286"/>
        <v>#REF!</v>
      </c>
      <c r="VTL247" s="29" t="e">
        <f t="shared" si="286"/>
        <v>#REF!</v>
      </c>
      <c r="VTM247" s="29" t="e">
        <f t="shared" si="286"/>
        <v>#REF!</v>
      </c>
      <c r="VTN247" s="29" t="e">
        <f t="shared" si="286"/>
        <v>#REF!</v>
      </c>
      <c r="VTO247" s="29" t="e">
        <f t="shared" si="286"/>
        <v>#REF!</v>
      </c>
      <c r="VTP247" s="29" t="e">
        <f t="shared" si="286"/>
        <v>#REF!</v>
      </c>
      <c r="VTQ247" s="29" t="e">
        <f t="shared" si="286"/>
        <v>#REF!</v>
      </c>
      <c r="VTR247" s="29" t="e">
        <f t="shared" si="286"/>
        <v>#REF!</v>
      </c>
      <c r="VTS247" s="29" t="e">
        <f t="shared" si="286"/>
        <v>#REF!</v>
      </c>
      <c r="VTT247" s="29" t="e">
        <f t="shared" si="286"/>
        <v>#REF!</v>
      </c>
      <c r="VTU247" s="29" t="e">
        <f t="shared" si="286"/>
        <v>#REF!</v>
      </c>
      <c r="VTV247" s="29" t="e">
        <f t="shared" si="286"/>
        <v>#REF!</v>
      </c>
      <c r="VTW247" s="29" t="e">
        <f t="shared" si="286"/>
        <v>#REF!</v>
      </c>
      <c r="VTX247" s="29" t="e">
        <f t="shared" si="286"/>
        <v>#REF!</v>
      </c>
      <c r="VTY247" s="29" t="e">
        <f t="shared" si="286"/>
        <v>#REF!</v>
      </c>
      <c r="VTZ247" s="29" t="e">
        <f t="shared" si="286"/>
        <v>#REF!</v>
      </c>
      <c r="VUA247" s="29" t="e">
        <f t="shared" si="286"/>
        <v>#REF!</v>
      </c>
      <c r="VUB247" s="29" t="e">
        <f t="shared" si="286"/>
        <v>#REF!</v>
      </c>
      <c r="VUC247" s="29" t="e">
        <f t="shared" si="286"/>
        <v>#REF!</v>
      </c>
      <c r="VUD247" s="29" t="e">
        <f t="shared" si="286"/>
        <v>#REF!</v>
      </c>
      <c r="VUE247" s="29" t="e">
        <f t="shared" si="286"/>
        <v>#REF!</v>
      </c>
      <c r="VUF247" s="29" t="e">
        <f t="shared" si="286"/>
        <v>#REF!</v>
      </c>
      <c r="VUG247" s="29" t="e">
        <f t="shared" si="286"/>
        <v>#REF!</v>
      </c>
      <c r="VUH247" s="29" t="e">
        <f t="shared" si="286"/>
        <v>#REF!</v>
      </c>
      <c r="VUI247" s="29" t="e">
        <f t="shared" si="286"/>
        <v>#REF!</v>
      </c>
      <c r="VUJ247" s="29" t="e">
        <f t="shared" si="286"/>
        <v>#REF!</v>
      </c>
      <c r="VUK247" s="29" t="e">
        <f t="shared" si="286"/>
        <v>#REF!</v>
      </c>
      <c r="VUL247" s="29" t="e">
        <f t="shared" si="286"/>
        <v>#REF!</v>
      </c>
      <c r="VUM247" s="29" t="e">
        <f t="shared" si="286"/>
        <v>#REF!</v>
      </c>
      <c r="VUN247" s="29" t="e">
        <f t="shared" si="286"/>
        <v>#REF!</v>
      </c>
      <c r="VUO247" s="29" t="e">
        <f t="shared" si="286"/>
        <v>#REF!</v>
      </c>
      <c r="VUP247" s="29" t="e">
        <f t="shared" si="286"/>
        <v>#REF!</v>
      </c>
      <c r="VUQ247" s="29" t="e">
        <f t="shared" si="286"/>
        <v>#REF!</v>
      </c>
      <c r="VUR247" s="29" t="e">
        <f t="shared" si="286"/>
        <v>#REF!</v>
      </c>
      <c r="VUS247" s="29" t="e">
        <f t="shared" si="286"/>
        <v>#REF!</v>
      </c>
      <c r="VUT247" s="29" t="e">
        <f t="shared" si="286"/>
        <v>#REF!</v>
      </c>
      <c r="VUU247" s="29" t="e">
        <f t="shared" si="286"/>
        <v>#REF!</v>
      </c>
      <c r="VUV247" s="29" t="e">
        <f t="shared" si="286"/>
        <v>#REF!</v>
      </c>
      <c r="VUW247" s="29" t="e">
        <f t="shared" ref="VUW247:VXH247" si="287">VVA247&amp;VVB247</f>
        <v>#REF!</v>
      </c>
      <c r="VUX247" s="29" t="e">
        <f t="shared" si="287"/>
        <v>#REF!</v>
      </c>
      <c r="VUY247" s="29" t="e">
        <f t="shared" si="287"/>
        <v>#REF!</v>
      </c>
      <c r="VUZ247" s="29" t="e">
        <f t="shared" si="287"/>
        <v>#REF!</v>
      </c>
      <c r="VVA247" s="29" t="e">
        <f t="shared" si="287"/>
        <v>#REF!</v>
      </c>
      <c r="VVB247" s="29" t="e">
        <f t="shared" si="287"/>
        <v>#REF!</v>
      </c>
      <c r="VVC247" s="29" t="e">
        <f t="shared" si="287"/>
        <v>#REF!</v>
      </c>
      <c r="VVD247" s="29" t="e">
        <f t="shared" si="287"/>
        <v>#REF!</v>
      </c>
      <c r="VVE247" s="29" t="e">
        <f t="shared" si="287"/>
        <v>#REF!</v>
      </c>
      <c r="VVF247" s="29" t="e">
        <f t="shared" si="287"/>
        <v>#REF!</v>
      </c>
      <c r="VVG247" s="29" t="e">
        <f t="shared" si="287"/>
        <v>#REF!</v>
      </c>
      <c r="VVH247" s="29" t="e">
        <f t="shared" si="287"/>
        <v>#REF!</v>
      </c>
      <c r="VVI247" s="29" t="e">
        <f t="shared" si="287"/>
        <v>#REF!</v>
      </c>
      <c r="VVJ247" s="29" t="e">
        <f t="shared" si="287"/>
        <v>#REF!</v>
      </c>
      <c r="VVK247" s="29" t="e">
        <f t="shared" si="287"/>
        <v>#REF!</v>
      </c>
      <c r="VVL247" s="29" t="e">
        <f t="shared" si="287"/>
        <v>#REF!</v>
      </c>
      <c r="VVM247" s="29" t="e">
        <f t="shared" si="287"/>
        <v>#REF!</v>
      </c>
      <c r="VVN247" s="29" t="e">
        <f t="shared" si="287"/>
        <v>#REF!</v>
      </c>
      <c r="VVO247" s="29" t="e">
        <f t="shared" si="287"/>
        <v>#REF!</v>
      </c>
      <c r="VVP247" s="29" t="e">
        <f t="shared" si="287"/>
        <v>#REF!</v>
      </c>
      <c r="VVQ247" s="29" t="e">
        <f t="shared" si="287"/>
        <v>#REF!</v>
      </c>
      <c r="VVR247" s="29" t="e">
        <f t="shared" si="287"/>
        <v>#REF!</v>
      </c>
      <c r="VVS247" s="29" t="e">
        <f t="shared" si="287"/>
        <v>#REF!</v>
      </c>
      <c r="VVT247" s="29" t="e">
        <f t="shared" si="287"/>
        <v>#REF!</v>
      </c>
      <c r="VVU247" s="29" t="e">
        <f t="shared" si="287"/>
        <v>#REF!</v>
      </c>
      <c r="VVV247" s="29" t="e">
        <f t="shared" si="287"/>
        <v>#REF!</v>
      </c>
      <c r="VVW247" s="29" t="e">
        <f t="shared" si="287"/>
        <v>#REF!</v>
      </c>
      <c r="VVX247" s="29" t="e">
        <f t="shared" si="287"/>
        <v>#REF!</v>
      </c>
      <c r="VVY247" s="29" t="e">
        <f t="shared" si="287"/>
        <v>#REF!</v>
      </c>
      <c r="VVZ247" s="29" t="e">
        <f t="shared" si="287"/>
        <v>#REF!</v>
      </c>
      <c r="VWA247" s="29" t="e">
        <f t="shared" si="287"/>
        <v>#REF!</v>
      </c>
      <c r="VWB247" s="29" t="e">
        <f t="shared" si="287"/>
        <v>#REF!</v>
      </c>
      <c r="VWC247" s="29" t="e">
        <f t="shared" si="287"/>
        <v>#REF!</v>
      </c>
      <c r="VWD247" s="29" t="e">
        <f t="shared" si="287"/>
        <v>#REF!</v>
      </c>
      <c r="VWE247" s="29" t="e">
        <f t="shared" si="287"/>
        <v>#REF!</v>
      </c>
      <c r="VWF247" s="29" t="e">
        <f t="shared" si="287"/>
        <v>#REF!</v>
      </c>
      <c r="VWG247" s="29" t="e">
        <f t="shared" si="287"/>
        <v>#REF!</v>
      </c>
      <c r="VWH247" s="29" t="e">
        <f t="shared" si="287"/>
        <v>#REF!</v>
      </c>
      <c r="VWI247" s="29" t="e">
        <f t="shared" si="287"/>
        <v>#REF!</v>
      </c>
      <c r="VWJ247" s="29" t="e">
        <f t="shared" si="287"/>
        <v>#REF!</v>
      </c>
      <c r="VWK247" s="29" t="e">
        <f t="shared" si="287"/>
        <v>#REF!</v>
      </c>
      <c r="VWL247" s="29" t="e">
        <f t="shared" si="287"/>
        <v>#REF!</v>
      </c>
      <c r="VWM247" s="29" t="e">
        <f t="shared" si="287"/>
        <v>#REF!</v>
      </c>
      <c r="VWN247" s="29" t="e">
        <f t="shared" si="287"/>
        <v>#REF!</v>
      </c>
      <c r="VWO247" s="29" t="e">
        <f t="shared" si="287"/>
        <v>#REF!</v>
      </c>
      <c r="VWP247" s="29" t="e">
        <f t="shared" si="287"/>
        <v>#REF!</v>
      </c>
      <c r="VWQ247" s="29" t="e">
        <f t="shared" si="287"/>
        <v>#REF!</v>
      </c>
      <c r="VWR247" s="29" t="e">
        <f t="shared" si="287"/>
        <v>#REF!</v>
      </c>
      <c r="VWS247" s="29" t="e">
        <f t="shared" si="287"/>
        <v>#REF!</v>
      </c>
      <c r="VWT247" s="29" t="e">
        <f t="shared" si="287"/>
        <v>#REF!</v>
      </c>
      <c r="VWU247" s="29" t="e">
        <f t="shared" si="287"/>
        <v>#REF!</v>
      </c>
      <c r="VWV247" s="29" t="e">
        <f t="shared" si="287"/>
        <v>#REF!</v>
      </c>
      <c r="VWW247" s="29" t="e">
        <f t="shared" si="287"/>
        <v>#REF!</v>
      </c>
      <c r="VWX247" s="29" t="e">
        <f t="shared" si="287"/>
        <v>#REF!</v>
      </c>
      <c r="VWY247" s="29" t="e">
        <f t="shared" si="287"/>
        <v>#REF!</v>
      </c>
      <c r="VWZ247" s="29" t="e">
        <f t="shared" si="287"/>
        <v>#REF!</v>
      </c>
      <c r="VXA247" s="29" t="e">
        <f t="shared" si="287"/>
        <v>#REF!</v>
      </c>
      <c r="VXB247" s="29" t="e">
        <f t="shared" si="287"/>
        <v>#REF!</v>
      </c>
      <c r="VXC247" s="29" t="e">
        <f t="shared" si="287"/>
        <v>#REF!</v>
      </c>
      <c r="VXD247" s="29" t="e">
        <f t="shared" si="287"/>
        <v>#REF!</v>
      </c>
      <c r="VXE247" s="29" t="e">
        <f t="shared" si="287"/>
        <v>#REF!</v>
      </c>
      <c r="VXF247" s="29" t="e">
        <f t="shared" si="287"/>
        <v>#REF!</v>
      </c>
      <c r="VXG247" s="29" t="e">
        <f t="shared" si="287"/>
        <v>#REF!</v>
      </c>
      <c r="VXH247" s="29" t="e">
        <f t="shared" si="287"/>
        <v>#REF!</v>
      </c>
      <c r="VXI247" s="29" t="e">
        <f t="shared" ref="VXI247:VZT247" si="288">VXM247&amp;VXN247</f>
        <v>#REF!</v>
      </c>
      <c r="VXJ247" s="29" t="e">
        <f t="shared" si="288"/>
        <v>#REF!</v>
      </c>
      <c r="VXK247" s="29" t="e">
        <f t="shared" si="288"/>
        <v>#REF!</v>
      </c>
      <c r="VXL247" s="29" t="e">
        <f t="shared" si="288"/>
        <v>#REF!</v>
      </c>
      <c r="VXM247" s="29" t="e">
        <f t="shared" si="288"/>
        <v>#REF!</v>
      </c>
      <c r="VXN247" s="29" t="e">
        <f t="shared" si="288"/>
        <v>#REF!</v>
      </c>
      <c r="VXO247" s="29" t="e">
        <f t="shared" si="288"/>
        <v>#REF!</v>
      </c>
      <c r="VXP247" s="29" t="e">
        <f t="shared" si="288"/>
        <v>#REF!</v>
      </c>
      <c r="VXQ247" s="29" t="e">
        <f t="shared" si="288"/>
        <v>#REF!</v>
      </c>
      <c r="VXR247" s="29" t="e">
        <f t="shared" si="288"/>
        <v>#REF!</v>
      </c>
      <c r="VXS247" s="29" t="e">
        <f t="shared" si="288"/>
        <v>#REF!</v>
      </c>
      <c r="VXT247" s="29" t="e">
        <f t="shared" si="288"/>
        <v>#REF!</v>
      </c>
      <c r="VXU247" s="29" t="e">
        <f t="shared" si="288"/>
        <v>#REF!</v>
      </c>
      <c r="VXV247" s="29" t="e">
        <f t="shared" si="288"/>
        <v>#REF!</v>
      </c>
      <c r="VXW247" s="29" t="e">
        <f t="shared" si="288"/>
        <v>#REF!</v>
      </c>
      <c r="VXX247" s="29" t="e">
        <f t="shared" si="288"/>
        <v>#REF!</v>
      </c>
      <c r="VXY247" s="29" t="e">
        <f t="shared" si="288"/>
        <v>#REF!</v>
      </c>
      <c r="VXZ247" s="29" t="e">
        <f t="shared" si="288"/>
        <v>#REF!</v>
      </c>
      <c r="VYA247" s="29" t="e">
        <f t="shared" si="288"/>
        <v>#REF!</v>
      </c>
      <c r="VYB247" s="29" t="e">
        <f t="shared" si="288"/>
        <v>#REF!</v>
      </c>
      <c r="VYC247" s="29" t="e">
        <f t="shared" si="288"/>
        <v>#REF!</v>
      </c>
      <c r="VYD247" s="29" t="e">
        <f t="shared" si="288"/>
        <v>#REF!</v>
      </c>
      <c r="VYE247" s="29" t="e">
        <f t="shared" si="288"/>
        <v>#REF!</v>
      </c>
      <c r="VYF247" s="29" t="e">
        <f t="shared" si="288"/>
        <v>#REF!</v>
      </c>
      <c r="VYG247" s="29" t="e">
        <f t="shared" si="288"/>
        <v>#REF!</v>
      </c>
      <c r="VYH247" s="29" t="e">
        <f t="shared" si="288"/>
        <v>#REF!</v>
      </c>
      <c r="VYI247" s="29" t="e">
        <f t="shared" si="288"/>
        <v>#REF!</v>
      </c>
      <c r="VYJ247" s="29" t="e">
        <f t="shared" si="288"/>
        <v>#REF!</v>
      </c>
      <c r="VYK247" s="29" t="e">
        <f t="shared" si="288"/>
        <v>#REF!</v>
      </c>
      <c r="VYL247" s="29" t="e">
        <f t="shared" si="288"/>
        <v>#REF!</v>
      </c>
      <c r="VYM247" s="29" t="e">
        <f t="shared" si="288"/>
        <v>#REF!</v>
      </c>
      <c r="VYN247" s="29" t="e">
        <f t="shared" si="288"/>
        <v>#REF!</v>
      </c>
      <c r="VYO247" s="29" t="e">
        <f t="shared" si="288"/>
        <v>#REF!</v>
      </c>
      <c r="VYP247" s="29" t="e">
        <f t="shared" si="288"/>
        <v>#REF!</v>
      </c>
      <c r="VYQ247" s="29" t="e">
        <f t="shared" si="288"/>
        <v>#REF!</v>
      </c>
      <c r="VYR247" s="29" t="e">
        <f t="shared" si="288"/>
        <v>#REF!</v>
      </c>
      <c r="VYS247" s="29" t="e">
        <f t="shared" si="288"/>
        <v>#REF!</v>
      </c>
      <c r="VYT247" s="29" t="e">
        <f t="shared" si="288"/>
        <v>#REF!</v>
      </c>
      <c r="VYU247" s="29" t="e">
        <f t="shared" si="288"/>
        <v>#REF!</v>
      </c>
      <c r="VYV247" s="29" t="e">
        <f t="shared" si="288"/>
        <v>#REF!</v>
      </c>
      <c r="VYW247" s="29" t="e">
        <f t="shared" si="288"/>
        <v>#REF!</v>
      </c>
      <c r="VYX247" s="29" t="e">
        <f t="shared" si="288"/>
        <v>#REF!</v>
      </c>
      <c r="VYY247" s="29" t="e">
        <f t="shared" si="288"/>
        <v>#REF!</v>
      </c>
      <c r="VYZ247" s="29" t="e">
        <f t="shared" si="288"/>
        <v>#REF!</v>
      </c>
      <c r="VZA247" s="29" t="e">
        <f t="shared" si="288"/>
        <v>#REF!</v>
      </c>
      <c r="VZB247" s="29" t="e">
        <f t="shared" si="288"/>
        <v>#REF!</v>
      </c>
      <c r="VZC247" s="29" t="e">
        <f t="shared" si="288"/>
        <v>#REF!</v>
      </c>
      <c r="VZD247" s="29" t="e">
        <f t="shared" si="288"/>
        <v>#REF!</v>
      </c>
      <c r="VZE247" s="29" t="e">
        <f t="shared" si="288"/>
        <v>#REF!</v>
      </c>
      <c r="VZF247" s="29" t="e">
        <f t="shared" si="288"/>
        <v>#REF!</v>
      </c>
      <c r="VZG247" s="29" t="e">
        <f t="shared" si="288"/>
        <v>#REF!</v>
      </c>
      <c r="VZH247" s="29" t="e">
        <f t="shared" si="288"/>
        <v>#REF!</v>
      </c>
      <c r="VZI247" s="29" t="e">
        <f t="shared" si="288"/>
        <v>#REF!</v>
      </c>
      <c r="VZJ247" s="29" t="e">
        <f t="shared" si="288"/>
        <v>#REF!</v>
      </c>
      <c r="VZK247" s="29" t="e">
        <f t="shared" si="288"/>
        <v>#REF!</v>
      </c>
      <c r="VZL247" s="29" t="e">
        <f t="shared" si="288"/>
        <v>#REF!</v>
      </c>
      <c r="VZM247" s="29" t="e">
        <f t="shared" si="288"/>
        <v>#REF!</v>
      </c>
      <c r="VZN247" s="29" t="e">
        <f t="shared" si="288"/>
        <v>#REF!</v>
      </c>
      <c r="VZO247" s="29" t="e">
        <f t="shared" si="288"/>
        <v>#REF!</v>
      </c>
      <c r="VZP247" s="29" t="e">
        <f t="shared" si="288"/>
        <v>#REF!</v>
      </c>
      <c r="VZQ247" s="29" t="e">
        <f t="shared" si="288"/>
        <v>#REF!</v>
      </c>
      <c r="VZR247" s="29" t="e">
        <f t="shared" si="288"/>
        <v>#REF!</v>
      </c>
      <c r="VZS247" s="29" t="e">
        <f t="shared" si="288"/>
        <v>#REF!</v>
      </c>
      <c r="VZT247" s="29" t="e">
        <f t="shared" si="288"/>
        <v>#REF!</v>
      </c>
      <c r="VZU247" s="29" t="e">
        <f t="shared" ref="VZU247:WCF247" si="289">VZY247&amp;VZZ247</f>
        <v>#REF!</v>
      </c>
      <c r="VZV247" s="29" t="e">
        <f t="shared" si="289"/>
        <v>#REF!</v>
      </c>
      <c r="VZW247" s="29" t="e">
        <f t="shared" si="289"/>
        <v>#REF!</v>
      </c>
      <c r="VZX247" s="29" t="e">
        <f t="shared" si="289"/>
        <v>#REF!</v>
      </c>
      <c r="VZY247" s="29" t="e">
        <f t="shared" si="289"/>
        <v>#REF!</v>
      </c>
      <c r="VZZ247" s="29" t="e">
        <f t="shared" si="289"/>
        <v>#REF!</v>
      </c>
      <c r="WAA247" s="29" t="e">
        <f t="shared" si="289"/>
        <v>#REF!</v>
      </c>
      <c r="WAB247" s="29" t="e">
        <f t="shared" si="289"/>
        <v>#REF!</v>
      </c>
      <c r="WAC247" s="29" t="e">
        <f t="shared" si="289"/>
        <v>#REF!</v>
      </c>
      <c r="WAD247" s="29" t="e">
        <f t="shared" si="289"/>
        <v>#REF!</v>
      </c>
      <c r="WAE247" s="29" t="e">
        <f t="shared" si="289"/>
        <v>#REF!</v>
      </c>
      <c r="WAF247" s="29" t="e">
        <f t="shared" si="289"/>
        <v>#REF!</v>
      </c>
      <c r="WAG247" s="29" t="e">
        <f t="shared" si="289"/>
        <v>#REF!</v>
      </c>
      <c r="WAH247" s="29" t="e">
        <f t="shared" si="289"/>
        <v>#REF!</v>
      </c>
      <c r="WAI247" s="29" t="e">
        <f t="shared" si="289"/>
        <v>#REF!</v>
      </c>
      <c r="WAJ247" s="29" t="e">
        <f t="shared" si="289"/>
        <v>#REF!</v>
      </c>
      <c r="WAK247" s="29" t="e">
        <f t="shared" si="289"/>
        <v>#REF!</v>
      </c>
      <c r="WAL247" s="29" t="e">
        <f t="shared" si="289"/>
        <v>#REF!</v>
      </c>
      <c r="WAM247" s="29" t="e">
        <f t="shared" si="289"/>
        <v>#REF!</v>
      </c>
      <c r="WAN247" s="29" t="e">
        <f t="shared" si="289"/>
        <v>#REF!</v>
      </c>
      <c r="WAO247" s="29" t="e">
        <f t="shared" si="289"/>
        <v>#REF!</v>
      </c>
      <c r="WAP247" s="29" t="e">
        <f t="shared" si="289"/>
        <v>#REF!</v>
      </c>
      <c r="WAQ247" s="29" t="e">
        <f t="shared" si="289"/>
        <v>#REF!</v>
      </c>
      <c r="WAR247" s="29" t="e">
        <f t="shared" si="289"/>
        <v>#REF!</v>
      </c>
      <c r="WAS247" s="29" t="e">
        <f t="shared" si="289"/>
        <v>#REF!</v>
      </c>
      <c r="WAT247" s="29" t="e">
        <f t="shared" si="289"/>
        <v>#REF!</v>
      </c>
      <c r="WAU247" s="29" t="e">
        <f t="shared" si="289"/>
        <v>#REF!</v>
      </c>
      <c r="WAV247" s="29" t="e">
        <f t="shared" si="289"/>
        <v>#REF!</v>
      </c>
      <c r="WAW247" s="29" t="e">
        <f t="shared" si="289"/>
        <v>#REF!</v>
      </c>
      <c r="WAX247" s="29" t="e">
        <f t="shared" si="289"/>
        <v>#REF!</v>
      </c>
      <c r="WAY247" s="29" t="e">
        <f t="shared" si="289"/>
        <v>#REF!</v>
      </c>
      <c r="WAZ247" s="29" t="e">
        <f t="shared" si="289"/>
        <v>#REF!</v>
      </c>
      <c r="WBA247" s="29" t="e">
        <f t="shared" si="289"/>
        <v>#REF!</v>
      </c>
      <c r="WBB247" s="29" t="e">
        <f t="shared" si="289"/>
        <v>#REF!</v>
      </c>
      <c r="WBC247" s="29" t="e">
        <f t="shared" si="289"/>
        <v>#REF!</v>
      </c>
      <c r="WBD247" s="29" t="e">
        <f t="shared" si="289"/>
        <v>#REF!</v>
      </c>
      <c r="WBE247" s="29" t="e">
        <f t="shared" si="289"/>
        <v>#REF!</v>
      </c>
      <c r="WBF247" s="29" t="e">
        <f t="shared" si="289"/>
        <v>#REF!</v>
      </c>
      <c r="WBG247" s="29" t="e">
        <f t="shared" si="289"/>
        <v>#REF!</v>
      </c>
      <c r="WBH247" s="29" t="e">
        <f t="shared" si="289"/>
        <v>#REF!</v>
      </c>
      <c r="WBI247" s="29" t="e">
        <f t="shared" si="289"/>
        <v>#REF!</v>
      </c>
      <c r="WBJ247" s="29" t="e">
        <f t="shared" si="289"/>
        <v>#REF!</v>
      </c>
      <c r="WBK247" s="29" t="e">
        <f t="shared" si="289"/>
        <v>#REF!</v>
      </c>
      <c r="WBL247" s="29" t="e">
        <f t="shared" si="289"/>
        <v>#REF!</v>
      </c>
      <c r="WBM247" s="29" t="e">
        <f t="shared" si="289"/>
        <v>#REF!</v>
      </c>
      <c r="WBN247" s="29" t="e">
        <f t="shared" si="289"/>
        <v>#REF!</v>
      </c>
      <c r="WBO247" s="29" t="e">
        <f t="shared" si="289"/>
        <v>#REF!</v>
      </c>
      <c r="WBP247" s="29" t="e">
        <f t="shared" si="289"/>
        <v>#REF!</v>
      </c>
      <c r="WBQ247" s="29" t="e">
        <f t="shared" si="289"/>
        <v>#REF!</v>
      </c>
      <c r="WBR247" s="29" t="e">
        <f t="shared" si="289"/>
        <v>#REF!</v>
      </c>
      <c r="WBS247" s="29" t="e">
        <f t="shared" si="289"/>
        <v>#REF!</v>
      </c>
      <c r="WBT247" s="29" t="e">
        <f t="shared" si="289"/>
        <v>#REF!</v>
      </c>
      <c r="WBU247" s="29" t="e">
        <f t="shared" si="289"/>
        <v>#REF!</v>
      </c>
      <c r="WBV247" s="29" t="e">
        <f t="shared" si="289"/>
        <v>#REF!</v>
      </c>
      <c r="WBW247" s="29" t="e">
        <f t="shared" si="289"/>
        <v>#REF!</v>
      </c>
      <c r="WBX247" s="29" t="e">
        <f t="shared" si="289"/>
        <v>#REF!</v>
      </c>
      <c r="WBY247" s="29" t="e">
        <f t="shared" si="289"/>
        <v>#REF!</v>
      </c>
      <c r="WBZ247" s="29" t="e">
        <f t="shared" si="289"/>
        <v>#REF!</v>
      </c>
      <c r="WCA247" s="29" t="e">
        <f t="shared" si="289"/>
        <v>#REF!</v>
      </c>
      <c r="WCB247" s="29" t="e">
        <f t="shared" si="289"/>
        <v>#REF!</v>
      </c>
      <c r="WCC247" s="29" t="e">
        <f t="shared" si="289"/>
        <v>#REF!</v>
      </c>
      <c r="WCD247" s="29" t="e">
        <f t="shared" si="289"/>
        <v>#REF!</v>
      </c>
      <c r="WCE247" s="29" t="e">
        <f t="shared" si="289"/>
        <v>#REF!</v>
      </c>
      <c r="WCF247" s="29" t="e">
        <f t="shared" si="289"/>
        <v>#REF!</v>
      </c>
      <c r="WCG247" s="29" t="e">
        <f t="shared" ref="WCG247:WER247" si="290">WCK247&amp;WCL247</f>
        <v>#REF!</v>
      </c>
      <c r="WCH247" s="29" t="e">
        <f t="shared" si="290"/>
        <v>#REF!</v>
      </c>
      <c r="WCI247" s="29" t="e">
        <f t="shared" si="290"/>
        <v>#REF!</v>
      </c>
      <c r="WCJ247" s="29" t="e">
        <f t="shared" si="290"/>
        <v>#REF!</v>
      </c>
      <c r="WCK247" s="29" t="e">
        <f t="shared" si="290"/>
        <v>#REF!</v>
      </c>
      <c r="WCL247" s="29" t="e">
        <f t="shared" si="290"/>
        <v>#REF!</v>
      </c>
      <c r="WCM247" s="29" t="e">
        <f t="shared" si="290"/>
        <v>#REF!</v>
      </c>
      <c r="WCN247" s="29" t="e">
        <f t="shared" si="290"/>
        <v>#REF!</v>
      </c>
      <c r="WCO247" s="29" t="e">
        <f t="shared" si="290"/>
        <v>#REF!</v>
      </c>
      <c r="WCP247" s="29" t="e">
        <f t="shared" si="290"/>
        <v>#REF!</v>
      </c>
      <c r="WCQ247" s="29" t="e">
        <f t="shared" si="290"/>
        <v>#REF!</v>
      </c>
      <c r="WCR247" s="29" t="e">
        <f t="shared" si="290"/>
        <v>#REF!</v>
      </c>
      <c r="WCS247" s="29" t="e">
        <f t="shared" si="290"/>
        <v>#REF!</v>
      </c>
      <c r="WCT247" s="29" t="e">
        <f t="shared" si="290"/>
        <v>#REF!</v>
      </c>
      <c r="WCU247" s="29" t="e">
        <f t="shared" si="290"/>
        <v>#REF!</v>
      </c>
      <c r="WCV247" s="29" t="e">
        <f t="shared" si="290"/>
        <v>#REF!</v>
      </c>
      <c r="WCW247" s="29" t="e">
        <f t="shared" si="290"/>
        <v>#REF!</v>
      </c>
      <c r="WCX247" s="29" t="e">
        <f t="shared" si="290"/>
        <v>#REF!</v>
      </c>
      <c r="WCY247" s="29" t="e">
        <f t="shared" si="290"/>
        <v>#REF!</v>
      </c>
      <c r="WCZ247" s="29" t="e">
        <f t="shared" si="290"/>
        <v>#REF!</v>
      </c>
      <c r="WDA247" s="29" t="e">
        <f t="shared" si="290"/>
        <v>#REF!</v>
      </c>
      <c r="WDB247" s="29" t="e">
        <f t="shared" si="290"/>
        <v>#REF!</v>
      </c>
      <c r="WDC247" s="29" t="e">
        <f t="shared" si="290"/>
        <v>#REF!</v>
      </c>
      <c r="WDD247" s="29" t="e">
        <f t="shared" si="290"/>
        <v>#REF!</v>
      </c>
      <c r="WDE247" s="29" t="e">
        <f t="shared" si="290"/>
        <v>#REF!</v>
      </c>
      <c r="WDF247" s="29" t="e">
        <f t="shared" si="290"/>
        <v>#REF!</v>
      </c>
      <c r="WDG247" s="29" t="e">
        <f t="shared" si="290"/>
        <v>#REF!</v>
      </c>
      <c r="WDH247" s="29" t="e">
        <f t="shared" si="290"/>
        <v>#REF!</v>
      </c>
      <c r="WDI247" s="29" t="e">
        <f t="shared" si="290"/>
        <v>#REF!</v>
      </c>
      <c r="WDJ247" s="29" t="e">
        <f t="shared" si="290"/>
        <v>#REF!</v>
      </c>
      <c r="WDK247" s="29" t="e">
        <f t="shared" si="290"/>
        <v>#REF!</v>
      </c>
      <c r="WDL247" s="29" t="e">
        <f t="shared" si="290"/>
        <v>#REF!</v>
      </c>
      <c r="WDM247" s="29" t="e">
        <f t="shared" si="290"/>
        <v>#REF!</v>
      </c>
      <c r="WDN247" s="29" t="e">
        <f t="shared" si="290"/>
        <v>#REF!</v>
      </c>
      <c r="WDO247" s="29" t="e">
        <f t="shared" si="290"/>
        <v>#REF!</v>
      </c>
      <c r="WDP247" s="29" t="e">
        <f t="shared" si="290"/>
        <v>#REF!</v>
      </c>
      <c r="WDQ247" s="29" t="e">
        <f t="shared" si="290"/>
        <v>#REF!</v>
      </c>
      <c r="WDR247" s="29" t="e">
        <f t="shared" si="290"/>
        <v>#REF!</v>
      </c>
      <c r="WDS247" s="29" t="e">
        <f t="shared" si="290"/>
        <v>#REF!</v>
      </c>
      <c r="WDT247" s="29" t="e">
        <f t="shared" si="290"/>
        <v>#REF!</v>
      </c>
      <c r="WDU247" s="29" t="e">
        <f t="shared" si="290"/>
        <v>#REF!</v>
      </c>
      <c r="WDV247" s="29" t="e">
        <f t="shared" si="290"/>
        <v>#REF!</v>
      </c>
      <c r="WDW247" s="29" t="e">
        <f t="shared" si="290"/>
        <v>#REF!</v>
      </c>
      <c r="WDX247" s="29" t="e">
        <f t="shared" si="290"/>
        <v>#REF!</v>
      </c>
      <c r="WDY247" s="29" t="e">
        <f t="shared" si="290"/>
        <v>#REF!</v>
      </c>
      <c r="WDZ247" s="29" t="e">
        <f t="shared" si="290"/>
        <v>#REF!</v>
      </c>
      <c r="WEA247" s="29" t="e">
        <f t="shared" si="290"/>
        <v>#REF!</v>
      </c>
      <c r="WEB247" s="29" t="e">
        <f t="shared" si="290"/>
        <v>#REF!</v>
      </c>
      <c r="WEC247" s="29" t="e">
        <f t="shared" si="290"/>
        <v>#REF!</v>
      </c>
      <c r="WED247" s="29" t="e">
        <f t="shared" si="290"/>
        <v>#REF!</v>
      </c>
      <c r="WEE247" s="29" t="e">
        <f t="shared" si="290"/>
        <v>#REF!</v>
      </c>
      <c r="WEF247" s="29" t="e">
        <f t="shared" si="290"/>
        <v>#REF!</v>
      </c>
      <c r="WEG247" s="29" t="e">
        <f t="shared" si="290"/>
        <v>#REF!</v>
      </c>
      <c r="WEH247" s="29" t="e">
        <f t="shared" si="290"/>
        <v>#REF!</v>
      </c>
      <c r="WEI247" s="29" t="e">
        <f t="shared" si="290"/>
        <v>#REF!</v>
      </c>
      <c r="WEJ247" s="29" t="e">
        <f t="shared" si="290"/>
        <v>#REF!</v>
      </c>
      <c r="WEK247" s="29" t="e">
        <f t="shared" si="290"/>
        <v>#REF!</v>
      </c>
      <c r="WEL247" s="29" t="e">
        <f t="shared" si="290"/>
        <v>#REF!</v>
      </c>
      <c r="WEM247" s="29" t="e">
        <f t="shared" si="290"/>
        <v>#REF!</v>
      </c>
      <c r="WEN247" s="29" t="e">
        <f t="shared" si="290"/>
        <v>#REF!</v>
      </c>
      <c r="WEO247" s="29" t="e">
        <f t="shared" si="290"/>
        <v>#REF!</v>
      </c>
      <c r="WEP247" s="29" t="e">
        <f t="shared" si="290"/>
        <v>#REF!</v>
      </c>
      <c r="WEQ247" s="29" t="e">
        <f t="shared" si="290"/>
        <v>#REF!</v>
      </c>
      <c r="WER247" s="29" t="e">
        <f t="shared" si="290"/>
        <v>#REF!</v>
      </c>
      <c r="WES247" s="29" t="e">
        <f t="shared" ref="WES247:WHD247" si="291">WEW247&amp;WEX247</f>
        <v>#REF!</v>
      </c>
      <c r="WET247" s="29" t="e">
        <f t="shared" si="291"/>
        <v>#REF!</v>
      </c>
      <c r="WEU247" s="29" t="e">
        <f t="shared" si="291"/>
        <v>#REF!</v>
      </c>
      <c r="WEV247" s="29" t="e">
        <f t="shared" si="291"/>
        <v>#REF!</v>
      </c>
      <c r="WEW247" s="29" t="e">
        <f t="shared" si="291"/>
        <v>#REF!</v>
      </c>
      <c r="WEX247" s="29" t="e">
        <f t="shared" si="291"/>
        <v>#REF!</v>
      </c>
      <c r="WEY247" s="29" t="e">
        <f t="shared" si="291"/>
        <v>#REF!</v>
      </c>
      <c r="WEZ247" s="29" t="e">
        <f t="shared" si="291"/>
        <v>#REF!</v>
      </c>
      <c r="WFA247" s="29" t="e">
        <f t="shared" si="291"/>
        <v>#REF!</v>
      </c>
      <c r="WFB247" s="29" t="e">
        <f t="shared" si="291"/>
        <v>#REF!</v>
      </c>
      <c r="WFC247" s="29" t="e">
        <f t="shared" si="291"/>
        <v>#REF!</v>
      </c>
      <c r="WFD247" s="29" t="e">
        <f t="shared" si="291"/>
        <v>#REF!</v>
      </c>
      <c r="WFE247" s="29" t="e">
        <f t="shared" si="291"/>
        <v>#REF!</v>
      </c>
      <c r="WFF247" s="29" t="e">
        <f t="shared" si="291"/>
        <v>#REF!</v>
      </c>
      <c r="WFG247" s="29" t="e">
        <f t="shared" si="291"/>
        <v>#REF!</v>
      </c>
      <c r="WFH247" s="29" t="e">
        <f t="shared" si="291"/>
        <v>#REF!</v>
      </c>
      <c r="WFI247" s="29" t="e">
        <f t="shared" si="291"/>
        <v>#REF!</v>
      </c>
      <c r="WFJ247" s="29" t="e">
        <f t="shared" si="291"/>
        <v>#REF!</v>
      </c>
      <c r="WFK247" s="29" t="e">
        <f t="shared" si="291"/>
        <v>#REF!</v>
      </c>
      <c r="WFL247" s="29" t="e">
        <f t="shared" si="291"/>
        <v>#REF!</v>
      </c>
      <c r="WFM247" s="29" t="e">
        <f t="shared" si="291"/>
        <v>#REF!</v>
      </c>
      <c r="WFN247" s="29" t="e">
        <f t="shared" si="291"/>
        <v>#REF!</v>
      </c>
      <c r="WFO247" s="29" t="e">
        <f t="shared" si="291"/>
        <v>#REF!</v>
      </c>
      <c r="WFP247" s="29" t="e">
        <f t="shared" si="291"/>
        <v>#REF!</v>
      </c>
      <c r="WFQ247" s="29" t="e">
        <f t="shared" si="291"/>
        <v>#REF!</v>
      </c>
      <c r="WFR247" s="29" t="e">
        <f t="shared" si="291"/>
        <v>#REF!</v>
      </c>
      <c r="WFS247" s="29" t="e">
        <f t="shared" si="291"/>
        <v>#REF!</v>
      </c>
      <c r="WFT247" s="29" t="e">
        <f t="shared" si="291"/>
        <v>#REF!</v>
      </c>
      <c r="WFU247" s="29" t="e">
        <f t="shared" si="291"/>
        <v>#REF!</v>
      </c>
      <c r="WFV247" s="29" t="e">
        <f t="shared" si="291"/>
        <v>#REF!</v>
      </c>
      <c r="WFW247" s="29" t="e">
        <f t="shared" si="291"/>
        <v>#REF!</v>
      </c>
      <c r="WFX247" s="29" t="e">
        <f t="shared" si="291"/>
        <v>#REF!</v>
      </c>
      <c r="WFY247" s="29" t="e">
        <f t="shared" si="291"/>
        <v>#REF!</v>
      </c>
      <c r="WFZ247" s="29" t="e">
        <f t="shared" si="291"/>
        <v>#REF!</v>
      </c>
      <c r="WGA247" s="29" t="e">
        <f t="shared" si="291"/>
        <v>#REF!</v>
      </c>
      <c r="WGB247" s="29" t="e">
        <f t="shared" si="291"/>
        <v>#REF!</v>
      </c>
      <c r="WGC247" s="29" t="e">
        <f t="shared" si="291"/>
        <v>#REF!</v>
      </c>
      <c r="WGD247" s="29" t="e">
        <f t="shared" si="291"/>
        <v>#REF!</v>
      </c>
      <c r="WGE247" s="29" t="e">
        <f t="shared" si="291"/>
        <v>#REF!</v>
      </c>
      <c r="WGF247" s="29" t="e">
        <f t="shared" si="291"/>
        <v>#REF!</v>
      </c>
      <c r="WGG247" s="29" t="e">
        <f t="shared" si="291"/>
        <v>#REF!</v>
      </c>
      <c r="WGH247" s="29" t="e">
        <f t="shared" si="291"/>
        <v>#REF!</v>
      </c>
      <c r="WGI247" s="29" t="e">
        <f t="shared" si="291"/>
        <v>#REF!</v>
      </c>
      <c r="WGJ247" s="29" t="e">
        <f t="shared" si="291"/>
        <v>#REF!</v>
      </c>
      <c r="WGK247" s="29" t="e">
        <f t="shared" si="291"/>
        <v>#REF!</v>
      </c>
      <c r="WGL247" s="29" t="e">
        <f t="shared" si="291"/>
        <v>#REF!</v>
      </c>
      <c r="WGM247" s="29" t="e">
        <f t="shared" si="291"/>
        <v>#REF!</v>
      </c>
      <c r="WGN247" s="29" t="e">
        <f t="shared" si="291"/>
        <v>#REF!</v>
      </c>
      <c r="WGO247" s="29" t="e">
        <f t="shared" si="291"/>
        <v>#REF!</v>
      </c>
      <c r="WGP247" s="29" t="e">
        <f t="shared" si="291"/>
        <v>#REF!</v>
      </c>
      <c r="WGQ247" s="29" t="e">
        <f t="shared" si="291"/>
        <v>#REF!</v>
      </c>
      <c r="WGR247" s="29" t="e">
        <f t="shared" si="291"/>
        <v>#REF!</v>
      </c>
      <c r="WGS247" s="29" t="e">
        <f t="shared" si="291"/>
        <v>#REF!</v>
      </c>
      <c r="WGT247" s="29" t="e">
        <f t="shared" si="291"/>
        <v>#REF!</v>
      </c>
      <c r="WGU247" s="29" t="e">
        <f t="shared" si="291"/>
        <v>#REF!</v>
      </c>
      <c r="WGV247" s="29" t="e">
        <f t="shared" si="291"/>
        <v>#REF!</v>
      </c>
      <c r="WGW247" s="29" t="e">
        <f t="shared" si="291"/>
        <v>#REF!</v>
      </c>
      <c r="WGX247" s="29" t="e">
        <f t="shared" si="291"/>
        <v>#REF!</v>
      </c>
      <c r="WGY247" s="29" t="e">
        <f t="shared" si="291"/>
        <v>#REF!</v>
      </c>
      <c r="WGZ247" s="29" t="e">
        <f t="shared" si="291"/>
        <v>#REF!</v>
      </c>
      <c r="WHA247" s="29" t="e">
        <f t="shared" si="291"/>
        <v>#REF!</v>
      </c>
      <c r="WHB247" s="29" t="e">
        <f t="shared" si="291"/>
        <v>#REF!</v>
      </c>
      <c r="WHC247" s="29" t="e">
        <f t="shared" si="291"/>
        <v>#REF!</v>
      </c>
      <c r="WHD247" s="29" t="e">
        <f t="shared" si="291"/>
        <v>#REF!</v>
      </c>
      <c r="WHE247" s="29" t="e">
        <f t="shared" ref="WHE247:WJP247" si="292">WHI247&amp;WHJ247</f>
        <v>#REF!</v>
      </c>
      <c r="WHF247" s="29" t="e">
        <f t="shared" si="292"/>
        <v>#REF!</v>
      </c>
      <c r="WHG247" s="29" t="e">
        <f t="shared" si="292"/>
        <v>#REF!</v>
      </c>
      <c r="WHH247" s="29" t="e">
        <f t="shared" si="292"/>
        <v>#REF!</v>
      </c>
      <c r="WHI247" s="29" t="e">
        <f t="shared" si="292"/>
        <v>#REF!</v>
      </c>
      <c r="WHJ247" s="29" t="e">
        <f t="shared" si="292"/>
        <v>#REF!</v>
      </c>
      <c r="WHK247" s="29" t="e">
        <f t="shared" si="292"/>
        <v>#REF!</v>
      </c>
      <c r="WHL247" s="29" t="e">
        <f t="shared" si="292"/>
        <v>#REF!</v>
      </c>
      <c r="WHM247" s="29" t="e">
        <f t="shared" si="292"/>
        <v>#REF!</v>
      </c>
      <c r="WHN247" s="29" t="e">
        <f t="shared" si="292"/>
        <v>#REF!</v>
      </c>
      <c r="WHO247" s="29" t="e">
        <f t="shared" si="292"/>
        <v>#REF!</v>
      </c>
      <c r="WHP247" s="29" t="e">
        <f t="shared" si="292"/>
        <v>#REF!</v>
      </c>
      <c r="WHQ247" s="29" t="e">
        <f t="shared" si="292"/>
        <v>#REF!</v>
      </c>
      <c r="WHR247" s="29" t="e">
        <f t="shared" si="292"/>
        <v>#REF!</v>
      </c>
      <c r="WHS247" s="29" t="e">
        <f t="shared" si="292"/>
        <v>#REF!</v>
      </c>
      <c r="WHT247" s="29" t="e">
        <f t="shared" si="292"/>
        <v>#REF!</v>
      </c>
      <c r="WHU247" s="29" t="e">
        <f t="shared" si="292"/>
        <v>#REF!</v>
      </c>
      <c r="WHV247" s="29" t="e">
        <f t="shared" si="292"/>
        <v>#REF!</v>
      </c>
      <c r="WHW247" s="29" t="e">
        <f t="shared" si="292"/>
        <v>#REF!</v>
      </c>
      <c r="WHX247" s="29" t="e">
        <f t="shared" si="292"/>
        <v>#REF!</v>
      </c>
      <c r="WHY247" s="29" t="e">
        <f t="shared" si="292"/>
        <v>#REF!</v>
      </c>
      <c r="WHZ247" s="29" t="e">
        <f t="shared" si="292"/>
        <v>#REF!</v>
      </c>
      <c r="WIA247" s="29" t="e">
        <f t="shared" si="292"/>
        <v>#REF!</v>
      </c>
      <c r="WIB247" s="29" t="e">
        <f t="shared" si="292"/>
        <v>#REF!</v>
      </c>
      <c r="WIC247" s="29" t="e">
        <f t="shared" si="292"/>
        <v>#REF!</v>
      </c>
      <c r="WID247" s="29" t="e">
        <f t="shared" si="292"/>
        <v>#REF!</v>
      </c>
      <c r="WIE247" s="29" t="e">
        <f t="shared" si="292"/>
        <v>#REF!</v>
      </c>
      <c r="WIF247" s="29" t="e">
        <f t="shared" si="292"/>
        <v>#REF!</v>
      </c>
      <c r="WIG247" s="29" t="e">
        <f t="shared" si="292"/>
        <v>#REF!</v>
      </c>
      <c r="WIH247" s="29" t="e">
        <f t="shared" si="292"/>
        <v>#REF!</v>
      </c>
      <c r="WII247" s="29" t="e">
        <f t="shared" si="292"/>
        <v>#REF!</v>
      </c>
      <c r="WIJ247" s="29" t="e">
        <f t="shared" si="292"/>
        <v>#REF!</v>
      </c>
      <c r="WIK247" s="29" t="e">
        <f t="shared" si="292"/>
        <v>#REF!</v>
      </c>
      <c r="WIL247" s="29" t="e">
        <f t="shared" si="292"/>
        <v>#REF!</v>
      </c>
      <c r="WIM247" s="29" t="e">
        <f t="shared" si="292"/>
        <v>#REF!</v>
      </c>
      <c r="WIN247" s="29" t="e">
        <f t="shared" si="292"/>
        <v>#REF!</v>
      </c>
      <c r="WIO247" s="29" t="e">
        <f t="shared" si="292"/>
        <v>#REF!</v>
      </c>
      <c r="WIP247" s="29" t="e">
        <f t="shared" si="292"/>
        <v>#REF!</v>
      </c>
      <c r="WIQ247" s="29" t="e">
        <f t="shared" si="292"/>
        <v>#REF!</v>
      </c>
      <c r="WIR247" s="29" t="e">
        <f t="shared" si="292"/>
        <v>#REF!</v>
      </c>
      <c r="WIS247" s="29" t="e">
        <f t="shared" si="292"/>
        <v>#REF!</v>
      </c>
      <c r="WIT247" s="29" t="e">
        <f t="shared" si="292"/>
        <v>#REF!</v>
      </c>
      <c r="WIU247" s="29" t="e">
        <f t="shared" si="292"/>
        <v>#REF!</v>
      </c>
      <c r="WIV247" s="29" t="e">
        <f t="shared" si="292"/>
        <v>#REF!</v>
      </c>
      <c r="WIW247" s="29" t="e">
        <f t="shared" si="292"/>
        <v>#REF!</v>
      </c>
      <c r="WIX247" s="29" t="e">
        <f t="shared" si="292"/>
        <v>#REF!</v>
      </c>
      <c r="WIY247" s="29" t="e">
        <f t="shared" si="292"/>
        <v>#REF!</v>
      </c>
      <c r="WIZ247" s="29" t="e">
        <f t="shared" si="292"/>
        <v>#REF!</v>
      </c>
      <c r="WJA247" s="29" t="e">
        <f t="shared" si="292"/>
        <v>#REF!</v>
      </c>
      <c r="WJB247" s="29" t="e">
        <f t="shared" si="292"/>
        <v>#REF!</v>
      </c>
      <c r="WJC247" s="29" t="e">
        <f t="shared" si="292"/>
        <v>#REF!</v>
      </c>
      <c r="WJD247" s="29" t="e">
        <f t="shared" si="292"/>
        <v>#REF!</v>
      </c>
      <c r="WJE247" s="29" t="e">
        <f t="shared" si="292"/>
        <v>#REF!</v>
      </c>
      <c r="WJF247" s="29" t="e">
        <f t="shared" si="292"/>
        <v>#REF!</v>
      </c>
      <c r="WJG247" s="29" t="e">
        <f t="shared" si="292"/>
        <v>#REF!</v>
      </c>
      <c r="WJH247" s="29" t="e">
        <f t="shared" si="292"/>
        <v>#REF!</v>
      </c>
      <c r="WJI247" s="29" t="e">
        <f t="shared" si="292"/>
        <v>#REF!</v>
      </c>
      <c r="WJJ247" s="29" t="e">
        <f t="shared" si="292"/>
        <v>#REF!</v>
      </c>
      <c r="WJK247" s="29" t="e">
        <f t="shared" si="292"/>
        <v>#REF!</v>
      </c>
      <c r="WJL247" s="29" t="e">
        <f t="shared" si="292"/>
        <v>#REF!</v>
      </c>
      <c r="WJM247" s="29" t="e">
        <f t="shared" si="292"/>
        <v>#REF!</v>
      </c>
      <c r="WJN247" s="29" t="e">
        <f t="shared" si="292"/>
        <v>#REF!</v>
      </c>
      <c r="WJO247" s="29" t="e">
        <f t="shared" si="292"/>
        <v>#REF!</v>
      </c>
      <c r="WJP247" s="29" t="e">
        <f t="shared" si="292"/>
        <v>#REF!</v>
      </c>
      <c r="WJQ247" s="29" t="e">
        <f t="shared" ref="WJQ247:WMB247" si="293">WJU247&amp;WJV247</f>
        <v>#REF!</v>
      </c>
      <c r="WJR247" s="29" t="e">
        <f t="shared" si="293"/>
        <v>#REF!</v>
      </c>
      <c r="WJS247" s="29" t="e">
        <f t="shared" si="293"/>
        <v>#REF!</v>
      </c>
      <c r="WJT247" s="29" t="e">
        <f t="shared" si="293"/>
        <v>#REF!</v>
      </c>
      <c r="WJU247" s="29" t="e">
        <f t="shared" si="293"/>
        <v>#REF!</v>
      </c>
      <c r="WJV247" s="29" t="e">
        <f t="shared" si="293"/>
        <v>#REF!</v>
      </c>
      <c r="WJW247" s="29" t="e">
        <f t="shared" si="293"/>
        <v>#REF!</v>
      </c>
      <c r="WJX247" s="29" t="e">
        <f t="shared" si="293"/>
        <v>#REF!</v>
      </c>
      <c r="WJY247" s="29" t="e">
        <f t="shared" si="293"/>
        <v>#REF!</v>
      </c>
      <c r="WJZ247" s="29" t="e">
        <f t="shared" si="293"/>
        <v>#REF!</v>
      </c>
      <c r="WKA247" s="29" t="e">
        <f t="shared" si="293"/>
        <v>#REF!</v>
      </c>
      <c r="WKB247" s="29" t="e">
        <f t="shared" si="293"/>
        <v>#REF!</v>
      </c>
      <c r="WKC247" s="29" t="e">
        <f t="shared" si="293"/>
        <v>#REF!</v>
      </c>
      <c r="WKD247" s="29" t="e">
        <f t="shared" si="293"/>
        <v>#REF!</v>
      </c>
      <c r="WKE247" s="29" t="e">
        <f t="shared" si="293"/>
        <v>#REF!</v>
      </c>
      <c r="WKF247" s="29" t="e">
        <f t="shared" si="293"/>
        <v>#REF!</v>
      </c>
      <c r="WKG247" s="29" t="e">
        <f t="shared" si="293"/>
        <v>#REF!</v>
      </c>
      <c r="WKH247" s="29" t="e">
        <f t="shared" si="293"/>
        <v>#REF!</v>
      </c>
      <c r="WKI247" s="29" t="e">
        <f t="shared" si="293"/>
        <v>#REF!</v>
      </c>
      <c r="WKJ247" s="29" t="e">
        <f t="shared" si="293"/>
        <v>#REF!</v>
      </c>
      <c r="WKK247" s="29" t="e">
        <f t="shared" si="293"/>
        <v>#REF!</v>
      </c>
      <c r="WKL247" s="29" t="e">
        <f t="shared" si="293"/>
        <v>#REF!</v>
      </c>
      <c r="WKM247" s="29" t="e">
        <f t="shared" si="293"/>
        <v>#REF!</v>
      </c>
      <c r="WKN247" s="29" t="e">
        <f t="shared" si="293"/>
        <v>#REF!</v>
      </c>
      <c r="WKO247" s="29" t="e">
        <f t="shared" si="293"/>
        <v>#REF!</v>
      </c>
      <c r="WKP247" s="29" t="e">
        <f t="shared" si="293"/>
        <v>#REF!</v>
      </c>
      <c r="WKQ247" s="29" t="e">
        <f t="shared" si="293"/>
        <v>#REF!</v>
      </c>
      <c r="WKR247" s="29" t="e">
        <f t="shared" si="293"/>
        <v>#REF!</v>
      </c>
      <c r="WKS247" s="29" t="e">
        <f t="shared" si="293"/>
        <v>#REF!</v>
      </c>
      <c r="WKT247" s="29" t="e">
        <f t="shared" si="293"/>
        <v>#REF!</v>
      </c>
      <c r="WKU247" s="29" t="e">
        <f t="shared" si="293"/>
        <v>#REF!</v>
      </c>
      <c r="WKV247" s="29" t="e">
        <f t="shared" si="293"/>
        <v>#REF!</v>
      </c>
      <c r="WKW247" s="29" t="e">
        <f t="shared" si="293"/>
        <v>#REF!</v>
      </c>
      <c r="WKX247" s="29" t="e">
        <f t="shared" si="293"/>
        <v>#REF!</v>
      </c>
      <c r="WKY247" s="29" t="e">
        <f t="shared" si="293"/>
        <v>#REF!</v>
      </c>
      <c r="WKZ247" s="29" t="e">
        <f t="shared" si="293"/>
        <v>#REF!</v>
      </c>
      <c r="WLA247" s="29" t="e">
        <f t="shared" si="293"/>
        <v>#REF!</v>
      </c>
      <c r="WLB247" s="29" t="e">
        <f t="shared" si="293"/>
        <v>#REF!</v>
      </c>
      <c r="WLC247" s="29" t="e">
        <f t="shared" si="293"/>
        <v>#REF!</v>
      </c>
      <c r="WLD247" s="29" t="e">
        <f t="shared" si="293"/>
        <v>#REF!</v>
      </c>
      <c r="WLE247" s="29" t="e">
        <f t="shared" si="293"/>
        <v>#REF!</v>
      </c>
      <c r="WLF247" s="29" t="e">
        <f t="shared" si="293"/>
        <v>#REF!</v>
      </c>
      <c r="WLG247" s="29" t="e">
        <f t="shared" si="293"/>
        <v>#REF!</v>
      </c>
      <c r="WLH247" s="29" t="e">
        <f t="shared" si="293"/>
        <v>#REF!</v>
      </c>
      <c r="WLI247" s="29" t="e">
        <f t="shared" si="293"/>
        <v>#REF!</v>
      </c>
      <c r="WLJ247" s="29" t="e">
        <f t="shared" si="293"/>
        <v>#REF!</v>
      </c>
      <c r="WLK247" s="29" t="e">
        <f t="shared" si="293"/>
        <v>#REF!</v>
      </c>
      <c r="WLL247" s="29" t="e">
        <f t="shared" si="293"/>
        <v>#REF!</v>
      </c>
      <c r="WLM247" s="29" t="e">
        <f t="shared" si="293"/>
        <v>#REF!</v>
      </c>
      <c r="WLN247" s="29" t="e">
        <f t="shared" si="293"/>
        <v>#REF!</v>
      </c>
      <c r="WLO247" s="29" t="e">
        <f t="shared" si="293"/>
        <v>#REF!</v>
      </c>
      <c r="WLP247" s="29" t="e">
        <f t="shared" si="293"/>
        <v>#REF!</v>
      </c>
      <c r="WLQ247" s="29" t="e">
        <f t="shared" si="293"/>
        <v>#REF!</v>
      </c>
      <c r="WLR247" s="29" t="e">
        <f t="shared" si="293"/>
        <v>#REF!</v>
      </c>
      <c r="WLS247" s="29" t="e">
        <f t="shared" si="293"/>
        <v>#REF!</v>
      </c>
      <c r="WLT247" s="29" t="e">
        <f t="shared" si="293"/>
        <v>#REF!</v>
      </c>
      <c r="WLU247" s="29" t="e">
        <f t="shared" si="293"/>
        <v>#REF!</v>
      </c>
      <c r="WLV247" s="29" t="e">
        <f t="shared" si="293"/>
        <v>#REF!</v>
      </c>
      <c r="WLW247" s="29" t="e">
        <f t="shared" si="293"/>
        <v>#REF!</v>
      </c>
      <c r="WLX247" s="29" t="e">
        <f t="shared" si="293"/>
        <v>#REF!</v>
      </c>
      <c r="WLY247" s="29" t="e">
        <f t="shared" si="293"/>
        <v>#REF!</v>
      </c>
      <c r="WLZ247" s="29" t="e">
        <f t="shared" si="293"/>
        <v>#REF!</v>
      </c>
      <c r="WMA247" s="29" t="e">
        <f t="shared" si="293"/>
        <v>#REF!</v>
      </c>
      <c r="WMB247" s="29" t="e">
        <f t="shared" si="293"/>
        <v>#REF!</v>
      </c>
      <c r="WMC247" s="29" t="e">
        <f t="shared" ref="WMC247:WON247" si="294">WMG247&amp;WMH247</f>
        <v>#REF!</v>
      </c>
      <c r="WMD247" s="29" t="e">
        <f t="shared" si="294"/>
        <v>#REF!</v>
      </c>
      <c r="WME247" s="29" t="e">
        <f t="shared" si="294"/>
        <v>#REF!</v>
      </c>
      <c r="WMF247" s="29" t="e">
        <f t="shared" si="294"/>
        <v>#REF!</v>
      </c>
      <c r="WMG247" s="29" t="e">
        <f t="shared" si="294"/>
        <v>#REF!</v>
      </c>
      <c r="WMH247" s="29" t="e">
        <f t="shared" si="294"/>
        <v>#REF!</v>
      </c>
      <c r="WMI247" s="29" t="e">
        <f t="shared" si="294"/>
        <v>#REF!</v>
      </c>
      <c r="WMJ247" s="29" t="e">
        <f t="shared" si="294"/>
        <v>#REF!</v>
      </c>
      <c r="WMK247" s="29" t="e">
        <f t="shared" si="294"/>
        <v>#REF!</v>
      </c>
      <c r="WML247" s="29" t="e">
        <f t="shared" si="294"/>
        <v>#REF!</v>
      </c>
      <c r="WMM247" s="29" t="e">
        <f t="shared" si="294"/>
        <v>#REF!</v>
      </c>
      <c r="WMN247" s="29" t="e">
        <f t="shared" si="294"/>
        <v>#REF!</v>
      </c>
      <c r="WMO247" s="29" t="e">
        <f t="shared" si="294"/>
        <v>#REF!</v>
      </c>
      <c r="WMP247" s="29" t="e">
        <f t="shared" si="294"/>
        <v>#REF!</v>
      </c>
      <c r="WMQ247" s="29" t="e">
        <f t="shared" si="294"/>
        <v>#REF!</v>
      </c>
      <c r="WMR247" s="29" t="e">
        <f t="shared" si="294"/>
        <v>#REF!</v>
      </c>
      <c r="WMS247" s="29" t="e">
        <f t="shared" si="294"/>
        <v>#REF!</v>
      </c>
      <c r="WMT247" s="29" t="e">
        <f t="shared" si="294"/>
        <v>#REF!</v>
      </c>
      <c r="WMU247" s="29" t="e">
        <f t="shared" si="294"/>
        <v>#REF!</v>
      </c>
      <c r="WMV247" s="29" t="e">
        <f t="shared" si="294"/>
        <v>#REF!</v>
      </c>
      <c r="WMW247" s="29" t="e">
        <f t="shared" si="294"/>
        <v>#REF!</v>
      </c>
      <c r="WMX247" s="29" t="e">
        <f t="shared" si="294"/>
        <v>#REF!</v>
      </c>
      <c r="WMY247" s="29" t="e">
        <f t="shared" si="294"/>
        <v>#REF!</v>
      </c>
      <c r="WMZ247" s="29" t="e">
        <f t="shared" si="294"/>
        <v>#REF!</v>
      </c>
      <c r="WNA247" s="29" t="e">
        <f t="shared" si="294"/>
        <v>#REF!</v>
      </c>
      <c r="WNB247" s="29" t="e">
        <f t="shared" si="294"/>
        <v>#REF!</v>
      </c>
      <c r="WNC247" s="29" t="e">
        <f t="shared" si="294"/>
        <v>#REF!</v>
      </c>
      <c r="WND247" s="29" t="e">
        <f t="shared" si="294"/>
        <v>#REF!</v>
      </c>
      <c r="WNE247" s="29" t="e">
        <f t="shared" si="294"/>
        <v>#REF!</v>
      </c>
      <c r="WNF247" s="29" t="e">
        <f t="shared" si="294"/>
        <v>#REF!</v>
      </c>
      <c r="WNG247" s="29" t="e">
        <f t="shared" si="294"/>
        <v>#REF!</v>
      </c>
      <c r="WNH247" s="29" t="e">
        <f t="shared" si="294"/>
        <v>#REF!</v>
      </c>
      <c r="WNI247" s="29" t="e">
        <f t="shared" si="294"/>
        <v>#REF!</v>
      </c>
      <c r="WNJ247" s="29" t="e">
        <f t="shared" si="294"/>
        <v>#REF!</v>
      </c>
      <c r="WNK247" s="29" t="e">
        <f t="shared" si="294"/>
        <v>#REF!</v>
      </c>
      <c r="WNL247" s="29" t="e">
        <f t="shared" si="294"/>
        <v>#REF!</v>
      </c>
      <c r="WNM247" s="29" t="e">
        <f t="shared" si="294"/>
        <v>#REF!</v>
      </c>
      <c r="WNN247" s="29" t="e">
        <f t="shared" si="294"/>
        <v>#REF!</v>
      </c>
      <c r="WNO247" s="29" t="e">
        <f t="shared" si="294"/>
        <v>#REF!</v>
      </c>
      <c r="WNP247" s="29" t="e">
        <f t="shared" si="294"/>
        <v>#REF!</v>
      </c>
      <c r="WNQ247" s="29" t="e">
        <f t="shared" si="294"/>
        <v>#REF!</v>
      </c>
      <c r="WNR247" s="29" t="e">
        <f t="shared" si="294"/>
        <v>#REF!</v>
      </c>
      <c r="WNS247" s="29" t="e">
        <f t="shared" si="294"/>
        <v>#REF!</v>
      </c>
      <c r="WNT247" s="29" t="e">
        <f t="shared" si="294"/>
        <v>#REF!</v>
      </c>
      <c r="WNU247" s="29" t="e">
        <f t="shared" si="294"/>
        <v>#REF!</v>
      </c>
      <c r="WNV247" s="29" t="e">
        <f t="shared" si="294"/>
        <v>#REF!</v>
      </c>
      <c r="WNW247" s="29" t="e">
        <f t="shared" si="294"/>
        <v>#REF!</v>
      </c>
      <c r="WNX247" s="29" t="e">
        <f t="shared" si="294"/>
        <v>#REF!</v>
      </c>
      <c r="WNY247" s="29" t="e">
        <f t="shared" si="294"/>
        <v>#REF!</v>
      </c>
      <c r="WNZ247" s="29" t="e">
        <f t="shared" si="294"/>
        <v>#REF!</v>
      </c>
      <c r="WOA247" s="29" t="e">
        <f t="shared" si="294"/>
        <v>#REF!</v>
      </c>
      <c r="WOB247" s="29" t="e">
        <f t="shared" si="294"/>
        <v>#REF!</v>
      </c>
      <c r="WOC247" s="29" t="e">
        <f t="shared" si="294"/>
        <v>#REF!</v>
      </c>
      <c r="WOD247" s="29" t="e">
        <f t="shared" si="294"/>
        <v>#REF!</v>
      </c>
      <c r="WOE247" s="29" t="e">
        <f t="shared" si="294"/>
        <v>#REF!</v>
      </c>
      <c r="WOF247" s="29" t="e">
        <f t="shared" si="294"/>
        <v>#REF!</v>
      </c>
      <c r="WOG247" s="29" t="e">
        <f t="shared" si="294"/>
        <v>#REF!</v>
      </c>
      <c r="WOH247" s="29" t="e">
        <f t="shared" si="294"/>
        <v>#REF!</v>
      </c>
      <c r="WOI247" s="29" t="e">
        <f t="shared" si="294"/>
        <v>#REF!</v>
      </c>
      <c r="WOJ247" s="29" t="e">
        <f t="shared" si="294"/>
        <v>#REF!</v>
      </c>
      <c r="WOK247" s="29" t="e">
        <f t="shared" si="294"/>
        <v>#REF!</v>
      </c>
      <c r="WOL247" s="29" t="e">
        <f t="shared" si="294"/>
        <v>#REF!</v>
      </c>
      <c r="WOM247" s="29" t="e">
        <f t="shared" si="294"/>
        <v>#REF!</v>
      </c>
      <c r="WON247" s="29" t="e">
        <f t="shared" si="294"/>
        <v>#REF!</v>
      </c>
      <c r="WOO247" s="29" t="e">
        <f t="shared" ref="WOO247:WQZ247" si="295">WOS247&amp;WOT247</f>
        <v>#REF!</v>
      </c>
      <c r="WOP247" s="29" t="e">
        <f t="shared" si="295"/>
        <v>#REF!</v>
      </c>
      <c r="WOQ247" s="29" t="e">
        <f t="shared" si="295"/>
        <v>#REF!</v>
      </c>
      <c r="WOR247" s="29" t="e">
        <f t="shared" si="295"/>
        <v>#REF!</v>
      </c>
      <c r="WOS247" s="29" t="e">
        <f t="shared" si="295"/>
        <v>#REF!</v>
      </c>
      <c r="WOT247" s="29" t="e">
        <f t="shared" si="295"/>
        <v>#REF!</v>
      </c>
      <c r="WOU247" s="29" t="e">
        <f t="shared" si="295"/>
        <v>#REF!</v>
      </c>
      <c r="WOV247" s="29" t="e">
        <f t="shared" si="295"/>
        <v>#REF!</v>
      </c>
      <c r="WOW247" s="29" t="e">
        <f t="shared" si="295"/>
        <v>#REF!</v>
      </c>
      <c r="WOX247" s="29" t="e">
        <f t="shared" si="295"/>
        <v>#REF!</v>
      </c>
      <c r="WOY247" s="29" t="e">
        <f t="shared" si="295"/>
        <v>#REF!</v>
      </c>
      <c r="WOZ247" s="29" t="e">
        <f t="shared" si="295"/>
        <v>#REF!</v>
      </c>
      <c r="WPA247" s="29" t="e">
        <f t="shared" si="295"/>
        <v>#REF!</v>
      </c>
      <c r="WPB247" s="29" t="e">
        <f t="shared" si="295"/>
        <v>#REF!</v>
      </c>
      <c r="WPC247" s="29" t="e">
        <f t="shared" si="295"/>
        <v>#REF!</v>
      </c>
      <c r="WPD247" s="29" t="e">
        <f t="shared" si="295"/>
        <v>#REF!</v>
      </c>
      <c r="WPE247" s="29" t="e">
        <f t="shared" si="295"/>
        <v>#REF!</v>
      </c>
      <c r="WPF247" s="29" t="e">
        <f t="shared" si="295"/>
        <v>#REF!</v>
      </c>
      <c r="WPG247" s="29" t="e">
        <f t="shared" si="295"/>
        <v>#REF!</v>
      </c>
      <c r="WPH247" s="29" t="e">
        <f t="shared" si="295"/>
        <v>#REF!</v>
      </c>
      <c r="WPI247" s="29" t="e">
        <f t="shared" si="295"/>
        <v>#REF!</v>
      </c>
      <c r="WPJ247" s="29" t="e">
        <f t="shared" si="295"/>
        <v>#REF!</v>
      </c>
      <c r="WPK247" s="29" t="e">
        <f t="shared" si="295"/>
        <v>#REF!</v>
      </c>
      <c r="WPL247" s="29" t="e">
        <f t="shared" si="295"/>
        <v>#REF!</v>
      </c>
      <c r="WPM247" s="29" t="e">
        <f t="shared" si="295"/>
        <v>#REF!</v>
      </c>
      <c r="WPN247" s="29" t="e">
        <f t="shared" si="295"/>
        <v>#REF!</v>
      </c>
      <c r="WPO247" s="29" t="e">
        <f t="shared" si="295"/>
        <v>#REF!</v>
      </c>
      <c r="WPP247" s="29" t="e">
        <f t="shared" si="295"/>
        <v>#REF!</v>
      </c>
      <c r="WPQ247" s="29" t="e">
        <f t="shared" si="295"/>
        <v>#REF!</v>
      </c>
      <c r="WPR247" s="29" t="e">
        <f t="shared" si="295"/>
        <v>#REF!</v>
      </c>
      <c r="WPS247" s="29" t="e">
        <f t="shared" si="295"/>
        <v>#REF!</v>
      </c>
      <c r="WPT247" s="29" t="e">
        <f t="shared" si="295"/>
        <v>#REF!</v>
      </c>
      <c r="WPU247" s="29" t="e">
        <f t="shared" si="295"/>
        <v>#REF!</v>
      </c>
      <c r="WPV247" s="29" t="e">
        <f t="shared" si="295"/>
        <v>#REF!</v>
      </c>
      <c r="WPW247" s="29" t="e">
        <f t="shared" si="295"/>
        <v>#REF!</v>
      </c>
      <c r="WPX247" s="29" t="e">
        <f t="shared" si="295"/>
        <v>#REF!</v>
      </c>
      <c r="WPY247" s="29" t="e">
        <f t="shared" si="295"/>
        <v>#REF!</v>
      </c>
      <c r="WPZ247" s="29" t="e">
        <f t="shared" si="295"/>
        <v>#REF!</v>
      </c>
      <c r="WQA247" s="29" t="e">
        <f t="shared" si="295"/>
        <v>#REF!</v>
      </c>
      <c r="WQB247" s="29" t="e">
        <f t="shared" si="295"/>
        <v>#REF!</v>
      </c>
      <c r="WQC247" s="29" t="e">
        <f t="shared" si="295"/>
        <v>#REF!</v>
      </c>
      <c r="WQD247" s="29" t="e">
        <f t="shared" si="295"/>
        <v>#REF!</v>
      </c>
      <c r="WQE247" s="29" t="e">
        <f t="shared" si="295"/>
        <v>#REF!</v>
      </c>
      <c r="WQF247" s="29" t="e">
        <f t="shared" si="295"/>
        <v>#REF!</v>
      </c>
      <c r="WQG247" s="29" t="e">
        <f t="shared" si="295"/>
        <v>#REF!</v>
      </c>
      <c r="WQH247" s="29" t="e">
        <f t="shared" si="295"/>
        <v>#REF!</v>
      </c>
      <c r="WQI247" s="29" t="e">
        <f t="shared" si="295"/>
        <v>#REF!</v>
      </c>
      <c r="WQJ247" s="29" t="e">
        <f t="shared" si="295"/>
        <v>#REF!</v>
      </c>
      <c r="WQK247" s="29" t="e">
        <f t="shared" si="295"/>
        <v>#REF!</v>
      </c>
      <c r="WQL247" s="29" t="e">
        <f t="shared" si="295"/>
        <v>#REF!</v>
      </c>
      <c r="WQM247" s="29" t="e">
        <f t="shared" si="295"/>
        <v>#REF!</v>
      </c>
      <c r="WQN247" s="29" t="e">
        <f t="shared" si="295"/>
        <v>#REF!</v>
      </c>
      <c r="WQO247" s="29" t="e">
        <f t="shared" si="295"/>
        <v>#REF!</v>
      </c>
      <c r="WQP247" s="29" t="e">
        <f t="shared" si="295"/>
        <v>#REF!</v>
      </c>
      <c r="WQQ247" s="29" t="e">
        <f t="shared" si="295"/>
        <v>#REF!</v>
      </c>
      <c r="WQR247" s="29" t="e">
        <f t="shared" si="295"/>
        <v>#REF!</v>
      </c>
      <c r="WQS247" s="29" t="e">
        <f t="shared" si="295"/>
        <v>#REF!</v>
      </c>
      <c r="WQT247" s="29" t="e">
        <f t="shared" si="295"/>
        <v>#REF!</v>
      </c>
      <c r="WQU247" s="29" t="e">
        <f t="shared" si="295"/>
        <v>#REF!</v>
      </c>
      <c r="WQV247" s="29" t="e">
        <f t="shared" si="295"/>
        <v>#REF!</v>
      </c>
      <c r="WQW247" s="29" t="e">
        <f t="shared" si="295"/>
        <v>#REF!</v>
      </c>
      <c r="WQX247" s="29" t="e">
        <f t="shared" si="295"/>
        <v>#REF!</v>
      </c>
      <c r="WQY247" s="29" t="e">
        <f t="shared" si="295"/>
        <v>#REF!</v>
      </c>
      <c r="WQZ247" s="29" t="e">
        <f t="shared" si="295"/>
        <v>#REF!</v>
      </c>
      <c r="WRA247" s="29" t="e">
        <f t="shared" ref="WRA247:WTL247" si="296">WRE247&amp;WRF247</f>
        <v>#REF!</v>
      </c>
      <c r="WRB247" s="29" t="e">
        <f t="shared" si="296"/>
        <v>#REF!</v>
      </c>
      <c r="WRC247" s="29" t="e">
        <f t="shared" si="296"/>
        <v>#REF!</v>
      </c>
      <c r="WRD247" s="29" t="e">
        <f t="shared" si="296"/>
        <v>#REF!</v>
      </c>
      <c r="WRE247" s="29" t="e">
        <f t="shared" si="296"/>
        <v>#REF!</v>
      </c>
      <c r="WRF247" s="29" t="e">
        <f t="shared" si="296"/>
        <v>#REF!</v>
      </c>
      <c r="WRG247" s="29" t="e">
        <f t="shared" si="296"/>
        <v>#REF!</v>
      </c>
      <c r="WRH247" s="29" t="e">
        <f t="shared" si="296"/>
        <v>#REF!</v>
      </c>
      <c r="WRI247" s="29" t="e">
        <f t="shared" si="296"/>
        <v>#REF!</v>
      </c>
      <c r="WRJ247" s="29" t="e">
        <f t="shared" si="296"/>
        <v>#REF!</v>
      </c>
      <c r="WRK247" s="29" t="e">
        <f t="shared" si="296"/>
        <v>#REF!</v>
      </c>
      <c r="WRL247" s="29" t="e">
        <f t="shared" si="296"/>
        <v>#REF!</v>
      </c>
      <c r="WRM247" s="29" t="e">
        <f t="shared" si="296"/>
        <v>#REF!</v>
      </c>
      <c r="WRN247" s="29" t="e">
        <f t="shared" si="296"/>
        <v>#REF!</v>
      </c>
      <c r="WRO247" s="29" t="e">
        <f t="shared" si="296"/>
        <v>#REF!</v>
      </c>
      <c r="WRP247" s="29" t="e">
        <f t="shared" si="296"/>
        <v>#REF!</v>
      </c>
      <c r="WRQ247" s="29" t="e">
        <f t="shared" si="296"/>
        <v>#REF!</v>
      </c>
      <c r="WRR247" s="29" t="e">
        <f t="shared" si="296"/>
        <v>#REF!</v>
      </c>
      <c r="WRS247" s="29" t="e">
        <f t="shared" si="296"/>
        <v>#REF!</v>
      </c>
      <c r="WRT247" s="29" t="e">
        <f t="shared" si="296"/>
        <v>#REF!</v>
      </c>
      <c r="WRU247" s="29" t="e">
        <f t="shared" si="296"/>
        <v>#REF!</v>
      </c>
      <c r="WRV247" s="29" t="e">
        <f t="shared" si="296"/>
        <v>#REF!</v>
      </c>
      <c r="WRW247" s="29" t="e">
        <f t="shared" si="296"/>
        <v>#REF!</v>
      </c>
      <c r="WRX247" s="29" t="e">
        <f t="shared" si="296"/>
        <v>#REF!</v>
      </c>
      <c r="WRY247" s="29" t="e">
        <f t="shared" si="296"/>
        <v>#REF!</v>
      </c>
      <c r="WRZ247" s="29" t="e">
        <f t="shared" si="296"/>
        <v>#REF!</v>
      </c>
      <c r="WSA247" s="29" t="e">
        <f t="shared" si="296"/>
        <v>#REF!</v>
      </c>
      <c r="WSB247" s="29" t="e">
        <f t="shared" si="296"/>
        <v>#REF!</v>
      </c>
      <c r="WSC247" s="29" t="e">
        <f t="shared" si="296"/>
        <v>#REF!</v>
      </c>
      <c r="WSD247" s="29" t="e">
        <f t="shared" si="296"/>
        <v>#REF!</v>
      </c>
      <c r="WSE247" s="29" t="e">
        <f t="shared" si="296"/>
        <v>#REF!</v>
      </c>
      <c r="WSF247" s="29" t="e">
        <f t="shared" si="296"/>
        <v>#REF!</v>
      </c>
      <c r="WSG247" s="29" t="e">
        <f t="shared" si="296"/>
        <v>#REF!</v>
      </c>
      <c r="WSH247" s="29" t="e">
        <f t="shared" si="296"/>
        <v>#REF!</v>
      </c>
      <c r="WSI247" s="29" t="e">
        <f t="shared" si="296"/>
        <v>#REF!</v>
      </c>
      <c r="WSJ247" s="29" t="e">
        <f t="shared" si="296"/>
        <v>#REF!</v>
      </c>
      <c r="WSK247" s="29" t="e">
        <f t="shared" si="296"/>
        <v>#REF!</v>
      </c>
      <c r="WSL247" s="29" t="e">
        <f t="shared" si="296"/>
        <v>#REF!</v>
      </c>
      <c r="WSM247" s="29" t="e">
        <f t="shared" si="296"/>
        <v>#REF!</v>
      </c>
      <c r="WSN247" s="29" t="e">
        <f t="shared" si="296"/>
        <v>#REF!</v>
      </c>
      <c r="WSO247" s="29" t="e">
        <f t="shared" si="296"/>
        <v>#REF!</v>
      </c>
      <c r="WSP247" s="29" t="e">
        <f t="shared" si="296"/>
        <v>#REF!</v>
      </c>
      <c r="WSQ247" s="29" t="e">
        <f t="shared" si="296"/>
        <v>#REF!</v>
      </c>
      <c r="WSR247" s="29" t="e">
        <f t="shared" si="296"/>
        <v>#REF!</v>
      </c>
      <c r="WSS247" s="29" t="e">
        <f t="shared" si="296"/>
        <v>#REF!</v>
      </c>
      <c r="WST247" s="29" t="e">
        <f t="shared" si="296"/>
        <v>#REF!</v>
      </c>
      <c r="WSU247" s="29" t="e">
        <f t="shared" si="296"/>
        <v>#REF!</v>
      </c>
      <c r="WSV247" s="29" t="e">
        <f t="shared" si="296"/>
        <v>#REF!</v>
      </c>
      <c r="WSW247" s="29" t="e">
        <f t="shared" si="296"/>
        <v>#REF!</v>
      </c>
      <c r="WSX247" s="29" t="e">
        <f t="shared" si="296"/>
        <v>#REF!</v>
      </c>
      <c r="WSY247" s="29" t="e">
        <f t="shared" si="296"/>
        <v>#REF!</v>
      </c>
      <c r="WSZ247" s="29" t="e">
        <f t="shared" si="296"/>
        <v>#REF!</v>
      </c>
      <c r="WTA247" s="29" t="e">
        <f t="shared" si="296"/>
        <v>#REF!</v>
      </c>
      <c r="WTB247" s="29" t="e">
        <f t="shared" si="296"/>
        <v>#REF!</v>
      </c>
      <c r="WTC247" s="29" t="e">
        <f t="shared" si="296"/>
        <v>#REF!</v>
      </c>
      <c r="WTD247" s="29" t="e">
        <f t="shared" si="296"/>
        <v>#REF!</v>
      </c>
      <c r="WTE247" s="29" t="e">
        <f t="shared" si="296"/>
        <v>#REF!</v>
      </c>
      <c r="WTF247" s="29" t="e">
        <f t="shared" si="296"/>
        <v>#REF!</v>
      </c>
      <c r="WTG247" s="29" t="e">
        <f t="shared" si="296"/>
        <v>#REF!</v>
      </c>
      <c r="WTH247" s="29" t="e">
        <f t="shared" si="296"/>
        <v>#REF!</v>
      </c>
      <c r="WTI247" s="29" t="e">
        <f t="shared" si="296"/>
        <v>#REF!</v>
      </c>
      <c r="WTJ247" s="29" t="e">
        <f t="shared" si="296"/>
        <v>#REF!</v>
      </c>
      <c r="WTK247" s="29" t="e">
        <f t="shared" si="296"/>
        <v>#REF!</v>
      </c>
      <c r="WTL247" s="29" t="e">
        <f t="shared" si="296"/>
        <v>#REF!</v>
      </c>
      <c r="WTM247" s="29" t="e">
        <f t="shared" ref="WTM247:WVX247" si="297">WTQ247&amp;WTR247</f>
        <v>#REF!</v>
      </c>
      <c r="WTN247" s="29" t="e">
        <f t="shared" si="297"/>
        <v>#REF!</v>
      </c>
      <c r="WTO247" s="29" t="e">
        <f t="shared" si="297"/>
        <v>#REF!</v>
      </c>
      <c r="WTP247" s="29" t="e">
        <f t="shared" si="297"/>
        <v>#REF!</v>
      </c>
      <c r="WTQ247" s="29" t="e">
        <f t="shared" si="297"/>
        <v>#REF!</v>
      </c>
      <c r="WTR247" s="29" t="e">
        <f t="shared" si="297"/>
        <v>#REF!</v>
      </c>
      <c r="WTS247" s="29" t="e">
        <f t="shared" si="297"/>
        <v>#REF!</v>
      </c>
      <c r="WTT247" s="29" t="e">
        <f t="shared" si="297"/>
        <v>#REF!</v>
      </c>
      <c r="WTU247" s="29" t="e">
        <f t="shared" si="297"/>
        <v>#REF!</v>
      </c>
      <c r="WTV247" s="29" t="e">
        <f t="shared" si="297"/>
        <v>#REF!</v>
      </c>
      <c r="WTW247" s="29" t="e">
        <f t="shared" si="297"/>
        <v>#REF!</v>
      </c>
      <c r="WTX247" s="29" t="e">
        <f t="shared" si="297"/>
        <v>#REF!</v>
      </c>
      <c r="WTY247" s="29" t="e">
        <f t="shared" si="297"/>
        <v>#REF!</v>
      </c>
      <c r="WTZ247" s="29" t="e">
        <f t="shared" si="297"/>
        <v>#REF!</v>
      </c>
      <c r="WUA247" s="29" t="e">
        <f t="shared" si="297"/>
        <v>#REF!</v>
      </c>
      <c r="WUB247" s="29" t="e">
        <f t="shared" si="297"/>
        <v>#REF!</v>
      </c>
      <c r="WUC247" s="29" t="e">
        <f t="shared" si="297"/>
        <v>#REF!</v>
      </c>
      <c r="WUD247" s="29" t="e">
        <f t="shared" si="297"/>
        <v>#REF!</v>
      </c>
      <c r="WUE247" s="29" t="e">
        <f t="shared" si="297"/>
        <v>#REF!</v>
      </c>
      <c r="WUF247" s="29" t="e">
        <f t="shared" si="297"/>
        <v>#REF!</v>
      </c>
      <c r="WUG247" s="29" t="e">
        <f t="shared" si="297"/>
        <v>#REF!</v>
      </c>
      <c r="WUH247" s="29" t="e">
        <f t="shared" si="297"/>
        <v>#REF!</v>
      </c>
      <c r="WUI247" s="29" t="e">
        <f t="shared" si="297"/>
        <v>#REF!</v>
      </c>
      <c r="WUJ247" s="29" t="e">
        <f t="shared" si="297"/>
        <v>#REF!</v>
      </c>
      <c r="WUK247" s="29" t="e">
        <f t="shared" si="297"/>
        <v>#REF!</v>
      </c>
      <c r="WUL247" s="29" t="e">
        <f t="shared" si="297"/>
        <v>#REF!</v>
      </c>
      <c r="WUM247" s="29" t="e">
        <f t="shared" si="297"/>
        <v>#REF!</v>
      </c>
      <c r="WUN247" s="29" t="e">
        <f t="shared" si="297"/>
        <v>#REF!</v>
      </c>
      <c r="WUO247" s="29" t="e">
        <f t="shared" si="297"/>
        <v>#REF!</v>
      </c>
      <c r="WUP247" s="29" t="e">
        <f t="shared" si="297"/>
        <v>#REF!</v>
      </c>
      <c r="WUQ247" s="29" t="e">
        <f t="shared" si="297"/>
        <v>#REF!</v>
      </c>
      <c r="WUR247" s="29" t="e">
        <f t="shared" si="297"/>
        <v>#REF!</v>
      </c>
      <c r="WUS247" s="29" t="e">
        <f t="shared" si="297"/>
        <v>#REF!</v>
      </c>
      <c r="WUT247" s="29" t="e">
        <f t="shared" si="297"/>
        <v>#REF!</v>
      </c>
      <c r="WUU247" s="29" t="e">
        <f t="shared" si="297"/>
        <v>#REF!</v>
      </c>
      <c r="WUV247" s="29" t="e">
        <f t="shared" si="297"/>
        <v>#REF!</v>
      </c>
      <c r="WUW247" s="29" t="e">
        <f t="shared" si="297"/>
        <v>#REF!</v>
      </c>
      <c r="WUX247" s="29" t="e">
        <f t="shared" si="297"/>
        <v>#REF!</v>
      </c>
      <c r="WUY247" s="29" t="e">
        <f t="shared" si="297"/>
        <v>#REF!</v>
      </c>
      <c r="WUZ247" s="29" t="e">
        <f t="shared" si="297"/>
        <v>#REF!</v>
      </c>
      <c r="WVA247" s="29" t="e">
        <f t="shared" si="297"/>
        <v>#REF!</v>
      </c>
      <c r="WVB247" s="29" t="e">
        <f t="shared" si="297"/>
        <v>#REF!</v>
      </c>
      <c r="WVC247" s="29" t="e">
        <f t="shared" si="297"/>
        <v>#REF!</v>
      </c>
      <c r="WVD247" s="29" t="e">
        <f t="shared" si="297"/>
        <v>#REF!</v>
      </c>
      <c r="WVE247" s="29" t="e">
        <f t="shared" si="297"/>
        <v>#REF!</v>
      </c>
      <c r="WVF247" s="29" t="e">
        <f t="shared" si="297"/>
        <v>#REF!</v>
      </c>
      <c r="WVG247" s="29" t="e">
        <f t="shared" si="297"/>
        <v>#REF!</v>
      </c>
      <c r="WVH247" s="29" t="e">
        <f t="shared" si="297"/>
        <v>#REF!</v>
      </c>
      <c r="WVI247" s="29" t="e">
        <f t="shared" si="297"/>
        <v>#REF!</v>
      </c>
      <c r="WVJ247" s="29" t="e">
        <f t="shared" si="297"/>
        <v>#REF!</v>
      </c>
      <c r="WVK247" s="29" t="e">
        <f t="shared" si="297"/>
        <v>#REF!</v>
      </c>
      <c r="WVL247" s="29" t="e">
        <f t="shared" si="297"/>
        <v>#REF!</v>
      </c>
      <c r="WVM247" s="29" t="e">
        <f t="shared" si="297"/>
        <v>#REF!</v>
      </c>
      <c r="WVN247" s="29" t="e">
        <f t="shared" si="297"/>
        <v>#REF!</v>
      </c>
      <c r="WVO247" s="29" t="e">
        <f t="shared" si="297"/>
        <v>#REF!</v>
      </c>
      <c r="WVP247" s="29" t="e">
        <f t="shared" si="297"/>
        <v>#REF!</v>
      </c>
      <c r="WVQ247" s="29" t="e">
        <f t="shared" si="297"/>
        <v>#REF!</v>
      </c>
      <c r="WVR247" s="29" t="e">
        <f t="shared" si="297"/>
        <v>#REF!</v>
      </c>
      <c r="WVS247" s="29" t="e">
        <f t="shared" si="297"/>
        <v>#REF!</v>
      </c>
      <c r="WVT247" s="29" t="e">
        <f t="shared" si="297"/>
        <v>#REF!</v>
      </c>
      <c r="WVU247" s="29" t="e">
        <f t="shared" si="297"/>
        <v>#REF!</v>
      </c>
      <c r="WVV247" s="29" t="e">
        <f t="shared" si="297"/>
        <v>#REF!</v>
      </c>
      <c r="WVW247" s="29" t="e">
        <f t="shared" si="297"/>
        <v>#REF!</v>
      </c>
      <c r="WVX247" s="29" t="e">
        <f t="shared" si="297"/>
        <v>#REF!</v>
      </c>
      <c r="WVY247" s="29" t="e">
        <f t="shared" ref="WVY247:WYJ247" si="298">WWC247&amp;WWD247</f>
        <v>#REF!</v>
      </c>
      <c r="WVZ247" s="29" t="e">
        <f t="shared" si="298"/>
        <v>#REF!</v>
      </c>
      <c r="WWA247" s="29" t="e">
        <f t="shared" si="298"/>
        <v>#REF!</v>
      </c>
      <c r="WWB247" s="29" t="e">
        <f t="shared" si="298"/>
        <v>#REF!</v>
      </c>
      <c r="WWC247" s="29" t="e">
        <f t="shared" si="298"/>
        <v>#REF!</v>
      </c>
      <c r="WWD247" s="29" t="e">
        <f t="shared" si="298"/>
        <v>#REF!</v>
      </c>
      <c r="WWE247" s="29" t="e">
        <f t="shared" si="298"/>
        <v>#REF!</v>
      </c>
      <c r="WWF247" s="29" t="e">
        <f t="shared" si="298"/>
        <v>#REF!</v>
      </c>
      <c r="WWG247" s="29" t="e">
        <f t="shared" si="298"/>
        <v>#REF!</v>
      </c>
      <c r="WWH247" s="29" t="e">
        <f t="shared" si="298"/>
        <v>#REF!</v>
      </c>
      <c r="WWI247" s="29" t="e">
        <f t="shared" si="298"/>
        <v>#REF!</v>
      </c>
      <c r="WWJ247" s="29" t="e">
        <f t="shared" si="298"/>
        <v>#REF!</v>
      </c>
      <c r="WWK247" s="29" t="e">
        <f t="shared" si="298"/>
        <v>#REF!</v>
      </c>
      <c r="WWL247" s="29" t="e">
        <f t="shared" si="298"/>
        <v>#REF!</v>
      </c>
      <c r="WWM247" s="29" t="e">
        <f t="shared" si="298"/>
        <v>#REF!</v>
      </c>
      <c r="WWN247" s="29" t="e">
        <f t="shared" si="298"/>
        <v>#REF!</v>
      </c>
      <c r="WWO247" s="29" t="e">
        <f t="shared" si="298"/>
        <v>#REF!</v>
      </c>
      <c r="WWP247" s="29" t="e">
        <f t="shared" si="298"/>
        <v>#REF!</v>
      </c>
      <c r="WWQ247" s="29" t="e">
        <f t="shared" si="298"/>
        <v>#REF!</v>
      </c>
      <c r="WWR247" s="29" t="e">
        <f t="shared" si="298"/>
        <v>#REF!</v>
      </c>
      <c r="WWS247" s="29" t="e">
        <f t="shared" si="298"/>
        <v>#REF!</v>
      </c>
      <c r="WWT247" s="29" t="e">
        <f t="shared" si="298"/>
        <v>#REF!</v>
      </c>
      <c r="WWU247" s="29" t="e">
        <f t="shared" si="298"/>
        <v>#REF!</v>
      </c>
      <c r="WWV247" s="29" t="e">
        <f t="shared" si="298"/>
        <v>#REF!</v>
      </c>
      <c r="WWW247" s="29" t="e">
        <f t="shared" si="298"/>
        <v>#REF!</v>
      </c>
      <c r="WWX247" s="29" t="e">
        <f t="shared" si="298"/>
        <v>#REF!</v>
      </c>
      <c r="WWY247" s="29" t="e">
        <f t="shared" si="298"/>
        <v>#REF!</v>
      </c>
      <c r="WWZ247" s="29" t="e">
        <f t="shared" si="298"/>
        <v>#REF!</v>
      </c>
      <c r="WXA247" s="29" t="e">
        <f t="shared" si="298"/>
        <v>#REF!</v>
      </c>
      <c r="WXB247" s="29" t="e">
        <f t="shared" si="298"/>
        <v>#REF!</v>
      </c>
      <c r="WXC247" s="29" t="e">
        <f t="shared" si="298"/>
        <v>#REF!</v>
      </c>
      <c r="WXD247" s="29" t="e">
        <f t="shared" si="298"/>
        <v>#REF!</v>
      </c>
      <c r="WXE247" s="29" t="e">
        <f t="shared" si="298"/>
        <v>#REF!</v>
      </c>
      <c r="WXF247" s="29" t="e">
        <f t="shared" si="298"/>
        <v>#REF!</v>
      </c>
      <c r="WXG247" s="29" t="e">
        <f t="shared" si="298"/>
        <v>#REF!</v>
      </c>
      <c r="WXH247" s="29" t="e">
        <f t="shared" si="298"/>
        <v>#REF!</v>
      </c>
      <c r="WXI247" s="29" t="e">
        <f t="shared" si="298"/>
        <v>#REF!</v>
      </c>
      <c r="WXJ247" s="29" t="e">
        <f t="shared" si="298"/>
        <v>#REF!</v>
      </c>
      <c r="WXK247" s="29" t="e">
        <f t="shared" si="298"/>
        <v>#REF!</v>
      </c>
      <c r="WXL247" s="29" t="e">
        <f t="shared" si="298"/>
        <v>#REF!</v>
      </c>
      <c r="WXM247" s="29" t="e">
        <f t="shared" si="298"/>
        <v>#REF!</v>
      </c>
      <c r="WXN247" s="29" t="e">
        <f t="shared" si="298"/>
        <v>#REF!</v>
      </c>
      <c r="WXO247" s="29" t="e">
        <f t="shared" si="298"/>
        <v>#REF!</v>
      </c>
      <c r="WXP247" s="29" t="e">
        <f t="shared" si="298"/>
        <v>#REF!</v>
      </c>
      <c r="WXQ247" s="29" t="e">
        <f t="shared" si="298"/>
        <v>#REF!</v>
      </c>
      <c r="WXR247" s="29" t="e">
        <f t="shared" si="298"/>
        <v>#REF!</v>
      </c>
      <c r="WXS247" s="29" t="e">
        <f t="shared" si="298"/>
        <v>#REF!</v>
      </c>
      <c r="WXT247" s="29" t="e">
        <f t="shared" si="298"/>
        <v>#REF!</v>
      </c>
      <c r="WXU247" s="29" t="e">
        <f t="shared" si="298"/>
        <v>#REF!</v>
      </c>
      <c r="WXV247" s="29" t="e">
        <f t="shared" si="298"/>
        <v>#REF!</v>
      </c>
      <c r="WXW247" s="29" t="e">
        <f t="shared" si="298"/>
        <v>#REF!</v>
      </c>
      <c r="WXX247" s="29" t="e">
        <f t="shared" si="298"/>
        <v>#REF!</v>
      </c>
      <c r="WXY247" s="29" t="e">
        <f t="shared" si="298"/>
        <v>#REF!</v>
      </c>
      <c r="WXZ247" s="29" t="e">
        <f t="shared" si="298"/>
        <v>#REF!</v>
      </c>
      <c r="WYA247" s="29" t="e">
        <f t="shared" si="298"/>
        <v>#REF!</v>
      </c>
      <c r="WYB247" s="29" t="e">
        <f t="shared" si="298"/>
        <v>#REF!</v>
      </c>
      <c r="WYC247" s="29" t="e">
        <f t="shared" si="298"/>
        <v>#REF!</v>
      </c>
      <c r="WYD247" s="29" t="e">
        <f t="shared" si="298"/>
        <v>#REF!</v>
      </c>
      <c r="WYE247" s="29" t="e">
        <f t="shared" si="298"/>
        <v>#REF!</v>
      </c>
      <c r="WYF247" s="29" t="e">
        <f t="shared" si="298"/>
        <v>#REF!</v>
      </c>
      <c r="WYG247" s="29" t="e">
        <f t="shared" si="298"/>
        <v>#REF!</v>
      </c>
      <c r="WYH247" s="29" t="e">
        <f t="shared" si="298"/>
        <v>#REF!</v>
      </c>
      <c r="WYI247" s="29" t="e">
        <f t="shared" si="298"/>
        <v>#REF!</v>
      </c>
      <c r="WYJ247" s="29" t="e">
        <f t="shared" si="298"/>
        <v>#REF!</v>
      </c>
      <c r="WYK247" s="29" t="e">
        <f t="shared" ref="WYK247:XAV247" si="299">WYO247&amp;WYP247</f>
        <v>#REF!</v>
      </c>
      <c r="WYL247" s="29" t="e">
        <f t="shared" si="299"/>
        <v>#REF!</v>
      </c>
      <c r="WYM247" s="29" t="e">
        <f t="shared" si="299"/>
        <v>#REF!</v>
      </c>
      <c r="WYN247" s="29" t="e">
        <f t="shared" si="299"/>
        <v>#REF!</v>
      </c>
      <c r="WYO247" s="29" t="e">
        <f t="shared" si="299"/>
        <v>#REF!</v>
      </c>
      <c r="WYP247" s="29" t="e">
        <f t="shared" si="299"/>
        <v>#REF!</v>
      </c>
      <c r="WYQ247" s="29" t="e">
        <f t="shared" si="299"/>
        <v>#REF!</v>
      </c>
      <c r="WYR247" s="29" t="e">
        <f t="shared" si="299"/>
        <v>#REF!</v>
      </c>
      <c r="WYS247" s="29" t="e">
        <f t="shared" si="299"/>
        <v>#REF!</v>
      </c>
      <c r="WYT247" s="29" t="e">
        <f t="shared" si="299"/>
        <v>#REF!</v>
      </c>
      <c r="WYU247" s="29" t="e">
        <f t="shared" si="299"/>
        <v>#REF!</v>
      </c>
      <c r="WYV247" s="29" t="e">
        <f t="shared" si="299"/>
        <v>#REF!</v>
      </c>
      <c r="WYW247" s="29" t="e">
        <f t="shared" si="299"/>
        <v>#REF!</v>
      </c>
      <c r="WYX247" s="29" t="e">
        <f t="shared" si="299"/>
        <v>#REF!</v>
      </c>
      <c r="WYY247" s="29" t="e">
        <f t="shared" si="299"/>
        <v>#REF!</v>
      </c>
      <c r="WYZ247" s="29" t="e">
        <f t="shared" si="299"/>
        <v>#REF!</v>
      </c>
      <c r="WZA247" s="29" t="e">
        <f t="shared" si="299"/>
        <v>#REF!</v>
      </c>
      <c r="WZB247" s="29" t="e">
        <f t="shared" si="299"/>
        <v>#REF!</v>
      </c>
      <c r="WZC247" s="29" t="e">
        <f t="shared" si="299"/>
        <v>#REF!</v>
      </c>
      <c r="WZD247" s="29" t="e">
        <f t="shared" si="299"/>
        <v>#REF!</v>
      </c>
      <c r="WZE247" s="29" t="e">
        <f t="shared" si="299"/>
        <v>#REF!</v>
      </c>
      <c r="WZF247" s="29" t="e">
        <f t="shared" si="299"/>
        <v>#REF!</v>
      </c>
      <c r="WZG247" s="29" t="e">
        <f t="shared" si="299"/>
        <v>#REF!</v>
      </c>
      <c r="WZH247" s="29" t="e">
        <f t="shared" si="299"/>
        <v>#REF!</v>
      </c>
      <c r="WZI247" s="29" t="e">
        <f t="shared" si="299"/>
        <v>#REF!</v>
      </c>
      <c r="WZJ247" s="29" t="e">
        <f t="shared" si="299"/>
        <v>#REF!</v>
      </c>
      <c r="WZK247" s="29" t="e">
        <f t="shared" si="299"/>
        <v>#REF!</v>
      </c>
      <c r="WZL247" s="29" t="e">
        <f t="shared" si="299"/>
        <v>#REF!</v>
      </c>
      <c r="WZM247" s="29" t="e">
        <f t="shared" si="299"/>
        <v>#REF!</v>
      </c>
      <c r="WZN247" s="29" t="e">
        <f t="shared" si="299"/>
        <v>#REF!</v>
      </c>
      <c r="WZO247" s="29" t="e">
        <f t="shared" si="299"/>
        <v>#REF!</v>
      </c>
      <c r="WZP247" s="29" t="e">
        <f t="shared" si="299"/>
        <v>#REF!</v>
      </c>
      <c r="WZQ247" s="29" t="e">
        <f t="shared" si="299"/>
        <v>#REF!</v>
      </c>
      <c r="WZR247" s="29" t="e">
        <f t="shared" si="299"/>
        <v>#REF!</v>
      </c>
      <c r="WZS247" s="29" t="e">
        <f t="shared" si="299"/>
        <v>#REF!</v>
      </c>
      <c r="WZT247" s="29" t="e">
        <f t="shared" si="299"/>
        <v>#REF!</v>
      </c>
      <c r="WZU247" s="29" t="e">
        <f t="shared" si="299"/>
        <v>#REF!</v>
      </c>
      <c r="WZV247" s="29" t="e">
        <f t="shared" si="299"/>
        <v>#REF!</v>
      </c>
      <c r="WZW247" s="29" t="e">
        <f t="shared" si="299"/>
        <v>#REF!</v>
      </c>
      <c r="WZX247" s="29" t="e">
        <f t="shared" si="299"/>
        <v>#REF!</v>
      </c>
      <c r="WZY247" s="29" t="e">
        <f t="shared" si="299"/>
        <v>#REF!</v>
      </c>
      <c r="WZZ247" s="29" t="e">
        <f t="shared" si="299"/>
        <v>#REF!</v>
      </c>
      <c r="XAA247" s="29" t="e">
        <f t="shared" si="299"/>
        <v>#REF!</v>
      </c>
      <c r="XAB247" s="29" t="e">
        <f t="shared" si="299"/>
        <v>#REF!</v>
      </c>
      <c r="XAC247" s="29" t="e">
        <f t="shared" si="299"/>
        <v>#REF!</v>
      </c>
      <c r="XAD247" s="29" t="e">
        <f t="shared" si="299"/>
        <v>#REF!</v>
      </c>
      <c r="XAE247" s="29" t="e">
        <f t="shared" si="299"/>
        <v>#REF!</v>
      </c>
      <c r="XAF247" s="29" t="e">
        <f t="shared" si="299"/>
        <v>#REF!</v>
      </c>
      <c r="XAG247" s="29" t="e">
        <f t="shared" si="299"/>
        <v>#REF!</v>
      </c>
      <c r="XAH247" s="29" t="e">
        <f t="shared" si="299"/>
        <v>#REF!</v>
      </c>
      <c r="XAI247" s="29" t="e">
        <f t="shared" si="299"/>
        <v>#REF!</v>
      </c>
      <c r="XAJ247" s="29" t="e">
        <f t="shared" si="299"/>
        <v>#REF!</v>
      </c>
      <c r="XAK247" s="29" t="e">
        <f t="shared" si="299"/>
        <v>#REF!</v>
      </c>
      <c r="XAL247" s="29" t="e">
        <f t="shared" si="299"/>
        <v>#REF!</v>
      </c>
      <c r="XAM247" s="29" t="e">
        <f t="shared" si="299"/>
        <v>#REF!</v>
      </c>
      <c r="XAN247" s="29" t="e">
        <f t="shared" si="299"/>
        <v>#REF!</v>
      </c>
      <c r="XAO247" s="29" t="e">
        <f t="shared" si="299"/>
        <v>#REF!</v>
      </c>
      <c r="XAP247" s="29" t="e">
        <f t="shared" si="299"/>
        <v>#REF!</v>
      </c>
      <c r="XAQ247" s="29" t="e">
        <f t="shared" si="299"/>
        <v>#REF!</v>
      </c>
      <c r="XAR247" s="29" t="e">
        <f t="shared" si="299"/>
        <v>#REF!</v>
      </c>
      <c r="XAS247" s="29" t="e">
        <f t="shared" si="299"/>
        <v>#REF!</v>
      </c>
      <c r="XAT247" s="29" t="e">
        <f t="shared" si="299"/>
        <v>#REF!</v>
      </c>
      <c r="XAU247" s="29" t="e">
        <f t="shared" si="299"/>
        <v>#REF!</v>
      </c>
      <c r="XAV247" s="29" t="e">
        <f t="shared" si="299"/>
        <v>#REF!</v>
      </c>
      <c r="XAW247" s="29" t="e">
        <f t="shared" ref="XAW247:XDH247" si="300">XBA247&amp;XBB247</f>
        <v>#REF!</v>
      </c>
      <c r="XAX247" s="29" t="e">
        <f t="shared" si="300"/>
        <v>#REF!</v>
      </c>
      <c r="XAY247" s="29" t="e">
        <f t="shared" si="300"/>
        <v>#REF!</v>
      </c>
      <c r="XAZ247" s="29" t="e">
        <f t="shared" si="300"/>
        <v>#REF!</v>
      </c>
      <c r="XBA247" s="29" t="e">
        <f t="shared" si="300"/>
        <v>#REF!</v>
      </c>
      <c r="XBB247" s="29" t="e">
        <f t="shared" si="300"/>
        <v>#REF!</v>
      </c>
      <c r="XBC247" s="29" t="e">
        <f t="shared" si="300"/>
        <v>#REF!</v>
      </c>
      <c r="XBD247" s="29" t="e">
        <f t="shared" si="300"/>
        <v>#REF!</v>
      </c>
      <c r="XBE247" s="29" t="e">
        <f t="shared" si="300"/>
        <v>#REF!</v>
      </c>
      <c r="XBF247" s="29" t="e">
        <f t="shared" si="300"/>
        <v>#REF!</v>
      </c>
      <c r="XBG247" s="29" t="e">
        <f t="shared" si="300"/>
        <v>#REF!</v>
      </c>
      <c r="XBH247" s="29" t="e">
        <f t="shared" si="300"/>
        <v>#REF!</v>
      </c>
      <c r="XBI247" s="29" t="e">
        <f t="shared" si="300"/>
        <v>#REF!</v>
      </c>
      <c r="XBJ247" s="29" t="e">
        <f t="shared" si="300"/>
        <v>#REF!</v>
      </c>
      <c r="XBK247" s="29" t="e">
        <f t="shared" si="300"/>
        <v>#REF!</v>
      </c>
      <c r="XBL247" s="29" t="e">
        <f t="shared" si="300"/>
        <v>#REF!</v>
      </c>
      <c r="XBM247" s="29" t="e">
        <f t="shared" si="300"/>
        <v>#REF!</v>
      </c>
      <c r="XBN247" s="29" t="e">
        <f t="shared" si="300"/>
        <v>#REF!</v>
      </c>
      <c r="XBO247" s="29" t="e">
        <f t="shared" si="300"/>
        <v>#REF!</v>
      </c>
      <c r="XBP247" s="29" t="e">
        <f t="shared" si="300"/>
        <v>#REF!</v>
      </c>
      <c r="XBQ247" s="29" t="e">
        <f t="shared" si="300"/>
        <v>#REF!</v>
      </c>
      <c r="XBR247" s="29" t="e">
        <f t="shared" si="300"/>
        <v>#REF!</v>
      </c>
      <c r="XBS247" s="29" t="e">
        <f t="shared" si="300"/>
        <v>#REF!</v>
      </c>
      <c r="XBT247" s="29" t="e">
        <f t="shared" si="300"/>
        <v>#REF!</v>
      </c>
      <c r="XBU247" s="29" t="e">
        <f t="shared" si="300"/>
        <v>#REF!</v>
      </c>
      <c r="XBV247" s="29" t="e">
        <f t="shared" si="300"/>
        <v>#REF!</v>
      </c>
      <c r="XBW247" s="29" t="e">
        <f t="shared" si="300"/>
        <v>#REF!</v>
      </c>
      <c r="XBX247" s="29" t="e">
        <f t="shared" si="300"/>
        <v>#REF!</v>
      </c>
      <c r="XBY247" s="29" t="e">
        <f t="shared" si="300"/>
        <v>#REF!</v>
      </c>
      <c r="XBZ247" s="29" t="e">
        <f t="shared" si="300"/>
        <v>#REF!</v>
      </c>
      <c r="XCA247" s="29" t="e">
        <f t="shared" si="300"/>
        <v>#REF!</v>
      </c>
      <c r="XCB247" s="29" t="e">
        <f t="shared" si="300"/>
        <v>#REF!</v>
      </c>
      <c r="XCC247" s="29" t="e">
        <f t="shared" si="300"/>
        <v>#REF!</v>
      </c>
      <c r="XCD247" s="29" t="e">
        <f t="shared" si="300"/>
        <v>#REF!</v>
      </c>
      <c r="XCE247" s="29" t="e">
        <f t="shared" si="300"/>
        <v>#REF!</v>
      </c>
      <c r="XCF247" s="29" t="e">
        <f t="shared" si="300"/>
        <v>#REF!</v>
      </c>
      <c r="XCG247" s="29" t="e">
        <f t="shared" si="300"/>
        <v>#REF!</v>
      </c>
      <c r="XCH247" s="29" t="e">
        <f t="shared" si="300"/>
        <v>#REF!</v>
      </c>
      <c r="XCI247" s="29" t="e">
        <f t="shared" si="300"/>
        <v>#REF!</v>
      </c>
      <c r="XCJ247" s="29" t="e">
        <f t="shared" si="300"/>
        <v>#REF!</v>
      </c>
      <c r="XCK247" s="29" t="e">
        <f t="shared" si="300"/>
        <v>#REF!</v>
      </c>
      <c r="XCL247" s="29" t="e">
        <f t="shared" si="300"/>
        <v>#REF!</v>
      </c>
      <c r="XCM247" s="29" t="e">
        <f t="shared" si="300"/>
        <v>#REF!</v>
      </c>
      <c r="XCN247" s="29" t="e">
        <f t="shared" si="300"/>
        <v>#REF!</v>
      </c>
      <c r="XCO247" s="29" t="e">
        <f t="shared" si="300"/>
        <v>#REF!</v>
      </c>
      <c r="XCP247" s="29" t="e">
        <f t="shared" si="300"/>
        <v>#REF!</v>
      </c>
      <c r="XCQ247" s="29" t="e">
        <f t="shared" si="300"/>
        <v>#REF!</v>
      </c>
      <c r="XCR247" s="29" t="e">
        <f t="shared" si="300"/>
        <v>#REF!</v>
      </c>
      <c r="XCS247" s="29" t="e">
        <f t="shared" si="300"/>
        <v>#REF!</v>
      </c>
      <c r="XCT247" s="29" t="e">
        <f t="shared" si="300"/>
        <v>#REF!</v>
      </c>
      <c r="XCU247" s="29" t="e">
        <f t="shared" si="300"/>
        <v>#REF!</v>
      </c>
      <c r="XCV247" s="29" t="e">
        <f t="shared" si="300"/>
        <v>#REF!</v>
      </c>
      <c r="XCW247" s="29" t="e">
        <f t="shared" si="300"/>
        <v>#REF!</v>
      </c>
      <c r="XCX247" s="29" t="e">
        <f t="shared" si="300"/>
        <v>#REF!</v>
      </c>
      <c r="XCY247" s="29" t="e">
        <f t="shared" si="300"/>
        <v>#REF!</v>
      </c>
      <c r="XCZ247" s="29" t="e">
        <f t="shared" si="300"/>
        <v>#REF!</v>
      </c>
      <c r="XDA247" s="29" t="e">
        <f t="shared" si="300"/>
        <v>#REF!</v>
      </c>
      <c r="XDB247" s="29" t="e">
        <f t="shared" si="300"/>
        <v>#REF!</v>
      </c>
      <c r="XDC247" s="29" t="e">
        <f t="shared" si="300"/>
        <v>#REF!</v>
      </c>
      <c r="XDD247" s="29" t="e">
        <f t="shared" si="300"/>
        <v>#REF!</v>
      </c>
      <c r="XDE247" s="29" t="e">
        <f t="shared" si="300"/>
        <v>#REF!</v>
      </c>
      <c r="XDF247" s="29" t="e">
        <f t="shared" si="300"/>
        <v>#REF!</v>
      </c>
      <c r="XDG247" s="29" t="e">
        <f t="shared" si="300"/>
        <v>#REF!</v>
      </c>
      <c r="XDH247" s="29" t="e">
        <f t="shared" si="300"/>
        <v>#REF!</v>
      </c>
      <c r="XDI247" s="29" t="e">
        <f t="shared" ref="XDI247:XEY247" si="301">XDM247&amp;XDN247</f>
        <v>#REF!</v>
      </c>
      <c r="XDJ247" s="29" t="e">
        <f t="shared" si="301"/>
        <v>#REF!</v>
      </c>
      <c r="XDK247" s="29" t="e">
        <f t="shared" si="301"/>
        <v>#REF!</v>
      </c>
      <c r="XDL247" s="29" t="e">
        <f t="shared" si="301"/>
        <v>#REF!</v>
      </c>
      <c r="XDM247" s="29" t="e">
        <f t="shared" si="301"/>
        <v>#REF!</v>
      </c>
      <c r="XDN247" s="29" t="e">
        <f t="shared" si="301"/>
        <v>#REF!</v>
      </c>
      <c r="XDO247" s="29" t="e">
        <f t="shared" si="301"/>
        <v>#REF!</v>
      </c>
      <c r="XDP247" s="29" t="e">
        <f t="shared" si="301"/>
        <v>#REF!</v>
      </c>
      <c r="XDQ247" s="29" t="e">
        <f t="shared" si="301"/>
        <v>#REF!</v>
      </c>
      <c r="XDR247" s="29" t="e">
        <f t="shared" si="301"/>
        <v>#REF!</v>
      </c>
      <c r="XDS247" s="29" t="e">
        <f t="shared" si="301"/>
        <v>#REF!</v>
      </c>
      <c r="XDT247" s="29" t="e">
        <f t="shared" si="301"/>
        <v>#REF!</v>
      </c>
      <c r="XDU247" s="29" t="e">
        <f t="shared" si="301"/>
        <v>#REF!</v>
      </c>
      <c r="XDV247" s="29" t="e">
        <f t="shared" si="301"/>
        <v>#REF!</v>
      </c>
      <c r="XDW247" s="29" t="e">
        <f t="shared" si="301"/>
        <v>#REF!</v>
      </c>
      <c r="XDX247" s="29" t="e">
        <f t="shared" si="301"/>
        <v>#REF!</v>
      </c>
      <c r="XDY247" s="29" t="e">
        <f t="shared" si="301"/>
        <v>#REF!</v>
      </c>
      <c r="XDZ247" s="29" t="e">
        <f t="shared" si="301"/>
        <v>#REF!</v>
      </c>
      <c r="XEA247" s="29" t="e">
        <f t="shared" si="301"/>
        <v>#REF!</v>
      </c>
      <c r="XEB247" s="29" t="e">
        <f t="shared" si="301"/>
        <v>#REF!</v>
      </c>
      <c r="XEC247" s="29" t="e">
        <f t="shared" si="301"/>
        <v>#REF!</v>
      </c>
      <c r="XED247" s="29" t="e">
        <f t="shared" si="301"/>
        <v>#REF!</v>
      </c>
      <c r="XEE247" s="29" t="e">
        <f t="shared" si="301"/>
        <v>#REF!</v>
      </c>
      <c r="XEF247" s="29" t="e">
        <f t="shared" si="301"/>
        <v>#REF!</v>
      </c>
      <c r="XEG247" s="29" t="e">
        <f t="shared" si="301"/>
        <v>#REF!</v>
      </c>
      <c r="XEH247" s="29" t="e">
        <f t="shared" si="301"/>
        <v>#REF!</v>
      </c>
      <c r="XEI247" s="29" t="e">
        <f t="shared" si="301"/>
        <v>#REF!</v>
      </c>
      <c r="XEJ247" s="29" t="e">
        <f t="shared" si="301"/>
        <v>#REF!</v>
      </c>
      <c r="XEK247" s="29" t="e">
        <f t="shared" si="301"/>
        <v>#REF!</v>
      </c>
      <c r="XEL247" s="29" t="e">
        <f t="shared" si="301"/>
        <v>#REF!</v>
      </c>
      <c r="XEM247" s="29" t="e">
        <f t="shared" si="301"/>
        <v>#REF!</v>
      </c>
      <c r="XEN247" s="29" t="e">
        <f t="shared" si="301"/>
        <v>#REF!</v>
      </c>
      <c r="XEO247" s="29" t="e">
        <f t="shared" si="301"/>
        <v>#REF!</v>
      </c>
      <c r="XEP247" s="29" t="e">
        <f t="shared" si="301"/>
        <v>#REF!</v>
      </c>
      <c r="XEQ247" s="29" t="e">
        <f t="shared" si="301"/>
        <v>#REF!</v>
      </c>
      <c r="XER247" s="29" t="e">
        <f t="shared" si="301"/>
        <v>#REF!</v>
      </c>
      <c r="XES247" s="29" t="e">
        <f t="shared" si="301"/>
        <v>#REF!</v>
      </c>
      <c r="XET247" s="29" t="e">
        <f t="shared" si="301"/>
        <v>#REF!</v>
      </c>
      <c r="XEU247" s="29" t="e">
        <f t="shared" si="301"/>
        <v>#REF!</v>
      </c>
      <c r="XEV247" s="29" t="e">
        <f t="shared" si="301"/>
        <v>#REF!</v>
      </c>
      <c r="XEW247" s="29" t="e">
        <f t="shared" si="301"/>
        <v>#REF!</v>
      </c>
      <c r="XEX247" s="29" t="e">
        <f t="shared" si="301"/>
        <v>#REF!</v>
      </c>
      <c r="XEY247" s="29" t="e">
        <f t="shared" si="301"/>
        <v>#REF!</v>
      </c>
      <c r="XEZ247" s="29" t="e">
        <f>XFD247&amp;#REF!</f>
        <v>#REF!</v>
      </c>
      <c r="XFA247" s="29" t="e">
        <f>#REF!&amp;#REF!</f>
        <v>#REF!</v>
      </c>
      <c r="XFB247" s="29" t="e">
        <f>#REF!&amp;#REF!</f>
        <v>#REF!</v>
      </c>
      <c r="XFC247" s="29" t="e">
        <f>#REF!&amp;#REF!</f>
        <v>#REF!</v>
      </c>
      <c r="XFD247" s="29" t="e">
        <f>#REF!&amp;#REF!</f>
        <v>#REF!</v>
      </c>
    </row>
    <row r="248" spans="1:16384" hidden="1" outlineLevel="1">
      <c r="A248" s="29" t="str">
        <f t="shared" si="42"/>
        <v>modesg_param_sfics_taxon_europeiadscrc</v>
      </c>
      <c r="B248" s="67" t="s">
        <v>26</v>
      </c>
      <c r="C248" s="68" t="s">
        <v>181</v>
      </c>
      <c r="D248" s="64" t="s">
        <v>40</v>
      </c>
      <c r="E248" s="66" t="s">
        <v>2102</v>
      </c>
      <c r="F248" s="64" t="s">
        <v>197</v>
      </c>
      <c r="G248" s="64" t="str">
        <f>INDEX(Auxiliar!$B$16:$B$24,MATCH(Plano_V3!H248,Auxiliar!$C$16:$C$24,0),1)</f>
        <v xml:space="preserve">6. Em implementação </v>
      </c>
      <c r="H248" s="64">
        <f>VLOOKUP(A248,'Aux - pivots1'!$A:$B,2,0)</f>
        <v>7</v>
      </c>
      <c r="I248" s="183">
        <f>SUMIFS(Table1[Estimação (horas)],Table1[Tabela],Plano_V3!E248,Table1[Campo],Plano_V3!F248)</f>
        <v>0.6</v>
      </c>
      <c r="J248" s="183">
        <f t="shared" si="43"/>
        <v>7.4999999999999997E-2</v>
      </c>
      <c r="K248" s="183">
        <f>SUMIFS(Table1[Horas efetivas],Table1[Tabela],Plano_V3!E248,Table1[Campo],Plano_V3!F248)</f>
        <v>0.15</v>
      </c>
      <c r="L248" s="183">
        <f t="shared" si="44"/>
        <v>1.8749999999999999E-2</v>
      </c>
      <c r="M248" s="177"/>
      <c r="N248" s="177">
        <f t="shared" si="45"/>
        <v>0.25</v>
      </c>
      <c r="O248" s="177">
        <f t="shared" si="32"/>
        <v>0.25</v>
      </c>
      <c r="P248" s="89" t="s">
        <v>39</v>
      </c>
      <c r="Q248" s="90">
        <f t="shared" si="33"/>
        <v>7.4999999999999997E-2</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6384" hidden="1" outlineLevel="1">
      <c r="A249" s="29" t="str">
        <f t="shared" si="42"/>
        <v>modesg_param_sfics_taxon_europeiacomite</v>
      </c>
      <c r="B249" s="67" t="s">
        <v>26</v>
      </c>
      <c r="C249" s="68" t="s">
        <v>181</v>
      </c>
      <c r="D249" s="64" t="s">
        <v>40</v>
      </c>
      <c r="E249" s="66" t="s">
        <v>2102</v>
      </c>
      <c r="F249" s="64" t="s">
        <v>192</v>
      </c>
      <c r="G249" s="64" t="str">
        <f>INDEX(Auxiliar!$B$16:$B$24,MATCH(Plano_V3!H249,Auxiliar!$C$16:$C$24,0),1)</f>
        <v xml:space="preserve">6. Em implementação </v>
      </c>
      <c r="H249" s="64">
        <f>VLOOKUP(A249,'Aux - pivots1'!$A:$B,2,0)</f>
        <v>7</v>
      </c>
      <c r="I249" s="183">
        <f>SUMIFS(Table1[Estimação (horas)],Table1[Tabela],Plano_V3!E249,Table1[Campo],Plano_V3!F249)</f>
        <v>0.6</v>
      </c>
      <c r="J249" s="183">
        <f t="shared" si="43"/>
        <v>7.4999999999999997E-2</v>
      </c>
      <c r="K249" s="183">
        <f>SUMIFS(Table1[Horas efetivas],Table1[Tabela],Plano_V3!E249,Table1[Campo],Plano_V3!F249)</f>
        <v>0.15</v>
      </c>
      <c r="L249" s="183">
        <f t="shared" si="44"/>
        <v>1.8749999999999999E-2</v>
      </c>
      <c r="M249" s="177"/>
      <c r="N249" s="177">
        <f t="shared" si="45"/>
        <v>0.25</v>
      </c>
      <c r="O249" s="177">
        <f t="shared" si="32"/>
        <v>0.25</v>
      </c>
      <c r="P249" s="89" t="s">
        <v>39</v>
      </c>
      <c r="Q249" s="90">
        <f t="shared" si="33"/>
        <v>7.4999999999999997E-2</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6384" hidden="1" outlineLevel="1">
      <c r="A250" s="29" t="str">
        <f t="shared" si="42"/>
        <v>modesg_param_sfics_taxon_europeiadata_aprvc</v>
      </c>
      <c r="B250" s="67" t="s">
        <v>26</v>
      </c>
      <c r="C250" s="68" t="s">
        <v>181</v>
      </c>
      <c r="D250" s="64" t="s">
        <v>40</v>
      </c>
      <c r="E250" s="66" t="s">
        <v>2102</v>
      </c>
      <c r="F250" s="64" t="s">
        <v>193</v>
      </c>
      <c r="G250" s="64" t="str">
        <f>INDEX(Auxiliar!$B$16:$B$24,MATCH(Plano_V3!H250,Auxiliar!$C$16:$C$24,0),1)</f>
        <v xml:space="preserve">6. Em implementação </v>
      </c>
      <c r="H250" s="64">
        <f>VLOOKUP(A250,'Aux - pivots1'!$A:$B,2,0)</f>
        <v>7</v>
      </c>
      <c r="I250" s="183" t="e">
        <f>SUMIFS(Table1[Estimação (horas)],Table1[Tabela],Plano_V3!E250,Table1[Campo],Plano_V3!F250)</f>
        <v>#N/A</v>
      </c>
      <c r="J250" s="183" t="e">
        <f t="shared" si="43"/>
        <v>#N/A</v>
      </c>
      <c r="K250" s="183" t="e">
        <f>SUMIFS(Table1[Horas efetivas],Table1[Tabela],Plano_V3!E250,Table1[Campo],Plano_V3!F250)</f>
        <v>#N/A</v>
      </c>
      <c r="L250" s="183" t="e">
        <f t="shared" si="44"/>
        <v>#N/A</v>
      </c>
      <c r="M250" s="177"/>
      <c r="N250" s="177" t="e">
        <f t="shared" si="45"/>
        <v>#N/A</v>
      </c>
      <c r="O250" s="177" t="e">
        <f t="shared" si="32"/>
        <v>#N/A</v>
      </c>
      <c r="P250" s="89" t="s">
        <v>39</v>
      </c>
      <c r="Q250" s="90" t="e">
        <f t="shared" si="33"/>
        <v>#N/A</v>
      </c>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6384" hidden="1" outlineLevel="1">
      <c r="A251" s="29" t="str">
        <f t="shared" si="42"/>
        <v>modesg_param_sfics_taxon_europeiadata_inicial</v>
      </c>
      <c r="B251" s="67" t="s">
        <v>26</v>
      </c>
      <c r="C251" s="68" t="s">
        <v>181</v>
      </c>
      <c r="D251" s="64" t="s">
        <v>40</v>
      </c>
      <c r="E251" s="66" t="s">
        <v>2102</v>
      </c>
      <c r="F251" s="64" t="s">
        <v>195</v>
      </c>
      <c r="G251" s="64" t="str">
        <f>INDEX(Auxiliar!$B$16:$B$24,MATCH(Plano_V3!H251,Auxiliar!$C$16:$C$24,0),1)</f>
        <v xml:space="preserve">6. Em implementação </v>
      </c>
      <c r="H251" s="64">
        <f>VLOOKUP(A251,'Aux - pivots1'!$A:$B,2,0)</f>
        <v>7</v>
      </c>
      <c r="I251" s="183" t="e">
        <f>SUMIFS(Table1[Estimação (horas)],Table1[Tabela],Plano_V3!E251,Table1[Campo],Plano_V3!F251)</f>
        <v>#N/A</v>
      </c>
      <c r="J251" s="183" t="e">
        <f t="shared" si="43"/>
        <v>#N/A</v>
      </c>
      <c r="K251" s="183" t="e">
        <f>SUMIFS(Table1[Horas efetivas],Table1[Tabela],Plano_V3!E251,Table1[Campo],Plano_V3!F251)</f>
        <v>#N/A</v>
      </c>
      <c r="L251" s="183" t="e">
        <f t="shared" si="44"/>
        <v>#N/A</v>
      </c>
      <c r="M251" s="177"/>
      <c r="N251" s="177" t="e">
        <f t="shared" si="45"/>
        <v>#N/A</v>
      </c>
      <c r="O251" s="177" t="e">
        <f t="shared" si="32"/>
        <v>#N/A</v>
      </c>
      <c r="P251" s="89" t="s">
        <v>39</v>
      </c>
      <c r="Q251" s="90" t="e">
        <f t="shared" si="33"/>
        <v>#N/A</v>
      </c>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6384" hidden="1" outlineLevel="1">
      <c r="A252" s="29" t="str">
        <f t="shared" si="42"/>
        <v>modesg_param_sfics_taxon_europeiadata_final</v>
      </c>
      <c r="B252" s="67" t="s">
        <v>26</v>
      </c>
      <c r="C252" s="68" t="s">
        <v>181</v>
      </c>
      <c r="D252" s="64" t="s">
        <v>40</v>
      </c>
      <c r="E252" s="66" t="s">
        <v>2102</v>
      </c>
      <c r="F252" s="64" t="s">
        <v>194</v>
      </c>
      <c r="G252" s="64" t="str">
        <f>INDEX(Auxiliar!$B$16:$B$24,MATCH(Plano_V3!H252,Auxiliar!$C$16:$C$24,0),1)</f>
        <v xml:space="preserve">6. Em implementação </v>
      </c>
      <c r="H252" s="64">
        <f>VLOOKUP(A252,'Aux - pivots1'!$A:$B,2,0)</f>
        <v>7</v>
      </c>
      <c r="I252" s="183" t="e">
        <f>SUMIFS(Table1[Estimação (horas)],Table1[Tabela],Plano_V3!E252,Table1[Campo],Plano_V3!F252)</f>
        <v>#N/A</v>
      </c>
      <c r="J252" s="183" t="e">
        <f t="shared" si="43"/>
        <v>#N/A</v>
      </c>
      <c r="K252" s="183" t="e">
        <f>SUMIFS(Table1[Horas efetivas],Table1[Tabela],Plano_V3!E252,Table1[Campo],Plano_V3!F252)</f>
        <v>#N/A</v>
      </c>
      <c r="L252" s="183" t="e">
        <f t="shared" si="44"/>
        <v>#N/A</v>
      </c>
      <c r="M252" s="177"/>
      <c r="N252" s="177" t="e">
        <f t="shared" si="45"/>
        <v>#N/A</v>
      </c>
      <c r="O252" s="177" t="e">
        <f t="shared" si="32"/>
        <v>#N/A</v>
      </c>
      <c r="P252" s="89" t="s">
        <v>39</v>
      </c>
      <c r="Q252" s="90" t="e">
        <f t="shared" si="33"/>
        <v>#N/A</v>
      </c>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6384" hidden="1" outlineLevel="1">
      <c r="A253" s="29" t="str">
        <f t="shared" si="42"/>
        <v>modesg_param_sfics_taxon_europeiazcliente</v>
      </c>
      <c r="B253" s="67" t="s">
        <v>26</v>
      </c>
      <c r="C253" s="68" t="s">
        <v>181</v>
      </c>
      <c r="D253" s="64" t="s">
        <v>40</v>
      </c>
      <c r="E253" s="66" t="s">
        <v>2102</v>
      </c>
      <c r="F253" s="64" t="s">
        <v>209</v>
      </c>
      <c r="G253" s="64" t="str">
        <f>INDEX(Auxiliar!$B$16:$B$24,MATCH(Plano_V3!H253,Auxiliar!$C$16:$C$24,0),1)</f>
        <v xml:space="preserve">6. Em implementação </v>
      </c>
      <c r="H253" s="64">
        <f>VLOOKUP(A253,'Aux - pivots1'!$A:$B,2,0)</f>
        <v>7</v>
      </c>
      <c r="I253" s="183" t="e">
        <f>SUMIFS(Table1[Estimação (horas)],Table1[Tabela],Plano_V3!E253,Table1[Campo],Plano_V3!F253)</f>
        <v>#N/A</v>
      </c>
      <c r="J253" s="183" t="e">
        <f t="shared" si="43"/>
        <v>#N/A</v>
      </c>
      <c r="K253" s="183" t="e">
        <f>SUMIFS(Table1[Horas efetivas],Table1[Tabela],Plano_V3!E253,Table1[Campo],Plano_V3!F253)</f>
        <v>#N/A</v>
      </c>
      <c r="L253" s="183" t="e">
        <f t="shared" si="44"/>
        <v>#N/A</v>
      </c>
      <c r="M253" s="177"/>
      <c r="N253" s="177" t="e">
        <f t="shared" si="45"/>
        <v>#N/A</v>
      </c>
      <c r="O253" s="177" t="e">
        <f t="shared" si="32"/>
        <v>#N/A</v>
      </c>
      <c r="P253" s="89" t="s">
        <v>39</v>
      </c>
      <c r="Q253" s="90" t="e">
        <f t="shared" si="33"/>
        <v>#N/A</v>
      </c>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6384" hidden="1" outlineLevel="1">
      <c r="A254" s="29" t="str">
        <f t="shared" si="42"/>
        <v>modesg_param_sfics_taxon_europeiacempcta</v>
      </c>
      <c r="B254" s="67" t="s">
        <v>26</v>
      </c>
      <c r="C254" s="68" t="s">
        <v>181</v>
      </c>
      <c r="D254" s="64" t="s">
        <v>40</v>
      </c>
      <c r="E254" s="66" t="s">
        <v>2102</v>
      </c>
      <c r="F254" s="64" t="s">
        <v>2409</v>
      </c>
      <c r="G254" s="64" t="str">
        <f>INDEX(Auxiliar!$B$16:$B$24,MATCH(Plano_V3!H254,Auxiliar!$C$16:$C$24,0),1)</f>
        <v xml:space="preserve">6. Em implementação </v>
      </c>
      <c r="H254" s="64">
        <f>VLOOKUP(A254,'Aux - pivots1'!$A:$B,2,0)</f>
        <v>7</v>
      </c>
      <c r="I254" s="183">
        <f>SUMIFS(Table1[Estimação (horas)],Table1[Tabela],Plano_V3!E254,Table1[Campo],Plano_V3!F254)</f>
        <v>0.6</v>
      </c>
      <c r="J254" s="183">
        <f t="shared" si="43"/>
        <v>7.4999999999999997E-2</v>
      </c>
      <c r="K254" s="183">
        <f>SUMIFS(Table1[Horas efetivas],Table1[Tabela],Plano_V3!E254,Table1[Campo],Plano_V3!F254)</f>
        <v>0.15</v>
      </c>
      <c r="L254" s="183">
        <f t="shared" si="44"/>
        <v>1.8749999999999999E-2</v>
      </c>
      <c r="M254" s="177"/>
      <c r="N254" s="177">
        <f t="shared" si="45"/>
        <v>0.25</v>
      </c>
      <c r="O254" s="177">
        <f t="shared" si="32"/>
        <v>0.25</v>
      </c>
      <c r="P254" s="89" t="s">
        <v>39</v>
      </c>
      <c r="Q254" s="90">
        <f t="shared" si="33"/>
        <v>7.4999999999999997E-2</v>
      </c>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6384" hidden="1" outlineLevel="1">
      <c r="A255" s="29" t="str">
        <f t="shared" si="42"/>
        <v>modesg_param_sfics_taxon_europeiackbalcao</v>
      </c>
      <c r="B255" s="67" t="s">
        <v>26</v>
      </c>
      <c r="C255" s="68" t="s">
        <v>181</v>
      </c>
      <c r="D255" s="64" t="s">
        <v>40</v>
      </c>
      <c r="E255" s="66" t="s">
        <v>2102</v>
      </c>
      <c r="F255" s="64" t="s">
        <v>457</v>
      </c>
      <c r="G255" s="64" t="str">
        <f>INDEX(Auxiliar!$B$16:$B$24,MATCH(Plano_V3!H255,Auxiliar!$C$16:$C$24,0),1)</f>
        <v xml:space="preserve">6. Em implementação </v>
      </c>
      <c r="H255" s="64">
        <f>VLOOKUP(A255,'Aux - pivots1'!$A:$B,2,0)</f>
        <v>7</v>
      </c>
      <c r="I255" s="183">
        <f>SUMIFS(Table1[Estimação (horas)],Table1[Tabela],Plano_V3!E255,Table1[Campo],Plano_V3!F255)</f>
        <v>0.6</v>
      </c>
      <c r="J255" s="183">
        <f t="shared" si="43"/>
        <v>7.4999999999999997E-2</v>
      </c>
      <c r="K255" s="183">
        <f>SUMIFS(Table1[Horas efetivas],Table1[Tabela],Plano_V3!E255,Table1[Campo],Plano_V3!F255)</f>
        <v>0.15</v>
      </c>
      <c r="L255" s="183">
        <f t="shared" si="44"/>
        <v>1.8749999999999999E-2</v>
      </c>
      <c r="M255" s="177"/>
      <c r="N255" s="177">
        <f t="shared" si="45"/>
        <v>0.25</v>
      </c>
      <c r="O255" s="177">
        <f t="shared" si="32"/>
        <v>0.25</v>
      </c>
      <c r="P255" s="89" t="s">
        <v>39</v>
      </c>
      <c r="Q255" s="90">
        <f t="shared" si="33"/>
        <v>7.4999999999999997E-2</v>
      </c>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6384" hidden="1" outlineLevel="1">
      <c r="A256" s="29" t="str">
        <f t="shared" si="42"/>
        <v>modesg_param_sfics_taxon_europeiacknumcta</v>
      </c>
      <c r="B256" s="67" t="s">
        <v>26</v>
      </c>
      <c r="C256" s="68" t="s">
        <v>181</v>
      </c>
      <c r="D256" s="64" t="s">
        <v>40</v>
      </c>
      <c r="E256" s="66" t="s">
        <v>2102</v>
      </c>
      <c r="F256" s="64" t="s">
        <v>458</v>
      </c>
      <c r="G256" s="64" t="str">
        <f>INDEX(Auxiliar!$B$16:$B$24,MATCH(Plano_V3!H256,Auxiliar!$C$16:$C$24,0),1)</f>
        <v xml:space="preserve">6. Em implementação </v>
      </c>
      <c r="H256" s="64">
        <f>VLOOKUP(A256,'Aux - pivots1'!$A:$B,2,0)</f>
        <v>7</v>
      </c>
      <c r="I256" s="183">
        <f>SUMIFS(Table1[Estimação (horas)],Table1[Tabela],Plano_V3!E256,Table1[Campo],Plano_V3!F256)</f>
        <v>0.5</v>
      </c>
      <c r="J256" s="183">
        <f t="shared" si="43"/>
        <v>6.25E-2</v>
      </c>
      <c r="K256" s="183">
        <f>SUMIFS(Table1[Horas efetivas],Table1[Tabela],Plano_V3!E256,Table1[Campo],Plano_V3!F256)</f>
        <v>0.125</v>
      </c>
      <c r="L256" s="183">
        <f t="shared" si="44"/>
        <v>1.5625E-2</v>
      </c>
      <c r="M256" s="177"/>
      <c r="N256" s="177">
        <f t="shared" si="45"/>
        <v>0.25</v>
      </c>
      <c r="O256" s="177">
        <f t="shared" si="32"/>
        <v>0.25</v>
      </c>
      <c r="P256" s="89" t="s">
        <v>39</v>
      </c>
      <c r="Q256" s="90">
        <f t="shared" si="33"/>
        <v>6.25E-2</v>
      </c>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hidden="1" outlineLevel="1">
      <c r="A257" s="29" t="str">
        <f t="shared" si="42"/>
        <v>modesg_param_sfics_taxon_europeiazdeposit</v>
      </c>
      <c r="B257" s="67" t="s">
        <v>26</v>
      </c>
      <c r="C257" s="68" t="s">
        <v>181</v>
      </c>
      <c r="D257" s="64" t="s">
        <v>40</v>
      </c>
      <c r="E257" s="66" t="s">
        <v>2102</v>
      </c>
      <c r="F257" s="64" t="s">
        <v>210</v>
      </c>
      <c r="G257" s="64" t="str">
        <f>INDEX(Auxiliar!$B$16:$B$24,MATCH(Plano_V3!H257,Auxiliar!$C$16:$C$24,0),1)</f>
        <v xml:space="preserve">6. Em implementação </v>
      </c>
      <c r="H257" s="64">
        <f>VLOOKUP(A257,'Aux - pivots1'!$A:$B,2,0)</f>
        <v>7</v>
      </c>
      <c r="I257" s="183"/>
      <c r="J257" s="183"/>
      <c r="K257" s="183"/>
      <c r="L257" s="183"/>
      <c r="M257" s="177"/>
      <c r="N257" s="177"/>
      <c r="O257" s="177"/>
      <c r="P257" s="89"/>
      <c r="Q257" s="90"/>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hidden="1" outlineLevel="1">
      <c r="A258" s="29" t="str">
        <f t="shared" si="42"/>
        <v>modesg_param_sfics_taxon_europeiackmetamis</v>
      </c>
      <c r="B258" s="67" t="s">
        <v>26</v>
      </c>
      <c r="C258" s="68" t="s">
        <v>181</v>
      </c>
      <c r="D258" s="64" t="s">
        <v>40</v>
      </c>
      <c r="E258" s="66" t="s">
        <v>2102</v>
      </c>
      <c r="F258" s="64" t="s">
        <v>185</v>
      </c>
      <c r="G258" s="64" t="str">
        <f>INDEX(Auxiliar!$B$16:$B$24,MATCH(Plano_V3!H258,Auxiliar!$C$16:$C$24,0),1)</f>
        <v xml:space="preserve">6. Em implementação </v>
      </c>
      <c r="H258" s="64">
        <f>VLOOKUP(A258,'Aux - pivots1'!$A:$B,2,0)</f>
        <v>7</v>
      </c>
      <c r="I258" s="183"/>
      <c r="J258" s="183"/>
      <c r="K258" s="183"/>
      <c r="L258" s="183"/>
      <c r="M258" s="177"/>
      <c r="N258" s="177"/>
      <c r="O258" s="177"/>
      <c r="P258" s="89"/>
      <c r="Q258" s="90"/>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hidden="1" outlineLevel="1">
      <c r="A259" s="29" t="str">
        <f t="shared" si="42"/>
        <v>modesg_param_sfics_taxon_europeiackprodmi</v>
      </c>
      <c r="B259" s="67" t="s">
        <v>26</v>
      </c>
      <c r="C259" s="68" t="s">
        <v>181</v>
      </c>
      <c r="D259" s="64" t="s">
        <v>40</v>
      </c>
      <c r="E259" s="66" t="s">
        <v>2102</v>
      </c>
      <c r="F259" s="64" t="s">
        <v>186</v>
      </c>
      <c r="G259" s="64" t="str">
        <f>INDEX(Auxiliar!$B$16:$B$24,MATCH(Plano_V3!H259,Auxiliar!$C$16:$C$24,0),1)</f>
        <v xml:space="preserve">6. Em implementação </v>
      </c>
      <c r="H259" s="64">
        <f>VLOOKUP(A259,'Aux - pivots1'!$A:$B,2,0)</f>
        <v>7</v>
      </c>
      <c r="I259" s="183"/>
      <c r="J259" s="183"/>
      <c r="K259" s="183"/>
      <c r="L259" s="183"/>
      <c r="M259" s="177"/>
      <c r="N259" s="177"/>
      <c r="O259" s="177"/>
      <c r="P259" s="89"/>
      <c r="Q259" s="90"/>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hidden="1" outlineLevel="1">
      <c r="A260" s="29" t="str">
        <f t="shared" si="42"/>
        <v>modesg_param_sfics_taxon_europeiacmetanseg</v>
      </c>
      <c r="B260" s="67" t="s">
        <v>26</v>
      </c>
      <c r="C260" s="68" t="s">
        <v>181</v>
      </c>
      <c r="D260" s="64" t="s">
        <v>40</v>
      </c>
      <c r="E260" s="66" t="s">
        <v>2102</v>
      </c>
      <c r="F260" s="64" t="s">
        <v>187</v>
      </c>
      <c r="G260" s="64" t="str">
        <f>INDEX(Auxiliar!$B$16:$B$24,MATCH(Plano_V3!H260,Auxiliar!$C$16:$C$24,0),1)</f>
        <v xml:space="preserve">6. Em implementação </v>
      </c>
      <c r="H260" s="64">
        <f>VLOOKUP(A260,'Aux - pivots1'!$A:$B,2,0)</f>
        <v>7</v>
      </c>
      <c r="I260" s="183"/>
      <c r="J260" s="183"/>
      <c r="K260" s="183"/>
      <c r="L260" s="183"/>
      <c r="M260" s="177"/>
      <c r="N260" s="177"/>
      <c r="O260" s="177"/>
      <c r="P260" s="89"/>
      <c r="Q260" s="90"/>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hidden="1" outlineLevel="1">
      <c r="A261" s="29" t="str">
        <f t="shared" si="42"/>
        <v>modesg_param_sfics_taxon_europeiaepc</v>
      </c>
      <c r="B261" s="67" t="s">
        <v>26</v>
      </c>
      <c r="C261" s="68" t="s">
        <v>181</v>
      </c>
      <c r="D261" s="64" t="s">
        <v>40</v>
      </c>
      <c r="E261" s="66" t="s">
        <v>2102</v>
      </c>
      <c r="F261" s="64" t="s">
        <v>198</v>
      </c>
      <c r="G261" s="64" t="str">
        <f>INDEX(Auxiliar!$B$16:$B$24,MATCH(Plano_V3!H261,Auxiliar!$C$16:$C$24,0),1)</f>
        <v xml:space="preserve">6. Em implementação </v>
      </c>
      <c r="H261" s="64">
        <f>VLOOKUP(A261,'Aux - pivots1'!$A:$B,2,0)</f>
        <v>7</v>
      </c>
      <c r="I261" s="183">
        <f>SUMIFS(Table1[Estimação (horas)],Table1[Tabela],Plano_V3!E261,Table1[Campo],Plano_V3!F261)</f>
        <v>0.6</v>
      </c>
      <c r="J261" s="183">
        <f t="shared" si="43"/>
        <v>7.4999999999999997E-2</v>
      </c>
      <c r="K261" s="183">
        <f>SUMIFS(Table1[Horas efetivas],Table1[Tabela],Plano_V3!E261,Table1[Campo],Plano_V3!F261)</f>
        <v>0.15</v>
      </c>
      <c r="L261" s="183">
        <f t="shared" si="44"/>
        <v>1.8749999999999999E-2</v>
      </c>
      <c r="M261" s="177"/>
      <c r="N261" s="177">
        <f t="shared" si="45"/>
        <v>0.25</v>
      </c>
      <c r="O261" s="177">
        <f t="shared" ref="O261:O340" si="302">N261-M261</f>
        <v>0.25</v>
      </c>
      <c r="P261" s="89" t="s">
        <v>39</v>
      </c>
      <c r="Q261" s="90">
        <f t="shared" si="33"/>
        <v>7.4999999999999997E-2</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hidden="1" outlineLevel="1">
      <c r="A262" s="29" t="str">
        <f t="shared" si="42"/>
        <v>modesg_param_sfics_taxon_europeiaambito</v>
      </c>
      <c r="B262" s="67" t="s">
        <v>26</v>
      </c>
      <c r="C262" s="68" t="s">
        <v>181</v>
      </c>
      <c r="D262" s="64" t="s">
        <v>40</v>
      </c>
      <c r="E262" s="66" t="s">
        <v>2102</v>
      </c>
      <c r="F262" s="64" t="s">
        <v>390</v>
      </c>
      <c r="G262" s="64" t="str">
        <f>INDEX(Auxiliar!$B$16:$B$24,MATCH(Plano_V3!H262,Auxiliar!$C$16:$C$24,0),1)</f>
        <v xml:space="preserve">6. Em implementação </v>
      </c>
      <c r="H262" s="64">
        <f>VLOOKUP(A262,'Aux - pivots1'!$A:$B,2,0)</f>
        <v>7</v>
      </c>
      <c r="I262" s="183" t="e">
        <f>SUMIFS(Table1[Estimação (horas)],Table1[Tabela],Plano_V3!E262,Table1[Campo],Plano_V3!F262)</f>
        <v>#N/A</v>
      </c>
      <c r="J262" s="183" t="e">
        <f t="shared" si="43"/>
        <v>#N/A</v>
      </c>
      <c r="K262" s="183" t="e">
        <f>SUMIFS(Table1[Horas efetivas],Table1[Tabela],Plano_V3!E262,Table1[Campo],Plano_V3!F262)</f>
        <v>#N/A</v>
      </c>
      <c r="L262" s="183" t="e">
        <f t="shared" si="44"/>
        <v>#N/A</v>
      </c>
      <c r="M262" s="177"/>
      <c r="N262" s="177" t="e">
        <f t="shared" si="45"/>
        <v>#N/A</v>
      </c>
      <c r="O262" s="177" t="e">
        <f t="shared" si="302"/>
        <v>#N/A</v>
      </c>
      <c r="P262" s="89" t="s">
        <v>39</v>
      </c>
      <c r="Q262" s="90" t="e">
        <f t="shared" si="33"/>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hidden="1" outlineLevel="1">
      <c r="A263" s="29" t="str">
        <f t="shared" si="42"/>
        <v>modesg_param_sfics_taxon_europeianome_ctgr_sfics</v>
      </c>
      <c r="B263" s="67" t="s">
        <v>26</v>
      </c>
      <c r="C263" s="68" t="s">
        <v>181</v>
      </c>
      <c r="D263" s="64" t="s">
        <v>40</v>
      </c>
      <c r="E263" s="66" t="s">
        <v>2102</v>
      </c>
      <c r="F263" s="64" t="s">
        <v>2053</v>
      </c>
      <c r="G263" s="64" t="str">
        <f>INDEX(Auxiliar!$B$16:$B$24,MATCH(Plano_V3!H263,Auxiliar!$C$16:$C$24,0),1)</f>
        <v xml:space="preserve">6. Em implementação </v>
      </c>
      <c r="H263" s="64">
        <f>VLOOKUP(A263,'Aux - pivots1'!$A:$B,2,0)</f>
        <v>7</v>
      </c>
      <c r="I263" s="183" t="e">
        <f>SUMIFS(Table1[Estimação (horas)],Table1[Tabela],Plano_V3!E263,Table1[Campo],Plano_V3!F263)</f>
        <v>#N/A</v>
      </c>
      <c r="J263" s="183" t="e">
        <f t="shared" si="43"/>
        <v>#N/A</v>
      </c>
      <c r="K263" s="183" t="e">
        <f>SUMIFS(Table1[Horas efetivas],Table1[Tabela],Plano_V3!E263,Table1[Campo],Plano_V3!F263)</f>
        <v>#N/A</v>
      </c>
      <c r="L263" s="183" t="e">
        <f t="shared" si="44"/>
        <v>#N/A</v>
      </c>
      <c r="M263" s="177"/>
      <c r="N263" s="177" t="e">
        <f t="shared" si="45"/>
        <v>#N/A</v>
      </c>
      <c r="O263" s="177" t="e">
        <f t="shared" si="302"/>
        <v>#N/A</v>
      </c>
      <c r="P263" s="89" t="s">
        <v>39</v>
      </c>
      <c r="Q263" s="90" t="e">
        <f t="shared" si="33"/>
        <v>#N/A</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hidden="1" outlineLevel="1">
      <c r="A264" s="29" t="str">
        <f t="shared" si="42"/>
        <v>modesg_param_sfics_taxon_europeiamontante_pndrc</v>
      </c>
      <c r="B264" s="67" t="s">
        <v>26</v>
      </c>
      <c r="C264" s="68" t="s">
        <v>181</v>
      </c>
      <c r="D264" s="64" t="s">
        <v>40</v>
      </c>
      <c r="E264" s="66" t="s">
        <v>2102</v>
      </c>
      <c r="F264" s="64" t="s">
        <v>202</v>
      </c>
      <c r="G264" s="64" t="str">
        <f>INDEX(Auxiliar!$B$16:$B$24,MATCH(Plano_V3!H264,Auxiliar!$C$16:$C$24,0),1)</f>
        <v xml:space="preserve">6. Em implementação </v>
      </c>
      <c r="H264" s="64">
        <f>VLOOKUP(A264,'Aux - pivots1'!$A:$B,2,0)</f>
        <v>7</v>
      </c>
      <c r="I264" s="183" t="e">
        <f>SUMIFS(Table1[Estimação (horas)],Table1[Tabela],Plano_V3!E264,Table1[Campo],Plano_V3!F264)</f>
        <v>#N/A</v>
      </c>
      <c r="J264" s="183" t="e">
        <f t="shared" si="43"/>
        <v>#N/A</v>
      </c>
      <c r="K264" s="183" t="e">
        <f>SUMIFS(Table1[Horas efetivas],Table1[Tabela],Plano_V3!E264,Table1[Campo],Plano_V3!F264)</f>
        <v>#N/A</v>
      </c>
      <c r="L264" s="183" t="e">
        <f t="shared" si="44"/>
        <v>#N/A</v>
      </c>
      <c r="M264" s="177"/>
      <c r="N264" s="177" t="e">
        <f t="shared" si="45"/>
        <v>#N/A</v>
      </c>
      <c r="O264" s="177" t="e">
        <f t="shared" si="302"/>
        <v>#N/A</v>
      </c>
      <c r="P264" s="89" t="s">
        <v>39</v>
      </c>
      <c r="Q264" s="90" t="e">
        <f t="shared" si="33"/>
        <v>#N/A</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hidden="1" outlineLevel="1">
      <c r="A265" s="29" t="str">
        <f t="shared" si="42"/>
        <v>modesg_param_sfics_taxon_europeiacontraparte</v>
      </c>
      <c r="B265" s="67" t="s">
        <v>26</v>
      </c>
      <c r="C265" s="68" t="s">
        <v>181</v>
      </c>
      <c r="D265" s="64" t="s">
        <v>40</v>
      </c>
      <c r="E265" s="66" t="s">
        <v>2102</v>
      </c>
      <c r="F265" s="64" t="s">
        <v>394</v>
      </c>
      <c r="G265" s="64" t="str">
        <f>INDEX(Auxiliar!$B$16:$B$24,MATCH(Plano_V3!H265,Auxiliar!$C$16:$C$24,0),1)</f>
        <v xml:space="preserve">6. Em implementação </v>
      </c>
      <c r="H265" s="64">
        <f>VLOOKUP(A265,'Aux - pivots1'!$A:$B,2,0)</f>
        <v>7</v>
      </c>
      <c r="I265" s="183" t="e">
        <f>SUMIFS(Table1[Estimação (horas)],Table1[Tabela],Plano_V3!E265,Table1[Campo],Plano_V3!F265)</f>
        <v>#N/A</v>
      </c>
      <c r="J265" s="183" t="e">
        <f t="shared" si="43"/>
        <v>#N/A</v>
      </c>
      <c r="K265" s="183" t="e">
        <f>SUMIFS(Table1[Horas efetivas],Table1[Tabela],Plano_V3!E265,Table1[Campo],Plano_V3!F265)</f>
        <v>#N/A</v>
      </c>
      <c r="L265" s="183" t="e">
        <f t="shared" si="44"/>
        <v>#N/A</v>
      </c>
      <c r="M265" s="177"/>
      <c r="N265" s="177" t="e">
        <f t="shared" si="45"/>
        <v>#N/A</v>
      </c>
      <c r="O265" s="177" t="e">
        <f t="shared" si="302"/>
        <v>#N/A</v>
      </c>
      <c r="P265" s="89" t="s">
        <v>39</v>
      </c>
      <c r="Q265" s="90" t="e">
        <f t="shared" si="33"/>
        <v>#N/A</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hidden="1" outlineLevel="1">
      <c r="A266" s="29" t="str">
        <f t="shared" si="42"/>
        <v>modesg_param_sfics_taxon_europeiaflag_project_finance</v>
      </c>
      <c r="B266" s="67" t="s">
        <v>26</v>
      </c>
      <c r="C266" s="68" t="s">
        <v>181</v>
      </c>
      <c r="D266" s="64" t="s">
        <v>40</v>
      </c>
      <c r="E266" s="66" t="s">
        <v>2102</v>
      </c>
      <c r="F266" s="64" t="s">
        <v>199</v>
      </c>
      <c r="G266" s="64" t="str">
        <f>INDEX(Auxiliar!$B$16:$B$24,MATCH(Plano_V3!H266,Auxiliar!$C$16:$C$24,0),1)</f>
        <v xml:space="preserve">6. Em implementação </v>
      </c>
      <c r="H266" s="64">
        <f>VLOOKUP(A266,'Aux - pivots1'!$A:$B,2,0)</f>
        <v>7</v>
      </c>
      <c r="I266" s="183" t="e">
        <f>SUMIFS(Table1[Estimação (horas)],Table1[Tabela],Plano_V3!E266,Table1[Campo],Plano_V3!F266)</f>
        <v>#N/A</v>
      </c>
      <c r="J266" s="183" t="e">
        <f t="shared" si="43"/>
        <v>#N/A</v>
      </c>
      <c r="K266" s="183" t="e">
        <f>SUMIFS(Table1[Horas efetivas],Table1[Tabela],Plano_V3!E266,Table1[Campo],Plano_V3!F266)</f>
        <v>#N/A</v>
      </c>
      <c r="L266" s="183" t="e">
        <f t="shared" si="44"/>
        <v>#N/A</v>
      </c>
      <c r="M266" s="177"/>
      <c r="N266" s="177" t="e">
        <f t="shared" si="45"/>
        <v>#N/A</v>
      </c>
      <c r="O266" s="177" t="e">
        <f t="shared" si="302"/>
        <v>#N/A</v>
      </c>
      <c r="P266" s="89" t="s">
        <v>39</v>
      </c>
      <c r="Q266" s="90" t="e">
        <f t="shared" si="33"/>
        <v>#N/A</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hidden="1" outlineLevel="1">
      <c r="A267" s="29" t="str">
        <f t="shared" si="42"/>
        <v>modesg_param_sfics_taxon_europeiaprdt_sprdt</v>
      </c>
      <c r="B267" s="67" t="s">
        <v>26</v>
      </c>
      <c r="C267" s="68" t="s">
        <v>181</v>
      </c>
      <c r="D267" s="64" t="s">
        <v>40</v>
      </c>
      <c r="E267" s="66" t="s">
        <v>2102</v>
      </c>
      <c r="F267" s="64" t="s">
        <v>2054</v>
      </c>
      <c r="G267" s="64" t="str">
        <f>INDEX(Auxiliar!$B$16:$B$24,MATCH(Plano_V3!H267,Auxiliar!$C$16:$C$24,0),1)</f>
        <v xml:space="preserve">6. Em implementação </v>
      </c>
      <c r="H267" s="64">
        <f>VLOOKUP(A267,'Aux - pivots1'!$A:$B,2,0)</f>
        <v>7</v>
      </c>
      <c r="I267" s="183" t="e">
        <f>SUMIFS(Table1[Estimação (horas)],Table1[Tabela],Plano_V3!E267,Table1[Campo],Plano_V3!F267)</f>
        <v>#N/A</v>
      </c>
      <c r="J267" s="183" t="e">
        <f t="shared" si="43"/>
        <v>#N/A</v>
      </c>
      <c r="K267" s="183" t="e">
        <f>SUMIFS(Table1[Horas efetivas],Table1[Tabela],Plano_V3!E267,Table1[Campo],Plano_V3!F267)</f>
        <v>#N/A</v>
      </c>
      <c r="L267" s="183" t="e">
        <f t="shared" si="44"/>
        <v>#N/A</v>
      </c>
      <c r="M267" s="177"/>
      <c r="N267" s="177" t="e">
        <f t="shared" si="45"/>
        <v>#N/A</v>
      </c>
      <c r="O267" s="177" t="e">
        <f t="shared" si="302"/>
        <v>#N/A</v>
      </c>
      <c r="P267" s="89" t="s">
        <v>39</v>
      </c>
      <c r="Q267" s="90" t="e">
        <f t="shared" si="33"/>
        <v>#N/A</v>
      </c>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hidden="1" outlineLevel="1">
      <c r="A268" s="29" t="str">
        <f t="shared" si="42"/>
        <v>modesg_param_sfics_taxon_europeiaflg_csrd</v>
      </c>
      <c r="B268" s="67" t="s">
        <v>26</v>
      </c>
      <c r="C268" s="68" t="s">
        <v>181</v>
      </c>
      <c r="D268" s="64" t="s">
        <v>40</v>
      </c>
      <c r="E268" s="66" t="s">
        <v>2102</v>
      </c>
      <c r="F268" s="64" t="s">
        <v>2055</v>
      </c>
      <c r="G268" s="64" t="str">
        <f>INDEX(Auxiliar!$B$16:$B$24,MATCH(Plano_V3!H268,Auxiliar!$C$16:$C$24,0),1)</f>
        <v xml:space="preserve">6. Em implementação </v>
      </c>
      <c r="H268" s="64">
        <f>VLOOKUP(A268,'Aux - pivots1'!$A:$B,2,0)</f>
        <v>7</v>
      </c>
      <c r="I268" s="183">
        <f>SUMIFS(Table1[Estimação (horas)],Table1[Tabela],Plano_V3!E268,Table1[Campo],Plano_V3!F268)</f>
        <v>0.6</v>
      </c>
      <c r="J268" s="183">
        <f t="shared" si="43"/>
        <v>7.4999999999999997E-2</v>
      </c>
      <c r="K268" s="183">
        <f>SUMIFS(Table1[Horas efetivas],Table1[Tabela],Plano_V3!E268,Table1[Campo],Plano_V3!F268)</f>
        <v>0.15</v>
      </c>
      <c r="L268" s="183">
        <f t="shared" si="44"/>
        <v>1.8749999999999999E-2</v>
      </c>
      <c r="M268" s="177"/>
      <c r="N268" s="177">
        <f t="shared" si="45"/>
        <v>0.25</v>
      </c>
      <c r="O268" s="177">
        <f t="shared" si="302"/>
        <v>0.25</v>
      </c>
      <c r="P268" s="89" t="s">
        <v>39</v>
      </c>
      <c r="Q268" s="90">
        <f t="shared" si="33"/>
        <v>7.4999999999999997E-2</v>
      </c>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hidden="1" outlineLevel="1">
      <c r="A269" s="29" t="str">
        <f t="shared" si="42"/>
        <v>modesg_param_sfics_taxon_europeiacombustivel</v>
      </c>
      <c r="B269" s="67" t="s">
        <v>26</v>
      </c>
      <c r="C269" s="68" t="s">
        <v>181</v>
      </c>
      <c r="D269" s="64" t="s">
        <v>40</v>
      </c>
      <c r="E269" s="66" t="s">
        <v>2102</v>
      </c>
      <c r="F269" s="64" t="s">
        <v>2056</v>
      </c>
      <c r="G269" s="64" t="str">
        <f>INDEX(Auxiliar!$B$16:$B$24,MATCH(Plano_V3!H269,Auxiliar!$C$16:$C$24,0),1)</f>
        <v xml:space="preserve">6. Em implementação </v>
      </c>
      <c r="H269" s="64">
        <f>VLOOKUP(A269,'Aux - pivots1'!$A:$B,2,0)</f>
        <v>7</v>
      </c>
      <c r="I269" s="183">
        <f>SUMIFS(Table1[Estimação (horas)],Table1[Tabela],Plano_V3!E269,Table1[Campo],Plano_V3!F269)</f>
        <v>0.6</v>
      </c>
      <c r="J269" s="183">
        <f t="shared" si="43"/>
        <v>7.4999999999999997E-2</v>
      </c>
      <c r="K269" s="183">
        <f>SUMIFS(Table1[Horas efetivas],Table1[Tabela],Plano_V3!E269,Table1[Campo],Plano_V3!F269)</f>
        <v>0.15</v>
      </c>
      <c r="L269" s="183">
        <f t="shared" si="44"/>
        <v>1.8749999999999999E-2</v>
      </c>
      <c r="M269" s="177"/>
      <c r="N269" s="177">
        <f t="shared" si="45"/>
        <v>0.25</v>
      </c>
      <c r="O269" s="177">
        <f t="shared" si="302"/>
        <v>0.25</v>
      </c>
      <c r="P269" s="89" t="s">
        <v>39</v>
      </c>
      <c r="Q269" s="90">
        <f t="shared" ref="Q269:Q351" si="303">J269-SUM(R269:ES269)</f>
        <v>7.4999999999999997E-2</v>
      </c>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hidden="1" outlineLevel="1">
      <c r="A270" s="29" t="str">
        <f t="shared" si="42"/>
        <v>modesg_param_sfics_taxon_europeiaco2</v>
      </c>
      <c r="B270" s="67" t="s">
        <v>26</v>
      </c>
      <c r="C270" s="68" t="s">
        <v>181</v>
      </c>
      <c r="D270" s="64" t="s">
        <v>40</v>
      </c>
      <c r="E270" s="66" t="s">
        <v>2102</v>
      </c>
      <c r="F270" s="64" t="s">
        <v>2057</v>
      </c>
      <c r="G270" s="64" t="str">
        <f>INDEX(Auxiliar!$B$16:$B$24,MATCH(Plano_V3!H270,Auxiliar!$C$16:$C$24,0),1)</f>
        <v xml:space="preserve">6. Em implementação </v>
      </c>
      <c r="H270" s="64">
        <f>VLOOKUP(A270,'Aux - pivots1'!$A:$B,2,0)</f>
        <v>7</v>
      </c>
      <c r="I270" s="183" t="e">
        <f>SUMIFS(Table1[Estimação (horas)],Table1[Tabela],Plano_V3!E270,Table1[Campo],Plano_V3!F270)</f>
        <v>#N/A</v>
      </c>
      <c r="J270" s="183" t="e">
        <f t="shared" si="43"/>
        <v>#N/A</v>
      </c>
      <c r="K270" s="183" t="e">
        <f>SUMIFS(Table1[Horas efetivas],Table1[Tabela],Plano_V3!E270,Table1[Campo],Plano_V3!F270)</f>
        <v>#N/A</v>
      </c>
      <c r="L270" s="183" t="e">
        <f t="shared" si="44"/>
        <v>#N/A</v>
      </c>
      <c r="M270" s="177"/>
      <c r="N270" s="177" t="e">
        <f t="shared" si="45"/>
        <v>#N/A</v>
      </c>
      <c r="O270" s="177" t="e">
        <f t="shared" si="302"/>
        <v>#N/A</v>
      </c>
      <c r="P270" s="89" t="s">
        <v>39</v>
      </c>
      <c r="Q270" s="90" t="e">
        <f t="shared" si="303"/>
        <v>#N/A</v>
      </c>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hidden="1" outlineLevel="1">
      <c r="A271" s="29" t="str">
        <f t="shared" si="42"/>
        <v>modesg_param_sfics_taxon_europeiacfamilia</v>
      </c>
      <c r="B271" s="67" t="s">
        <v>26</v>
      </c>
      <c r="C271" s="68" t="s">
        <v>181</v>
      </c>
      <c r="D271" s="64" t="s">
        <v>40</v>
      </c>
      <c r="E271" s="66" t="s">
        <v>2102</v>
      </c>
      <c r="F271" s="64" t="s">
        <v>2058</v>
      </c>
      <c r="G271" s="64" t="str">
        <f>INDEX(Auxiliar!$B$16:$B$24,MATCH(Plano_V3!H271,Auxiliar!$C$16:$C$24,0),1)</f>
        <v xml:space="preserve">6. Em implementação </v>
      </c>
      <c r="H271" s="64">
        <f>VLOOKUP(A271,'Aux - pivots1'!$A:$B,2,0)</f>
        <v>7</v>
      </c>
      <c r="I271" s="183">
        <f>SUMIFS(Table1[Estimação (horas)],Table1[Tabela],Plano_V3!E271,Table1[Campo],Plano_V3!F271)</f>
        <v>0.6</v>
      </c>
      <c r="J271" s="183">
        <f t="shared" si="43"/>
        <v>7.4999999999999997E-2</v>
      </c>
      <c r="K271" s="183">
        <f>SUMIFS(Table1[Horas efetivas],Table1[Tabela],Plano_V3!E271,Table1[Campo],Plano_V3!F271)</f>
        <v>0.15</v>
      </c>
      <c r="L271" s="183">
        <f t="shared" si="44"/>
        <v>1.8749999999999999E-2</v>
      </c>
      <c r="M271" s="177"/>
      <c r="N271" s="177">
        <f t="shared" si="45"/>
        <v>0.25</v>
      </c>
      <c r="O271" s="177">
        <f t="shared" si="302"/>
        <v>0.25</v>
      </c>
      <c r="P271" s="89" t="s">
        <v>39</v>
      </c>
      <c r="Q271" s="90">
        <f t="shared" si="303"/>
        <v>7.4999999999999997E-2</v>
      </c>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hidden="1" outlineLevel="1">
      <c r="A272" s="29" t="str">
        <f t="shared" si="42"/>
        <v>modesg_param_sfics_taxon_europeiaflg_rsc_fsc_crnc</v>
      </c>
      <c r="B272" s="67" t="s">
        <v>26</v>
      </c>
      <c r="C272" s="68" t="s">
        <v>181</v>
      </c>
      <c r="D272" s="64" t="s">
        <v>40</v>
      </c>
      <c r="E272" s="66" t="s">
        <v>2102</v>
      </c>
      <c r="F272" s="64" t="s">
        <v>283</v>
      </c>
      <c r="G272" s="64" t="str">
        <f>INDEX(Auxiliar!$B$16:$B$24,MATCH(Plano_V3!H272,Auxiliar!$C$16:$C$24,0),1)</f>
        <v xml:space="preserve">6. Em implementação </v>
      </c>
      <c r="H272" s="64">
        <f>VLOOKUP(A272,'Aux - pivots1'!$A:$B,2,0)</f>
        <v>7</v>
      </c>
      <c r="I272" s="183">
        <f>SUMIFS(Table1[Estimação (horas)],Table1[Tabela],Plano_V3!E272,Table1[Campo],Plano_V3!F272)</f>
        <v>0.6</v>
      </c>
      <c r="J272" s="183">
        <f t="shared" si="43"/>
        <v>7.4999999999999997E-2</v>
      </c>
      <c r="K272" s="183">
        <f>SUMIFS(Table1[Horas efetivas],Table1[Tabela],Plano_V3!E272,Table1[Campo],Plano_V3!F272)</f>
        <v>0.15</v>
      </c>
      <c r="L272" s="183">
        <f t="shared" si="44"/>
        <v>1.8749999999999999E-2</v>
      </c>
      <c r="M272" s="177"/>
      <c r="N272" s="177">
        <f t="shared" si="45"/>
        <v>0.25</v>
      </c>
      <c r="O272" s="177">
        <f t="shared" si="302"/>
        <v>0.25</v>
      </c>
      <c r="P272" s="89" t="s">
        <v>39</v>
      </c>
      <c r="Q272" s="90">
        <f t="shared" si="303"/>
        <v>7.4999999999999997E-2</v>
      </c>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hidden="1" outlineLevel="1">
      <c r="A273" s="29" t="str">
        <f t="shared" si="42"/>
        <v>modesg_param_sfics_taxon_europeiaflg_rsc_fsc_agd</v>
      </c>
      <c r="B273" s="67" t="s">
        <v>26</v>
      </c>
      <c r="C273" s="68" t="s">
        <v>181</v>
      </c>
      <c r="D273" s="64" t="s">
        <v>40</v>
      </c>
      <c r="E273" s="66" t="s">
        <v>2102</v>
      </c>
      <c r="F273" s="64" t="s">
        <v>282</v>
      </c>
      <c r="G273" s="64" t="str">
        <f>INDEX(Auxiliar!$B$16:$B$24,MATCH(Plano_V3!H273,Auxiliar!$C$16:$C$24,0),1)</f>
        <v xml:space="preserve">6. Em implementação </v>
      </c>
      <c r="H273" s="64">
        <f>VLOOKUP(A273,'Aux - pivots1'!$A:$B,2,0)</f>
        <v>7</v>
      </c>
      <c r="I273" s="183">
        <f>SUMIFS(Table1[Estimação (horas)],Table1[Tabela],Plano_V3!E273,Table1[Campo],Plano_V3!F273)</f>
        <v>0.6</v>
      </c>
      <c r="J273" s="183">
        <f t="shared" si="43"/>
        <v>7.4999999999999997E-2</v>
      </c>
      <c r="K273" s="183">
        <f>SUMIFS(Table1[Horas efetivas],Table1[Tabela],Plano_V3!E273,Table1[Campo],Plano_V3!F273)</f>
        <v>0.15</v>
      </c>
      <c r="L273" s="183">
        <f t="shared" si="44"/>
        <v>1.8749999999999999E-2</v>
      </c>
      <c r="M273" s="177"/>
      <c r="N273" s="177">
        <f t="shared" si="45"/>
        <v>0.25</v>
      </c>
      <c r="O273" s="177">
        <f t="shared" si="302"/>
        <v>0.25</v>
      </c>
      <c r="P273" s="89" t="s">
        <v>39</v>
      </c>
      <c r="Q273" s="90">
        <f t="shared" si="303"/>
        <v>7.4999999999999997E-2</v>
      </c>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hidden="1" outlineLevel="1">
      <c r="A274" s="29" t="str">
        <f t="shared" si="42"/>
        <v>modesg_param_sfics_taxon_europeiaproperty_purpose_code</v>
      </c>
      <c r="B274" s="67" t="s">
        <v>26</v>
      </c>
      <c r="C274" s="68" t="s">
        <v>181</v>
      </c>
      <c r="D274" s="64" t="s">
        <v>40</v>
      </c>
      <c r="E274" s="66" t="s">
        <v>2102</v>
      </c>
      <c r="F274" s="64" t="s">
        <v>2059</v>
      </c>
      <c r="G274" s="64" t="str">
        <f>INDEX(Auxiliar!$B$16:$B$24,MATCH(Plano_V3!H274,Auxiliar!$C$16:$C$24,0),1)</f>
        <v xml:space="preserve">6. Em implementação </v>
      </c>
      <c r="H274" s="64">
        <f>VLOOKUP(A274,'Aux - pivots1'!$A:$B,2,0)</f>
        <v>7</v>
      </c>
      <c r="I274" s="183" t="e">
        <f>SUMIFS(Table1[Estimação (horas)],Table1[Tabela],Plano_V3!E274,Table1[Campo],Plano_V3!F274)</f>
        <v>#N/A</v>
      </c>
      <c r="J274" s="183" t="e">
        <f t="shared" si="43"/>
        <v>#N/A</v>
      </c>
      <c r="K274" s="183" t="e">
        <f>SUMIFS(Table1[Horas efetivas],Table1[Tabela],Plano_V3!E274,Table1[Campo],Plano_V3!F274)</f>
        <v>#N/A</v>
      </c>
      <c r="L274" s="183" t="e">
        <f t="shared" si="44"/>
        <v>#N/A</v>
      </c>
      <c r="M274" s="177"/>
      <c r="N274" s="177" t="e">
        <f t="shared" si="45"/>
        <v>#N/A</v>
      </c>
      <c r="O274" s="177" t="e">
        <f t="shared" si="302"/>
        <v>#N/A</v>
      </c>
      <c r="P274" s="89" t="s">
        <v>39</v>
      </c>
      <c r="Q274" s="90" t="e">
        <f t="shared" si="303"/>
        <v>#N/A</v>
      </c>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hidden="1" outlineLevel="1">
      <c r="A275" s="29" t="str">
        <f t="shared" ref="A275:A342" si="304">E275&amp;F275</f>
        <v>modesg_param_sfics_taxon_europeiadabertur</v>
      </c>
      <c r="B275" s="67" t="s">
        <v>26</v>
      </c>
      <c r="C275" s="68" t="s">
        <v>181</v>
      </c>
      <c r="D275" s="64" t="s">
        <v>40</v>
      </c>
      <c r="E275" s="66" t="s">
        <v>2102</v>
      </c>
      <c r="F275" s="64" t="s">
        <v>2060</v>
      </c>
      <c r="G275" s="64" t="str">
        <f>INDEX(Auxiliar!$B$16:$B$24,MATCH(Plano_V3!H275,Auxiliar!$C$16:$C$24,0),1)</f>
        <v xml:space="preserve">6. Em implementação </v>
      </c>
      <c r="H275" s="64">
        <f>VLOOKUP(A275,'Aux - pivots1'!$A:$B,2,0)</f>
        <v>7</v>
      </c>
      <c r="I275" s="183" t="e">
        <f>SUMIFS(Table1[Estimação (horas)],Table1[Tabela],Plano_V3!E275,Table1[Campo],Plano_V3!F275)</f>
        <v>#N/A</v>
      </c>
      <c r="J275" s="183" t="e">
        <f t="shared" si="43"/>
        <v>#N/A</v>
      </c>
      <c r="K275" s="183" t="e">
        <f>SUMIFS(Table1[Horas efetivas],Table1[Tabela],Plano_V3!E275,Table1[Campo],Plano_V3!F275)</f>
        <v>#N/A</v>
      </c>
      <c r="L275" s="183" t="e">
        <f t="shared" si="44"/>
        <v>#N/A</v>
      </c>
      <c r="M275" s="177"/>
      <c r="N275" s="177" t="e">
        <f t="shared" si="45"/>
        <v>#N/A</v>
      </c>
      <c r="O275" s="177" t="e">
        <f t="shared" si="302"/>
        <v>#N/A</v>
      </c>
      <c r="P275" s="89" t="s">
        <v>39</v>
      </c>
      <c r="Q275" s="90" t="e">
        <f t="shared" si="303"/>
        <v>#N/A</v>
      </c>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hidden="1" outlineLevel="1">
      <c r="A276" s="29" t="str">
        <f t="shared" si="304"/>
        <v>modesg_param_sfics_taxon_europeiatipo_eqp</v>
      </c>
      <c r="B276" s="67" t="s">
        <v>26</v>
      </c>
      <c r="C276" s="68" t="s">
        <v>181</v>
      </c>
      <c r="D276" s="64" t="s">
        <v>40</v>
      </c>
      <c r="E276" s="66" t="s">
        <v>2102</v>
      </c>
      <c r="F276" s="64" t="s">
        <v>2061</v>
      </c>
      <c r="G276" s="64" t="str">
        <f>INDEX(Auxiliar!$B$16:$B$24,MATCH(Plano_V3!H276,Auxiliar!$C$16:$C$24,0),1)</f>
        <v xml:space="preserve">6. Em implementação </v>
      </c>
      <c r="H276" s="64">
        <f>VLOOKUP(A276,'Aux - pivots1'!$A:$B,2,0)</f>
        <v>7</v>
      </c>
      <c r="I276" s="183">
        <f>SUMIFS(Table1[Estimação (horas)],Table1[Tabela],Plano_V3!E276,Table1[Campo],Plano_V3!F276)</f>
        <v>0.6</v>
      </c>
      <c r="J276" s="183">
        <f t="shared" si="43"/>
        <v>7.4999999999999997E-2</v>
      </c>
      <c r="K276" s="183">
        <f>SUMIFS(Table1[Horas efetivas],Table1[Tabela],Plano_V3!E276,Table1[Campo],Plano_V3!F276)</f>
        <v>0.15</v>
      </c>
      <c r="L276" s="183">
        <f t="shared" si="44"/>
        <v>1.8749999999999999E-2</v>
      </c>
      <c r="M276" s="177"/>
      <c r="N276" s="177">
        <f t="shared" si="45"/>
        <v>0.25</v>
      </c>
      <c r="O276" s="177">
        <f t="shared" si="302"/>
        <v>0.25</v>
      </c>
      <c r="P276" s="89" t="s">
        <v>39</v>
      </c>
      <c r="Q276" s="90">
        <f t="shared" si="303"/>
        <v>7.4999999999999997E-2</v>
      </c>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hidden="1" outlineLevel="1">
      <c r="A277" s="29" t="str">
        <f t="shared" si="304"/>
        <v>modesg_param_sfics_taxon_europeiaconstruction_year</v>
      </c>
      <c r="B277" s="67" t="s">
        <v>26</v>
      </c>
      <c r="C277" s="68" t="s">
        <v>181</v>
      </c>
      <c r="D277" s="64" t="s">
        <v>40</v>
      </c>
      <c r="E277" s="66" t="s">
        <v>2102</v>
      </c>
      <c r="F277" s="64" t="s">
        <v>2062</v>
      </c>
      <c r="G277" s="64" t="str">
        <f>INDEX(Auxiliar!$B$16:$B$24,MATCH(Plano_V3!H277,Auxiliar!$C$16:$C$24,0),1)</f>
        <v xml:space="preserve">6. Em implementação </v>
      </c>
      <c r="H277" s="64">
        <f>VLOOKUP(A277,'Aux - pivots1'!$A:$B,2,0)</f>
        <v>7</v>
      </c>
      <c r="I277" s="183" t="e">
        <f>SUMIFS(Table1[Estimação (horas)],Table1[Tabela],Plano_V3!E277,Table1[Campo],Plano_V3!F277)</f>
        <v>#N/A</v>
      </c>
      <c r="J277" s="183" t="e">
        <f t="shared" si="43"/>
        <v>#N/A</v>
      </c>
      <c r="K277" s="183" t="e">
        <f>SUMIFS(Table1[Horas efetivas],Table1[Tabela],Plano_V3!E277,Table1[Campo],Plano_V3!F277)</f>
        <v>#N/A</v>
      </c>
      <c r="L277" s="183" t="e">
        <f t="shared" si="44"/>
        <v>#N/A</v>
      </c>
      <c r="M277" s="177"/>
      <c r="N277" s="177" t="e">
        <f t="shared" si="45"/>
        <v>#N/A</v>
      </c>
      <c r="O277" s="177" t="e">
        <f t="shared" si="302"/>
        <v>#N/A</v>
      </c>
      <c r="P277" s="89" t="s">
        <v>39</v>
      </c>
      <c r="Q277" s="90" t="e">
        <f t="shared" si="303"/>
        <v>#N/A</v>
      </c>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hidden="1" outlineLevel="1">
      <c r="A278" s="29" t="str">
        <f t="shared" si="304"/>
        <v>modesg_param_sfics_taxon_europeiaref_date</v>
      </c>
      <c r="B278" s="67" t="s">
        <v>26</v>
      </c>
      <c r="C278" s="68" t="s">
        <v>181</v>
      </c>
      <c r="D278" s="64" t="s">
        <v>40</v>
      </c>
      <c r="E278" s="66" t="s">
        <v>2102</v>
      </c>
      <c r="F278" s="64" t="s">
        <v>208</v>
      </c>
      <c r="G278" s="64" t="str">
        <f>INDEX(Auxiliar!$B$16:$B$24,MATCH(Plano_V3!H278,Auxiliar!$C$16:$C$24,0),1)</f>
        <v xml:space="preserve">6. Em implementação </v>
      </c>
      <c r="H278" s="64">
        <f>VLOOKUP(A278,'Aux - pivots1'!$A:$B,2,0)</f>
        <v>7</v>
      </c>
      <c r="I278" s="183">
        <f>SUMIFS(Table1[Estimação (horas)],Table1[Tabela],Plano_V3!E278,Table1[Campo],Plano_V3!F278)</f>
        <v>0.6</v>
      </c>
      <c r="J278" s="183">
        <f>I278/8</f>
        <v>7.4999999999999997E-2</v>
      </c>
      <c r="K278" s="183">
        <f>SUMIFS(Table1[Horas efetivas],Table1[Tabela],Plano_V3!E278,Table1[Campo],Plano_V3!F278)</f>
        <v>0.15</v>
      </c>
      <c r="L278" s="183">
        <f>K278/8</f>
        <v>1.8749999999999999E-2</v>
      </c>
      <c r="M278" s="177"/>
      <c r="N278" s="177">
        <f>L278/J278</f>
        <v>0.25</v>
      </c>
      <c r="O278" s="177">
        <f t="shared" si="302"/>
        <v>0.25</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hidden="1" outlineLevel="1">
      <c r="A279" s="29" t="str">
        <f t="shared" si="304"/>
        <v>modesg_param_sfics_taxon_europeiaquality_score</v>
      </c>
      <c r="B279" s="67" t="s">
        <v>26</v>
      </c>
      <c r="C279" s="68" t="s">
        <v>181</v>
      </c>
      <c r="D279" s="64" t="s">
        <v>40</v>
      </c>
      <c r="E279" s="66" t="s">
        <v>2102</v>
      </c>
      <c r="F279" s="64" t="s">
        <v>2063</v>
      </c>
      <c r="G279" s="64" t="str">
        <f>INDEX(Auxiliar!$B$16:$B$24,MATCH(Plano_V3!H279,Auxiliar!$C$16:$C$24,0),1)</f>
        <v xml:space="preserve">6. Em implementação </v>
      </c>
      <c r="H279" s="64">
        <f>VLOOKUP(A279,'Aux - pivots1'!$A:$B,2,0)</f>
        <v>7</v>
      </c>
      <c r="I279" s="183" t="e">
        <f>SUMIFS(Table1[Estimação (horas)],Table1[Tabela],Plano_V3!E279,Table1[Campo],Plano_V3!F279)</f>
        <v>#N/A</v>
      </c>
      <c r="J279" s="183" t="e">
        <f t="shared" ref="J279:J287" si="305">I279/8</f>
        <v>#N/A</v>
      </c>
      <c r="K279" s="183" t="e">
        <f>SUMIFS(Table1[Horas efetivas],Table1[Tabela],Plano_V3!E279,Table1[Campo],Plano_V3!F279)</f>
        <v>#N/A</v>
      </c>
      <c r="L279" s="183" t="e">
        <f t="shared" ref="L279:L287" si="306">K279/8</f>
        <v>#N/A</v>
      </c>
      <c r="M279" s="177"/>
      <c r="N279" s="177" t="e">
        <f t="shared" ref="N279:N287" si="307">L279/J279</f>
        <v>#N/A</v>
      </c>
      <c r="O279" s="177" t="e">
        <f t="shared" ref="O279:O287" si="308">N279-M279</f>
        <v>#N/A</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hidden="1" outlineLevel="1">
      <c r="A280" s="29" t="str">
        <f t="shared" si="304"/>
        <v>modesg_param_sfics_taxon_europeiaprimary_energy_req_value</v>
      </c>
      <c r="B280" s="67" t="s">
        <v>26</v>
      </c>
      <c r="C280" s="68" t="s">
        <v>181</v>
      </c>
      <c r="D280" s="64" t="s">
        <v>40</v>
      </c>
      <c r="E280" s="66" t="s">
        <v>2102</v>
      </c>
      <c r="F280" s="64" t="s">
        <v>2418</v>
      </c>
      <c r="G280" s="64" t="str">
        <f>INDEX(Auxiliar!$B$16:$B$24,MATCH(Plano_V3!H280,Auxiliar!$C$16:$C$24,0),1)</f>
        <v xml:space="preserve">6. Em implementação </v>
      </c>
      <c r="H280" s="64">
        <f>VLOOKUP(A280,'Aux - pivots1'!$A:$B,2,0)</f>
        <v>7</v>
      </c>
      <c r="I280" s="183" t="e">
        <f>SUMIFS(Table1[Estimação (horas)],Table1[Tabela],Plano_V3!E280,Table1[Campo],Plano_V3!F280)</f>
        <v>#N/A</v>
      </c>
      <c r="J280" s="183" t="e">
        <f t="shared" si="305"/>
        <v>#N/A</v>
      </c>
      <c r="K280" s="183" t="e">
        <f>SUMIFS(Table1[Horas efetivas],Table1[Tabela],Plano_V3!E280,Table1[Campo],Plano_V3!F280)</f>
        <v>#N/A</v>
      </c>
      <c r="L280" s="183" t="e">
        <f t="shared" si="306"/>
        <v>#N/A</v>
      </c>
      <c r="M280" s="177"/>
      <c r="N280" s="177" t="e">
        <f t="shared" si="307"/>
        <v>#N/A</v>
      </c>
      <c r="O280" s="177" t="e">
        <f t="shared" si="308"/>
        <v>#N/A</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hidden="1" outlineLevel="1">
      <c r="A281" s="29" t="str">
        <f t="shared" si="304"/>
        <v>modesg_param_sfics_taxon_europeianet_floor_area</v>
      </c>
      <c r="B281" s="67" t="s">
        <v>26</v>
      </c>
      <c r="C281" s="68" t="s">
        <v>181</v>
      </c>
      <c r="D281" s="64" t="s">
        <v>40</v>
      </c>
      <c r="E281" s="66" t="s">
        <v>2102</v>
      </c>
      <c r="F281" s="64" t="s">
        <v>2407</v>
      </c>
      <c r="G281" s="64" t="str">
        <f>INDEX(Auxiliar!$B$16:$B$24,MATCH(Plano_V3!H281,Auxiliar!$C$16:$C$24,0),1)</f>
        <v xml:space="preserve">6. Em implementação </v>
      </c>
      <c r="H281" s="64">
        <f>VLOOKUP(A281,'Aux - pivots1'!$A:$B,2,0)</f>
        <v>7</v>
      </c>
      <c r="I281" s="183">
        <f>SUMIFS(Table1[Estimação (horas)],Table1[Tabela],Plano_V3!E281,Table1[Campo],Plano_V3!F281)</f>
        <v>0.6</v>
      </c>
      <c r="J281" s="183">
        <f t="shared" si="305"/>
        <v>7.4999999999999997E-2</v>
      </c>
      <c r="K281" s="183">
        <f>SUMIFS(Table1[Horas efetivas],Table1[Tabela],Plano_V3!E281,Table1[Campo],Plano_V3!F281)</f>
        <v>0.15</v>
      </c>
      <c r="L281" s="183">
        <f t="shared" si="306"/>
        <v>1.8749999999999999E-2</v>
      </c>
      <c r="M281" s="177"/>
      <c r="N281" s="177">
        <f t="shared" si="307"/>
        <v>0.25</v>
      </c>
      <c r="O281" s="177">
        <f t="shared" si="308"/>
        <v>0.25</v>
      </c>
      <c r="P281" s="89" t="s">
        <v>39</v>
      </c>
      <c r="Q281" s="90"/>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hidden="1" outlineLevel="1">
      <c r="A282" s="29" t="str">
        <f t="shared" si="304"/>
        <v>modesg_param_sfics_taxon_europeianome_purpose_esg_nalinh_tax</v>
      </c>
      <c r="B282" s="67" t="s">
        <v>26</v>
      </c>
      <c r="C282" s="68" t="s">
        <v>181</v>
      </c>
      <c r="D282" s="64" t="s">
        <v>40</v>
      </c>
      <c r="E282" s="66" t="s">
        <v>2102</v>
      </c>
      <c r="F282" s="64" t="s">
        <v>2065</v>
      </c>
      <c r="G282" s="64" t="str">
        <f>INDEX(Auxiliar!$B$16:$B$24,MATCH(Plano_V3!H282,Auxiliar!$C$16:$C$24,0),1)</f>
        <v xml:space="preserve">6. Em implementação </v>
      </c>
      <c r="H282" s="64">
        <f>VLOOKUP(A282,'Aux - pivots1'!$A:$B,2,0)</f>
        <v>7</v>
      </c>
      <c r="I282" s="183">
        <f>SUMIFS(Table1[Estimação (horas)],Table1[Tabela],Plano_V3!E282,Table1[Campo],Plano_V3!F282)</f>
        <v>0.6</v>
      </c>
      <c r="J282" s="183">
        <f t="shared" si="305"/>
        <v>7.4999999999999997E-2</v>
      </c>
      <c r="K282" s="183">
        <f>SUMIFS(Table1[Horas efetivas],Table1[Tabela],Plano_V3!E282,Table1[Campo],Plano_V3!F282)</f>
        <v>0.15</v>
      </c>
      <c r="L282" s="183">
        <f t="shared" si="306"/>
        <v>1.8749999999999999E-2</v>
      </c>
      <c r="M282" s="177"/>
      <c r="N282" s="177">
        <f t="shared" si="307"/>
        <v>0.25</v>
      </c>
      <c r="O282" s="177">
        <f t="shared" si="308"/>
        <v>0.25</v>
      </c>
      <c r="P282" s="89" t="s">
        <v>39</v>
      </c>
      <c r="Q282" s="90"/>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hidden="1" outlineLevel="1">
      <c r="A283" s="29" t="str">
        <f t="shared" si="304"/>
        <v>modesg_param_sfics_taxon_europeianome_purpose_esg_alinh_tax</v>
      </c>
      <c r="B283" s="67" t="s">
        <v>26</v>
      </c>
      <c r="C283" s="68" t="s">
        <v>181</v>
      </c>
      <c r="D283" s="64" t="s">
        <v>40</v>
      </c>
      <c r="E283" s="66" t="s">
        <v>2102</v>
      </c>
      <c r="F283" s="64" t="s">
        <v>2064</v>
      </c>
      <c r="G283" s="64" t="str">
        <f>INDEX(Auxiliar!$B$16:$B$24,MATCH(Plano_V3!H283,Auxiliar!$C$16:$C$24,0),1)</f>
        <v xml:space="preserve">6. Em implementação </v>
      </c>
      <c r="H283" s="64">
        <f>VLOOKUP(A283,'Aux - pivots1'!$A:$B,2,0)</f>
        <v>7</v>
      </c>
      <c r="I283" s="183">
        <f>SUMIFS(Table1[Estimação (horas)],Table1[Tabela],Plano_V3!E283,Table1[Campo],Plano_V3!F283)</f>
        <v>0.6</v>
      </c>
      <c r="J283" s="183">
        <f t="shared" si="305"/>
        <v>7.4999999999999997E-2</v>
      </c>
      <c r="K283" s="183">
        <f>SUMIFS(Table1[Horas efetivas],Table1[Tabela],Plano_V3!E283,Table1[Campo],Plano_V3!F283)</f>
        <v>0.15</v>
      </c>
      <c r="L283" s="183">
        <f t="shared" si="306"/>
        <v>1.8749999999999999E-2</v>
      </c>
      <c r="M283" s="177"/>
      <c r="N283" s="177">
        <f t="shared" si="307"/>
        <v>0.25</v>
      </c>
      <c r="O283" s="177">
        <f t="shared" si="308"/>
        <v>0.25</v>
      </c>
      <c r="P283" s="89" t="s">
        <v>39</v>
      </c>
      <c r="Q283" s="90"/>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hidden="1" outlineLevel="1">
      <c r="A284" s="29" t="str">
        <f t="shared" si="304"/>
        <v>modesg_param_sfics_taxon_europeianome_general_specific_purpose</v>
      </c>
      <c r="B284" s="67" t="s">
        <v>26</v>
      </c>
      <c r="C284" s="68" t="s">
        <v>181</v>
      </c>
      <c r="D284" s="64" t="s">
        <v>40</v>
      </c>
      <c r="E284" s="66" t="s">
        <v>2102</v>
      </c>
      <c r="F284" s="64" t="s">
        <v>204</v>
      </c>
      <c r="G284" s="64" t="str">
        <f>INDEX(Auxiliar!$B$16:$B$24,MATCH(Plano_V3!H284,Auxiliar!$C$16:$C$24,0),1)</f>
        <v xml:space="preserve">6. Em implementação </v>
      </c>
      <c r="H284" s="64">
        <f>VLOOKUP(A284,'Aux - pivots1'!$A:$B,2,0)</f>
        <v>7</v>
      </c>
      <c r="I284" s="183">
        <f>SUMIFS(Table1[Estimação (horas)],Table1[Tabela],Plano_V3!E284,Table1[Campo],Plano_V3!F284)</f>
        <v>0.6</v>
      </c>
      <c r="J284" s="183">
        <f t="shared" si="305"/>
        <v>7.4999999999999997E-2</v>
      </c>
      <c r="K284" s="183">
        <f>SUMIFS(Table1[Horas efetivas],Table1[Tabela],Plano_V3!E284,Table1[Campo],Plano_V3!F284)</f>
        <v>0.15</v>
      </c>
      <c r="L284" s="183">
        <f t="shared" si="306"/>
        <v>1.8749999999999999E-2</v>
      </c>
      <c r="M284" s="177"/>
      <c r="N284" s="177">
        <f t="shared" si="307"/>
        <v>0.25</v>
      </c>
      <c r="O284" s="177">
        <f t="shared" si="308"/>
        <v>0.25</v>
      </c>
      <c r="P284" s="89" t="s">
        <v>39</v>
      </c>
      <c r="Q284" s="90"/>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hidden="1" outlineLevel="1">
      <c r="A285" s="29" t="str">
        <f t="shared" si="304"/>
        <v>modesg_param_sfics_taxon_europeianome_specific_eligible</v>
      </c>
      <c r="B285" s="67" t="s">
        <v>26</v>
      </c>
      <c r="C285" s="68" t="s">
        <v>181</v>
      </c>
      <c r="D285" s="64" t="s">
        <v>40</v>
      </c>
      <c r="E285" s="66" t="s">
        <v>2102</v>
      </c>
      <c r="F285" s="64" t="s">
        <v>206</v>
      </c>
      <c r="G285" s="64" t="str">
        <f>INDEX(Auxiliar!$B$16:$B$24,MATCH(Plano_V3!H285,Auxiliar!$C$16:$C$24,0),1)</f>
        <v xml:space="preserve">6. Em implementação </v>
      </c>
      <c r="H285" s="64">
        <f>VLOOKUP(A285,'Aux - pivots1'!$A:$B,2,0)</f>
        <v>7</v>
      </c>
      <c r="I285" s="183" t="e">
        <f>SUMIFS(Table1[Estimação (horas)],Table1[Tabela],Plano_V3!E285,Table1[Campo],Plano_V3!F285)</f>
        <v>#N/A</v>
      </c>
      <c r="J285" s="183" t="e">
        <f t="shared" si="305"/>
        <v>#N/A</v>
      </c>
      <c r="K285" s="183" t="e">
        <f>SUMIFS(Table1[Horas efetivas],Table1[Tabela],Plano_V3!E285,Table1[Campo],Plano_V3!F285)</f>
        <v>#N/A</v>
      </c>
      <c r="L285" s="183" t="e">
        <f t="shared" si="306"/>
        <v>#N/A</v>
      </c>
      <c r="M285" s="177"/>
      <c r="N285" s="177" t="e">
        <f t="shared" si="307"/>
        <v>#N/A</v>
      </c>
      <c r="O285" s="177" t="e">
        <f t="shared" si="308"/>
        <v>#N/A</v>
      </c>
      <c r="P285" s="89" t="s">
        <v>39</v>
      </c>
      <c r="Q285" s="90"/>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hidden="1" outlineLevel="1">
      <c r="A286" s="29" t="str">
        <f t="shared" si="304"/>
        <v>modesg_param_sfics_taxon_europeiasst_indctr_aux</v>
      </c>
      <c r="B286" s="67" t="s">
        <v>26</v>
      </c>
      <c r="C286" s="68" t="s">
        <v>181</v>
      </c>
      <c r="D286" s="64" t="s">
        <v>40</v>
      </c>
      <c r="E286" s="66" t="s">
        <v>2102</v>
      </c>
      <c r="F286" s="64" t="s">
        <v>2423</v>
      </c>
      <c r="G286" s="64" t="s">
        <v>2325</v>
      </c>
      <c r="H286" s="64">
        <f>VLOOKUP(A286,'Aux - pivots1'!$A:$B,2,0)</f>
        <v>7</v>
      </c>
      <c r="I286" s="183">
        <f>SUMIFS(Table1[Estimação (horas)],Table1[Tabela],Plano_V3!E286,Table1[Campo],Plano_V3!F286)</f>
        <v>0.5</v>
      </c>
      <c r="J286" s="183">
        <f>I286/8</f>
        <v>6.25E-2</v>
      </c>
      <c r="K286" s="183">
        <f>SUMIFS(Table1[Horas efetivas],Table1[Tabela],Plano_V3!E286,Table1[Campo],Plano_V3!F286)</f>
        <v>0.125</v>
      </c>
      <c r="L286" s="183">
        <f>K286/8</f>
        <v>1.5625E-2</v>
      </c>
      <c r="M286" s="177"/>
      <c r="N286" s="177">
        <f>L286/J286</f>
        <v>0.25</v>
      </c>
      <c r="O286" s="177">
        <f>N286-M286</f>
        <v>0.25</v>
      </c>
      <c r="P286" s="89" t="s">
        <v>39</v>
      </c>
      <c r="Q286" s="90"/>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hidden="1" outlineLevel="1">
      <c r="A287" s="29" t="str">
        <f t="shared" si="304"/>
        <v>modesg_param_sfics_taxon_europeianome_specific_sustainable</v>
      </c>
      <c r="B287" s="67" t="s">
        <v>26</v>
      </c>
      <c r="C287" s="68" t="s">
        <v>181</v>
      </c>
      <c r="D287" s="64" t="s">
        <v>40</v>
      </c>
      <c r="E287" s="66" t="s">
        <v>2102</v>
      </c>
      <c r="F287" s="64" t="s">
        <v>207</v>
      </c>
      <c r="G287" s="64" t="str">
        <f>INDEX(Auxiliar!$B$16:$B$24,MATCH(Plano_V3!H287,Auxiliar!$C$16:$C$24,0),1)</f>
        <v xml:space="preserve">6. Em implementação </v>
      </c>
      <c r="H287" s="64">
        <f>VLOOKUP(A287,'Aux - pivots1'!$A:$B,2,0)</f>
        <v>7</v>
      </c>
      <c r="I287" s="183" t="e">
        <f>SUMIFS(Table1[Estimação (horas)],Table1[Tabela],Plano_V3!E287,Table1[Campo],Plano_V3!F287)</f>
        <v>#N/A</v>
      </c>
      <c r="J287" s="183" t="e">
        <f t="shared" si="305"/>
        <v>#N/A</v>
      </c>
      <c r="K287" s="183" t="e">
        <f>SUMIFS(Table1[Horas efetivas],Table1[Tabela],Plano_V3!E287,Table1[Campo],Plano_V3!F287)</f>
        <v>#N/A</v>
      </c>
      <c r="L287" s="183" t="e">
        <f t="shared" si="306"/>
        <v>#N/A</v>
      </c>
      <c r="M287" s="177"/>
      <c r="N287" s="177" t="e">
        <f t="shared" si="307"/>
        <v>#N/A</v>
      </c>
      <c r="O287" s="177" t="e">
        <f t="shared" si="308"/>
        <v>#N/A</v>
      </c>
      <c r="P287" s="89" t="s">
        <v>39</v>
      </c>
      <c r="Q287" s="90"/>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hidden="1" outlineLevel="1">
      <c r="A288" s="29" t="str">
        <f>E288&amp;F288</f>
        <v>modesg_param_sfics_taxon_europeiacgarante_bem</v>
      </c>
      <c r="B288" s="67" t="s">
        <v>26</v>
      </c>
      <c r="C288" s="68" t="s">
        <v>181</v>
      </c>
      <c r="D288" s="64" t="s">
        <v>40</v>
      </c>
      <c r="E288" s="66" t="s">
        <v>2102</v>
      </c>
      <c r="F288" s="64" t="s">
        <v>2416</v>
      </c>
      <c r="G288" s="64" t="str">
        <f>INDEX(Auxiliar!$B$16:$B$24,MATCH(Plano_V3!H288,Auxiliar!$C$16:$C$24,0),1)</f>
        <v xml:space="preserve">6. Em implementação </v>
      </c>
      <c r="H288" s="64">
        <f>VLOOKUP(A288,'Aux - pivots1'!$A:$B,2,0)</f>
        <v>7</v>
      </c>
      <c r="I288" s="183" t="e">
        <f>SUMIFS(Table1[Estimação (horas)],Table1[Tabela],Plano_V3!E288,Table1[Campo],Plano_V3!F288)</f>
        <v>#N/A</v>
      </c>
      <c r="J288" s="183" t="e">
        <f>I288/8</f>
        <v>#N/A</v>
      </c>
      <c r="K288" s="183" t="e">
        <f>SUMIFS(Table1[Horas efetivas],Table1[Tabela],Plano_V3!E288,Table1[Campo],Plano_V3!F288)</f>
        <v>#N/A</v>
      </c>
      <c r="L288" s="183" t="e">
        <f>K288/8</f>
        <v>#N/A</v>
      </c>
      <c r="M288" s="177"/>
      <c r="N288" s="177" t="e">
        <f>L288/J288</f>
        <v>#N/A</v>
      </c>
      <c r="O288" s="177" t="e">
        <f>N288-M288</f>
        <v>#N/A</v>
      </c>
      <c r="P288" s="89" t="s">
        <v>39</v>
      </c>
      <c r="Q288" s="90"/>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hidden="1" outlineLevel="1">
      <c r="A289" s="29" t="str">
        <f>E289&amp;F289</f>
        <v>modesg_param_sfics_taxon_europeiaordem</v>
      </c>
      <c r="B289" s="67" t="s">
        <v>26</v>
      </c>
      <c r="C289" s="68" t="s">
        <v>181</v>
      </c>
      <c r="D289" s="64" t="s">
        <v>40</v>
      </c>
      <c r="E289" s="66" t="s">
        <v>2102</v>
      </c>
      <c r="F289" s="64" t="s">
        <v>211</v>
      </c>
      <c r="G289" s="64" t="str">
        <f>INDEX(Auxiliar!$B$16:$B$24,MATCH(Plano_V3!H289,Auxiliar!$C$16:$C$24,0),1)</f>
        <v>0. Cancelado</v>
      </c>
      <c r="H289" s="64">
        <f>VLOOKUP(A289,'Aux - pivots1'!$A:$B,2,0)</f>
        <v>0</v>
      </c>
      <c r="I289" s="183" t="e">
        <f>SUMIFS(Table1[Estimação (horas)],Table1[Tabela],Plano_V3!E289,Table1[Campo],Plano_V3!F289)</f>
        <v>#N/A</v>
      </c>
      <c r="J289" s="183" t="e">
        <f>I289/8</f>
        <v>#N/A</v>
      </c>
      <c r="K289" s="183" t="e">
        <f>SUMIFS(Table1[Horas efetivas],Table1[Tabela],Plano_V3!E289,Table1[Campo],Plano_V3!F289)</f>
        <v>#N/A</v>
      </c>
      <c r="L289" s="183" t="e">
        <f>K289/8</f>
        <v>#N/A</v>
      </c>
      <c r="M289" s="177"/>
      <c r="N289" s="177" t="e">
        <f>L289/J289</f>
        <v>#N/A</v>
      </c>
      <c r="O289" s="177" t="e">
        <f>N289-M289</f>
        <v>#N/A</v>
      </c>
      <c r="P289" s="89" t="s">
        <v>39</v>
      </c>
      <c r="Q289" s="90"/>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hidden="1" outlineLevel="1">
      <c r="A290" s="29" t="str">
        <f>E290&amp;F290</f>
        <v>modesg_param_sfics_taxon_europeiacfinalidad</v>
      </c>
      <c r="B290" s="67" t="s">
        <v>26</v>
      </c>
      <c r="C290" s="68" t="s">
        <v>181</v>
      </c>
      <c r="D290" s="64" t="s">
        <v>40</v>
      </c>
      <c r="E290" s="66" t="s">
        <v>2102</v>
      </c>
      <c r="F290" s="64" t="s">
        <v>200</v>
      </c>
      <c r="G290" s="64" t="str">
        <f>INDEX(Auxiliar!$B$16:$B$24,MATCH(Plano_V3!H290,Auxiliar!$C$16:$C$24,0),1)</f>
        <v xml:space="preserve">6. Em implementação </v>
      </c>
      <c r="H290" s="64">
        <f>VLOOKUP(A290,'Aux - pivots1'!$A:$B,2,0)</f>
        <v>7</v>
      </c>
      <c r="I290" s="183" t="e">
        <f>SUMIFS(Table1[Estimação (horas)],Table1[Tabela],Plano_V3!E290,Table1[Campo],Plano_V3!F290)</f>
        <v>#N/A</v>
      </c>
      <c r="J290" s="183" t="e">
        <f>I290/8</f>
        <v>#N/A</v>
      </c>
      <c r="K290" s="183" t="e">
        <f>SUMIFS(Table1[Horas efetivas],Table1[Tabela],Plano_V3!E290,Table1[Campo],Plano_V3!F290)</f>
        <v>#N/A</v>
      </c>
      <c r="L290" s="183" t="e">
        <f>K290/8</f>
        <v>#N/A</v>
      </c>
      <c r="M290" s="177"/>
      <c r="N290" s="177" t="e">
        <f>L290/J290</f>
        <v>#N/A</v>
      </c>
      <c r="O290" s="177" t="e">
        <f>N290-M290</f>
        <v>#N/A</v>
      </c>
      <c r="P290" s="89" t="s">
        <v>39</v>
      </c>
      <c r="Q290" s="90"/>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hidden="1" outlineLevel="1">
      <c r="A291" s="29" t="str">
        <f>E291&amp;F291</f>
        <v>modesg_param_sfics_taxon_europeianome_purpose_esg</v>
      </c>
      <c r="B291" s="67" t="s">
        <v>26</v>
      </c>
      <c r="C291" s="68" t="s">
        <v>181</v>
      </c>
      <c r="D291" s="64" t="s">
        <v>40</v>
      </c>
      <c r="E291" s="66" t="s">
        <v>2102</v>
      </c>
      <c r="F291" s="64" t="s">
        <v>205</v>
      </c>
      <c r="G291" s="64" t="str">
        <f>INDEX(Auxiliar!$B$16:$B$24,MATCH(Plano_V3!H291,Auxiliar!$C$16:$C$24,0),1)</f>
        <v>0. Cancelado</v>
      </c>
      <c r="H291" s="64">
        <f>VLOOKUP(A291,'Aux - pivots1'!$A:$B,2,0)</f>
        <v>0</v>
      </c>
      <c r="I291" s="183" t="e">
        <f>SUMIFS(Table1[Estimação (horas)],Table1[Tabela],Plano_V3!E291,Table1[Campo],Plano_V3!F291)</f>
        <v>#N/A</v>
      </c>
      <c r="J291" s="183" t="e">
        <f>I291/8</f>
        <v>#N/A</v>
      </c>
      <c r="K291" s="183" t="e">
        <f>SUMIFS(Table1[Horas efetivas],Table1[Tabela],Plano_V3!E291,Table1[Campo],Plano_V3!F291)</f>
        <v>#N/A</v>
      </c>
      <c r="L291" s="183" t="e">
        <f>K291/8</f>
        <v>#N/A</v>
      </c>
      <c r="M291" s="177"/>
      <c r="N291" s="177" t="e">
        <f>L291/J291</f>
        <v>#N/A</v>
      </c>
      <c r="O291" s="177" t="e">
        <f>N291-M291</f>
        <v>#N/A</v>
      </c>
      <c r="P291" s="89" t="s">
        <v>39</v>
      </c>
      <c r="Q291" s="90"/>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hidden="1" outlineLevel="1">
      <c r="A292" s="29" t="str">
        <f>E292&amp;F292</f>
        <v>modesg_param_sfics_taxon_europeiadominio</v>
      </c>
      <c r="B292" s="67" t="s">
        <v>26</v>
      </c>
      <c r="C292" s="68" t="s">
        <v>181</v>
      </c>
      <c r="D292" s="64" t="s">
        <v>40</v>
      </c>
      <c r="E292" s="66" t="s">
        <v>2102</v>
      </c>
      <c r="F292" s="64" t="s">
        <v>196</v>
      </c>
      <c r="G292" s="64" t="str">
        <f>INDEX(Auxiliar!$B$16:$B$24,MATCH(Plano_V3!H292,Auxiliar!$C$16:$C$24,0),1)</f>
        <v>0. Cancelado</v>
      </c>
      <c r="H292" s="64">
        <f>VLOOKUP(A292,'Aux - pivots1'!$A:$B,2,0)</f>
        <v>0</v>
      </c>
      <c r="I292" s="183" t="e">
        <f>SUMIFS(Table1[Estimação (horas)],Table1[Tabela],Plano_V3!E292,Table1[Campo],Plano_V3!F292)</f>
        <v>#N/A</v>
      </c>
      <c r="J292" s="183" t="e">
        <f>I292/8</f>
        <v>#N/A</v>
      </c>
      <c r="K292" s="183" t="e">
        <f>SUMIFS(Table1[Horas efetivas],Table1[Tabela],Plano_V3!E292,Table1[Campo],Plano_V3!F292)</f>
        <v>#N/A</v>
      </c>
      <c r="L292" s="183" t="e">
        <f>K292/8</f>
        <v>#N/A</v>
      </c>
      <c r="M292" s="177"/>
      <c r="N292" s="177" t="e">
        <f>L292/J292</f>
        <v>#N/A</v>
      </c>
      <c r="O292" s="177" t="e">
        <f>N292-M292</f>
        <v>#N/A</v>
      </c>
      <c r="P292" s="89" t="s">
        <v>39</v>
      </c>
      <c r="Q292" s="90"/>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hidden="1" outlineLevel="1">
      <c r="A293" s="29" t="str">
        <f t="shared" si="304"/>
        <v>modesg_inp_emss_vclsn.a.</v>
      </c>
      <c r="B293" s="67" t="s">
        <v>26</v>
      </c>
      <c r="C293" s="68" t="s">
        <v>181</v>
      </c>
      <c r="D293" s="64" t="s">
        <v>36</v>
      </c>
      <c r="E293" s="66" t="s">
        <v>212</v>
      </c>
      <c r="F293" s="64" t="s">
        <v>38</v>
      </c>
      <c r="G293" s="64" t="str">
        <f>INDEX(Auxiliar!$B$16:$B$24,MATCH(Plano_V3!H293,Auxiliar!$C$16:$C$24,0),1)</f>
        <v>1. Concluído</v>
      </c>
      <c r="H293" s="64">
        <f>VLOOKUP(A293,'Aux - pivots1'!$A:$B,2,0)</f>
        <v>1</v>
      </c>
      <c r="I293" s="183">
        <f>SUMIFS(Table1[Estimação (horas)],Table1[Tabela],Plano_V3!E293,Table1[Campo],Plano_V3!F293)</f>
        <v>8.5</v>
      </c>
      <c r="J293" s="183">
        <f t="shared" si="43"/>
        <v>1.0625</v>
      </c>
      <c r="K293" s="183">
        <f>SUMIFS(Table1[Horas efetivas],Table1[Tabela],Plano_V3!E293,Table1[Campo],Plano_V3!F293)</f>
        <v>8.5</v>
      </c>
      <c r="L293" s="183">
        <f t="shared" si="44"/>
        <v>1.0625</v>
      </c>
      <c r="M293" s="177"/>
      <c r="N293" s="177">
        <f t="shared" si="45"/>
        <v>1</v>
      </c>
      <c r="O293" s="177">
        <f t="shared" si="302"/>
        <v>1</v>
      </c>
      <c r="P293" s="89" t="s">
        <v>39</v>
      </c>
      <c r="Q293" s="90">
        <f t="shared" si="303"/>
        <v>1.0625</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hidden="1" outlineLevel="1">
      <c r="A294" s="29" t="str">
        <f t="shared" si="304"/>
        <v>modesg_inp_km_medios_emss_vclsn.a.</v>
      </c>
      <c r="B294" s="67" t="s">
        <v>26</v>
      </c>
      <c r="C294" s="68" t="s">
        <v>181</v>
      </c>
      <c r="D294" s="64" t="s">
        <v>36</v>
      </c>
      <c r="E294" s="66" t="s">
        <v>213</v>
      </c>
      <c r="F294" s="64" t="s">
        <v>38</v>
      </c>
      <c r="G294" s="64" t="str">
        <f>INDEX(Auxiliar!$B$16:$B$24,MATCH(Plano_V3!H294,Auxiliar!$C$16:$C$24,0),1)</f>
        <v>1. Concluído</v>
      </c>
      <c r="H294" s="64">
        <f>VLOOKUP(A294,'Aux - pivots1'!$A:$B,2,0)</f>
        <v>1</v>
      </c>
      <c r="I294" s="183">
        <f>SUMIFS(Table1[Estimação (horas)],Table1[Tabela],Plano_V3!E294,Table1[Campo],Plano_V3!F294)</f>
        <v>8.5</v>
      </c>
      <c r="J294" s="183">
        <f t="shared" si="43"/>
        <v>1.0625</v>
      </c>
      <c r="K294" s="183">
        <f>SUMIFS(Table1[Horas efetivas],Table1[Tabela],Plano_V3!E294,Table1[Campo],Plano_V3!F294)</f>
        <v>8.5</v>
      </c>
      <c r="L294" s="183">
        <f t="shared" si="44"/>
        <v>1.0625</v>
      </c>
      <c r="M294" s="177"/>
      <c r="N294" s="177">
        <f t="shared" si="45"/>
        <v>1</v>
      </c>
      <c r="O294" s="177">
        <f t="shared" si="302"/>
        <v>1</v>
      </c>
      <c r="P294" s="89" t="s">
        <v>39</v>
      </c>
      <c r="Q294" s="90">
        <f t="shared" si="303"/>
        <v>1.0625</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hidden="1" outlineLevel="1">
      <c r="A295" s="29" t="str">
        <f t="shared" si="304"/>
        <v>modesg_inp_empr_excl_parisn.a.</v>
      </c>
      <c r="B295" s="67" t="s">
        <v>26</v>
      </c>
      <c r="C295" s="68" t="s">
        <v>181</v>
      </c>
      <c r="D295" s="64" t="s">
        <v>36</v>
      </c>
      <c r="E295" s="66" t="s">
        <v>214</v>
      </c>
      <c r="F295" s="64" t="s">
        <v>38</v>
      </c>
      <c r="G295" s="64" t="str">
        <f>INDEX(Auxiliar!$B$16:$B$24,MATCH(Plano_V3!H295,Auxiliar!$C$16:$C$24,0),1)</f>
        <v>1. Concluído</v>
      </c>
      <c r="H295" s="64">
        <f>VLOOKUP(A295,'Aux - pivots1'!$A:$B,2,0)</f>
        <v>1</v>
      </c>
      <c r="I295" s="183">
        <f>SUMIFS(Table1[Estimação (horas)],Table1[Tabela],Plano_V3!E295,Table1[Campo],Plano_V3!F295)</f>
        <v>8.5</v>
      </c>
      <c r="J295" s="183">
        <f t="shared" si="43"/>
        <v>1.0625</v>
      </c>
      <c r="K295" s="183">
        <f>SUMIFS(Table1[Horas efetivas],Table1[Tabela],Plano_V3!E295,Table1[Campo],Plano_V3!F295)</f>
        <v>8.5</v>
      </c>
      <c r="L295" s="183">
        <f t="shared" si="44"/>
        <v>1.0625</v>
      </c>
      <c r="M295" s="177"/>
      <c r="N295" s="177">
        <f t="shared" si="45"/>
        <v>1</v>
      </c>
      <c r="O295" s="177">
        <f t="shared" si="302"/>
        <v>1</v>
      </c>
      <c r="P295" s="89" t="s">
        <v>39</v>
      </c>
      <c r="Q295" s="90">
        <f t="shared" si="303"/>
        <v>1.0625</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hidden="1" outlineLevel="1">
      <c r="A296" s="29" t="str">
        <f t="shared" si="304"/>
        <v>modesg_inp_nfrd_alinhamento_taxn.a.</v>
      </c>
      <c r="B296" s="67" t="s">
        <v>26</v>
      </c>
      <c r="C296" s="68" t="s">
        <v>181</v>
      </c>
      <c r="D296" s="64" t="s">
        <v>36</v>
      </c>
      <c r="E296" s="66" t="s">
        <v>215</v>
      </c>
      <c r="F296" s="64" t="s">
        <v>38</v>
      </c>
      <c r="G296" s="64" t="str">
        <f>INDEX(Auxiliar!$B$16:$B$24,MATCH(Plano_V3!H296,Auxiliar!$C$16:$C$24,0),1)</f>
        <v>1. Concluído</v>
      </c>
      <c r="H296" s="64">
        <f>VLOOKUP(A296,'Aux - pivots1'!$A:$B,2,0)</f>
        <v>1</v>
      </c>
      <c r="I296" s="183">
        <f>SUMIFS(Table1[Estimação (horas)],Table1[Tabela],Plano_V3!E296,Table1[Campo],Plano_V3!F296)</f>
        <v>8.5</v>
      </c>
      <c r="J296" s="183">
        <f t="shared" si="43"/>
        <v>1.0625</v>
      </c>
      <c r="K296" s="183">
        <f>SUMIFS(Table1[Horas efetivas],Table1[Tabela],Plano_V3!E296,Table1[Campo],Plano_V3!F296)</f>
        <v>8.5</v>
      </c>
      <c r="L296" s="183">
        <f t="shared" si="44"/>
        <v>1.0625</v>
      </c>
      <c r="M296" s="177"/>
      <c r="N296" s="177">
        <f t="shared" si="45"/>
        <v>1</v>
      </c>
      <c r="O296" s="177">
        <f t="shared" si="302"/>
        <v>1</v>
      </c>
      <c r="P296" s="89" t="s">
        <v>39</v>
      </c>
      <c r="Q296" s="90">
        <f t="shared" si="303"/>
        <v>1.0625</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hidden="1" outlineLevel="1">
      <c r="A297" s="29" t="str">
        <f t="shared" si="304"/>
        <v>modesg_inp_risco_fisicon.a.</v>
      </c>
      <c r="B297" s="67" t="s">
        <v>26</v>
      </c>
      <c r="C297" s="68" t="s">
        <v>181</v>
      </c>
      <c r="D297" s="64" t="s">
        <v>36</v>
      </c>
      <c r="E297" s="66" t="s">
        <v>216</v>
      </c>
      <c r="F297" s="64" t="s">
        <v>38</v>
      </c>
      <c r="G297" s="64" t="str">
        <f>INDEX(Auxiliar!$B$16:$B$24,MATCH(Plano_V3!H297,Auxiliar!$C$16:$C$24,0),1)</f>
        <v>1. Concluído</v>
      </c>
      <c r="H297" s="64">
        <f>VLOOKUP(A297,'Aux - pivots1'!$A:$B,2,0)</f>
        <v>1</v>
      </c>
      <c r="I297" s="183">
        <f>SUMIFS(Table1[Estimação (horas)],Table1[Tabela],Plano_V3!E297,Table1[Campo],Plano_V3!F297)</f>
        <v>8.5</v>
      </c>
      <c r="J297" s="183">
        <f t="shared" si="43"/>
        <v>1.0625</v>
      </c>
      <c r="K297" s="183">
        <f>SUMIFS(Table1[Horas efetivas],Table1[Tabela],Plano_V3!E297,Table1[Campo],Plano_V3!F297)</f>
        <v>8.5</v>
      </c>
      <c r="L297" s="183">
        <f t="shared" si="44"/>
        <v>1.0625</v>
      </c>
      <c r="M297" s="177"/>
      <c r="N297" s="177">
        <f t="shared" si="45"/>
        <v>1</v>
      </c>
      <c r="O297" s="177">
        <f t="shared" si="302"/>
        <v>1</v>
      </c>
      <c r="P297" s="89" t="s">
        <v>39</v>
      </c>
      <c r="Q297" s="90">
        <f t="shared" si="303"/>
        <v>1.0625</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hidden="1" outlineLevel="1">
      <c r="A298" s="29" t="str">
        <f t="shared" si="304"/>
        <v>modesg_inp_emss_scibn.a.</v>
      </c>
      <c r="B298" s="67" t="s">
        <v>26</v>
      </c>
      <c r="C298" s="68" t="s">
        <v>181</v>
      </c>
      <c r="D298" s="64" t="s">
        <v>36</v>
      </c>
      <c r="E298" s="66" t="s">
        <v>217</v>
      </c>
      <c r="F298" s="64" t="s">
        <v>38</v>
      </c>
      <c r="G298" s="64" t="str">
        <f>INDEX(Auxiliar!$B$16:$B$24,MATCH(Plano_V3!H298,Auxiliar!$C$16:$C$24,0),1)</f>
        <v>1. Concluído</v>
      </c>
      <c r="H298" s="64">
        <f>VLOOKUP(A298,'Aux - pivots1'!$A:$B,2,0)</f>
        <v>1</v>
      </c>
      <c r="I298" s="183">
        <f>SUMIFS(Table1[Estimação (horas)],Table1[Tabela],Plano_V3!E298,Table1[Campo],Plano_V3!F298)</f>
        <v>8.5</v>
      </c>
      <c r="J298" s="183">
        <f t="shared" si="43"/>
        <v>1.0625</v>
      </c>
      <c r="K298" s="183">
        <f>SUMIFS(Table1[Horas efetivas],Table1[Tabela],Plano_V3!E298,Table1[Campo],Plano_V3!F298)</f>
        <v>8.5</v>
      </c>
      <c r="L298" s="183">
        <f t="shared" si="44"/>
        <v>1.0625</v>
      </c>
      <c r="M298" s="177"/>
      <c r="N298" s="177">
        <f t="shared" si="45"/>
        <v>1</v>
      </c>
      <c r="O298" s="177">
        <f t="shared" si="302"/>
        <v>1</v>
      </c>
      <c r="P298" s="89" t="s">
        <v>39</v>
      </c>
      <c r="Q298" s="90">
        <f t="shared" si="303"/>
        <v>1.0625</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hidden="1" outlineLevel="1">
      <c r="A299" s="29" t="str">
        <f t="shared" si="304"/>
        <v>modesg_inp_emss_nacen.a.</v>
      </c>
      <c r="B299" s="67" t="s">
        <v>26</v>
      </c>
      <c r="C299" s="68" t="s">
        <v>181</v>
      </c>
      <c r="D299" s="64" t="s">
        <v>36</v>
      </c>
      <c r="E299" s="66" t="s">
        <v>218</v>
      </c>
      <c r="F299" s="64" t="s">
        <v>38</v>
      </c>
      <c r="G299" s="64" t="str">
        <f>INDEX(Auxiliar!$B$16:$B$24,MATCH(Plano_V3!H299,Auxiliar!$C$16:$C$24,0),1)</f>
        <v>1. Concluído</v>
      </c>
      <c r="H299" s="64">
        <f>VLOOKUP(A299,'Aux - pivots1'!$A:$B,2,0)</f>
        <v>1</v>
      </c>
      <c r="I299" s="183">
        <f>SUMIFS(Table1[Estimação (horas)],Table1[Tabela],Plano_V3!E299,Table1[Campo],Plano_V3!F299)</f>
        <v>8.5</v>
      </c>
      <c r="J299" s="183">
        <f t="shared" si="43"/>
        <v>1.0625</v>
      </c>
      <c r="K299" s="183">
        <f>SUMIFS(Table1[Horas efetivas],Table1[Tabela],Plano_V3!E299,Table1[Campo],Plano_V3!F299)</f>
        <v>8.5</v>
      </c>
      <c r="L299" s="183">
        <f t="shared" si="44"/>
        <v>1.0625</v>
      </c>
      <c r="M299" s="177"/>
      <c r="N299" s="177">
        <f t="shared" si="45"/>
        <v>1</v>
      </c>
      <c r="O299" s="177">
        <f t="shared" si="302"/>
        <v>1</v>
      </c>
      <c r="P299" s="89" t="s">
        <v>39</v>
      </c>
      <c r="Q299" s="90">
        <f t="shared" si="303"/>
        <v>1.0625</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hidden="1" outlineLevel="1">
      <c r="A300" s="29" t="str">
        <f t="shared" si="304"/>
        <v>modesg_inp_emss_bens_imoveisn.a.</v>
      </c>
      <c r="B300" s="67" t="s">
        <v>26</v>
      </c>
      <c r="C300" s="68" t="s">
        <v>181</v>
      </c>
      <c r="D300" s="64" t="s">
        <v>36</v>
      </c>
      <c r="E300" s="66" t="s">
        <v>219</v>
      </c>
      <c r="F300" s="64" t="s">
        <v>38</v>
      </c>
      <c r="G300" s="64" t="str">
        <f>INDEX(Auxiliar!$B$16:$B$24,MATCH(Plano_V3!H300,Auxiliar!$C$16:$C$24,0),1)</f>
        <v>1. Concluído</v>
      </c>
      <c r="H300" s="64">
        <f>VLOOKUP(A300,'Aux - pivots1'!$A:$B,2,0)</f>
        <v>1</v>
      </c>
      <c r="I300" s="183">
        <f>SUMIFS(Table1[Estimação (horas)],Table1[Tabela],Plano_V3!E300,Table1[Campo],Plano_V3!F300)</f>
        <v>8.5</v>
      </c>
      <c r="J300" s="183">
        <f t="shared" si="43"/>
        <v>1.0625</v>
      </c>
      <c r="K300" s="183">
        <f>SUMIFS(Table1[Horas efetivas],Table1[Tabela],Plano_V3!E300,Table1[Campo],Plano_V3!F300)</f>
        <v>8.5</v>
      </c>
      <c r="L300" s="183">
        <f t="shared" si="44"/>
        <v>1.0625</v>
      </c>
      <c r="M300" s="177"/>
      <c r="N300" s="177">
        <f t="shared" si="45"/>
        <v>1</v>
      </c>
      <c r="O300" s="177">
        <f t="shared" si="302"/>
        <v>1</v>
      </c>
      <c r="P300" s="89" t="s">
        <v>39</v>
      </c>
      <c r="Q300" s="90">
        <f t="shared" si="303"/>
        <v>1.0625</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hidden="1" outlineLevel="1">
      <c r="A301" s="29" t="str">
        <f t="shared" si="304"/>
        <v>modesg_inp_emss_vclsref_date</v>
      </c>
      <c r="B301" s="67" t="s">
        <v>26</v>
      </c>
      <c r="C301" s="68" t="s">
        <v>181</v>
      </c>
      <c r="D301" s="64" t="s">
        <v>40</v>
      </c>
      <c r="E301" s="66" t="s">
        <v>212</v>
      </c>
      <c r="F301" s="64" t="s">
        <v>208</v>
      </c>
      <c r="G301" s="64" t="str">
        <f>INDEX(Auxiliar!$B$16:$B$24,MATCH(Plano_V3!H301,Auxiliar!$C$16:$C$24,0),1)</f>
        <v>1. Concluído</v>
      </c>
      <c r="H301" s="64">
        <f>VLOOKUP(A301,'Aux - pivots1'!$A:$B,2,0)</f>
        <v>1</v>
      </c>
      <c r="I301" s="183">
        <f>SUMIFS(Table1[Estimação (horas)],Table1[Tabela],Plano_V3!E301,Table1[Campo],Plano_V3!F301)</f>
        <v>0.5</v>
      </c>
      <c r="J301" s="183">
        <f t="shared" si="43"/>
        <v>6.25E-2</v>
      </c>
      <c r="K301" s="183">
        <f>SUMIFS(Table1[Horas efetivas],Table1[Tabela],Plano_V3!E301,Table1[Campo],Plano_V3!F301)</f>
        <v>0.5</v>
      </c>
      <c r="L301" s="183">
        <f t="shared" si="44"/>
        <v>6.25E-2</v>
      </c>
      <c r="M301" s="177"/>
      <c r="N301" s="177">
        <f t="shared" si="45"/>
        <v>1</v>
      </c>
      <c r="O301" s="177">
        <f t="shared" si="302"/>
        <v>1</v>
      </c>
      <c r="P301" s="89" t="s">
        <v>39</v>
      </c>
      <c r="Q301" s="90">
        <f t="shared" si="303"/>
        <v>6.25E-2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hidden="1" outlineLevel="1">
      <c r="A302" s="29" t="str">
        <f t="shared" si="304"/>
        <v>modesg_inp_emss_vclsnome_regiao</v>
      </c>
      <c r="B302" s="67" t="s">
        <v>26</v>
      </c>
      <c r="C302" s="68" t="s">
        <v>181</v>
      </c>
      <c r="D302" s="64" t="s">
        <v>40</v>
      </c>
      <c r="E302" s="66" t="s">
        <v>212</v>
      </c>
      <c r="F302" s="64" t="s">
        <v>220</v>
      </c>
      <c r="G302" s="64" t="str">
        <f>INDEX(Auxiliar!$B$16:$B$24,MATCH(Plano_V3!H302,Auxiliar!$C$16:$C$24,0),1)</f>
        <v>1. Concluído</v>
      </c>
      <c r="H302" s="64">
        <f>VLOOKUP(A302,'Aux - pivots1'!$A:$B,2,0)</f>
        <v>1</v>
      </c>
      <c r="I302" s="183">
        <f>SUMIFS(Table1[Estimação (horas)],Table1[Tabela],Plano_V3!E302,Table1[Campo],Plano_V3!F302)</f>
        <v>0.6</v>
      </c>
      <c r="J302" s="183">
        <f t="shared" si="43"/>
        <v>7.4999999999999997E-2</v>
      </c>
      <c r="K302" s="183">
        <f>SUMIFS(Table1[Horas efetivas],Table1[Tabela],Plano_V3!E302,Table1[Campo],Plano_V3!F302)</f>
        <v>0.6</v>
      </c>
      <c r="L302" s="183">
        <f t="shared" si="44"/>
        <v>7.4999999999999997E-2</v>
      </c>
      <c r="M302" s="177"/>
      <c r="N302" s="177">
        <f t="shared" si="45"/>
        <v>1</v>
      </c>
      <c r="O302" s="177">
        <f t="shared" si="302"/>
        <v>1</v>
      </c>
      <c r="P302" s="89" t="s">
        <v>39</v>
      </c>
      <c r="Q302" s="90">
        <f t="shared" si="303"/>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hidden="1" outlineLevel="1">
      <c r="A303" s="29" t="str">
        <f t="shared" si="304"/>
        <v>modesg_inp_emss_vclsnome_pais</v>
      </c>
      <c r="B303" s="67" t="s">
        <v>26</v>
      </c>
      <c r="C303" s="68" t="s">
        <v>181</v>
      </c>
      <c r="D303" s="64" t="s">
        <v>40</v>
      </c>
      <c r="E303" s="66" t="s">
        <v>212</v>
      </c>
      <c r="F303" s="64" t="s">
        <v>221</v>
      </c>
      <c r="G303" s="64" t="str">
        <f>INDEX(Auxiliar!$B$16:$B$24,MATCH(Plano_V3!H303,Auxiliar!$C$16:$C$24,0),1)</f>
        <v>1. Concluído</v>
      </c>
      <c r="H303" s="64">
        <f>VLOOKUP(A303,'Aux - pivots1'!$A:$B,2,0)</f>
        <v>1</v>
      </c>
      <c r="I303" s="183">
        <f>SUMIFS(Table1[Estimação (horas)],Table1[Tabela],Plano_V3!E303,Table1[Campo],Plano_V3!F303)</f>
        <v>0.6</v>
      </c>
      <c r="J303" s="183">
        <f t="shared" si="43"/>
        <v>7.4999999999999997E-2</v>
      </c>
      <c r="K303" s="183">
        <f>SUMIFS(Table1[Horas efetivas],Table1[Tabela],Plano_V3!E303,Table1[Campo],Plano_V3!F303)</f>
        <v>0.6</v>
      </c>
      <c r="L303" s="183">
        <f t="shared" si="44"/>
        <v>7.4999999999999997E-2</v>
      </c>
      <c r="M303" s="177"/>
      <c r="N303" s="177">
        <f t="shared" si="45"/>
        <v>1</v>
      </c>
      <c r="O303" s="177">
        <f t="shared" si="302"/>
        <v>1</v>
      </c>
      <c r="P303" s="89" t="s">
        <v>39</v>
      </c>
      <c r="Q303" s="90">
        <f t="shared" si="303"/>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hidden="1" outlineLevel="1">
      <c r="A304" s="29" t="str">
        <f t="shared" si="304"/>
        <v>modesg_inp_emss_vclsnome_estado</v>
      </c>
      <c r="B304" s="67" t="s">
        <v>26</v>
      </c>
      <c r="C304" s="68" t="s">
        <v>181</v>
      </c>
      <c r="D304" s="64" t="s">
        <v>40</v>
      </c>
      <c r="E304" s="66" t="s">
        <v>212</v>
      </c>
      <c r="F304" s="64" t="s">
        <v>222</v>
      </c>
      <c r="G304" s="64" t="str">
        <f>INDEX(Auxiliar!$B$16:$B$24,MATCH(Plano_V3!H304,Auxiliar!$C$16:$C$24,0),1)</f>
        <v>1. Concluído</v>
      </c>
      <c r="H304" s="64">
        <f>VLOOKUP(A304,'Aux - pivots1'!$A:$B,2,0)</f>
        <v>1</v>
      </c>
      <c r="I304" s="183">
        <f>SUMIFS(Table1[Estimação (horas)],Table1[Tabela],Plano_V3!E304,Table1[Campo],Plano_V3!F304)</f>
        <v>0.5</v>
      </c>
      <c r="J304" s="183">
        <f t="shared" si="43"/>
        <v>6.25E-2</v>
      </c>
      <c r="K304" s="183">
        <f>SUMIFS(Table1[Horas efetivas],Table1[Tabela],Plano_V3!E304,Table1[Campo],Plano_V3!F304)</f>
        <v>0.5</v>
      </c>
      <c r="L304" s="183">
        <f t="shared" si="44"/>
        <v>6.25E-2</v>
      </c>
      <c r="M304" s="177"/>
      <c r="N304" s="177">
        <f t="shared" si="45"/>
        <v>1</v>
      </c>
      <c r="O304" s="177">
        <f t="shared" si="302"/>
        <v>1</v>
      </c>
      <c r="P304" s="89" t="s">
        <v>39</v>
      </c>
      <c r="Q304" s="90">
        <f t="shared" si="303"/>
        <v>6.25E-2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hidden="1" outlineLevel="1">
      <c r="A305" s="29" t="str">
        <f t="shared" si="304"/>
        <v>modesg_inp_emss_vclstipo_veiculo</v>
      </c>
      <c r="B305" s="67" t="s">
        <v>26</v>
      </c>
      <c r="C305" s="68" t="s">
        <v>181</v>
      </c>
      <c r="D305" s="64" t="s">
        <v>40</v>
      </c>
      <c r="E305" s="66" t="s">
        <v>212</v>
      </c>
      <c r="F305" s="64" t="s">
        <v>223</v>
      </c>
      <c r="G305" s="64" t="str">
        <f>INDEX(Auxiliar!$B$16:$B$24,MATCH(Plano_V3!H305,Auxiliar!$C$16:$C$24,0),1)</f>
        <v>1. Concluído</v>
      </c>
      <c r="H305" s="64">
        <f>VLOOKUP(A305,'Aux - pivots1'!$A:$B,2,0)</f>
        <v>1</v>
      </c>
      <c r="I305" s="183">
        <f>SUMIFS(Table1[Estimação (horas)],Table1[Tabela],Plano_V3!E305,Table1[Campo],Plano_V3!F305)</f>
        <v>0.6</v>
      </c>
      <c r="J305" s="183">
        <f t="shared" si="43"/>
        <v>7.4999999999999997E-2</v>
      </c>
      <c r="K305" s="183">
        <f>SUMIFS(Table1[Horas efetivas],Table1[Tabela],Plano_V3!E305,Table1[Campo],Plano_V3!F305)</f>
        <v>0.6</v>
      </c>
      <c r="L305" s="183">
        <f t="shared" si="44"/>
        <v>7.4999999999999997E-2</v>
      </c>
      <c r="M305" s="177"/>
      <c r="N305" s="177">
        <f t="shared" si="45"/>
        <v>1</v>
      </c>
      <c r="O305" s="177">
        <f t="shared" si="302"/>
        <v>1</v>
      </c>
      <c r="P305" s="89" t="s">
        <v>39</v>
      </c>
      <c r="Q305" s="90">
        <f t="shared" si="303"/>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hidden="1" outlineLevel="1">
      <c r="A306" s="29" t="str">
        <f t="shared" si="304"/>
        <v>modesg_inp_emss_vclstipo_motor</v>
      </c>
      <c r="B306" s="67" t="s">
        <v>26</v>
      </c>
      <c r="C306" s="68" t="s">
        <v>181</v>
      </c>
      <c r="D306" s="64" t="s">
        <v>40</v>
      </c>
      <c r="E306" s="66" t="s">
        <v>212</v>
      </c>
      <c r="F306" s="64" t="s">
        <v>224</v>
      </c>
      <c r="G306" s="64" t="str">
        <f>INDEX(Auxiliar!$B$16:$B$24,MATCH(Plano_V3!H306,Auxiliar!$C$16:$C$24,0),1)</f>
        <v>1. Concluído</v>
      </c>
      <c r="H306" s="64">
        <f>VLOOKUP(A306,'Aux - pivots1'!$A:$B,2,0)</f>
        <v>1</v>
      </c>
      <c r="I306" s="183">
        <f>SUMIFS(Table1[Estimação (horas)],Table1[Tabela],Plano_V3!E306,Table1[Campo],Plano_V3!F306)</f>
        <v>0.6</v>
      </c>
      <c r="J306" s="183">
        <f t="shared" si="43"/>
        <v>7.4999999999999997E-2</v>
      </c>
      <c r="K306" s="183">
        <f>SUMIFS(Table1[Horas efetivas],Table1[Tabela],Plano_V3!E306,Table1[Campo],Plano_V3!F306)</f>
        <v>0.6</v>
      </c>
      <c r="L306" s="183">
        <f t="shared" si="44"/>
        <v>7.4999999999999997E-2</v>
      </c>
      <c r="M306" s="177"/>
      <c r="N306" s="177">
        <f t="shared" si="45"/>
        <v>1</v>
      </c>
      <c r="O306" s="177">
        <f t="shared" si="302"/>
        <v>1</v>
      </c>
      <c r="P306" s="89" t="s">
        <v>39</v>
      </c>
      <c r="Q306" s="90">
        <f t="shared" si="303"/>
        <v>7.4999999999999997E-2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hidden="1" outlineLevel="1">
      <c r="A307" s="29" t="str">
        <f t="shared" si="304"/>
        <v>modesg_inp_emss_vclsmarca</v>
      </c>
      <c r="B307" s="67" t="s">
        <v>26</v>
      </c>
      <c r="C307" s="68" t="s">
        <v>181</v>
      </c>
      <c r="D307" s="64" t="s">
        <v>40</v>
      </c>
      <c r="E307" s="66" t="s">
        <v>212</v>
      </c>
      <c r="F307" s="64" t="s">
        <v>225</v>
      </c>
      <c r="G307" s="64" t="str">
        <f>INDEX(Auxiliar!$B$16:$B$24,MATCH(Plano_V3!H307,Auxiliar!$C$16:$C$24,0),1)</f>
        <v>1. Concluído</v>
      </c>
      <c r="H307" s="64">
        <f>VLOOKUP(A307,'Aux - pivots1'!$A:$B,2,0)</f>
        <v>1</v>
      </c>
      <c r="I307" s="183">
        <f>SUMIFS(Table1[Estimação (horas)],Table1[Tabela],Plano_V3!E307,Table1[Campo],Plano_V3!F307)</f>
        <v>0.6</v>
      </c>
      <c r="J307" s="183">
        <f t="shared" si="43"/>
        <v>7.4999999999999997E-2</v>
      </c>
      <c r="K307" s="183">
        <f>SUMIFS(Table1[Horas efetivas],Table1[Tabela],Plano_V3!E307,Table1[Campo],Plano_V3!F307)</f>
        <v>0.6</v>
      </c>
      <c r="L307" s="183">
        <f t="shared" si="44"/>
        <v>7.4999999999999997E-2</v>
      </c>
      <c r="M307" s="177"/>
      <c r="N307" s="177">
        <f t="shared" si="45"/>
        <v>1</v>
      </c>
      <c r="O307" s="177">
        <f t="shared" si="302"/>
        <v>1</v>
      </c>
      <c r="P307" s="89" t="s">
        <v>39</v>
      </c>
      <c r="Q307" s="90">
        <f t="shared" si="303"/>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hidden="1" outlineLevel="1">
      <c r="A308" s="29" t="str">
        <f t="shared" si="304"/>
        <v>modesg_inp_emss_vclsmodelo</v>
      </c>
      <c r="B308" s="67" t="s">
        <v>26</v>
      </c>
      <c r="C308" s="68" t="s">
        <v>181</v>
      </c>
      <c r="D308" s="64" t="s">
        <v>40</v>
      </c>
      <c r="E308" s="66" t="s">
        <v>212</v>
      </c>
      <c r="F308" s="64" t="s">
        <v>226</v>
      </c>
      <c r="G308" s="64" t="str">
        <f>INDEX(Auxiliar!$B$16:$B$24,MATCH(Plano_V3!H308,Auxiliar!$C$16:$C$24,0),1)</f>
        <v>1. Concluído</v>
      </c>
      <c r="H308" s="64">
        <f>VLOOKUP(A308,'Aux - pivots1'!$A:$B,2,0)</f>
        <v>1</v>
      </c>
      <c r="I308" s="183">
        <f>SUMIFS(Table1[Estimação (horas)],Table1[Tabela],Plano_V3!E308,Table1[Campo],Plano_V3!F308)</f>
        <v>0.6</v>
      </c>
      <c r="J308" s="183">
        <f t="shared" si="43"/>
        <v>7.4999999999999997E-2</v>
      </c>
      <c r="K308" s="183">
        <f>SUMIFS(Table1[Horas efetivas],Table1[Tabela],Plano_V3!E308,Table1[Campo],Plano_V3!F308)</f>
        <v>0.6</v>
      </c>
      <c r="L308" s="183">
        <f t="shared" si="44"/>
        <v>7.4999999999999997E-2</v>
      </c>
      <c r="M308" s="177"/>
      <c r="N308" s="177">
        <f t="shared" si="45"/>
        <v>1</v>
      </c>
      <c r="O308" s="177">
        <f t="shared" si="302"/>
        <v>1</v>
      </c>
      <c r="P308" s="89" t="s">
        <v>39</v>
      </c>
      <c r="Q308" s="90">
        <f t="shared" si="303"/>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hidden="1" outlineLevel="1">
      <c r="A309" s="29" t="str">
        <f t="shared" si="304"/>
        <v>modesg_inp_emss_vclssubgrupo</v>
      </c>
      <c r="B309" s="67" t="s">
        <v>26</v>
      </c>
      <c r="C309" s="68" t="s">
        <v>181</v>
      </c>
      <c r="D309" s="64" t="s">
        <v>40</v>
      </c>
      <c r="E309" s="66" t="s">
        <v>212</v>
      </c>
      <c r="F309" s="64" t="s">
        <v>227</v>
      </c>
      <c r="G309" s="64" t="str">
        <f>INDEX(Auxiliar!$B$16:$B$24,MATCH(Plano_V3!H309,Auxiliar!$C$16:$C$24,0),1)</f>
        <v>1. Concluído</v>
      </c>
      <c r="H309" s="64">
        <f>VLOOKUP(A309,'Aux - pivots1'!$A:$B,2,0)</f>
        <v>1</v>
      </c>
      <c r="I309" s="183">
        <f>SUMIFS(Table1[Estimação (horas)],Table1[Tabela],Plano_V3!E309,Table1[Campo],Plano_V3!F309)</f>
        <v>0.6</v>
      </c>
      <c r="J309" s="183">
        <f t="shared" si="43"/>
        <v>7.4999999999999997E-2</v>
      </c>
      <c r="K309" s="183">
        <f>SUMIFS(Table1[Horas efetivas],Table1[Tabela],Plano_V3!E309,Table1[Campo],Plano_V3!F309)</f>
        <v>0.6</v>
      </c>
      <c r="L309" s="183">
        <f t="shared" si="44"/>
        <v>7.4999999999999997E-2</v>
      </c>
      <c r="M309" s="177"/>
      <c r="N309" s="177">
        <f t="shared" si="45"/>
        <v>1</v>
      </c>
      <c r="O309" s="177">
        <f t="shared" si="302"/>
        <v>1</v>
      </c>
      <c r="P309" s="89" t="s">
        <v>39</v>
      </c>
      <c r="Q309" s="90">
        <f t="shared" si="303"/>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hidden="1" outlineLevel="1">
      <c r="A310" s="29" t="str">
        <f t="shared" si="304"/>
        <v>modesg_inp_emss_vclsnome_unidade_funcional</v>
      </c>
      <c r="B310" s="67" t="s">
        <v>26</v>
      </c>
      <c r="C310" s="68" t="s">
        <v>181</v>
      </c>
      <c r="D310" s="64" t="s">
        <v>40</v>
      </c>
      <c r="E310" s="66" t="s">
        <v>212</v>
      </c>
      <c r="F310" s="64" t="s">
        <v>228</v>
      </c>
      <c r="G310" s="64" t="str">
        <f>INDEX(Auxiliar!$B$16:$B$24,MATCH(Plano_V3!H310,Auxiliar!$C$16:$C$24,0),1)</f>
        <v>1. Concluído</v>
      </c>
      <c r="H310" s="64">
        <f>VLOOKUP(A310,'Aux - pivots1'!$A:$B,2,0)</f>
        <v>1</v>
      </c>
      <c r="I310" s="183">
        <f>SUMIFS(Table1[Estimação (horas)],Table1[Tabela],Plano_V3!E310,Table1[Campo],Plano_V3!F310)</f>
        <v>0.6</v>
      </c>
      <c r="J310" s="183">
        <f t="shared" si="43"/>
        <v>7.4999999999999997E-2</v>
      </c>
      <c r="K310" s="183">
        <f>SUMIFS(Table1[Horas efetivas],Table1[Tabela],Plano_V3!E310,Table1[Campo],Plano_V3!F310)</f>
        <v>0.6</v>
      </c>
      <c r="L310" s="183">
        <f t="shared" si="44"/>
        <v>7.4999999999999997E-2</v>
      </c>
      <c r="M310" s="177"/>
      <c r="N310" s="177">
        <f t="shared" si="45"/>
        <v>1</v>
      </c>
      <c r="O310" s="177">
        <f t="shared" si="302"/>
        <v>1</v>
      </c>
      <c r="P310" s="89" t="s">
        <v>39</v>
      </c>
      <c r="Q310" s="90">
        <f t="shared" si="303"/>
        <v>7.4999999999999997E-2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hidden="1" outlineLevel="1">
      <c r="A311" s="29" t="str">
        <f t="shared" si="304"/>
        <v>modesg_inp_emss_vclsunidade_funcional</v>
      </c>
      <c r="B311" s="67" t="s">
        <v>26</v>
      </c>
      <c r="C311" s="68" t="s">
        <v>181</v>
      </c>
      <c r="D311" s="64" t="s">
        <v>40</v>
      </c>
      <c r="E311" s="66" t="s">
        <v>212</v>
      </c>
      <c r="F311" s="64" t="s">
        <v>229</v>
      </c>
      <c r="G311" s="64" t="str">
        <f>INDEX(Auxiliar!$B$16:$B$24,MATCH(Plano_V3!H311,Auxiliar!$C$16:$C$24,0),1)</f>
        <v>1. Concluído</v>
      </c>
      <c r="H311" s="64">
        <f>VLOOKUP(A311,'Aux - pivots1'!$A:$B,2,0)</f>
        <v>1</v>
      </c>
      <c r="I311" s="183">
        <f>SUMIFS(Table1[Estimação (horas)],Table1[Tabela],Plano_V3!E311,Table1[Campo],Plano_V3!F311)</f>
        <v>0.6</v>
      </c>
      <c r="J311" s="183">
        <f t="shared" si="43"/>
        <v>7.4999999999999997E-2</v>
      </c>
      <c r="K311" s="183">
        <f>SUMIFS(Table1[Horas efetivas],Table1[Tabela],Plano_V3!E311,Table1[Campo],Plano_V3!F311)</f>
        <v>0.6</v>
      </c>
      <c r="L311" s="183">
        <f t="shared" si="44"/>
        <v>7.4999999999999997E-2</v>
      </c>
      <c r="M311" s="177"/>
      <c r="N311" s="177">
        <f t="shared" si="45"/>
        <v>1</v>
      </c>
      <c r="O311" s="177">
        <f t="shared" si="302"/>
        <v>1</v>
      </c>
      <c r="P311" s="89" t="s">
        <v>39</v>
      </c>
      <c r="Q311" s="90">
        <f t="shared" si="303"/>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hidden="1" outlineLevel="1">
      <c r="A312" s="29" t="str">
        <f t="shared" si="304"/>
        <v>modesg_inp_emss_vclsnome_fator_emissao</v>
      </c>
      <c r="B312" s="67" t="s">
        <v>26</v>
      </c>
      <c r="C312" s="68" t="s">
        <v>181</v>
      </c>
      <c r="D312" s="64" t="s">
        <v>40</v>
      </c>
      <c r="E312" s="66" t="s">
        <v>212</v>
      </c>
      <c r="F312" s="64" t="s">
        <v>230</v>
      </c>
      <c r="G312" s="64" t="str">
        <f>INDEX(Auxiliar!$B$16:$B$24,MATCH(Plano_V3!H312,Auxiliar!$C$16:$C$24,0),1)</f>
        <v>1. Concluído</v>
      </c>
      <c r="H312" s="64">
        <f>VLOOKUP(A312,'Aux - pivots1'!$A:$B,2,0)</f>
        <v>1</v>
      </c>
      <c r="I312" s="183">
        <f>SUMIFS(Table1[Estimação (horas)],Table1[Tabela],Plano_V3!E312,Table1[Campo],Plano_V3!F312)</f>
        <v>0.6</v>
      </c>
      <c r="J312" s="183">
        <f t="shared" si="43"/>
        <v>7.4999999999999997E-2</v>
      </c>
      <c r="K312" s="183">
        <f>SUMIFS(Table1[Horas efetivas],Table1[Tabela],Plano_V3!E312,Table1[Campo],Plano_V3!F312)</f>
        <v>0.6</v>
      </c>
      <c r="L312" s="183">
        <f t="shared" si="44"/>
        <v>7.4999999999999997E-2</v>
      </c>
      <c r="M312" s="177"/>
      <c r="N312" s="177">
        <f t="shared" si="45"/>
        <v>1</v>
      </c>
      <c r="O312" s="177">
        <f t="shared" si="302"/>
        <v>1</v>
      </c>
      <c r="P312" s="89" t="s">
        <v>39</v>
      </c>
      <c r="Q312" s="90">
        <f t="shared" si="303"/>
        <v>7.4999999999999997E-2</v>
      </c>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hidden="1" outlineLevel="1">
      <c r="A313" s="29" t="str">
        <f t="shared" si="304"/>
        <v>modesg_inp_emss_vclsunidade_fator_de_emissao</v>
      </c>
      <c r="B313" s="67" t="s">
        <v>26</v>
      </c>
      <c r="C313" s="68" t="s">
        <v>181</v>
      </c>
      <c r="D313" s="64" t="s">
        <v>40</v>
      </c>
      <c r="E313" s="66" t="s">
        <v>212</v>
      </c>
      <c r="F313" s="64" t="s">
        <v>231</v>
      </c>
      <c r="G313" s="64" t="str">
        <f>INDEX(Auxiliar!$B$16:$B$24,MATCH(Plano_V3!H313,Auxiliar!$C$16:$C$24,0),1)</f>
        <v>1. Concluído</v>
      </c>
      <c r="H313" s="64">
        <f>VLOOKUP(A313,'Aux - pivots1'!$A:$B,2,0)</f>
        <v>1</v>
      </c>
      <c r="I313" s="183">
        <f>SUMIFS(Table1[Estimação (horas)],Table1[Tabela],Plano_V3!E313,Table1[Campo],Plano_V3!F313)</f>
        <v>0.6</v>
      </c>
      <c r="J313" s="183">
        <f t="shared" si="43"/>
        <v>7.4999999999999997E-2</v>
      </c>
      <c r="K313" s="183">
        <f>SUMIFS(Table1[Horas efetivas],Table1[Tabela],Plano_V3!E313,Table1[Campo],Plano_V3!F313)</f>
        <v>0.6</v>
      </c>
      <c r="L313" s="183">
        <f t="shared" si="44"/>
        <v>7.4999999999999997E-2</v>
      </c>
      <c r="M313" s="177"/>
      <c r="N313" s="177">
        <f t="shared" si="45"/>
        <v>1</v>
      </c>
      <c r="O313" s="177">
        <f t="shared" si="302"/>
        <v>1</v>
      </c>
      <c r="P313" s="89" t="s">
        <v>39</v>
      </c>
      <c r="Q313" s="90">
        <f t="shared" si="303"/>
        <v>7.4999999999999997E-2</v>
      </c>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hidden="1" outlineLevel="1">
      <c r="A314" s="29" t="str">
        <f t="shared" si="304"/>
        <v>modesg_inp_emss_vclsscore_qualidade</v>
      </c>
      <c r="B314" s="67" t="s">
        <v>26</v>
      </c>
      <c r="C314" s="68" t="s">
        <v>181</v>
      </c>
      <c r="D314" s="64" t="s">
        <v>40</v>
      </c>
      <c r="E314" s="66" t="s">
        <v>212</v>
      </c>
      <c r="F314" s="64" t="s">
        <v>232</v>
      </c>
      <c r="G314" s="64" t="str">
        <f>INDEX(Auxiliar!$B$16:$B$24,MATCH(Plano_V3!H314,Auxiliar!$C$16:$C$24,0),1)</f>
        <v>1. Concluído</v>
      </c>
      <c r="H314" s="64">
        <f>VLOOKUP(A314,'Aux - pivots1'!$A:$B,2,0)</f>
        <v>1</v>
      </c>
      <c r="I314" s="183">
        <f>SUMIFS(Table1[Estimação (horas)],Table1[Tabela],Plano_V3!E314,Table1[Campo],Plano_V3!F314)</f>
        <v>0.6</v>
      </c>
      <c r="J314" s="183">
        <f t="shared" si="43"/>
        <v>7.4999999999999997E-2</v>
      </c>
      <c r="K314" s="183">
        <f>SUMIFS(Table1[Horas efetivas],Table1[Tabela],Plano_V3!E314,Table1[Campo],Plano_V3!F314)</f>
        <v>0.6</v>
      </c>
      <c r="L314" s="183">
        <f t="shared" si="44"/>
        <v>7.4999999999999997E-2</v>
      </c>
      <c r="M314" s="177"/>
      <c r="N314" s="177">
        <f t="shared" si="45"/>
        <v>1</v>
      </c>
      <c r="O314" s="177">
        <f t="shared" si="302"/>
        <v>1</v>
      </c>
      <c r="P314" s="89" t="s">
        <v>39</v>
      </c>
      <c r="Q314" s="90">
        <f t="shared" si="303"/>
        <v>7.4999999999999997E-2</v>
      </c>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hidden="1" outlineLevel="1">
      <c r="A315" s="29" t="str">
        <f t="shared" si="304"/>
        <v>modesg_inp_emss_vclsscp1_ftr_emss</v>
      </c>
      <c r="B315" s="67" t="s">
        <v>26</v>
      </c>
      <c r="C315" s="68" t="s">
        <v>181</v>
      </c>
      <c r="D315" s="64" t="s">
        <v>40</v>
      </c>
      <c r="E315" s="66" t="s">
        <v>212</v>
      </c>
      <c r="F315" s="64" t="s">
        <v>233</v>
      </c>
      <c r="G315" s="64" t="str">
        <f>INDEX(Auxiliar!$B$16:$B$24,MATCH(Plano_V3!H315,Auxiliar!$C$16:$C$24,0),1)</f>
        <v>1. Concluído</v>
      </c>
      <c r="H315" s="64">
        <f>VLOOKUP(A315,'Aux - pivots1'!$A:$B,2,0)</f>
        <v>1</v>
      </c>
      <c r="I315" s="183">
        <f>SUMIFS(Table1[Estimação (horas)],Table1[Tabela],Plano_V3!E315,Table1[Campo],Plano_V3!F315)</f>
        <v>0.6</v>
      </c>
      <c r="J315" s="183">
        <f t="shared" si="43"/>
        <v>7.4999999999999997E-2</v>
      </c>
      <c r="K315" s="183">
        <f>SUMIFS(Table1[Horas efetivas],Table1[Tabela],Plano_V3!E315,Table1[Campo],Plano_V3!F315)</f>
        <v>0.6</v>
      </c>
      <c r="L315" s="183">
        <f t="shared" si="44"/>
        <v>7.4999999999999997E-2</v>
      </c>
      <c r="M315" s="177"/>
      <c r="N315" s="177">
        <f t="shared" si="45"/>
        <v>1</v>
      </c>
      <c r="O315" s="177">
        <f t="shared" si="302"/>
        <v>1</v>
      </c>
      <c r="P315" s="89" t="s">
        <v>39</v>
      </c>
      <c r="Q315" s="90">
        <f t="shared" si="303"/>
        <v>7.4999999999999997E-2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hidden="1" outlineLevel="1">
      <c r="A316" s="29" t="str">
        <f t="shared" si="304"/>
        <v>modesg_inp_emss_vclsscp2_ftr_emss</v>
      </c>
      <c r="B316" s="67" t="s">
        <v>26</v>
      </c>
      <c r="C316" s="68" t="s">
        <v>181</v>
      </c>
      <c r="D316" s="64" t="s">
        <v>40</v>
      </c>
      <c r="E316" s="66" t="s">
        <v>212</v>
      </c>
      <c r="F316" s="64" t="s">
        <v>234</v>
      </c>
      <c r="G316" s="64" t="str">
        <f>INDEX(Auxiliar!$B$16:$B$24,MATCH(Plano_V3!H316,Auxiliar!$C$16:$C$24,0),1)</f>
        <v>1. Concluído</v>
      </c>
      <c r="H316" s="64">
        <f>VLOOKUP(A316,'Aux - pivots1'!$A:$B,2,0)</f>
        <v>1</v>
      </c>
      <c r="I316" s="183">
        <f>SUMIFS(Table1[Estimação (horas)],Table1[Tabela],Plano_V3!E316,Table1[Campo],Plano_V3!F316)</f>
        <v>0.6</v>
      </c>
      <c r="J316" s="183">
        <f t="shared" si="43"/>
        <v>7.4999999999999997E-2</v>
      </c>
      <c r="K316" s="183">
        <f>SUMIFS(Table1[Horas efetivas],Table1[Tabela],Plano_V3!E316,Table1[Campo],Plano_V3!F316)</f>
        <v>0.6</v>
      </c>
      <c r="L316" s="183">
        <f t="shared" si="44"/>
        <v>7.4999999999999997E-2</v>
      </c>
      <c r="M316" s="177"/>
      <c r="N316" s="177">
        <f t="shared" si="45"/>
        <v>1</v>
      </c>
      <c r="O316" s="177">
        <f t="shared" si="302"/>
        <v>1</v>
      </c>
      <c r="P316" s="89" t="s">
        <v>39</v>
      </c>
      <c r="Q316" s="90">
        <f t="shared" si="303"/>
        <v>7.4999999999999997E-2</v>
      </c>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hidden="1" outlineLevel="1">
      <c r="A317" s="29" t="str">
        <f t="shared" si="304"/>
        <v>modesg_inp_emss_vclsscp3_ftr_emss</v>
      </c>
      <c r="B317" s="67" t="s">
        <v>26</v>
      </c>
      <c r="C317" s="68" t="s">
        <v>181</v>
      </c>
      <c r="D317" s="64" t="s">
        <v>40</v>
      </c>
      <c r="E317" s="66" t="s">
        <v>212</v>
      </c>
      <c r="F317" s="64" t="s">
        <v>235</v>
      </c>
      <c r="G317" s="64" t="str">
        <f>INDEX(Auxiliar!$B$16:$B$24,MATCH(Plano_V3!H317,Auxiliar!$C$16:$C$24,0),1)</f>
        <v>1. Concluído</v>
      </c>
      <c r="H317" s="64">
        <f>VLOOKUP(A317,'Aux - pivots1'!$A:$B,2,0)</f>
        <v>1</v>
      </c>
      <c r="I317" s="183">
        <f>SUMIFS(Table1[Estimação (horas)],Table1[Tabela],Plano_V3!E317,Table1[Campo],Plano_V3!F317)</f>
        <v>0.6</v>
      </c>
      <c r="J317" s="183">
        <f t="shared" si="43"/>
        <v>7.4999999999999997E-2</v>
      </c>
      <c r="K317" s="183">
        <f>SUMIFS(Table1[Horas efetivas],Table1[Tabela],Plano_V3!E317,Table1[Campo],Plano_V3!F317)</f>
        <v>0.6</v>
      </c>
      <c r="L317" s="183">
        <f t="shared" si="44"/>
        <v>7.4999999999999997E-2</v>
      </c>
      <c r="M317" s="177"/>
      <c r="N317" s="177">
        <f t="shared" si="45"/>
        <v>1</v>
      </c>
      <c r="O317" s="177">
        <f t="shared" si="302"/>
        <v>1</v>
      </c>
      <c r="P317" s="89" t="s">
        <v>39</v>
      </c>
      <c r="Q317" s="90">
        <f t="shared" si="303"/>
        <v>7.4999999999999997E-2</v>
      </c>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hidden="1" outlineLevel="1">
      <c r="A318" s="29" t="str">
        <f t="shared" si="304"/>
        <v>modesg_inp_km_medios_emss_vclsref_date</v>
      </c>
      <c r="B318" s="67" t="s">
        <v>26</v>
      </c>
      <c r="C318" s="68" t="s">
        <v>181</v>
      </c>
      <c r="D318" s="64" t="s">
        <v>40</v>
      </c>
      <c r="E318" s="66" t="s">
        <v>213</v>
      </c>
      <c r="F318" s="64" t="s">
        <v>208</v>
      </c>
      <c r="G318" s="64" t="str">
        <f>INDEX(Auxiliar!$B$16:$B$24,MATCH(Plano_V3!H318,Auxiliar!$C$16:$C$24,0),1)</f>
        <v>1. Concluído</v>
      </c>
      <c r="H318" s="64">
        <f>VLOOKUP(A318,'Aux - pivots1'!$A:$B,2,0)</f>
        <v>1</v>
      </c>
      <c r="I318" s="183">
        <f>SUMIFS(Table1[Estimação (horas)],Table1[Tabela],Plano_V3!E318,Table1[Campo],Plano_V3!F318)</f>
        <v>0.5</v>
      </c>
      <c r="J318" s="183">
        <f t="shared" si="43"/>
        <v>6.25E-2</v>
      </c>
      <c r="K318" s="183">
        <f>SUMIFS(Table1[Horas efetivas],Table1[Tabela],Plano_V3!E318,Table1[Campo],Plano_V3!F318)</f>
        <v>0.5</v>
      </c>
      <c r="L318" s="183">
        <f t="shared" si="44"/>
        <v>6.25E-2</v>
      </c>
      <c r="M318" s="177"/>
      <c r="N318" s="177">
        <f t="shared" si="45"/>
        <v>1</v>
      </c>
      <c r="O318" s="177">
        <f t="shared" si="302"/>
        <v>1</v>
      </c>
      <c r="P318" s="89" t="s">
        <v>39</v>
      </c>
      <c r="Q318" s="90">
        <f t="shared" si="303"/>
        <v>6.25E-2</v>
      </c>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hidden="1" outlineLevel="1">
      <c r="A319" s="29" t="str">
        <f t="shared" si="304"/>
        <v>modesg_inp_km_medios_emss_vclsnome_pais</v>
      </c>
      <c r="B319" s="67" t="s">
        <v>26</v>
      </c>
      <c r="C319" s="68" t="s">
        <v>181</v>
      </c>
      <c r="D319" s="64" t="s">
        <v>40</v>
      </c>
      <c r="E319" s="66" t="s">
        <v>213</v>
      </c>
      <c r="F319" s="64" t="s">
        <v>221</v>
      </c>
      <c r="G319" s="64" t="str">
        <f>INDEX(Auxiliar!$B$16:$B$24,MATCH(Plano_V3!H319,Auxiliar!$C$16:$C$24,0),1)</f>
        <v>1. Concluído</v>
      </c>
      <c r="H319" s="64">
        <f>VLOOKUP(A319,'Aux - pivots1'!$A:$B,2,0)</f>
        <v>1</v>
      </c>
      <c r="I319" s="183">
        <f>SUMIFS(Table1[Estimação (horas)],Table1[Tabela],Plano_V3!E319,Table1[Campo],Plano_V3!F319)</f>
        <v>0.6</v>
      </c>
      <c r="J319" s="183">
        <f t="shared" si="43"/>
        <v>7.4999999999999997E-2</v>
      </c>
      <c r="K319" s="183">
        <f>SUMIFS(Table1[Horas efetivas],Table1[Tabela],Plano_V3!E319,Table1[Campo],Plano_V3!F319)</f>
        <v>0.6</v>
      </c>
      <c r="L319" s="183">
        <f t="shared" si="44"/>
        <v>7.4999999999999997E-2</v>
      </c>
      <c r="M319" s="177"/>
      <c r="N319" s="177">
        <f t="shared" si="45"/>
        <v>1</v>
      </c>
      <c r="O319" s="177">
        <f t="shared" si="302"/>
        <v>1</v>
      </c>
      <c r="P319" s="89" t="s">
        <v>39</v>
      </c>
      <c r="Q319" s="90">
        <f t="shared" si="303"/>
        <v>7.4999999999999997E-2</v>
      </c>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hidden="1" outlineLevel="1">
      <c r="A320" s="29" t="str">
        <f t="shared" si="304"/>
        <v>modesg_inp_km_medios_emss_vclstipo_vcl</v>
      </c>
      <c r="B320" s="67" t="s">
        <v>26</v>
      </c>
      <c r="C320" s="68" t="s">
        <v>181</v>
      </c>
      <c r="D320" s="64" t="s">
        <v>40</v>
      </c>
      <c r="E320" s="66" t="s">
        <v>213</v>
      </c>
      <c r="F320" s="64" t="s">
        <v>236</v>
      </c>
      <c r="G320" s="64" t="str">
        <f>INDEX(Auxiliar!$B$16:$B$24,MATCH(Plano_V3!H320,Auxiliar!$C$16:$C$24,0),1)</f>
        <v>1. Concluído</v>
      </c>
      <c r="H320" s="64">
        <f>VLOOKUP(A320,'Aux - pivots1'!$A:$B,2,0)</f>
        <v>1</v>
      </c>
      <c r="I320" s="183">
        <f>SUMIFS(Table1[Estimação (horas)],Table1[Tabela],Plano_V3!E320,Table1[Campo],Plano_V3!F320)</f>
        <v>0.6</v>
      </c>
      <c r="J320" s="183">
        <f t="shared" si="43"/>
        <v>7.4999999999999997E-2</v>
      </c>
      <c r="K320" s="183">
        <f>SUMIFS(Table1[Horas efetivas],Table1[Tabela],Plano_V3!E320,Table1[Campo],Plano_V3!F320)</f>
        <v>0.6</v>
      </c>
      <c r="L320" s="183">
        <f t="shared" si="44"/>
        <v>7.4999999999999997E-2</v>
      </c>
      <c r="M320" s="177"/>
      <c r="N320" s="177">
        <f t="shared" si="45"/>
        <v>1</v>
      </c>
      <c r="O320" s="177">
        <f t="shared" si="302"/>
        <v>1</v>
      </c>
      <c r="P320" s="89" t="s">
        <v>39</v>
      </c>
      <c r="Q320" s="90">
        <f t="shared" si="303"/>
        <v>7.4999999999999997E-2</v>
      </c>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hidden="1" outlineLevel="1">
      <c r="A321" s="29" t="str">
        <f t="shared" si="304"/>
        <v>modesg_inp_km_medios_emss_vclstipo_motor</v>
      </c>
      <c r="B321" s="67" t="s">
        <v>26</v>
      </c>
      <c r="C321" s="68" t="s">
        <v>181</v>
      </c>
      <c r="D321" s="64" t="s">
        <v>40</v>
      </c>
      <c r="E321" s="66" t="s">
        <v>213</v>
      </c>
      <c r="F321" s="64" t="s">
        <v>224</v>
      </c>
      <c r="G321" s="64" t="str">
        <f>INDEX(Auxiliar!$B$16:$B$24,MATCH(Plano_V3!H321,Auxiliar!$C$16:$C$24,0),1)</f>
        <v>1. Concluído</v>
      </c>
      <c r="H321" s="64">
        <f>VLOOKUP(A321,'Aux - pivots1'!$A:$B,2,0)</f>
        <v>1</v>
      </c>
      <c r="I321" s="183">
        <f>SUMIFS(Table1[Estimação (horas)],Table1[Tabela],Plano_V3!E321,Table1[Campo],Plano_V3!F321)</f>
        <v>0.6</v>
      </c>
      <c r="J321" s="183">
        <f t="shared" si="43"/>
        <v>7.4999999999999997E-2</v>
      </c>
      <c r="K321" s="183">
        <f>SUMIFS(Table1[Horas efetivas],Table1[Tabela],Plano_V3!E321,Table1[Campo],Plano_V3!F321)</f>
        <v>0.6</v>
      </c>
      <c r="L321" s="183">
        <f t="shared" si="44"/>
        <v>7.4999999999999997E-2</v>
      </c>
      <c r="M321" s="177"/>
      <c r="N321" s="177">
        <f t="shared" si="45"/>
        <v>1</v>
      </c>
      <c r="O321" s="177">
        <f t="shared" si="302"/>
        <v>1</v>
      </c>
      <c r="P321" s="89" t="s">
        <v>39</v>
      </c>
      <c r="Q321" s="90">
        <f t="shared" si="303"/>
        <v>7.4999999999999997E-2</v>
      </c>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hidden="1" outlineLevel="1">
      <c r="A322" s="29" t="str">
        <f t="shared" si="304"/>
        <v>modesg_inp_km_medios_emss_vclssubgrupo</v>
      </c>
      <c r="B322" s="67" t="s">
        <v>26</v>
      </c>
      <c r="C322" s="68" t="s">
        <v>181</v>
      </c>
      <c r="D322" s="64" t="s">
        <v>40</v>
      </c>
      <c r="E322" s="66" t="s">
        <v>213</v>
      </c>
      <c r="F322" s="64" t="s">
        <v>227</v>
      </c>
      <c r="G322" s="64" t="str">
        <f>INDEX(Auxiliar!$B$16:$B$24,MATCH(Plano_V3!H322,Auxiliar!$C$16:$C$24,0),1)</f>
        <v>1. Concluído</v>
      </c>
      <c r="H322" s="64">
        <f>VLOOKUP(A322,'Aux - pivots1'!$A:$B,2,0)</f>
        <v>1</v>
      </c>
      <c r="I322" s="183">
        <f>SUMIFS(Table1[Estimação (horas)],Table1[Tabela],Plano_V3!E322,Table1[Campo],Plano_V3!F322)</f>
        <v>0.6</v>
      </c>
      <c r="J322" s="183">
        <f t="shared" si="43"/>
        <v>7.4999999999999997E-2</v>
      </c>
      <c r="K322" s="183">
        <f>SUMIFS(Table1[Horas efetivas],Table1[Tabela],Plano_V3!E322,Table1[Campo],Plano_V3!F322)</f>
        <v>0.6</v>
      </c>
      <c r="L322" s="183">
        <f t="shared" si="44"/>
        <v>7.4999999999999997E-2</v>
      </c>
      <c r="M322" s="177"/>
      <c r="N322" s="177">
        <f t="shared" si="45"/>
        <v>1</v>
      </c>
      <c r="O322" s="177">
        <f t="shared" si="302"/>
        <v>1</v>
      </c>
      <c r="P322" s="89" t="s">
        <v>39</v>
      </c>
      <c r="Q322" s="90">
        <f t="shared" si="303"/>
        <v>7.4999999999999997E-2</v>
      </c>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hidden="1" outlineLevel="1">
      <c r="A323" s="29" t="str">
        <f t="shared" si="304"/>
        <v>modesg_inp_km_medios_emss_vclsmedia_km</v>
      </c>
      <c r="B323" s="67" t="s">
        <v>26</v>
      </c>
      <c r="C323" s="68" t="s">
        <v>181</v>
      </c>
      <c r="D323" s="64" t="s">
        <v>40</v>
      </c>
      <c r="E323" s="66" t="s">
        <v>213</v>
      </c>
      <c r="F323" s="64" t="s">
        <v>237</v>
      </c>
      <c r="G323" s="64" t="str">
        <f>INDEX(Auxiliar!$B$16:$B$24,MATCH(Plano_V3!H323,Auxiliar!$C$16:$C$24,0),1)</f>
        <v>1. Concluído</v>
      </c>
      <c r="H323" s="64">
        <f>VLOOKUP(A323,'Aux - pivots1'!$A:$B,2,0)</f>
        <v>1</v>
      </c>
      <c r="I323" s="183">
        <f>SUMIFS(Table1[Estimação (horas)],Table1[Tabela],Plano_V3!E323,Table1[Campo],Plano_V3!F323)</f>
        <v>0.6</v>
      </c>
      <c r="J323" s="183">
        <f t="shared" si="43"/>
        <v>7.4999999999999997E-2</v>
      </c>
      <c r="K323" s="183">
        <f>SUMIFS(Table1[Horas efetivas],Table1[Tabela],Plano_V3!E323,Table1[Campo],Plano_V3!F323)</f>
        <v>0.6</v>
      </c>
      <c r="L323" s="183">
        <f t="shared" si="44"/>
        <v>7.4999999999999997E-2</v>
      </c>
      <c r="M323" s="177"/>
      <c r="N323" s="177">
        <f t="shared" si="45"/>
        <v>1</v>
      </c>
      <c r="O323" s="177">
        <f t="shared" si="302"/>
        <v>1</v>
      </c>
      <c r="P323" s="89" t="s">
        <v>39</v>
      </c>
      <c r="Q323" s="90">
        <f t="shared" si="303"/>
        <v>7.4999999999999997E-2</v>
      </c>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hidden="1" outlineLevel="1">
      <c r="A324" s="29" t="str">
        <f t="shared" si="304"/>
        <v>modesg_inp_km_medios_emss_vclsmedia_scp1_emss</v>
      </c>
      <c r="B324" s="67" t="s">
        <v>26</v>
      </c>
      <c r="C324" s="68" t="s">
        <v>181</v>
      </c>
      <c r="D324" s="64" t="s">
        <v>40</v>
      </c>
      <c r="E324" s="66" t="s">
        <v>213</v>
      </c>
      <c r="F324" s="64" t="s">
        <v>649</v>
      </c>
      <c r="G324" s="64" t="str">
        <f>INDEX(Auxiliar!$B$16:$B$24,MATCH(Plano_V3!H324,Auxiliar!$C$16:$C$24,0),1)</f>
        <v>0. Cancelado</v>
      </c>
      <c r="H324" s="64">
        <f>VLOOKUP(A324,'Aux - pivots1'!$A:$B,2,0)</f>
        <v>0</v>
      </c>
      <c r="I324" s="183">
        <f>SUMIFS(Table1[Estimação (horas)],Table1[Tabela],Plano_V3!E324,Table1[Campo],Plano_V3!F324)</f>
        <v>0.5</v>
      </c>
      <c r="J324" s="183">
        <f>I324/8</f>
        <v>6.25E-2</v>
      </c>
      <c r="K324" s="183">
        <f>SUMIFS(Table1[Horas efetivas],Table1[Tabela],Plano_V3!E324,Table1[Campo],Plano_V3!F324)</f>
        <v>0</v>
      </c>
      <c r="L324" s="183">
        <f>K324/8</f>
        <v>0</v>
      </c>
      <c r="M324" s="177"/>
      <c r="N324" s="177">
        <f>L324/J324</f>
        <v>0</v>
      </c>
      <c r="O324" s="177">
        <f>N324-M324</f>
        <v>0</v>
      </c>
      <c r="P324" s="89" t="s">
        <v>39</v>
      </c>
      <c r="Q324" s="90"/>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hidden="1" outlineLevel="1">
      <c r="A325" s="29" t="str">
        <f t="shared" si="304"/>
        <v>modesg_inp_km_medios_emss_vclsmedia_scp2_emss</v>
      </c>
      <c r="B325" s="67" t="s">
        <v>26</v>
      </c>
      <c r="C325" s="68" t="s">
        <v>181</v>
      </c>
      <c r="D325" s="64" t="s">
        <v>40</v>
      </c>
      <c r="E325" s="66" t="s">
        <v>213</v>
      </c>
      <c r="F325" s="64" t="s">
        <v>650</v>
      </c>
      <c r="G325" s="64" t="str">
        <f>INDEX(Auxiliar!$B$16:$B$24,MATCH(Plano_V3!H325,Auxiliar!$C$16:$C$24,0),1)</f>
        <v>0. Cancelado</v>
      </c>
      <c r="H325" s="64">
        <f>VLOOKUP(A325,'Aux - pivots1'!$A:$B,2,0)</f>
        <v>0</v>
      </c>
      <c r="I325" s="183">
        <f>SUMIFS(Table1[Estimação (horas)],Table1[Tabela],Plano_V3!E325,Table1[Campo],Plano_V3!F325)</f>
        <v>0.5</v>
      </c>
      <c r="J325" s="183">
        <f>I325/8</f>
        <v>6.25E-2</v>
      </c>
      <c r="K325" s="183">
        <f>SUMIFS(Table1[Horas efetivas],Table1[Tabela],Plano_V3!E325,Table1[Campo],Plano_V3!F325)</f>
        <v>0</v>
      </c>
      <c r="L325" s="183">
        <f>K325/8</f>
        <v>0</v>
      </c>
      <c r="M325" s="177"/>
      <c r="N325" s="177">
        <f>L325/J325</f>
        <v>0</v>
      </c>
      <c r="O325" s="177">
        <f>N325-M325</f>
        <v>0</v>
      </c>
      <c r="P325" s="89" t="s">
        <v>39</v>
      </c>
      <c r="Q325" s="90"/>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hidden="1" outlineLevel="1">
      <c r="A326" s="29" t="str">
        <f t="shared" si="304"/>
        <v>modesg_inp_km_medios_emss_vclsmedia_scp3_emss</v>
      </c>
      <c r="B326" s="67" t="s">
        <v>26</v>
      </c>
      <c r="C326" s="68" t="s">
        <v>181</v>
      </c>
      <c r="D326" s="64" t="s">
        <v>40</v>
      </c>
      <c r="E326" s="66" t="s">
        <v>213</v>
      </c>
      <c r="F326" s="64" t="s">
        <v>651</v>
      </c>
      <c r="G326" s="64" t="str">
        <f>INDEX(Auxiliar!$B$16:$B$24,MATCH(Plano_V3!H326,Auxiliar!$C$16:$C$24,0),1)</f>
        <v>0. Cancelado</v>
      </c>
      <c r="H326" s="64">
        <f>VLOOKUP(A326,'Aux - pivots1'!$A:$B,2,0)</f>
        <v>0</v>
      </c>
      <c r="I326" s="183">
        <f>SUMIFS(Table1[Estimação (horas)],Table1[Tabela],Plano_V3!E326,Table1[Campo],Plano_V3!F326)</f>
        <v>0.5</v>
      </c>
      <c r="J326" s="183">
        <f>I326/8</f>
        <v>6.25E-2</v>
      </c>
      <c r="K326" s="183">
        <f>SUMIFS(Table1[Horas efetivas],Table1[Tabela],Plano_V3!E326,Table1[Campo],Plano_V3!F326)</f>
        <v>0</v>
      </c>
      <c r="L326" s="183">
        <f>K326/8</f>
        <v>0</v>
      </c>
      <c r="M326" s="177"/>
      <c r="N326" s="177">
        <f>L326/J326</f>
        <v>0</v>
      </c>
      <c r="O326" s="177">
        <f>N326-M326</f>
        <v>0</v>
      </c>
      <c r="P326" s="89" t="s">
        <v>39</v>
      </c>
      <c r="Q326" s="90"/>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hidden="1" outlineLevel="1">
      <c r="A327" s="29" t="str">
        <f t="shared" si="304"/>
        <v>modesg_inp_empr_excl_parisref_date</v>
      </c>
      <c r="B327" s="67" t="s">
        <v>26</v>
      </c>
      <c r="C327" s="68" t="s">
        <v>181</v>
      </c>
      <c r="D327" s="64" t="s">
        <v>40</v>
      </c>
      <c r="E327" s="66" t="s">
        <v>214</v>
      </c>
      <c r="F327" s="64" t="s">
        <v>208</v>
      </c>
      <c r="G327" s="64" t="str">
        <f>INDEX(Auxiliar!$B$16:$B$24,MATCH(Plano_V3!H327,Auxiliar!$C$16:$C$24,0),1)</f>
        <v>1. Concluído</v>
      </c>
      <c r="H327" s="64">
        <f>VLOOKUP(A327,'Aux - pivots1'!$A:$B,2,0)</f>
        <v>1</v>
      </c>
      <c r="I327" s="183">
        <f>SUMIFS(Table1[Estimação (horas)],Table1[Tabela],Plano_V3!E327,Table1[Campo],Plano_V3!F327)</f>
        <v>0.5</v>
      </c>
      <c r="J327" s="183">
        <f t="shared" si="43"/>
        <v>6.25E-2</v>
      </c>
      <c r="K327" s="183">
        <f>SUMIFS(Table1[Horas efetivas],Table1[Tabela],Plano_V3!E327,Table1[Campo],Plano_V3!F327)</f>
        <v>0.5</v>
      </c>
      <c r="L327" s="183">
        <f t="shared" si="44"/>
        <v>6.25E-2</v>
      </c>
      <c r="M327" s="177"/>
      <c r="N327" s="177">
        <f t="shared" si="45"/>
        <v>1</v>
      </c>
      <c r="O327" s="177">
        <f t="shared" si="302"/>
        <v>1</v>
      </c>
      <c r="P327" s="89" t="s">
        <v>39</v>
      </c>
      <c r="Q327" s="90">
        <f t="shared" si="303"/>
        <v>6.25E-2</v>
      </c>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hidden="1" outlineLevel="1">
      <c r="A328" s="29" t="str">
        <f t="shared" si="304"/>
        <v>modesg_inp_empr_excl_parisisin</v>
      </c>
      <c r="B328" s="67" t="s">
        <v>26</v>
      </c>
      <c r="C328" s="68" t="s">
        <v>181</v>
      </c>
      <c r="D328" s="64" t="s">
        <v>40</v>
      </c>
      <c r="E328" s="66" t="s">
        <v>214</v>
      </c>
      <c r="F328" s="64" t="s">
        <v>238</v>
      </c>
      <c r="G328" s="64" t="str">
        <f>INDEX(Auxiliar!$B$16:$B$24,MATCH(Plano_V3!H328,Auxiliar!$C$16:$C$24,0),1)</f>
        <v>1. Concluído</v>
      </c>
      <c r="H328" s="64">
        <f>VLOOKUP(A328,'Aux - pivots1'!$A:$B,2,0)</f>
        <v>1</v>
      </c>
      <c r="I328" s="183">
        <f>SUMIFS(Table1[Estimação (horas)],Table1[Tabela],Plano_V3!E328,Table1[Campo],Plano_V3!F328)</f>
        <v>0.6</v>
      </c>
      <c r="J328" s="183">
        <f t="shared" si="43"/>
        <v>7.4999999999999997E-2</v>
      </c>
      <c r="K328" s="183">
        <f>SUMIFS(Table1[Horas efetivas],Table1[Tabela],Plano_V3!E328,Table1[Campo],Plano_V3!F328)</f>
        <v>0.6</v>
      </c>
      <c r="L328" s="183">
        <f t="shared" si="44"/>
        <v>7.4999999999999997E-2</v>
      </c>
      <c r="M328" s="177"/>
      <c r="N328" s="177">
        <f t="shared" si="45"/>
        <v>1</v>
      </c>
      <c r="O328" s="177">
        <f t="shared" si="302"/>
        <v>1</v>
      </c>
      <c r="P328" s="89" t="s">
        <v>39</v>
      </c>
      <c r="Q328" s="90">
        <f t="shared" si="303"/>
        <v>7.4999999999999997E-2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hidden="1" outlineLevel="1">
      <c r="A329" s="29" t="str">
        <f t="shared" si="304"/>
        <v>modesg_inp_empr_excl_parisclei</v>
      </c>
      <c r="B329" s="67" t="s">
        <v>26</v>
      </c>
      <c r="C329" s="68" t="s">
        <v>181</v>
      </c>
      <c r="D329" s="64" t="s">
        <v>40</v>
      </c>
      <c r="E329" s="66" t="s">
        <v>214</v>
      </c>
      <c r="F329" s="64" t="s">
        <v>239</v>
      </c>
      <c r="G329" s="64" t="str">
        <f>INDEX(Auxiliar!$B$16:$B$24,MATCH(Plano_V3!H329,Auxiliar!$C$16:$C$24,0),1)</f>
        <v>1. Concluído</v>
      </c>
      <c r="H329" s="64">
        <f>VLOOKUP(A329,'Aux - pivots1'!$A:$B,2,0)</f>
        <v>1</v>
      </c>
      <c r="I329" s="183">
        <f>SUMIFS(Table1[Estimação (horas)],Table1[Tabela],Plano_V3!E329,Table1[Campo],Plano_V3!F329)</f>
        <v>0.6</v>
      </c>
      <c r="J329" s="183">
        <f t="shared" si="43"/>
        <v>7.4999999999999997E-2</v>
      </c>
      <c r="K329" s="183">
        <f>SUMIFS(Table1[Horas efetivas],Table1[Tabela],Plano_V3!E329,Table1[Campo],Plano_V3!F329)</f>
        <v>0.6</v>
      </c>
      <c r="L329" s="183">
        <f t="shared" si="44"/>
        <v>7.4999999999999997E-2</v>
      </c>
      <c r="M329" s="177"/>
      <c r="N329" s="177">
        <f t="shared" si="45"/>
        <v>1</v>
      </c>
      <c r="O329" s="177">
        <f t="shared" si="302"/>
        <v>1</v>
      </c>
      <c r="P329" s="89" t="s">
        <v>39</v>
      </c>
      <c r="Q329" s="90">
        <f t="shared" si="303"/>
        <v>7.4999999999999997E-2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hidden="1" outlineLevel="1">
      <c r="A330" s="29" t="str">
        <f t="shared" si="304"/>
        <v>modesg_inp_empr_excl_parisccli_kgl</v>
      </c>
      <c r="B330" s="67" t="s">
        <v>26</v>
      </c>
      <c r="C330" s="68" t="s">
        <v>181</v>
      </c>
      <c r="D330" s="64" t="s">
        <v>40</v>
      </c>
      <c r="E330" s="66" t="s">
        <v>214</v>
      </c>
      <c r="F330" s="64" t="s">
        <v>240</v>
      </c>
      <c r="G330" s="64" t="str">
        <f>INDEX(Auxiliar!$B$16:$B$24,MATCH(Plano_V3!H330,Auxiliar!$C$16:$C$24,0),1)</f>
        <v>1. Concluído</v>
      </c>
      <c r="H330" s="64">
        <f>VLOOKUP(A330,'Aux - pivots1'!$A:$B,2,0)</f>
        <v>1</v>
      </c>
      <c r="I330" s="183">
        <f>SUMIFS(Table1[Estimação (horas)],Table1[Tabela],Plano_V3!E330,Table1[Campo],Plano_V3!F330)</f>
        <v>0.6</v>
      </c>
      <c r="J330" s="183">
        <f t="shared" si="43"/>
        <v>7.4999999999999997E-2</v>
      </c>
      <c r="K330" s="183">
        <f>SUMIFS(Table1[Horas efetivas],Table1[Tabela],Plano_V3!E330,Table1[Campo],Plano_V3!F330)</f>
        <v>0.6</v>
      </c>
      <c r="L330" s="183">
        <f t="shared" si="44"/>
        <v>7.4999999999999997E-2</v>
      </c>
      <c r="M330" s="177"/>
      <c r="N330" s="177">
        <f t="shared" si="45"/>
        <v>1</v>
      </c>
      <c r="O330" s="177">
        <f t="shared" si="302"/>
        <v>1</v>
      </c>
      <c r="P330" s="89" t="s">
        <v>39</v>
      </c>
      <c r="Q330" s="90">
        <f t="shared" si="303"/>
        <v>7.4999999999999997E-2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hidden="1" outlineLevel="1">
      <c r="A331" s="29" t="str">
        <f t="shared" si="304"/>
        <v>modesg_inp_empr_excl_parisnome_entidade</v>
      </c>
      <c r="B331" s="67" t="s">
        <v>26</v>
      </c>
      <c r="C331" s="68" t="s">
        <v>181</v>
      </c>
      <c r="D331" s="64" t="s">
        <v>40</v>
      </c>
      <c r="E331" s="66" t="s">
        <v>214</v>
      </c>
      <c r="F331" s="64" t="s">
        <v>241</v>
      </c>
      <c r="G331" s="64" t="str">
        <f>INDEX(Auxiliar!$B$16:$B$24,MATCH(Plano_V3!H331,Auxiliar!$C$16:$C$24,0),1)</f>
        <v>1. Concluído</v>
      </c>
      <c r="H331" s="64">
        <f>VLOOKUP(A331,'Aux - pivots1'!$A:$B,2,0)</f>
        <v>1</v>
      </c>
      <c r="I331" s="183">
        <f>SUMIFS(Table1[Estimação (horas)],Table1[Tabela],Plano_V3!E331,Table1[Campo],Plano_V3!F331)</f>
        <v>0.5</v>
      </c>
      <c r="J331" s="183">
        <f t="shared" ref="J331:J400" si="309">I331/8</f>
        <v>6.25E-2</v>
      </c>
      <c r="K331" s="183">
        <f>SUMIFS(Table1[Horas efetivas],Table1[Tabela],Plano_V3!E331,Table1[Campo],Plano_V3!F331)</f>
        <v>0.5</v>
      </c>
      <c r="L331" s="183">
        <f t="shared" si="44"/>
        <v>6.25E-2</v>
      </c>
      <c r="M331" s="177"/>
      <c r="N331" s="177">
        <f t="shared" si="45"/>
        <v>1</v>
      </c>
      <c r="O331" s="177">
        <f t="shared" si="302"/>
        <v>1</v>
      </c>
      <c r="P331" s="89" t="s">
        <v>39</v>
      </c>
      <c r="Q331" s="90">
        <f t="shared" si="303"/>
        <v>6.25E-2</v>
      </c>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hidden="1" outlineLevel="1">
      <c r="A332" s="29" t="str">
        <f t="shared" si="304"/>
        <v>modesg_inp_empr_excl_parisflg_scib</v>
      </c>
      <c r="B332" s="67" t="s">
        <v>26</v>
      </c>
      <c r="C332" s="68" t="s">
        <v>181</v>
      </c>
      <c r="D332" s="64" t="s">
        <v>40</v>
      </c>
      <c r="E332" s="66" t="s">
        <v>214</v>
      </c>
      <c r="F332" s="64" t="s">
        <v>242</v>
      </c>
      <c r="G332" s="64" t="str">
        <f>INDEX(Auxiliar!$B$16:$B$24,MATCH(Plano_V3!H332,Auxiliar!$C$16:$C$24,0),1)</f>
        <v>1. Concluído</v>
      </c>
      <c r="H332" s="64">
        <f>VLOOKUP(A332,'Aux - pivots1'!$A:$B,2,0)</f>
        <v>1</v>
      </c>
      <c r="I332" s="183">
        <f>SUMIFS(Table1[Estimação (horas)],Table1[Tabela],Plano_V3!E332,Table1[Campo],Plano_V3!F332)</f>
        <v>0.5</v>
      </c>
      <c r="J332" s="183">
        <f t="shared" si="309"/>
        <v>6.25E-2</v>
      </c>
      <c r="K332" s="183">
        <f>SUMIFS(Table1[Horas efetivas],Table1[Tabela],Plano_V3!E332,Table1[Campo],Plano_V3!F332)</f>
        <v>0.5</v>
      </c>
      <c r="L332" s="183">
        <f t="shared" ref="L332:L401" si="310">K332/8</f>
        <v>6.25E-2</v>
      </c>
      <c r="M332" s="177"/>
      <c r="N332" s="177">
        <f t="shared" ref="N332:N401" si="311">L332/J332</f>
        <v>1</v>
      </c>
      <c r="O332" s="177">
        <f t="shared" si="302"/>
        <v>1</v>
      </c>
      <c r="P332" s="89" t="s">
        <v>39</v>
      </c>
      <c r="Q332" s="90">
        <f t="shared" si="303"/>
        <v>6.25E-2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hidden="1" outlineLevel="1">
      <c r="A333" s="29" t="str">
        <f t="shared" si="304"/>
        <v>modesg_inp_empr_excl_parisnome_pais</v>
      </c>
      <c r="B333" s="67" t="s">
        <v>26</v>
      </c>
      <c r="C333" s="68" t="s">
        <v>181</v>
      </c>
      <c r="D333" s="64" t="s">
        <v>40</v>
      </c>
      <c r="E333" s="66" t="s">
        <v>214</v>
      </c>
      <c r="F333" s="64" t="s">
        <v>221</v>
      </c>
      <c r="G333" s="64" t="str">
        <f>INDEX(Auxiliar!$B$16:$B$24,MATCH(Plano_V3!H333,Auxiliar!$C$16:$C$24,0),1)</f>
        <v>1. Concluído</v>
      </c>
      <c r="H333" s="64">
        <f>VLOOKUP(A333,'Aux - pivots1'!$A:$B,2,0)</f>
        <v>1</v>
      </c>
      <c r="I333" s="183">
        <f>SUMIFS(Table1[Estimação (horas)],Table1[Tabela],Plano_V3!E333,Table1[Campo],Plano_V3!F333)</f>
        <v>0.5</v>
      </c>
      <c r="J333" s="183">
        <f t="shared" si="309"/>
        <v>6.25E-2</v>
      </c>
      <c r="K333" s="183">
        <f>SUMIFS(Table1[Horas efetivas],Table1[Tabela],Plano_V3!E333,Table1[Campo],Plano_V3!F333)</f>
        <v>0.5</v>
      </c>
      <c r="L333" s="183">
        <f t="shared" si="310"/>
        <v>6.25E-2</v>
      </c>
      <c r="M333" s="177"/>
      <c r="N333" s="177">
        <f t="shared" si="311"/>
        <v>1</v>
      </c>
      <c r="O333" s="177">
        <f t="shared" si="302"/>
        <v>1</v>
      </c>
      <c r="P333" s="89" t="s">
        <v>39</v>
      </c>
      <c r="Q333" s="90">
        <f t="shared" si="303"/>
        <v>6.25E-2</v>
      </c>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hidden="1" outlineLevel="1">
      <c r="A334" s="29" t="str">
        <f t="shared" si="304"/>
        <v>modesg_inp_nfrd_alinhamento_taxref_date</v>
      </c>
      <c r="B334" s="67" t="s">
        <v>26</v>
      </c>
      <c r="C334" s="68" t="s">
        <v>181</v>
      </c>
      <c r="D334" s="64" t="s">
        <v>40</v>
      </c>
      <c r="E334" s="66" t="s">
        <v>215</v>
      </c>
      <c r="F334" s="64" t="s">
        <v>208</v>
      </c>
      <c r="G334" s="64" t="str">
        <f>INDEX(Auxiliar!$B$16:$B$24,MATCH(Plano_V3!H334,Auxiliar!$C$16:$C$24,0),1)</f>
        <v>1. Concluído</v>
      </c>
      <c r="H334" s="64">
        <f>VLOOKUP(A334,'Aux - pivots1'!$A:$B,2,0)</f>
        <v>1</v>
      </c>
      <c r="I334" s="183">
        <f>SUMIFS(Table1[Estimação (horas)],Table1[Tabela],Plano_V3!E334,Table1[Campo],Plano_V3!F334)</f>
        <v>0.5</v>
      </c>
      <c r="J334" s="183">
        <f t="shared" si="309"/>
        <v>6.25E-2</v>
      </c>
      <c r="K334" s="183">
        <f>SUMIFS(Table1[Horas efetivas],Table1[Tabela],Plano_V3!E334,Table1[Campo],Plano_V3!F334)</f>
        <v>0.5</v>
      </c>
      <c r="L334" s="183">
        <f t="shared" si="310"/>
        <v>6.25E-2</v>
      </c>
      <c r="M334" s="177"/>
      <c r="N334" s="177">
        <f t="shared" si="311"/>
        <v>1</v>
      </c>
      <c r="O334" s="177">
        <f t="shared" si="302"/>
        <v>1</v>
      </c>
      <c r="P334" s="89" t="s">
        <v>39</v>
      </c>
      <c r="Q334" s="90">
        <f t="shared" si="303"/>
        <v>6.25E-2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hidden="1" outlineLevel="1">
      <c r="A335" s="29" t="str">
        <f t="shared" si="304"/>
        <v>modesg_inp_nfrd_alinhamento_taxccli_kgl</v>
      </c>
      <c r="B335" s="67" t="s">
        <v>26</v>
      </c>
      <c r="C335" s="68" t="s">
        <v>181</v>
      </c>
      <c r="D335" s="64" t="s">
        <v>40</v>
      </c>
      <c r="E335" s="66" t="s">
        <v>215</v>
      </c>
      <c r="F335" s="64" t="s">
        <v>240</v>
      </c>
      <c r="G335" s="64" t="str">
        <f>INDEX(Auxiliar!$B$16:$B$24,MATCH(Plano_V3!H335,Auxiliar!$C$16:$C$24,0),1)</f>
        <v>1. Concluído</v>
      </c>
      <c r="H335" s="64">
        <f>VLOOKUP(A335,'Aux - pivots1'!$A:$B,2,0)</f>
        <v>1</v>
      </c>
      <c r="I335" s="183">
        <f>SUMIFS(Table1[Estimação (horas)],Table1[Tabela],Plano_V3!E335,Table1[Campo],Plano_V3!F335)</f>
        <v>0.6</v>
      </c>
      <c r="J335" s="183">
        <f t="shared" si="309"/>
        <v>7.4999999999999997E-2</v>
      </c>
      <c r="K335" s="183">
        <f>SUMIFS(Table1[Horas efetivas],Table1[Tabela],Plano_V3!E335,Table1[Campo],Plano_V3!F335)</f>
        <v>0.6</v>
      </c>
      <c r="L335" s="183">
        <f t="shared" si="310"/>
        <v>7.4999999999999997E-2</v>
      </c>
      <c r="M335" s="177"/>
      <c r="N335" s="177">
        <f t="shared" si="311"/>
        <v>1</v>
      </c>
      <c r="O335" s="177">
        <f t="shared" si="302"/>
        <v>1</v>
      </c>
      <c r="P335" s="89" t="s">
        <v>39</v>
      </c>
      <c r="Q335" s="90">
        <f t="shared" si="303"/>
        <v>7.4999999999999997E-2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hidden="1" outlineLevel="1">
      <c r="A336" s="29" t="str">
        <f t="shared" si="304"/>
        <v>modesg_inp_nfrd_alinhamento_taxclei</v>
      </c>
      <c r="B336" s="67" t="s">
        <v>26</v>
      </c>
      <c r="C336" s="68" t="s">
        <v>181</v>
      </c>
      <c r="D336" s="64" t="s">
        <v>40</v>
      </c>
      <c r="E336" s="66" t="s">
        <v>215</v>
      </c>
      <c r="F336" s="64" t="s">
        <v>239</v>
      </c>
      <c r="G336" s="64" t="str">
        <f>INDEX(Auxiliar!$B$16:$B$24,MATCH(Plano_V3!H336,Auxiliar!$C$16:$C$24,0),1)</f>
        <v>1. Concluído</v>
      </c>
      <c r="H336" s="64">
        <f>VLOOKUP(A336,'Aux - pivots1'!$A:$B,2,0)</f>
        <v>1</v>
      </c>
      <c r="I336" s="183">
        <f>SUMIFS(Table1[Estimação (horas)],Table1[Tabela],Plano_V3!E336,Table1[Campo],Plano_V3!F336)</f>
        <v>0.6</v>
      </c>
      <c r="J336" s="183">
        <f t="shared" si="309"/>
        <v>7.4999999999999997E-2</v>
      </c>
      <c r="K336" s="183">
        <f>SUMIFS(Table1[Horas efetivas],Table1[Tabela],Plano_V3!E336,Table1[Campo],Plano_V3!F336)</f>
        <v>0.6</v>
      </c>
      <c r="L336" s="183">
        <f t="shared" si="310"/>
        <v>7.4999999999999997E-2</v>
      </c>
      <c r="M336" s="177"/>
      <c r="N336" s="177">
        <f t="shared" si="311"/>
        <v>1</v>
      </c>
      <c r="O336" s="177">
        <f t="shared" si="302"/>
        <v>1</v>
      </c>
      <c r="P336" s="89" t="s">
        <v>39</v>
      </c>
      <c r="Q336" s="90">
        <f t="shared" si="303"/>
        <v>7.4999999999999997E-2</v>
      </c>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hidden="1" outlineLevel="1">
      <c r="A337" s="29" t="str">
        <f t="shared" si="304"/>
        <v>modesg_inp_nfrd_alinhamento_taxperm_id</v>
      </c>
      <c r="B337" s="67" t="s">
        <v>26</v>
      </c>
      <c r="C337" s="68" t="s">
        <v>181</v>
      </c>
      <c r="D337" s="64" t="s">
        <v>40</v>
      </c>
      <c r="E337" s="66" t="s">
        <v>215</v>
      </c>
      <c r="F337" s="64" t="s">
        <v>243</v>
      </c>
      <c r="G337" s="64" t="str">
        <f>INDEX(Auxiliar!$B$16:$B$24,MATCH(Plano_V3!H337,Auxiliar!$C$16:$C$24,0),1)</f>
        <v>1. Concluído</v>
      </c>
      <c r="H337" s="64">
        <f>VLOOKUP(A337,'Aux - pivots1'!$A:$B,2,0)</f>
        <v>1</v>
      </c>
      <c r="I337" s="183">
        <f>SUMIFS(Table1[Estimação (horas)],Table1[Tabela],Plano_V3!E337,Table1[Campo],Plano_V3!F337)</f>
        <v>0.5</v>
      </c>
      <c r="J337" s="183">
        <f t="shared" si="309"/>
        <v>6.25E-2</v>
      </c>
      <c r="K337" s="183">
        <f>SUMIFS(Table1[Horas efetivas],Table1[Tabela],Plano_V3!E337,Table1[Campo],Plano_V3!F337)</f>
        <v>0.5</v>
      </c>
      <c r="L337" s="183">
        <f t="shared" si="310"/>
        <v>6.25E-2</v>
      </c>
      <c r="M337" s="177"/>
      <c r="N337" s="177">
        <f t="shared" si="311"/>
        <v>1</v>
      </c>
      <c r="O337" s="177">
        <f t="shared" si="302"/>
        <v>1</v>
      </c>
      <c r="P337" s="89" t="s">
        <v>39</v>
      </c>
      <c r="Q337" s="90">
        <f t="shared" si="303"/>
        <v>6.25E-2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hidden="1" outlineLevel="1">
      <c r="A338" s="29" t="str">
        <f t="shared" si="304"/>
        <v>modesg_inp_nfrd_alinhamento_taxnome_entidade</v>
      </c>
      <c r="B338" s="67" t="s">
        <v>26</v>
      </c>
      <c r="C338" s="68" t="s">
        <v>181</v>
      </c>
      <c r="D338" s="64" t="s">
        <v>40</v>
      </c>
      <c r="E338" s="66" t="s">
        <v>215</v>
      </c>
      <c r="F338" s="64" t="s">
        <v>241</v>
      </c>
      <c r="G338" s="64" t="str">
        <f>INDEX(Auxiliar!$B$16:$B$24,MATCH(Plano_V3!H338,Auxiliar!$C$16:$C$24,0),1)</f>
        <v>1. Concluído</v>
      </c>
      <c r="H338" s="64">
        <f>VLOOKUP(A338,'Aux - pivots1'!$A:$B,2,0)</f>
        <v>1</v>
      </c>
      <c r="I338" s="183">
        <f>SUMIFS(Table1[Estimação (horas)],Table1[Tabela],Plano_V3!E338,Table1[Campo],Plano_V3!F338)</f>
        <v>0.5</v>
      </c>
      <c r="J338" s="183">
        <f t="shared" si="309"/>
        <v>6.25E-2</v>
      </c>
      <c r="K338" s="183">
        <f>SUMIFS(Table1[Horas efetivas],Table1[Tabela],Plano_V3!E338,Table1[Campo],Plano_V3!F338)</f>
        <v>0.5</v>
      </c>
      <c r="L338" s="183">
        <f t="shared" si="310"/>
        <v>6.25E-2</v>
      </c>
      <c r="M338" s="177"/>
      <c r="N338" s="177">
        <f t="shared" si="311"/>
        <v>1</v>
      </c>
      <c r="O338" s="177">
        <f t="shared" si="302"/>
        <v>1</v>
      </c>
      <c r="P338" s="89" t="s">
        <v>39</v>
      </c>
      <c r="Q338" s="90">
        <f t="shared" si="303"/>
        <v>6.25E-2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hidden="1" outlineLevel="1">
      <c r="A339" s="29" t="str">
        <f t="shared" si="304"/>
        <v>modesg_inp_nfrd_alinhamento_taxnome_pais</v>
      </c>
      <c r="B339" s="67" t="s">
        <v>26</v>
      </c>
      <c r="C339" s="68" t="s">
        <v>181</v>
      </c>
      <c r="D339" s="64" t="s">
        <v>40</v>
      </c>
      <c r="E339" s="66" t="s">
        <v>215</v>
      </c>
      <c r="F339" s="64" t="s">
        <v>221</v>
      </c>
      <c r="G339" s="64" t="str">
        <f>INDEX(Auxiliar!$B$16:$B$24,MATCH(Plano_V3!H339,Auxiliar!$C$16:$C$24,0),1)</f>
        <v>1. Concluído</v>
      </c>
      <c r="H339" s="64">
        <f>VLOOKUP(A339,'Aux - pivots1'!$A:$B,2,0)</f>
        <v>1</v>
      </c>
      <c r="I339" s="183"/>
      <c r="J339" s="183"/>
      <c r="K339" s="183"/>
      <c r="L339" s="183"/>
      <c r="M339" s="177"/>
      <c r="N339" s="177"/>
      <c r="O339" s="177">
        <f t="shared" si="302"/>
        <v>0</v>
      </c>
      <c r="P339" s="89" t="s">
        <v>39</v>
      </c>
      <c r="Q339" s="90"/>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hidden="1" outlineLevel="1">
      <c r="A340" s="29" t="str">
        <f t="shared" si="304"/>
        <v>modesg_inp_nfrd_alinhamento_taxflg_nfrd</v>
      </c>
      <c r="B340" s="67" t="s">
        <v>26</v>
      </c>
      <c r="C340" s="68" t="s">
        <v>181</v>
      </c>
      <c r="D340" s="64" t="s">
        <v>40</v>
      </c>
      <c r="E340" s="66" t="s">
        <v>215</v>
      </c>
      <c r="F340" s="64" t="s">
        <v>244</v>
      </c>
      <c r="G340" s="64" t="str">
        <f>INDEX(Auxiliar!$B$16:$B$24,MATCH(Plano_V3!H340,Auxiliar!$C$16:$C$24,0),1)</f>
        <v>1. Concluído</v>
      </c>
      <c r="H340" s="64">
        <f>VLOOKUP(A340,'Aux - pivots1'!$A:$B,2,0)</f>
        <v>1</v>
      </c>
      <c r="I340" s="183">
        <f>SUMIFS(Table1[Estimação (horas)],Table1[Tabela],Plano_V3!E340,Table1[Campo],Plano_V3!F340)</f>
        <v>0.5</v>
      </c>
      <c r="J340" s="183">
        <f t="shared" si="309"/>
        <v>6.25E-2</v>
      </c>
      <c r="K340" s="183">
        <f>SUMIFS(Table1[Horas efetivas],Table1[Tabela],Plano_V3!E340,Table1[Campo],Plano_V3!F340)</f>
        <v>0.5</v>
      </c>
      <c r="L340" s="183">
        <f t="shared" si="310"/>
        <v>6.25E-2</v>
      </c>
      <c r="M340" s="177"/>
      <c r="N340" s="177">
        <f t="shared" si="311"/>
        <v>1</v>
      </c>
      <c r="O340" s="177">
        <f t="shared" si="302"/>
        <v>1</v>
      </c>
      <c r="P340" s="89" t="s">
        <v>39</v>
      </c>
      <c r="Q340" s="90">
        <f t="shared" si="303"/>
        <v>6.25E-2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hidden="1" outlineLevel="1">
      <c r="A341" s="29" t="str">
        <f t="shared" si="304"/>
        <v>modesg_inp_nfrd_alinhamento_taxcca_trnvr_ttl_elgbl</v>
      </c>
      <c r="B341" s="67" t="s">
        <v>26</v>
      </c>
      <c r="C341" s="68" t="s">
        <v>181</v>
      </c>
      <c r="D341" s="64" t="s">
        <v>40</v>
      </c>
      <c r="E341" s="66" t="s">
        <v>215</v>
      </c>
      <c r="F341" s="64" t="s">
        <v>245</v>
      </c>
      <c r="G341" s="64" t="str">
        <f>INDEX(Auxiliar!$B$16:$B$24,MATCH(Plano_V3!H341,Auxiliar!$C$16:$C$24,0),1)</f>
        <v>1. Concluído</v>
      </c>
      <c r="H341" s="64">
        <f>VLOOKUP(A341,'Aux - pivots1'!$A:$B,2,0)</f>
        <v>1</v>
      </c>
      <c r="I341" s="183">
        <f>SUMIFS(Table1[Estimação (horas)],Table1[Tabela],Plano_V3!E341,Table1[Campo],Plano_V3!F341)</f>
        <v>0.6</v>
      </c>
      <c r="J341" s="183">
        <f t="shared" si="309"/>
        <v>7.4999999999999997E-2</v>
      </c>
      <c r="K341" s="183">
        <f>SUMIFS(Table1[Horas efetivas],Table1[Tabela],Plano_V3!E341,Table1[Campo],Plano_V3!F341)</f>
        <v>0.6</v>
      </c>
      <c r="L341" s="183">
        <f t="shared" si="310"/>
        <v>7.4999999999999997E-2</v>
      </c>
      <c r="M341" s="177"/>
      <c r="N341" s="177">
        <f t="shared" si="311"/>
        <v>1</v>
      </c>
      <c r="O341" s="177">
        <f t="shared" ref="O341:O409" si="312">N341-M341</f>
        <v>1</v>
      </c>
      <c r="P341" s="89" t="s">
        <v>39</v>
      </c>
      <c r="Q341" s="90">
        <f t="shared" si="303"/>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hidden="1" outlineLevel="1">
      <c r="A342" s="29" t="str">
        <f t="shared" si="304"/>
        <v>modesg_inp_nfrd_alinhamento_taxcca_trnvr_enblng_alignd</v>
      </c>
      <c r="B342" s="67" t="s">
        <v>26</v>
      </c>
      <c r="C342" s="68" t="s">
        <v>181</v>
      </c>
      <c r="D342" s="64" t="s">
        <v>40</v>
      </c>
      <c r="E342" s="66" t="s">
        <v>215</v>
      </c>
      <c r="F342" s="64" t="s">
        <v>246</v>
      </c>
      <c r="G342" s="64" t="str">
        <f>INDEX(Auxiliar!$B$16:$B$24,MATCH(Plano_V3!H342,Auxiliar!$C$16:$C$24,0),1)</f>
        <v>1. Concluído</v>
      </c>
      <c r="H342" s="64">
        <f>VLOOKUP(A342,'Aux - pivots1'!$A:$B,2,0)</f>
        <v>1</v>
      </c>
      <c r="I342" s="183">
        <f>SUMIFS(Table1[Estimação (horas)],Table1[Tabela],Plano_V3!E342,Table1[Campo],Plano_V3!F342)</f>
        <v>0.6</v>
      </c>
      <c r="J342" s="183">
        <f t="shared" si="309"/>
        <v>7.4999999999999997E-2</v>
      </c>
      <c r="K342" s="183">
        <f>SUMIFS(Table1[Horas efetivas],Table1[Tabela],Plano_V3!E342,Table1[Campo],Plano_V3!F342)</f>
        <v>0.6</v>
      </c>
      <c r="L342" s="183">
        <f t="shared" si="310"/>
        <v>7.4999999999999997E-2</v>
      </c>
      <c r="M342" s="177"/>
      <c r="N342" s="177">
        <f t="shared" si="311"/>
        <v>1</v>
      </c>
      <c r="O342" s="177">
        <f t="shared" si="312"/>
        <v>1</v>
      </c>
      <c r="P342" s="89" t="s">
        <v>39</v>
      </c>
      <c r="Q342" s="90">
        <f t="shared" si="303"/>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hidden="1" outlineLevel="1">
      <c r="A343" s="29" t="str">
        <f t="shared" ref="A343:A411" si="313">E343&amp;F343</f>
        <v>modesg_inp_nfrd_alinhamento_taxcca_turnover_own_prfrmnce_algnd</v>
      </c>
      <c r="B343" s="67" t="s">
        <v>26</v>
      </c>
      <c r="C343" s="68" t="s">
        <v>181</v>
      </c>
      <c r="D343" s="64" t="s">
        <v>40</v>
      </c>
      <c r="E343" s="66" t="s">
        <v>215</v>
      </c>
      <c r="F343" s="64" t="s">
        <v>247</v>
      </c>
      <c r="G343" s="64" t="str">
        <f>INDEX(Auxiliar!$B$16:$B$24,MATCH(Plano_V3!H343,Auxiliar!$C$16:$C$24,0),1)</f>
        <v>1. Concluído</v>
      </c>
      <c r="H343" s="64">
        <f>VLOOKUP(A343,'Aux - pivots1'!$A:$B,2,0)</f>
        <v>1</v>
      </c>
      <c r="I343" s="183">
        <f>SUMIFS(Table1[Estimação (horas)],Table1[Tabela],Plano_V3!E343,Table1[Campo],Plano_V3!F343)</f>
        <v>0.6</v>
      </c>
      <c r="J343" s="183">
        <f t="shared" si="309"/>
        <v>7.4999999999999997E-2</v>
      </c>
      <c r="K343" s="183">
        <f>SUMIFS(Table1[Horas efetivas],Table1[Tabela],Plano_V3!E343,Table1[Campo],Plano_V3!F343)</f>
        <v>0.6</v>
      </c>
      <c r="L343" s="183">
        <f t="shared" si="310"/>
        <v>7.4999999999999997E-2</v>
      </c>
      <c r="M343" s="177"/>
      <c r="N343" s="177">
        <f t="shared" si="311"/>
        <v>1</v>
      </c>
      <c r="O343" s="177">
        <f t="shared" si="312"/>
        <v>1</v>
      </c>
      <c r="P343" s="89" t="s">
        <v>39</v>
      </c>
      <c r="Q343" s="90">
        <f t="shared" si="303"/>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hidden="1" outlineLevel="1">
      <c r="A344" s="29" t="str">
        <f t="shared" si="313"/>
        <v>modesg_inp_nfrd_alinhamento_taxcca_capex_ttl_elgbl</v>
      </c>
      <c r="B344" s="67" t="s">
        <v>26</v>
      </c>
      <c r="C344" s="68" t="s">
        <v>181</v>
      </c>
      <c r="D344" s="64" t="s">
        <v>40</v>
      </c>
      <c r="E344" s="66" t="s">
        <v>215</v>
      </c>
      <c r="F344" s="64" t="s">
        <v>248</v>
      </c>
      <c r="G344" s="64" t="str">
        <f>INDEX(Auxiliar!$B$16:$B$24,MATCH(Plano_V3!H344,Auxiliar!$C$16:$C$24,0),1)</f>
        <v>1. Concluído</v>
      </c>
      <c r="H344" s="64">
        <f>VLOOKUP(A344,'Aux - pivots1'!$A:$B,2,0)</f>
        <v>1</v>
      </c>
      <c r="I344" s="183">
        <f>SUMIFS(Table1[Estimação (horas)],Table1[Tabela],Plano_V3!E344,Table1[Campo],Plano_V3!F344)</f>
        <v>0.6</v>
      </c>
      <c r="J344" s="183">
        <f t="shared" si="309"/>
        <v>7.4999999999999997E-2</v>
      </c>
      <c r="K344" s="183">
        <f>SUMIFS(Table1[Horas efetivas],Table1[Tabela],Plano_V3!E344,Table1[Campo],Plano_V3!F344)</f>
        <v>0.6</v>
      </c>
      <c r="L344" s="183">
        <f t="shared" si="310"/>
        <v>7.4999999999999997E-2</v>
      </c>
      <c r="M344" s="177"/>
      <c r="N344" s="177">
        <f t="shared" si="311"/>
        <v>1</v>
      </c>
      <c r="O344" s="177">
        <f t="shared" si="312"/>
        <v>1</v>
      </c>
      <c r="P344" s="89" t="s">
        <v>39</v>
      </c>
      <c r="Q344" s="90">
        <f t="shared" si="303"/>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hidden="1" outlineLevel="1">
      <c r="A345" s="29" t="str">
        <f t="shared" si="313"/>
        <v>modesg_inp_nfrd_alinhamento_taxcca_capex_enblng_algnd</v>
      </c>
      <c r="B345" s="67" t="s">
        <v>26</v>
      </c>
      <c r="C345" s="68" t="s">
        <v>181</v>
      </c>
      <c r="D345" s="64" t="s">
        <v>40</v>
      </c>
      <c r="E345" s="66" t="s">
        <v>215</v>
      </c>
      <c r="F345" s="64" t="s">
        <v>249</v>
      </c>
      <c r="G345" s="64" t="str">
        <f>INDEX(Auxiliar!$B$16:$B$24,MATCH(Plano_V3!H345,Auxiliar!$C$16:$C$24,0),1)</f>
        <v>1. Concluído</v>
      </c>
      <c r="H345" s="64">
        <f>VLOOKUP(A345,'Aux - pivots1'!$A:$B,2,0)</f>
        <v>1</v>
      </c>
      <c r="I345" s="183">
        <f>SUMIFS(Table1[Estimação (horas)],Table1[Tabela],Plano_V3!E345,Table1[Campo],Plano_V3!F345)</f>
        <v>0.6</v>
      </c>
      <c r="J345" s="183">
        <f t="shared" si="309"/>
        <v>7.4999999999999997E-2</v>
      </c>
      <c r="K345" s="183">
        <f>SUMIFS(Table1[Horas efetivas],Table1[Tabela],Plano_V3!E345,Table1[Campo],Plano_V3!F345)</f>
        <v>0.6</v>
      </c>
      <c r="L345" s="183">
        <f t="shared" si="310"/>
        <v>7.4999999999999997E-2</v>
      </c>
      <c r="M345" s="177"/>
      <c r="N345" s="177">
        <f t="shared" si="311"/>
        <v>1</v>
      </c>
      <c r="O345" s="177">
        <f t="shared" si="312"/>
        <v>1</v>
      </c>
      <c r="P345" s="89" t="s">
        <v>39</v>
      </c>
      <c r="Q345" s="90">
        <f t="shared" si="303"/>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hidden="1" outlineLevel="1">
      <c r="A346" s="29" t="str">
        <f t="shared" si="313"/>
        <v>modesg_inp_nfrd_alinhamento_taxcca_capex_own_prfrmnce_algnd</v>
      </c>
      <c r="B346" s="67" t="s">
        <v>26</v>
      </c>
      <c r="C346" s="68" t="s">
        <v>181</v>
      </c>
      <c r="D346" s="64" t="s">
        <v>40</v>
      </c>
      <c r="E346" s="66" t="s">
        <v>215</v>
      </c>
      <c r="F346" s="64" t="s">
        <v>250</v>
      </c>
      <c r="G346" s="64" t="str">
        <f>INDEX(Auxiliar!$B$16:$B$24,MATCH(Plano_V3!H346,Auxiliar!$C$16:$C$24,0),1)</f>
        <v>1. Concluído</v>
      </c>
      <c r="H346" s="64">
        <f>VLOOKUP(A346,'Aux - pivots1'!$A:$B,2,0)</f>
        <v>1</v>
      </c>
      <c r="I346" s="183">
        <f>SUMIFS(Table1[Estimação (horas)],Table1[Tabela],Plano_V3!E346,Table1[Campo],Plano_V3!F346)</f>
        <v>0.6</v>
      </c>
      <c r="J346" s="183">
        <f t="shared" si="309"/>
        <v>7.4999999999999997E-2</v>
      </c>
      <c r="K346" s="183">
        <f>SUMIFS(Table1[Horas efetivas],Table1[Tabela],Plano_V3!E346,Table1[Campo],Plano_V3!F346)</f>
        <v>0.6</v>
      </c>
      <c r="L346" s="183">
        <f t="shared" si="310"/>
        <v>7.4999999999999997E-2</v>
      </c>
      <c r="M346" s="177"/>
      <c r="N346" s="177">
        <f t="shared" si="311"/>
        <v>1</v>
      </c>
      <c r="O346" s="177">
        <f t="shared" si="312"/>
        <v>1</v>
      </c>
      <c r="P346" s="89" t="s">
        <v>39</v>
      </c>
      <c r="Q346" s="90">
        <f t="shared" si="303"/>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hidden="1" outlineLevel="1">
      <c r="A347" s="29" t="str">
        <f t="shared" si="313"/>
        <v>modesg_inp_nfrd_alinhamento_taxccm_trnvr_ttl_elgbl</v>
      </c>
      <c r="B347" s="67" t="s">
        <v>26</v>
      </c>
      <c r="C347" s="68" t="s">
        <v>181</v>
      </c>
      <c r="D347" s="64" t="s">
        <v>40</v>
      </c>
      <c r="E347" s="66" t="s">
        <v>215</v>
      </c>
      <c r="F347" s="64" t="s">
        <v>251</v>
      </c>
      <c r="G347" s="64" t="str">
        <f>INDEX(Auxiliar!$B$16:$B$24,MATCH(Plano_V3!H347,Auxiliar!$C$16:$C$24,0),1)</f>
        <v>1. Concluído</v>
      </c>
      <c r="H347" s="64">
        <f>VLOOKUP(A347,'Aux - pivots1'!$A:$B,2,0)</f>
        <v>1</v>
      </c>
      <c r="I347" s="183">
        <f>SUMIFS(Table1[Estimação (horas)],Table1[Tabela],Plano_V3!E347,Table1[Campo],Plano_V3!F347)</f>
        <v>0.6</v>
      </c>
      <c r="J347" s="183">
        <f t="shared" si="309"/>
        <v>7.4999999999999997E-2</v>
      </c>
      <c r="K347" s="183">
        <f>SUMIFS(Table1[Horas efetivas],Table1[Tabela],Plano_V3!E347,Table1[Campo],Plano_V3!F347)</f>
        <v>0.6</v>
      </c>
      <c r="L347" s="183">
        <f t="shared" si="310"/>
        <v>7.4999999999999997E-2</v>
      </c>
      <c r="M347" s="177"/>
      <c r="N347" s="177">
        <f t="shared" si="311"/>
        <v>1</v>
      </c>
      <c r="O347" s="177">
        <f t="shared" si="312"/>
        <v>1</v>
      </c>
      <c r="P347" s="89" t="s">
        <v>39</v>
      </c>
      <c r="Q347" s="90">
        <f t="shared" si="303"/>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hidden="1" outlineLevel="1">
      <c r="A348" s="29" t="str">
        <f t="shared" si="313"/>
        <v>modesg_inp_nfrd_alinhamento_taxccm_trnvr_enblng_algnd</v>
      </c>
      <c r="B348" s="67" t="s">
        <v>26</v>
      </c>
      <c r="C348" s="68" t="s">
        <v>181</v>
      </c>
      <c r="D348" s="64" t="s">
        <v>40</v>
      </c>
      <c r="E348" s="66" t="s">
        <v>215</v>
      </c>
      <c r="F348" s="64" t="s">
        <v>252</v>
      </c>
      <c r="G348" s="64" t="str">
        <f>INDEX(Auxiliar!$B$16:$B$24,MATCH(Plano_V3!H348,Auxiliar!$C$16:$C$24,0),1)</f>
        <v>1. Concluído</v>
      </c>
      <c r="H348" s="64">
        <f>VLOOKUP(A348,'Aux - pivots1'!$A:$B,2,0)</f>
        <v>1</v>
      </c>
      <c r="I348" s="183">
        <f>SUMIFS(Table1[Estimação (horas)],Table1[Tabela],Plano_V3!E348,Table1[Campo],Plano_V3!F348)</f>
        <v>0.6</v>
      </c>
      <c r="J348" s="183">
        <f t="shared" si="309"/>
        <v>7.4999999999999997E-2</v>
      </c>
      <c r="K348" s="183">
        <f>SUMIFS(Table1[Horas efetivas],Table1[Tabela],Plano_V3!E348,Table1[Campo],Plano_V3!F348)</f>
        <v>0.6</v>
      </c>
      <c r="L348" s="183">
        <f t="shared" si="310"/>
        <v>7.4999999999999997E-2</v>
      </c>
      <c r="M348" s="177"/>
      <c r="N348" s="177">
        <f t="shared" si="311"/>
        <v>1</v>
      </c>
      <c r="O348" s="177">
        <f t="shared" si="312"/>
        <v>1</v>
      </c>
      <c r="P348" s="89" t="s">
        <v>39</v>
      </c>
      <c r="Q348" s="90">
        <f t="shared" si="303"/>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hidden="1" outlineLevel="1">
      <c r="A349" s="29" t="str">
        <f t="shared" si="313"/>
        <v>modesg_inp_nfrd_alinhamento_taxccm_trnvr_trnstn_alignd</v>
      </c>
      <c r="B349" s="67" t="s">
        <v>26</v>
      </c>
      <c r="C349" s="68" t="s">
        <v>181</v>
      </c>
      <c r="D349" s="64" t="s">
        <v>40</v>
      </c>
      <c r="E349" s="66" t="s">
        <v>215</v>
      </c>
      <c r="F349" s="64" t="s">
        <v>253</v>
      </c>
      <c r="G349" s="64" t="str">
        <f>INDEX(Auxiliar!$B$16:$B$24,MATCH(Plano_V3!H349,Auxiliar!$C$16:$C$24,0),1)</f>
        <v>1. Concluído</v>
      </c>
      <c r="H349" s="64">
        <f>VLOOKUP(A349,'Aux - pivots1'!$A:$B,2,0)</f>
        <v>1</v>
      </c>
      <c r="I349" s="183">
        <f>SUMIFS(Table1[Estimação (horas)],Table1[Tabela],Plano_V3!E349,Table1[Campo],Plano_V3!F349)</f>
        <v>0.6</v>
      </c>
      <c r="J349" s="183">
        <f t="shared" si="309"/>
        <v>7.4999999999999997E-2</v>
      </c>
      <c r="K349" s="183">
        <f>SUMIFS(Table1[Horas efetivas],Table1[Tabela],Plano_V3!E349,Table1[Campo],Plano_V3!F349)</f>
        <v>0.6</v>
      </c>
      <c r="L349" s="183">
        <f t="shared" si="310"/>
        <v>7.4999999999999997E-2</v>
      </c>
      <c r="M349" s="177"/>
      <c r="N349" s="177">
        <f t="shared" si="311"/>
        <v>1</v>
      </c>
      <c r="O349" s="177">
        <f t="shared" si="312"/>
        <v>1</v>
      </c>
      <c r="P349" s="89" t="s">
        <v>39</v>
      </c>
      <c r="Q349" s="90">
        <f t="shared" si="303"/>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hidden="1" outlineLevel="1">
      <c r="A350" s="29" t="str">
        <f t="shared" si="313"/>
        <v>modesg_inp_nfrd_alinhamento_taxccm_trnvr_own_prfrmnce_algnd</v>
      </c>
      <c r="B350" s="67" t="s">
        <v>26</v>
      </c>
      <c r="C350" s="68" t="s">
        <v>181</v>
      </c>
      <c r="D350" s="64" t="s">
        <v>40</v>
      </c>
      <c r="E350" s="66" t="s">
        <v>215</v>
      </c>
      <c r="F350" s="64" t="s">
        <v>254</v>
      </c>
      <c r="G350" s="64" t="str">
        <f>INDEX(Auxiliar!$B$16:$B$24,MATCH(Plano_V3!H350,Auxiliar!$C$16:$C$24,0),1)</f>
        <v>1. Concluído</v>
      </c>
      <c r="H350" s="64">
        <f>VLOOKUP(A350,'Aux - pivots1'!$A:$B,2,0)</f>
        <v>1</v>
      </c>
      <c r="I350" s="183">
        <f>SUMIFS(Table1[Estimação (horas)],Table1[Tabela],Plano_V3!E350,Table1[Campo],Plano_V3!F350)</f>
        <v>0.6</v>
      </c>
      <c r="J350" s="183">
        <f t="shared" si="309"/>
        <v>7.4999999999999997E-2</v>
      </c>
      <c r="K350" s="183">
        <f>SUMIFS(Table1[Horas efetivas],Table1[Tabela],Plano_V3!E350,Table1[Campo],Plano_V3!F350)</f>
        <v>0.6</v>
      </c>
      <c r="L350" s="183">
        <f t="shared" si="310"/>
        <v>7.4999999999999997E-2</v>
      </c>
      <c r="M350" s="177"/>
      <c r="N350" s="177">
        <f t="shared" si="311"/>
        <v>1</v>
      </c>
      <c r="O350" s="177">
        <f t="shared" si="312"/>
        <v>1</v>
      </c>
      <c r="P350" s="89" t="s">
        <v>39</v>
      </c>
      <c r="Q350" s="90">
        <f t="shared" si="303"/>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hidden="1" outlineLevel="1">
      <c r="A351" s="29" t="str">
        <f t="shared" si="313"/>
        <v>modesg_inp_nfrd_alinhamento_taxccm_capex_ttl_elgbl</v>
      </c>
      <c r="B351" s="67" t="s">
        <v>26</v>
      </c>
      <c r="C351" s="68" t="s">
        <v>181</v>
      </c>
      <c r="D351" s="64" t="s">
        <v>40</v>
      </c>
      <c r="E351" s="66" t="s">
        <v>215</v>
      </c>
      <c r="F351" s="64" t="s">
        <v>255</v>
      </c>
      <c r="G351" s="64" t="str">
        <f>INDEX(Auxiliar!$B$16:$B$24,MATCH(Plano_V3!H351,Auxiliar!$C$16:$C$24,0),1)</f>
        <v>1. Concluído</v>
      </c>
      <c r="H351" s="64">
        <f>VLOOKUP(A351,'Aux - pivots1'!$A:$B,2,0)</f>
        <v>1</v>
      </c>
      <c r="I351" s="183">
        <f>SUMIFS(Table1[Estimação (horas)],Table1[Tabela],Plano_V3!E351,Table1[Campo],Plano_V3!F351)</f>
        <v>0.6</v>
      </c>
      <c r="J351" s="183">
        <f t="shared" si="309"/>
        <v>7.4999999999999997E-2</v>
      </c>
      <c r="K351" s="183">
        <f>SUMIFS(Table1[Horas efetivas],Table1[Tabela],Plano_V3!E351,Table1[Campo],Plano_V3!F351)</f>
        <v>0.6</v>
      </c>
      <c r="L351" s="183">
        <f t="shared" si="310"/>
        <v>7.4999999999999997E-2</v>
      </c>
      <c r="M351" s="177"/>
      <c r="N351" s="177">
        <f t="shared" si="311"/>
        <v>1</v>
      </c>
      <c r="O351" s="177">
        <f t="shared" si="312"/>
        <v>1</v>
      </c>
      <c r="P351" s="89" t="s">
        <v>39</v>
      </c>
      <c r="Q351" s="90">
        <f t="shared" si="303"/>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hidden="1" outlineLevel="1">
      <c r="A352" s="29" t="str">
        <f t="shared" si="313"/>
        <v>modesg_inp_nfrd_alinhamento_taxccm_capex_enblng_algnd</v>
      </c>
      <c r="B352" s="67" t="s">
        <v>26</v>
      </c>
      <c r="C352" s="68" t="s">
        <v>181</v>
      </c>
      <c r="D352" s="64" t="s">
        <v>40</v>
      </c>
      <c r="E352" s="66" t="s">
        <v>215</v>
      </c>
      <c r="F352" s="64" t="s">
        <v>256</v>
      </c>
      <c r="G352" s="64" t="str">
        <f>INDEX(Auxiliar!$B$16:$B$24,MATCH(Plano_V3!H352,Auxiliar!$C$16:$C$24,0),1)</f>
        <v>1. Concluído</v>
      </c>
      <c r="H352" s="64">
        <f>VLOOKUP(A352,'Aux - pivots1'!$A:$B,2,0)</f>
        <v>1</v>
      </c>
      <c r="I352" s="183">
        <f>SUMIFS(Table1[Estimação (horas)],Table1[Tabela],Plano_V3!E352,Table1[Campo],Plano_V3!F352)</f>
        <v>0.6</v>
      </c>
      <c r="J352" s="183">
        <f t="shared" si="309"/>
        <v>7.4999999999999997E-2</v>
      </c>
      <c r="K352" s="183">
        <f>SUMIFS(Table1[Horas efetivas],Table1[Tabela],Plano_V3!E352,Table1[Campo],Plano_V3!F352)</f>
        <v>0.6</v>
      </c>
      <c r="L352" s="183">
        <f t="shared" si="310"/>
        <v>7.4999999999999997E-2</v>
      </c>
      <c r="M352" s="177"/>
      <c r="N352" s="177">
        <f t="shared" si="311"/>
        <v>1</v>
      </c>
      <c r="O352" s="177">
        <f t="shared" si="312"/>
        <v>1</v>
      </c>
      <c r="P352" s="89" t="s">
        <v>39</v>
      </c>
      <c r="Q352" s="90">
        <f t="shared" ref="Q352:Q427" si="314">J352-SUM(R352:ES352)</f>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hidden="1" outlineLevel="1">
      <c r="A353" s="29" t="str">
        <f t="shared" si="313"/>
        <v>modesg_inp_nfrd_alinhamento_taxccm_capex_trnstn_algnd</v>
      </c>
      <c r="B353" s="67" t="s">
        <v>26</v>
      </c>
      <c r="C353" s="68" t="s">
        <v>181</v>
      </c>
      <c r="D353" s="64" t="s">
        <v>40</v>
      </c>
      <c r="E353" s="66" t="s">
        <v>215</v>
      </c>
      <c r="F353" s="64" t="s">
        <v>257</v>
      </c>
      <c r="G353" s="64" t="str">
        <f>INDEX(Auxiliar!$B$16:$B$24,MATCH(Plano_V3!H353,Auxiliar!$C$16:$C$24,0),1)</f>
        <v>1. Concluído</v>
      </c>
      <c r="H353" s="64">
        <f>VLOOKUP(A353,'Aux - pivots1'!$A:$B,2,0)</f>
        <v>1</v>
      </c>
      <c r="I353" s="183">
        <f>SUMIFS(Table1[Estimação (horas)],Table1[Tabela],Plano_V3!E353,Table1[Campo],Plano_V3!F353)</f>
        <v>0.6</v>
      </c>
      <c r="J353" s="183">
        <f t="shared" si="309"/>
        <v>7.4999999999999997E-2</v>
      </c>
      <c r="K353" s="183">
        <f>SUMIFS(Table1[Horas efetivas],Table1[Tabela],Plano_V3!E353,Table1[Campo],Plano_V3!F353)</f>
        <v>0.6</v>
      </c>
      <c r="L353" s="183">
        <f t="shared" si="310"/>
        <v>7.4999999999999997E-2</v>
      </c>
      <c r="M353" s="177"/>
      <c r="N353" s="177">
        <f t="shared" si="311"/>
        <v>1</v>
      </c>
      <c r="O353" s="177">
        <f t="shared" si="312"/>
        <v>1</v>
      </c>
      <c r="P353" s="89" t="s">
        <v>39</v>
      </c>
      <c r="Q353" s="90">
        <f t="shared" si="314"/>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hidden="1" outlineLevel="1">
      <c r="A354" s="29" t="str">
        <f t="shared" si="313"/>
        <v>modesg_inp_nfrd_alinhamento_taxccm_capex_own_prfrmnce_algnd</v>
      </c>
      <c r="B354" s="67" t="s">
        <v>26</v>
      </c>
      <c r="C354" s="68" t="s">
        <v>181</v>
      </c>
      <c r="D354" s="64" t="s">
        <v>40</v>
      </c>
      <c r="E354" s="66" t="s">
        <v>215</v>
      </c>
      <c r="F354" s="64" t="s">
        <v>258</v>
      </c>
      <c r="G354" s="64" t="str">
        <f>INDEX(Auxiliar!$B$16:$B$24,MATCH(Plano_V3!H354,Auxiliar!$C$16:$C$24,0),1)</f>
        <v>1. Concluído</v>
      </c>
      <c r="H354" s="64">
        <f>VLOOKUP(A354,'Aux - pivots1'!$A:$B,2,0)</f>
        <v>1</v>
      </c>
      <c r="I354" s="183">
        <f>SUMIFS(Table1[Estimação (horas)],Table1[Tabela],Plano_V3!E354,Table1[Campo],Plano_V3!F354)</f>
        <v>0.6</v>
      </c>
      <c r="J354" s="183">
        <f t="shared" si="309"/>
        <v>7.4999999999999997E-2</v>
      </c>
      <c r="K354" s="183">
        <f>SUMIFS(Table1[Horas efetivas],Table1[Tabela],Plano_V3!E354,Table1[Campo],Plano_V3!F354)</f>
        <v>0.6</v>
      </c>
      <c r="L354" s="183">
        <f t="shared" si="310"/>
        <v>7.4999999999999997E-2</v>
      </c>
      <c r="M354" s="177"/>
      <c r="N354" s="177">
        <f t="shared" si="311"/>
        <v>1</v>
      </c>
      <c r="O354" s="177">
        <f t="shared" si="312"/>
        <v>1</v>
      </c>
      <c r="P354" s="89" t="s">
        <v>39</v>
      </c>
      <c r="Q354" s="90">
        <f t="shared" si="314"/>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hidden="1" outlineLevel="1">
      <c r="A355" s="29" t="str">
        <f t="shared" si="313"/>
        <v>modesg_inp_nfrd_alinhamento_taxppc_trnvr_ttl_elgbl</v>
      </c>
      <c r="B355" s="67" t="s">
        <v>26</v>
      </c>
      <c r="C355" s="68" t="s">
        <v>181</v>
      </c>
      <c r="D355" s="64" t="s">
        <v>40</v>
      </c>
      <c r="E355" s="66" t="s">
        <v>215</v>
      </c>
      <c r="F355" s="64" t="s">
        <v>259</v>
      </c>
      <c r="G355" s="64" t="str">
        <f>INDEX(Auxiliar!$B$16:$B$24,MATCH(Plano_V3!H355,Auxiliar!$C$16:$C$24,0),1)</f>
        <v>1. Concluído</v>
      </c>
      <c r="H355" s="64">
        <f>VLOOKUP(A355,'Aux - pivots1'!$A:$B,2,0)</f>
        <v>1</v>
      </c>
      <c r="I355" s="183">
        <f>SUMIFS(Table1[Estimação (horas)],Table1[Tabela],Plano_V3!E355,Table1[Campo],Plano_V3!F355)</f>
        <v>0.6</v>
      </c>
      <c r="J355" s="183">
        <f t="shared" si="309"/>
        <v>7.4999999999999997E-2</v>
      </c>
      <c r="K355" s="183">
        <f>SUMIFS(Table1[Horas efetivas],Table1[Tabela],Plano_V3!E355,Table1[Campo],Plano_V3!F355)</f>
        <v>0.6</v>
      </c>
      <c r="L355" s="183">
        <f t="shared" si="310"/>
        <v>7.4999999999999997E-2</v>
      </c>
      <c r="M355" s="177"/>
      <c r="N355" s="177">
        <f t="shared" si="311"/>
        <v>1</v>
      </c>
      <c r="O355" s="177">
        <f t="shared" si="312"/>
        <v>1</v>
      </c>
      <c r="P355" s="89" t="s">
        <v>39</v>
      </c>
      <c r="Q355" s="90">
        <f t="shared" si="314"/>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hidden="1" outlineLevel="1">
      <c r="A356" s="29" t="str">
        <f t="shared" si="313"/>
        <v>modesg_inp_nfrd_alinhamento_taxppc_turnover_own_prfrmnce_algnd</v>
      </c>
      <c r="B356" s="67" t="s">
        <v>26</v>
      </c>
      <c r="C356" s="68" t="s">
        <v>181</v>
      </c>
      <c r="D356" s="64" t="s">
        <v>40</v>
      </c>
      <c r="E356" s="66" t="s">
        <v>215</v>
      </c>
      <c r="F356" s="64" t="s">
        <v>260</v>
      </c>
      <c r="G356" s="64" t="str">
        <f>INDEX(Auxiliar!$B$16:$B$24,MATCH(Plano_V3!H356,Auxiliar!$C$16:$C$24,0),1)</f>
        <v>1. Concluído</v>
      </c>
      <c r="H356" s="64">
        <f>VLOOKUP(A356,'Aux - pivots1'!$A:$B,2,0)</f>
        <v>1</v>
      </c>
      <c r="I356" s="183">
        <f>SUMIFS(Table1[Estimação (horas)],Table1[Tabela],Plano_V3!E356,Table1[Campo],Plano_V3!F356)</f>
        <v>0.6</v>
      </c>
      <c r="J356" s="183">
        <f t="shared" si="309"/>
        <v>7.4999999999999997E-2</v>
      </c>
      <c r="K356" s="183">
        <f>SUMIFS(Table1[Horas efetivas],Table1[Tabela],Plano_V3!E356,Table1[Campo],Plano_V3!F356)</f>
        <v>0.6</v>
      </c>
      <c r="L356" s="183">
        <f t="shared" si="310"/>
        <v>7.4999999999999997E-2</v>
      </c>
      <c r="M356" s="177"/>
      <c r="N356" s="177">
        <f t="shared" si="311"/>
        <v>1</v>
      </c>
      <c r="O356" s="177">
        <f t="shared" si="312"/>
        <v>1</v>
      </c>
      <c r="P356" s="89" t="s">
        <v>39</v>
      </c>
      <c r="Q356" s="90">
        <f t="shared" si="314"/>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hidden="1" outlineLevel="1">
      <c r="A357" s="29" t="str">
        <f t="shared" si="313"/>
        <v>modesg_inp_nfrd_alinhamento_taxppc_capex_ttl_elgbl</v>
      </c>
      <c r="B357" s="67" t="s">
        <v>26</v>
      </c>
      <c r="C357" s="68" t="s">
        <v>181</v>
      </c>
      <c r="D357" s="64" t="s">
        <v>40</v>
      </c>
      <c r="E357" s="66" t="s">
        <v>215</v>
      </c>
      <c r="F357" s="64" t="s">
        <v>261</v>
      </c>
      <c r="G357" s="64" t="str">
        <f>INDEX(Auxiliar!$B$16:$B$24,MATCH(Plano_V3!H357,Auxiliar!$C$16:$C$24,0),1)</f>
        <v>1. Concluído</v>
      </c>
      <c r="H357" s="64">
        <f>VLOOKUP(A357,'Aux - pivots1'!$A:$B,2,0)</f>
        <v>1</v>
      </c>
      <c r="I357" s="183">
        <f>SUMIFS(Table1[Estimação (horas)],Table1[Tabela],Plano_V3!E357,Table1[Campo],Plano_V3!F357)</f>
        <v>0.6</v>
      </c>
      <c r="J357" s="183">
        <f t="shared" si="309"/>
        <v>7.4999999999999997E-2</v>
      </c>
      <c r="K357" s="183">
        <f>SUMIFS(Table1[Horas efetivas],Table1[Tabela],Plano_V3!E357,Table1[Campo],Plano_V3!F357)</f>
        <v>0.6</v>
      </c>
      <c r="L357" s="183">
        <f t="shared" si="310"/>
        <v>7.4999999999999997E-2</v>
      </c>
      <c r="M357" s="177"/>
      <c r="N357" s="177">
        <f t="shared" si="311"/>
        <v>1</v>
      </c>
      <c r="O357" s="177">
        <f t="shared" si="312"/>
        <v>1</v>
      </c>
      <c r="P357" s="89" t="s">
        <v>39</v>
      </c>
      <c r="Q357" s="90">
        <f t="shared" si="314"/>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hidden="1" outlineLevel="1">
      <c r="A358" s="29" t="str">
        <f t="shared" si="313"/>
        <v>modesg_inp_nfrd_alinhamento_taxppc_capex_own_prfrmnce_algnd</v>
      </c>
      <c r="B358" s="67" t="s">
        <v>26</v>
      </c>
      <c r="C358" s="68" t="s">
        <v>181</v>
      </c>
      <c r="D358" s="64" t="s">
        <v>40</v>
      </c>
      <c r="E358" s="66" t="s">
        <v>215</v>
      </c>
      <c r="F358" s="64" t="s">
        <v>262</v>
      </c>
      <c r="G358" s="64" t="str">
        <f>INDEX(Auxiliar!$B$16:$B$24,MATCH(Plano_V3!H358,Auxiliar!$C$16:$C$24,0),1)</f>
        <v>1. Concluído</v>
      </c>
      <c r="H358" s="64">
        <f>VLOOKUP(A358,'Aux - pivots1'!$A:$B,2,0)</f>
        <v>1</v>
      </c>
      <c r="I358" s="183">
        <f>SUMIFS(Table1[Estimação (horas)],Table1[Tabela],Plano_V3!E358,Table1[Campo],Plano_V3!F358)</f>
        <v>0.6</v>
      </c>
      <c r="J358" s="183">
        <f t="shared" si="309"/>
        <v>7.4999999999999997E-2</v>
      </c>
      <c r="K358" s="183">
        <f>SUMIFS(Table1[Horas efetivas],Table1[Tabela],Plano_V3!E358,Table1[Campo],Plano_V3!F358)</f>
        <v>0.6</v>
      </c>
      <c r="L358" s="183">
        <f t="shared" si="310"/>
        <v>7.4999999999999997E-2</v>
      </c>
      <c r="M358" s="177"/>
      <c r="N358" s="177">
        <f t="shared" si="311"/>
        <v>1</v>
      </c>
      <c r="O358" s="177">
        <f t="shared" si="312"/>
        <v>1</v>
      </c>
      <c r="P358" s="89" t="s">
        <v>39</v>
      </c>
      <c r="Q358" s="90">
        <f t="shared" si="314"/>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hidden="1" outlineLevel="1">
      <c r="A359" s="29" t="str">
        <f t="shared" si="313"/>
        <v>modesg_inp_nfrd_alinhamento_taxbio_trnvr_ttl_elgbl</v>
      </c>
      <c r="B359" s="67" t="s">
        <v>26</v>
      </c>
      <c r="C359" s="68" t="s">
        <v>181</v>
      </c>
      <c r="D359" s="64" t="s">
        <v>40</v>
      </c>
      <c r="E359" s="66" t="s">
        <v>215</v>
      </c>
      <c r="F359" s="64" t="s">
        <v>263</v>
      </c>
      <c r="G359" s="64" t="str">
        <f>INDEX(Auxiliar!$B$16:$B$24,MATCH(Plano_V3!H359,Auxiliar!$C$16:$C$24,0),1)</f>
        <v>1. Concluído</v>
      </c>
      <c r="H359" s="64">
        <f>VLOOKUP(A359,'Aux - pivots1'!$A:$B,2,0)</f>
        <v>1</v>
      </c>
      <c r="I359" s="183">
        <f>SUMIFS(Table1[Estimação (horas)],Table1[Tabela],Plano_V3!E359,Table1[Campo],Plano_V3!F359)</f>
        <v>0.6</v>
      </c>
      <c r="J359" s="183">
        <f t="shared" si="309"/>
        <v>7.4999999999999997E-2</v>
      </c>
      <c r="K359" s="183">
        <f>SUMIFS(Table1[Horas efetivas],Table1[Tabela],Plano_V3!E359,Table1[Campo],Plano_V3!F359)</f>
        <v>0.6</v>
      </c>
      <c r="L359" s="183">
        <f t="shared" si="310"/>
        <v>7.4999999999999997E-2</v>
      </c>
      <c r="M359" s="177"/>
      <c r="N359" s="177">
        <f t="shared" si="311"/>
        <v>1</v>
      </c>
      <c r="O359" s="177">
        <f t="shared" si="312"/>
        <v>1</v>
      </c>
      <c r="P359" s="89" t="s">
        <v>39</v>
      </c>
      <c r="Q359" s="90">
        <f t="shared" si="314"/>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hidden="1" outlineLevel="1">
      <c r="A360" s="29" t="str">
        <f t="shared" si="313"/>
        <v>modesg_inp_nfrd_alinhamento_taxbio_turnover_own_prfrmnce_algnd</v>
      </c>
      <c r="B360" s="67" t="s">
        <v>26</v>
      </c>
      <c r="C360" s="68" t="s">
        <v>181</v>
      </c>
      <c r="D360" s="64" t="s">
        <v>40</v>
      </c>
      <c r="E360" s="66" t="s">
        <v>215</v>
      </c>
      <c r="F360" s="64" t="s">
        <v>264</v>
      </c>
      <c r="G360" s="64" t="str">
        <f>INDEX(Auxiliar!$B$16:$B$24,MATCH(Plano_V3!H360,Auxiliar!$C$16:$C$24,0),1)</f>
        <v>1. Concluído</v>
      </c>
      <c r="H360" s="64">
        <f>VLOOKUP(A360,'Aux - pivots1'!$A:$B,2,0)</f>
        <v>1</v>
      </c>
      <c r="I360" s="183">
        <f>SUMIFS(Table1[Estimação (horas)],Table1[Tabela],Plano_V3!E360,Table1[Campo],Plano_V3!F360)</f>
        <v>0.6</v>
      </c>
      <c r="J360" s="183">
        <f t="shared" si="309"/>
        <v>7.4999999999999997E-2</v>
      </c>
      <c r="K360" s="183">
        <f>SUMIFS(Table1[Horas efetivas],Table1[Tabela],Plano_V3!E360,Table1[Campo],Plano_V3!F360)</f>
        <v>0.6</v>
      </c>
      <c r="L360" s="183">
        <f t="shared" si="310"/>
        <v>7.4999999999999997E-2</v>
      </c>
      <c r="M360" s="177"/>
      <c r="N360" s="177">
        <f t="shared" si="311"/>
        <v>1</v>
      </c>
      <c r="O360" s="177">
        <f t="shared" si="312"/>
        <v>1</v>
      </c>
      <c r="P360" s="89" t="s">
        <v>39</v>
      </c>
      <c r="Q360" s="90">
        <f t="shared" si="314"/>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hidden="1" outlineLevel="1">
      <c r="A361" s="29" t="str">
        <f t="shared" si="313"/>
        <v>modesg_inp_nfrd_alinhamento_taxbio_capex_ttl_elgbl</v>
      </c>
      <c r="B361" s="67" t="s">
        <v>26</v>
      </c>
      <c r="C361" s="68" t="s">
        <v>181</v>
      </c>
      <c r="D361" s="64" t="s">
        <v>40</v>
      </c>
      <c r="E361" s="66" t="s">
        <v>215</v>
      </c>
      <c r="F361" s="64" t="s">
        <v>265</v>
      </c>
      <c r="G361" s="64" t="str">
        <f>INDEX(Auxiliar!$B$16:$B$24,MATCH(Plano_V3!H361,Auxiliar!$C$16:$C$24,0),1)</f>
        <v>1. Concluído</v>
      </c>
      <c r="H361" s="64">
        <f>VLOOKUP(A361,'Aux - pivots1'!$A:$B,2,0)</f>
        <v>1</v>
      </c>
      <c r="I361" s="183">
        <f>SUMIFS(Table1[Estimação (horas)],Table1[Tabela],Plano_V3!E361,Table1[Campo],Plano_V3!F361)</f>
        <v>0.6</v>
      </c>
      <c r="J361" s="183">
        <f t="shared" si="309"/>
        <v>7.4999999999999997E-2</v>
      </c>
      <c r="K361" s="183">
        <f>SUMIFS(Table1[Horas efetivas],Table1[Tabela],Plano_V3!E361,Table1[Campo],Plano_V3!F361)</f>
        <v>0.6</v>
      </c>
      <c r="L361" s="183">
        <f t="shared" si="310"/>
        <v>7.4999999999999997E-2</v>
      </c>
      <c r="M361" s="177"/>
      <c r="N361" s="177">
        <f t="shared" si="311"/>
        <v>1</v>
      </c>
      <c r="O361" s="177">
        <f t="shared" si="312"/>
        <v>1</v>
      </c>
      <c r="P361" s="89" t="s">
        <v>39</v>
      </c>
      <c r="Q361" s="90">
        <f t="shared" si="314"/>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hidden="1" outlineLevel="1">
      <c r="A362" s="29" t="str">
        <f t="shared" si="313"/>
        <v>modesg_inp_nfrd_alinhamento_taxbio_capex_own_prfrmnce_algnd</v>
      </c>
      <c r="B362" s="67" t="s">
        <v>26</v>
      </c>
      <c r="C362" s="68" t="s">
        <v>181</v>
      </c>
      <c r="D362" s="64" t="s">
        <v>40</v>
      </c>
      <c r="E362" s="66" t="s">
        <v>215</v>
      </c>
      <c r="F362" s="64" t="s">
        <v>266</v>
      </c>
      <c r="G362" s="64" t="str">
        <f>INDEX(Auxiliar!$B$16:$B$24,MATCH(Plano_V3!H362,Auxiliar!$C$16:$C$24,0),1)</f>
        <v>1. Concluído</v>
      </c>
      <c r="H362" s="64">
        <f>VLOOKUP(A362,'Aux - pivots1'!$A:$B,2,0)</f>
        <v>1</v>
      </c>
      <c r="I362" s="183">
        <f>SUMIFS(Table1[Estimação (horas)],Table1[Tabela],Plano_V3!E362,Table1[Campo],Plano_V3!F362)</f>
        <v>0.6</v>
      </c>
      <c r="J362" s="183">
        <f t="shared" si="309"/>
        <v>7.4999999999999997E-2</v>
      </c>
      <c r="K362" s="183">
        <f>SUMIFS(Table1[Horas efetivas],Table1[Tabela],Plano_V3!E362,Table1[Campo],Plano_V3!F362)</f>
        <v>0.6</v>
      </c>
      <c r="L362" s="183">
        <f t="shared" si="310"/>
        <v>7.4999999999999997E-2</v>
      </c>
      <c r="M362" s="177"/>
      <c r="N362" s="177">
        <f t="shared" si="311"/>
        <v>1</v>
      </c>
      <c r="O362" s="177">
        <f t="shared" si="312"/>
        <v>1</v>
      </c>
      <c r="P362" s="89" t="s">
        <v>39</v>
      </c>
      <c r="Q362" s="90">
        <f t="shared" si="314"/>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hidden="1" outlineLevel="1">
      <c r="A363" s="29" t="str">
        <f t="shared" si="313"/>
        <v>modesg_inp_nfrd_alinhamento_taxwtr_trnvr_ttl_elgbl</v>
      </c>
      <c r="B363" s="67" t="s">
        <v>26</v>
      </c>
      <c r="C363" s="68" t="s">
        <v>181</v>
      </c>
      <c r="D363" s="64" t="s">
        <v>40</v>
      </c>
      <c r="E363" s="66" t="s">
        <v>215</v>
      </c>
      <c r="F363" s="64" t="s">
        <v>267</v>
      </c>
      <c r="G363" s="64" t="str">
        <f>INDEX(Auxiliar!$B$16:$B$24,MATCH(Plano_V3!H363,Auxiliar!$C$16:$C$24,0),1)</f>
        <v>1. Concluído</v>
      </c>
      <c r="H363" s="64">
        <f>VLOOKUP(A363,'Aux - pivots1'!$A:$B,2,0)</f>
        <v>1</v>
      </c>
      <c r="I363" s="183">
        <f>SUMIFS(Table1[Estimação (horas)],Table1[Tabela],Plano_V3!E363,Table1[Campo],Plano_V3!F363)</f>
        <v>0.6</v>
      </c>
      <c r="J363" s="183">
        <f t="shared" si="309"/>
        <v>7.4999999999999997E-2</v>
      </c>
      <c r="K363" s="183">
        <f>SUMIFS(Table1[Horas efetivas],Table1[Tabela],Plano_V3!E363,Table1[Campo],Plano_V3!F363)</f>
        <v>0.6</v>
      </c>
      <c r="L363" s="183">
        <f t="shared" si="310"/>
        <v>7.4999999999999997E-2</v>
      </c>
      <c r="M363" s="177"/>
      <c r="N363" s="177">
        <f t="shared" si="311"/>
        <v>1</v>
      </c>
      <c r="O363" s="177">
        <f t="shared" si="312"/>
        <v>1</v>
      </c>
      <c r="P363" s="89" t="s">
        <v>39</v>
      </c>
      <c r="Q363" s="90">
        <f t="shared" si="314"/>
        <v>7.4999999999999997E-2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hidden="1" outlineLevel="1">
      <c r="A364" s="29" t="str">
        <f t="shared" si="313"/>
        <v>modesg_inp_nfrd_alinhamento_taxwtr_trnvr_enblng_alignd</v>
      </c>
      <c r="B364" s="67" t="s">
        <v>26</v>
      </c>
      <c r="C364" s="68" t="s">
        <v>181</v>
      </c>
      <c r="D364" s="64" t="s">
        <v>40</v>
      </c>
      <c r="E364" s="66" t="s">
        <v>215</v>
      </c>
      <c r="F364" s="64" t="s">
        <v>268</v>
      </c>
      <c r="G364" s="64" t="str">
        <f>INDEX(Auxiliar!$B$16:$B$24,MATCH(Plano_V3!H364,Auxiliar!$C$16:$C$24,0),1)</f>
        <v>1. Concluído</v>
      </c>
      <c r="H364" s="64">
        <f>VLOOKUP(A364,'Aux - pivots1'!$A:$B,2,0)</f>
        <v>1</v>
      </c>
      <c r="I364" s="183">
        <f>SUMIFS(Table1[Estimação (horas)],Table1[Tabela],Plano_V3!E364,Table1[Campo],Plano_V3!F364)</f>
        <v>0.6</v>
      </c>
      <c r="J364" s="183">
        <f t="shared" si="309"/>
        <v>7.4999999999999997E-2</v>
      </c>
      <c r="K364" s="183">
        <f>SUMIFS(Table1[Horas efetivas],Table1[Tabela],Plano_V3!E364,Table1[Campo],Plano_V3!F364)</f>
        <v>0.6</v>
      </c>
      <c r="L364" s="183">
        <f t="shared" si="310"/>
        <v>7.4999999999999997E-2</v>
      </c>
      <c r="M364" s="177"/>
      <c r="N364" s="177">
        <f t="shared" si="311"/>
        <v>1</v>
      </c>
      <c r="O364" s="177">
        <f t="shared" si="312"/>
        <v>1</v>
      </c>
      <c r="P364" s="89" t="s">
        <v>39</v>
      </c>
      <c r="Q364" s="90">
        <f t="shared" si="314"/>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hidden="1" outlineLevel="1">
      <c r="A365" s="29" t="str">
        <f t="shared" si="313"/>
        <v>modesg_inp_nfrd_alinhamento_taxwtr_turnover_own_prfrmnce_algnd</v>
      </c>
      <c r="B365" s="67" t="s">
        <v>26</v>
      </c>
      <c r="C365" s="68" t="s">
        <v>181</v>
      </c>
      <c r="D365" s="64" t="s">
        <v>40</v>
      </c>
      <c r="E365" s="66" t="s">
        <v>215</v>
      </c>
      <c r="F365" s="64" t="s">
        <v>269</v>
      </c>
      <c r="G365" s="64" t="str">
        <f>INDEX(Auxiliar!$B$16:$B$24,MATCH(Plano_V3!H365,Auxiliar!$C$16:$C$24,0),1)</f>
        <v>1. Concluído</v>
      </c>
      <c r="H365" s="64">
        <f>VLOOKUP(A365,'Aux - pivots1'!$A:$B,2,0)</f>
        <v>1</v>
      </c>
      <c r="I365" s="183">
        <f>SUMIFS(Table1[Estimação (horas)],Table1[Tabela],Plano_V3!E365,Table1[Campo],Plano_V3!F365)</f>
        <v>0.6</v>
      </c>
      <c r="J365" s="183">
        <f t="shared" si="309"/>
        <v>7.4999999999999997E-2</v>
      </c>
      <c r="K365" s="183">
        <f>SUMIFS(Table1[Horas efetivas],Table1[Tabela],Plano_V3!E365,Table1[Campo],Plano_V3!F365)</f>
        <v>0.6</v>
      </c>
      <c r="L365" s="183">
        <f t="shared" si="310"/>
        <v>7.4999999999999997E-2</v>
      </c>
      <c r="M365" s="177"/>
      <c r="N365" s="177">
        <f t="shared" si="311"/>
        <v>1</v>
      </c>
      <c r="O365" s="177">
        <f t="shared" si="312"/>
        <v>1</v>
      </c>
      <c r="P365" s="89" t="s">
        <v>39</v>
      </c>
      <c r="Q365" s="90">
        <f t="shared" si="314"/>
        <v>7.4999999999999997E-2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hidden="1" outlineLevel="1">
      <c r="A366" s="29" t="str">
        <f t="shared" si="313"/>
        <v>modesg_inp_nfrd_alinhamento_taxwtr_capex_ttl_elgbl</v>
      </c>
      <c r="B366" s="67" t="s">
        <v>26</v>
      </c>
      <c r="C366" s="68" t="s">
        <v>181</v>
      </c>
      <c r="D366" s="64" t="s">
        <v>40</v>
      </c>
      <c r="E366" s="66" t="s">
        <v>215</v>
      </c>
      <c r="F366" s="64" t="s">
        <v>270</v>
      </c>
      <c r="G366" s="64" t="str">
        <f>INDEX(Auxiliar!$B$16:$B$24,MATCH(Plano_V3!H366,Auxiliar!$C$16:$C$24,0),1)</f>
        <v>1. Concluído</v>
      </c>
      <c r="H366" s="64">
        <f>VLOOKUP(A366,'Aux - pivots1'!$A:$B,2,0)</f>
        <v>1</v>
      </c>
      <c r="I366" s="183">
        <f>SUMIFS(Table1[Estimação (horas)],Table1[Tabela],Plano_V3!E366,Table1[Campo],Plano_V3!F366)</f>
        <v>0.6</v>
      </c>
      <c r="J366" s="183">
        <f t="shared" si="309"/>
        <v>7.4999999999999997E-2</v>
      </c>
      <c r="K366" s="183">
        <f>SUMIFS(Table1[Horas efetivas],Table1[Tabela],Plano_V3!E366,Table1[Campo],Plano_V3!F366)</f>
        <v>0.6</v>
      </c>
      <c r="L366" s="183">
        <f t="shared" si="310"/>
        <v>7.4999999999999997E-2</v>
      </c>
      <c r="M366" s="177"/>
      <c r="N366" s="177">
        <f t="shared" si="311"/>
        <v>1</v>
      </c>
      <c r="O366" s="177">
        <f t="shared" si="312"/>
        <v>1</v>
      </c>
      <c r="P366" s="89" t="s">
        <v>39</v>
      </c>
      <c r="Q366" s="90">
        <f t="shared" si="314"/>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hidden="1" outlineLevel="1">
      <c r="A367" s="29" t="str">
        <f t="shared" si="313"/>
        <v>modesg_inp_nfrd_alinhamento_taxwtr_capex_enblng_algnd</v>
      </c>
      <c r="B367" s="67" t="s">
        <v>26</v>
      </c>
      <c r="C367" s="68" t="s">
        <v>181</v>
      </c>
      <c r="D367" s="64" t="s">
        <v>40</v>
      </c>
      <c r="E367" s="66" t="s">
        <v>215</v>
      </c>
      <c r="F367" s="64" t="s">
        <v>271</v>
      </c>
      <c r="G367" s="64" t="str">
        <f>INDEX(Auxiliar!$B$16:$B$24,MATCH(Plano_V3!H367,Auxiliar!$C$16:$C$24,0),1)</f>
        <v>1. Concluído</v>
      </c>
      <c r="H367" s="64">
        <f>VLOOKUP(A367,'Aux - pivots1'!$A:$B,2,0)</f>
        <v>1</v>
      </c>
      <c r="I367" s="183">
        <f>SUMIFS(Table1[Estimação (horas)],Table1[Tabela],Plano_V3!E367,Table1[Campo],Plano_V3!F367)</f>
        <v>0.6</v>
      </c>
      <c r="J367" s="183">
        <f t="shared" si="309"/>
        <v>7.4999999999999997E-2</v>
      </c>
      <c r="K367" s="183">
        <f>SUMIFS(Table1[Horas efetivas],Table1[Tabela],Plano_V3!E367,Table1[Campo],Plano_V3!F367)</f>
        <v>0.6</v>
      </c>
      <c r="L367" s="183">
        <f t="shared" si="310"/>
        <v>7.4999999999999997E-2</v>
      </c>
      <c r="M367" s="177"/>
      <c r="N367" s="177">
        <f t="shared" si="311"/>
        <v>1</v>
      </c>
      <c r="O367" s="177">
        <f t="shared" si="312"/>
        <v>1</v>
      </c>
      <c r="P367" s="89" t="s">
        <v>39</v>
      </c>
      <c r="Q367" s="90">
        <f t="shared" si="314"/>
        <v>7.4999999999999997E-2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hidden="1" outlineLevel="1">
      <c r="A368" s="29" t="str">
        <f t="shared" si="313"/>
        <v>modesg_inp_nfrd_alinhamento_taxwtr_capex_own_prfrmnce_algnd</v>
      </c>
      <c r="B368" s="67" t="s">
        <v>26</v>
      </c>
      <c r="C368" s="68" t="s">
        <v>181</v>
      </c>
      <c r="D368" s="64" t="s">
        <v>40</v>
      </c>
      <c r="E368" s="66" t="s">
        <v>215</v>
      </c>
      <c r="F368" s="64" t="s">
        <v>272</v>
      </c>
      <c r="G368" s="64" t="str">
        <f>INDEX(Auxiliar!$B$16:$B$24,MATCH(Plano_V3!H368,Auxiliar!$C$16:$C$24,0),1)</f>
        <v>1. Concluído</v>
      </c>
      <c r="H368" s="64">
        <f>VLOOKUP(A368,'Aux - pivots1'!$A:$B,2,0)</f>
        <v>1</v>
      </c>
      <c r="I368" s="183">
        <f>SUMIFS(Table1[Estimação (horas)],Table1[Tabela],Plano_V3!E368,Table1[Campo],Plano_V3!F368)</f>
        <v>0.6</v>
      </c>
      <c r="J368" s="183">
        <f t="shared" si="309"/>
        <v>7.4999999999999997E-2</v>
      </c>
      <c r="K368" s="183">
        <f>SUMIFS(Table1[Horas efetivas],Table1[Tabela],Plano_V3!E368,Table1[Campo],Plano_V3!F368)</f>
        <v>0.6</v>
      </c>
      <c r="L368" s="183">
        <f t="shared" si="310"/>
        <v>7.4999999999999997E-2</v>
      </c>
      <c r="M368" s="177"/>
      <c r="N368" s="177">
        <f t="shared" si="311"/>
        <v>1</v>
      </c>
      <c r="O368" s="177">
        <f t="shared" si="312"/>
        <v>1</v>
      </c>
      <c r="P368" s="89" t="s">
        <v>39</v>
      </c>
      <c r="Q368" s="90">
        <f t="shared" si="314"/>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hidden="1" outlineLevel="1">
      <c r="A369" s="29" t="str">
        <f t="shared" si="313"/>
        <v>modesg_inp_nfrd_alinhamento_taxce_trnvr_ttl_elgbl</v>
      </c>
      <c r="B369" s="67" t="s">
        <v>26</v>
      </c>
      <c r="C369" s="68" t="s">
        <v>181</v>
      </c>
      <c r="D369" s="64" t="s">
        <v>40</v>
      </c>
      <c r="E369" s="66" t="s">
        <v>215</v>
      </c>
      <c r="F369" s="64" t="s">
        <v>273</v>
      </c>
      <c r="G369" s="64" t="str">
        <f>INDEX(Auxiliar!$B$16:$B$24,MATCH(Plano_V3!H369,Auxiliar!$C$16:$C$24,0),1)</f>
        <v>1. Concluído</v>
      </c>
      <c r="H369" s="64">
        <f>VLOOKUP(A369,'Aux - pivots1'!$A:$B,2,0)</f>
        <v>1</v>
      </c>
      <c r="I369" s="183">
        <f>SUMIFS(Table1[Estimação (horas)],Table1[Tabela],Plano_V3!E369,Table1[Campo],Plano_V3!F369)</f>
        <v>0.6</v>
      </c>
      <c r="J369" s="183">
        <f t="shared" si="309"/>
        <v>7.4999999999999997E-2</v>
      </c>
      <c r="K369" s="183">
        <f>SUMIFS(Table1[Horas efetivas],Table1[Tabela],Plano_V3!E369,Table1[Campo],Plano_V3!F369)</f>
        <v>0.6</v>
      </c>
      <c r="L369" s="183">
        <f t="shared" si="310"/>
        <v>7.4999999999999997E-2</v>
      </c>
      <c r="M369" s="177"/>
      <c r="N369" s="177">
        <f t="shared" si="311"/>
        <v>1</v>
      </c>
      <c r="O369" s="177">
        <f t="shared" si="312"/>
        <v>1</v>
      </c>
      <c r="P369" s="89" t="s">
        <v>39</v>
      </c>
      <c r="Q369" s="90">
        <f t="shared" si="314"/>
        <v>7.4999999999999997E-2</v>
      </c>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hidden="1" outlineLevel="1">
      <c r="A370" s="29" t="str">
        <f t="shared" si="313"/>
        <v>modesg_inp_nfrd_alinhamento_taxce_trnvr_enblng_alignd</v>
      </c>
      <c r="B370" s="67" t="s">
        <v>26</v>
      </c>
      <c r="C370" s="68" t="s">
        <v>181</v>
      </c>
      <c r="D370" s="64" t="s">
        <v>40</v>
      </c>
      <c r="E370" s="66" t="s">
        <v>215</v>
      </c>
      <c r="F370" s="64" t="s">
        <v>274</v>
      </c>
      <c r="G370" s="64" t="str">
        <f>INDEX(Auxiliar!$B$16:$B$24,MATCH(Plano_V3!H370,Auxiliar!$C$16:$C$24,0),1)</f>
        <v>1. Concluído</v>
      </c>
      <c r="H370" s="64">
        <f>VLOOKUP(A370,'Aux - pivots1'!$A:$B,2,0)</f>
        <v>1</v>
      </c>
      <c r="I370" s="183">
        <f>SUMIFS(Table1[Estimação (horas)],Table1[Tabela],Plano_V3!E370,Table1[Campo],Plano_V3!F370)</f>
        <v>0.6</v>
      </c>
      <c r="J370" s="183">
        <f t="shared" si="309"/>
        <v>7.4999999999999997E-2</v>
      </c>
      <c r="K370" s="183">
        <f>SUMIFS(Table1[Horas efetivas],Table1[Tabela],Plano_V3!E370,Table1[Campo],Plano_V3!F370)</f>
        <v>0.6</v>
      </c>
      <c r="L370" s="183">
        <f t="shared" si="310"/>
        <v>7.4999999999999997E-2</v>
      </c>
      <c r="M370" s="177"/>
      <c r="N370" s="177">
        <f t="shared" si="311"/>
        <v>1</v>
      </c>
      <c r="O370" s="177">
        <f t="shared" si="312"/>
        <v>1</v>
      </c>
      <c r="P370" s="89" t="s">
        <v>39</v>
      </c>
      <c r="Q370" s="90">
        <f t="shared" si="314"/>
        <v>7.4999999999999997E-2</v>
      </c>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hidden="1" outlineLevel="1">
      <c r="A371" s="29" t="str">
        <f t="shared" si="313"/>
        <v>modesg_inp_nfrd_alinhamento_taxce_turnover_own_prfrmnce_algnd</v>
      </c>
      <c r="B371" s="67" t="s">
        <v>26</v>
      </c>
      <c r="C371" s="68" t="s">
        <v>181</v>
      </c>
      <c r="D371" s="64" t="s">
        <v>40</v>
      </c>
      <c r="E371" s="66" t="s">
        <v>215</v>
      </c>
      <c r="F371" s="64" t="s">
        <v>275</v>
      </c>
      <c r="G371" s="64" t="str">
        <f>INDEX(Auxiliar!$B$16:$B$24,MATCH(Plano_V3!H371,Auxiliar!$C$16:$C$24,0),1)</f>
        <v>1. Concluído</v>
      </c>
      <c r="H371" s="64">
        <f>VLOOKUP(A371,'Aux - pivots1'!$A:$B,2,0)</f>
        <v>1</v>
      </c>
      <c r="I371" s="183">
        <f>SUMIFS(Table1[Estimação (horas)],Table1[Tabela],Plano_V3!E371,Table1[Campo],Plano_V3!F371)</f>
        <v>0.6</v>
      </c>
      <c r="J371" s="183">
        <f t="shared" si="309"/>
        <v>7.4999999999999997E-2</v>
      </c>
      <c r="K371" s="183">
        <f>SUMIFS(Table1[Horas efetivas],Table1[Tabela],Plano_V3!E371,Table1[Campo],Plano_V3!F371)</f>
        <v>0.6</v>
      </c>
      <c r="L371" s="183">
        <f t="shared" si="310"/>
        <v>7.4999999999999997E-2</v>
      </c>
      <c r="M371" s="177"/>
      <c r="N371" s="177">
        <f t="shared" si="311"/>
        <v>1</v>
      </c>
      <c r="O371" s="177">
        <f t="shared" si="312"/>
        <v>1</v>
      </c>
      <c r="P371" s="89" t="s">
        <v>39</v>
      </c>
      <c r="Q371" s="90">
        <f t="shared" si="314"/>
        <v>7.4999999999999997E-2</v>
      </c>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hidden="1" outlineLevel="1">
      <c r="A372" s="29" t="str">
        <f t="shared" si="313"/>
        <v>modesg_inp_nfrd_alinhamento_taxce_capex_ttl_elgbl</v>
      </c>
      <c r="B372" s="67" t="s">
        <v>26</v>
      </c>
      <c r="C372" s="68" t="s">
        <v>181</v>
      </c>
      <c r="D372" s="64" t="s">
        <v>40</v>
      </c>
      <c r="E372" s="66" t="s">
        <v>215</v>
      </c>
      <c r="F372" s="64" t="s">
        <v>276</v>
      </c>
      <c r="G372" s="64" t="str">
        <f>INDEX(Auxiliar!$B$16:$B$24,MATCH(Plano_V3!H372,Auxiliar!$C$16:$C$24,0),1)</f>
        <v>1. Concluído</v>
      </c>
      <c r="H372" s="64">
        <f>VLOOKUP(A372,'Aux - pivots1'!$A:$B,2,0)</f>
        <v>1</v>
      </c>
      <c r="I372" s="183">
        <f>SUMIFS(Table1[Estimação (horas)],Table1[Tabela],Plano_V3!E372,Table1[Campo],Plano_V3!F372)</f>
        <v>0.6</v>
      </c>
      <c r="J372" s="183">
        <f t="shared" si="309"/>
        <v>7.4999999999999997E-2</v>
      </c>
      <c r="K372" s="183">
        <f>SUMIFS(Table1[Horas efetivas],Table1[Tabela],Plano_V3!E372,Table1[Campo],Plano_V3!F372)</f>
        <v>0.6</v>
      </c>
      <c r="L372" s="183">
        <f t="shared" si="310"/>
        <v>7.4999999999999997E-2</v>
      </c>
      <c r="M372" s="177"/>
      <c r="N372" s="177">
        <f t="shared" si="311"/>
        <v>1</v>
      </c>
      <c r="O372" s="177">
        <f t="shared" si="312"/>
        <v>1</v>
      </c>
      <c r="P372" s="89" t="s">
        <v>39</v>
      </c>
      <c r="Q372" s="90">
        <f t="shared" si="314"/>
        <v>7.4999999999999997E-2</v>
      </c>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hidden="1" outlineLevel="1">
      <c r="A373" s="29" t="str">
        <f t="shared" si="313"/>
        <v>modesg_inp_nfrd_alinhamento_taxce_capex_enblng_algnd</v>
      </c>
      <c r="B373" s="67" t="s">
        <v>26</v>
      </c>
      <c r="C373" s="68" t="s">
        <v>181</v>
      </c>
      <c r="D373" s="64" t="s">
        <v>40</v>
      </c>
      <c r="E373" s="66" t="s">
        <v>215</v>
      </c>
      <c r="F373" s="64" t="s">
        <v>277</v>
      </c>
      <c r="G373" s="64" t="str">
        <f>INDEX(Auxiliar!$B$16:$B$24,MATCH(Plano_V3!H373,Auxiliar!$C$16:$C$24,0),1)</f>
        <v>1. Concluído</v>
      </c>
      <c r="H373" s="64">
        <f>VLOOKUP(A373,'Aux - pivots1'!$A:$B,2,0)</f>
        <v>1</v>
      </c>
      <c r="I373" s="183">
        <f>SUMIFS(Table1[Estimação (horas)],Table1[Tabela],Plano_V3!E373,Table1[Campo],Plano_V3!F373)</f>
        <v>0.6</v>
      </c>
      <c r="J373" s="183">
        <f t="shared" si="309"/>
        <v>7.4999999999999997E-2</v>
      </c>
      <c r="K373" s="183">
        <f>SUMIFS(Table1[Horas efetivas],Table1[Tabela],Plano_V3!E373,Table1[Campo],Plano_V3!F373)</f>
        <v>0.6</v>
      </c>
      <c r="L373" s="183">
        <f t="shared" si="310"/>
        <v>7.4999999999999997E-2</v>
      </c>
      <c r="M373" s="177"/>
      <c r="N373" s="177">
        <f t="shared" si="311"/>
        <v>1</v>
      </c>
      <c r="O373" s="177">
        <f t="shared" si="312"/>
        <v>1</v>
      </c>
      <c r="P373" s="89" t="s">
        <v>39</v>
      </c>
      <c r="Q373" s="90">
        <f t="shared" si="314"/>
        <v>7.4999999999999997E-2</v>
      </c>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hidden="1" outlineLevel="1">
      <c r="A374" s="29" t="str">
        <f t="shared" si="313"/>
        <v>modesg_inp_nfrd_alinhamento_taxce_capex_own_prfrmnce_algnd</v>
      </c>
      <c r="B374" s="67" t="s">
        <v>26</v>
      </c>
      <c r="C374" s="68" t="s">
        <v>181</v>
      </c>
      <c r="D374" s="64" t="s">
        <v>40</v>
      </c>
      <c r="E374" s="66" t="s">
        <v>215</v>
      </c>
      <c r="F374" s="64" t="s">
        <v>278</v>
      </c>
      <c r="G374" s="64" t="str">
        <f>INDEX(Auxiliar!$B$16:$B$24,MATCH(Plano_V3!H374,Auxiliar!$C$16:$C$24,0),1)</f>
        <v>1. Concluído</v>
      </c>
      <c r="H374" s="64">
        <f>VLOOKUP(A374,'Aux - pivots1'!$A:$B,2,0)</f>
        <v>1</v>
      </c>
      <c r="I374" s="183">
        <f>SUMIFS(Table1[Estimação (horas)],Table1[Tabela],Plano_V3!E374,Table1[Campo],Plano_V3!F374)</f>
        <v>0.6</v>
      </c>
      <c r="J374" s="183">
        <f t="shared" si="309"/>
        <v>7.4999999999999997E-2</v>
      </c>
      <c r="K374" s="183">
        <f>SUMIFS(Table1[Horas efetivas],Table1[Tabela],Plano_V3!E374,Table1[Campo],Plano_V3!F374)</f>
        <v>0.6</v>
      </c>
      <c r="L374" s="183">
        <f t="shared" si="310"/>
        <v>7.4999999999999997E-2</v>
      </c>
      <c r="M374" s="177"/>
      <c r="N374" s="177">
        <f t="shared" si="311"/>
        <v>1</v>
      </c>
      <c r="O374" s="177">
        <f t="shared" si="312"/>
        <v>1</v>
      </c>
      <c r="P374" s="89" t="s">
        <v>39</v>
      </c>
      <c r="Q374" s="90">
        <f t="shared" si="314"/>
        <v>7.4999999999999997E-2</v>
      </c>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hidden="1" outlineLevel="1">
      <c r="A375" s="29" t="str">
        <f t="shared" si="313"/>
        <v>modesg_inp_risco_fisicoref_date</v>
      </c>
      <c r="B375" s="67" t="s">
        <v>26</v>
      </c>
      <c r="C375" s="68" t="s">
        <v>181</v>
      </c>
      <c r="D375" s="64" t="s">
        <v>40</v>
      </c>
      <c r="E375" s="66" t="s">
        <v>216</v>
      </c>
      <c r="F375" s="64" t="s">
        <v>208</v>
      </c>
      <c r="G375" s="64" t="str">
        <f>INDEX(Auxiliar!$B$16:$B$24,MATCH(Plano_V3!H375,Auxiliar!$C$16:$C$24,0),1)</f>
        <v>1. Concluído</v>
      </c>
      <c r="H375" s="64">
        <f>VLOOKUP(A375,'Aux - pivots1'!$A:$B,2,0)</f>
        <v>1</v>
      </c>
      <c r="I375" s="183">
        <f>SUMIFS(Table1[Estimação (horas)],Table1[Tabela],Plano_V3!E375,Table1[Campo],Plano_V3!F375)</f>
        <v>0.5</v>
      </c>
      <c r="J375" s="183">
        <f t="shared" si="309"/>
        <v>6.25E-2</v>
      </c>
      <c r="K375" s="183">
        <f>SUMIFS(Table1[Horas efetivas],Table1[Tabela],Plano_V3!E375,Table1[Campo],Plano_V3!F375)</f>
        <v>0.5</v>
      </c>
      <c r="L375" s="183">
        <f t="shared" si="310"/>
        <v>6.25E-2</v>
      </c>
      <c r="M375" s="177"/>
      <c r="N375" s="177">
        <f t="shared" si="311"/>
        <v>1</v>
      </c>
      <c r="O375" s="177">
        <f t="shared" si="312"/>
        <v>1</v>
      </c>
      <c r="P375" s="89" t="s">
        <v>39</v>
      </c>
      <c r="Q375" s="90">
        <f t="shared" si="314"/>
        <v>6.25E-2</v>
      </c>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hidden="1" outlineLevel="1">
      <c r="A376" s="29" t="str">
        <f t="shared" si="313"/>
        <v>modesg_inp_risco_fisicocod_pais</v>
      </c>
      <c r="B376" s="67" t="s">
        <v>26</v>
      </c>
      <c r="C376" s="68" t="s">
        <v>181</v>
      </c>
      <c r="D376" s="64" t="s">
        <v>40</v>
      </c>
      <c r="E376" s="66" t="s">
        <v>216</v>
      </c>
      <c r="F376" s="64" t="s">
        <v>279</v>
      </c>
      <c r="G376" s="64" t="str">
        <f>INDEX(Auxiliar!$B$16:$B$24,MATCH(Plano_V3!H376,Auxiliar!$C$16:$C$24,0),1)</f>
        <v>1. Concluído</v>
      </c>
      <c r="H376" s="64">
        <f>VLOOKUP(A376,'Aux - pivots1'!$A:$B,2,0)</f>
        <v>1</v>
      </c>
      <c r="I376" s="183">
        <f>SUMIFS(Table1[Estimação (horas)],Table1[Tabela],Plano_V3!E376,Table1[Campo],Plano_V3!F376)</f>
        <v>0.6</v>
      </c>
      <c r="J376" s="183">
        <f t="shared" si="309"/>
        <v>7.4999999999999997E-2</v>
      </c>
      <c r="K376" s="183">
        <f>SUMIFS(Table1[Horas efetivas],Table1[Tabela],Plano_V3!E376,Table1[Campo],Plano_V3!F376)</f>
        <v>0.6</v>
      </c>
      <c r="L376" s="183">
        <f t="shared" si="310"/>
        <v>7.4999999999999997E-2</v>
      </c>
      <c r="M376" s="177"/>
      <c r="N376" s="177">
        <f t="shared" si="311"/>
        <v>1</v>
      </c>
      <c r="O376" s="177">
        <f t="shared" si="312"/>
        <v>1</v>
      </c>
      <c r="P376" s="89" t="s">
        <v>39</v>
      </c>
      <c r="Q376" s="90">
        <f t="shared" si="314"/>
        <v>7.4999999999999997E-2</v>
      </c>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hidden="1" outlineLevel="1">
      <c r="A377" s="29" t="str">
        <f t="shared" si="313"/>
        <v>modesg_inp_risco_fisicocod_nutiii</v>
      </c>
      <c r="B377" s="67" t="s">
        <v>26</v>
      </c>
      <c r="C377" s="68" t="s">
        <v>181</v>
      </c>
      <c r="D377" s="64" t="s">
        <v>40</v>
      </c>
      <c r="E377" s="66" t="s">
        <v>216</v>
      </c>
      <c r="F377" s="64" t="s">
        <v>280</v>
      </c>
      <c r="G377" s="64" t="str">
        <f>INDEX(Auxiliar!$B$16:$B$24,MATCH(Plano_V3!H377,Auxiliar!$C$16:$C$24,0),1)</f>
        <v>1. Concluído</v>
      </c>
      <c r="H377" s="64">
        <f>VLOOKUP(A377,'Aux - pivots1'!$A:$B,2,0)</f>
        <v>1</v>
      </c>
      <c r="I377" s="183">
        <f>SUMIFS(Table1[Estimação (horas)],Table1[Tabela],Plano_V3!E377,Table1[Campo],Plano_V3!F377)</f>
        <v>0.5</v>
      </c>
      <c r="J377" s="183">
        <f t="shared" si="309"/>
        <v>6.25E-2</v>
      </c>
      <c r="K377" s="183">
        <f>SUMIFS(Table1[Horas efetivas],Table1[Tabela],Plano_V3!E377,Table1[Campo],Plano_V3!F377)</f>
        <v>0.5</v>
      </c>
      <c r="L377" s="183">
        <f t="shared" si="310"/>
        <v>6.25E-2</v>
      </c>
      <c r="M377" s="177"/>
      <c r="N377" s="177">
        <f t="shared" si="311"/>
        <v>1</v>
      </c>
      <c r="O377" s="177">
        <f t="shared" si="312"/>
        <v>1</v>
      </c>
      <c r="P377" s="89" t="s">
        <v>39</v>
      </c>
      <c r="Q377" s="90">
        <f t="shared" si="314"/>
        <v>6.25E-2</v>
      </c>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hidden="1" outlineLevel="1">
      <c r="A378" s="29" t="str">
        <f t="shared" si="313"/>
        <v>modesg_inp_risco_fisicocod_nace_esg</v>
      </c>
      <c r="B378" s="67" t="s">
        <v>26</v>
      </c>
      <c r="C378" s="68" t="s">
        <v>181</v>
      </c>
      <c r="D378" s="64" t="s">
        <v>40</v>
      </c>
      <c r="E378" s="66" t="s">
        <v>216</v>
      </c>
      <c r="F378" s="64" t="s">
        <v>281</v>
      </c>
      <c r="G378" s="64" t="str">
        <f>INDEX(Auxiliar!$B$16:$B$24,MATCH(Plano_V3!H378,Auxiliar!$C$16:$C$24,0),1)</f>
        <v>1. Concluído</v>
      </c>
      <c r="H378" s="64">
        <f>VLOOKUP(A378,'Aux - pivots1'!$A:$B,2,0)</f>
        <v>1</v>
      </c>
      <c r="I378" s="183">
        <f>SUMIFS(Table1[Estimação (horas)],Table1[Tabela],Plano_V3!E378,Table1[Campo],Plano_V3!F378)</f>
        <v>0.6</v>
      </c>
      <c r="J378" s="183">
        <f t="shared" si="309"/>
        <v>7.4999999999999997E-2</v>
      </c>
      <c r="K378" s="183">
        <f>SUMIFS(Table1[Horas efetivas],Table1[Tabela],Plano_V3!E378,Table1[Campo],Plano_V3!F378)</f>
        <v>0.6</v>
      </c>
      <c r="L378" s="183">
        <f t="shared" si="310"/>
        <v>7.4999999999999997E-2</v>
      </c>
      <c r="M378" s="177"/>
      <c r="N378" s="177">
        <f t="shared" si="311"/>
        <v>1</v>
      </c>
      <c r="O378" s="177">
        <f t="shared" si="312"/>
        <v>1</v>
      </c>
      <c r="P378" s="89" t="s">
        <v>39</v>
      </c>
      <c r="Q378" s="90">
        <f t="shared" si="314"/>
        <v>7.4999999999999997E-2</v>
      </c>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hidden="1" outlineLevel="1">
      <c r="A379" s="29" t="str">
        <f t="shared" si="313"/>
        <v>modesg_inp_risco_fisicoflg_rsc_fsc_agd</v>
      </c>
      <c r="B379" s="67" t="s">
        <v>26</v>
      </c>
      <c r="C379" s="68" t="s">
        <v>181</v>
      </c>
      <c r="D379" s="64" t="s">
        <v>40</v>
      </c>
      <c r="E379" s="66" t="s">
        <v>216</v>
      </c>
      <c r="F379" s="64" t="s">
        <v>282</v>
      </c>
      <c r="G379" s="64" t="str">
        <f>INDEX(Auxiliar!$B$16:$B$24,MATCH(Plano_V3!H379,Auxiliar!$C$16:$C$24,0),1)</f>
        <v>1. Concluído</v>
      </c>
      <c r="H379" s="64">
        <f>VLOOKUP(A379,'Aux - pivots1'!$A:$B,2,0)</f>
        <v>1</v>
      </c>
      <c r="I379" s="183">
        <f>SUMIFS(Table1[Estimação (horas)],Table1[Tabela],Plano_V3!E379,Table1[Campo],Plano_V3!F379)</f>
        <v>0.6</v>
      </c>
      <c r="J379" s="183">
        <f t="shared" si="309"/>
        <v>7.4999999999999997E-2</v>
      </c>
      <c r="K379" s="183">
        <f>SUMIFS(Table1[Horas efetivas],Table1[Tabela],Plano_V3!E379,Table1[Campo],Plano_V3!F379)</f>
        <v>0.6</v>
      </c>
      <c r="L379" s="183">
        <f t="shared" si="310"/>
        <v>7.4999999999999997E-2</v>
      </c>
      <c r="M379" s="177"/>
      <c r="N379" s="177">
        <f t="shared" si="311"/>
        <v>1</v>
      </c>
      <c r="O379" s="177">
        <f t="shared" si="312"/>
        <v>1</v>
      </c>
      <c r="P379" s="89" t="s">
        <v>39</v>
      </c>
      <c r="Q379" s="90">
        <f t="shared" si="314"/>
        <v>7.4999999999999997E-2</v>
      </c>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hidden="1" outlineLevel="1">
      <c r="A380" s="29" t="str">
        <f t="shared" si="313"/>
        <v>modesg_inp_risco_fisicoflg_rsc_fsc_crnc</v>
      </c>
      <c r="B380" s="67" t="s">
        <v>26</v>
      </c>
      <c r="C380" s="68" t="s">
        <v>181</v>
      </c>
      <c r="D380" s="64" t="s">
        <v>40</v>
      </c>
      <c r="E380" s="66" t="s">
        <v>216</v>
      </c>
      <c r="F380" s="64" t="s">
        <v>283</v>
      </c>
      <c r="G380" s="64" t="str">
        <f>INDEX(Auxiliar!$B$16:$B$24,MATCH(Plano_V3!H380,Auxiliar!$C$16:$C$24,0),1)</f>
        <v>1. Concluído</v>
      </c>
      <c r="H380" s="64">
        <f>VLOOKUP(A380,'Aux - pivots1'!$A:$B,2,0)</f>
        <v>1</v>
      </c>
      <c r="I380" s="183">
        <f>SUMIFS(Table1[Estimação (horas)],Table1[Tabela],Plano_V3!E380,Table1[Campo],Plano_V3!F380)</f>
        <v>0.6</v>
      </c>
      <c r="J380" s="183">
        <f t="shared" si="309"/>
        <v>7.4999999999999997E-2</v>
      </c>
      <c r="K380" s="183">
        <f>SUMIFS(Table1[Horas efetivas],Table1[Tabela],Plano_V3!E380,Table1[Campo],Plano_V3!F380)</f>
        <v>0.6</v>
      </c>
      <c r="L380" s="183">
        <f t="shared" si="310"/>
        <v>7.4999999999999997E-2</v>
      </c>
      <c r="M380" s="177"/>
      <c r="N380" s="177">
        <f t="shared" si="311"/>
        <v>1</v>
      </c>
      <c r="O380" s="177">
        <f t="shared" si="312"/>
        <v>1</v>
      </c>
      <c r="P380" s="89" t="s">
        <v>39</v>
      </c>
      <c r="Q380" s="90">
        <f t="shared" si="314"/>
        <v>7.4999999999999997E-2</v>
      </c>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hidden="1" outlineLevel="1">
      <c r="A381" s="29" t="str">
        <f>E381&amp;F381</f>
        <v>modesg_inp_risco_fisico_zipcodecod_pais</v>
      </c>
      <c r="B381" s="67" t="s">
        <v>26</v>
      </c>
      <c r="C381" s="68" t="s">
        <v>181</v>
      </c>
      <c r="D381" s="64" t="s">
        <v>40</v>
      </c>
      <c r="E381" s="66" t="s">
        <v>2160</v>
      </c>
      <c r="F381" s="64" t="s">
        <v>279</v>
      </c>
      <c r="G381" s="64" t="str">
        <f>INDEX(Auxiliar!$B$16:$B$24,MATCH(Plano_V3!H381,Auxiliar!$C$16:$C$24,0),1)</f>
        <v>2.1 Em Teste</v>
      </c>
      <c r="H381" s="64">
        <f>VLOOKUP(A381,'Aux - pivots1'!$A:$B,2,0)</f>
        <v>2</v>
      </c>
      <c r="I381" s="183" t="e">
        <f>SUMIFS(Table1[Estimação (horas)],Table1[Tabela],Plano_V3!E381,Table1[Campo],Plano_V3!F381)</f>
        <v>#N/A</v>
      </c>
      <c r="J381" s="183" t="e">
        <f>I381/8</f>
        <v>#N/A</v>
      </c>
      <c r="K381" s="183" t="e">
        <f>SUMIFS(Table1[Horas efetivas],Table1[Tabela],Plano_V3!E381,Table1[Campo],Plano_V3!F381)</f>
        <v>#N/A</v>
      </c>
      <c r="L381" s="183" t="e">
        <f>K381/8</f>
        <v>#N/A</v>
      </c>
      <c r="M381" s="177"/>
      <c r="N381" s="177" t="e">
        <f>L381/J381</f>
        <v>#N/A</v>
      </c>
      <c r="O381" s="177" t="e">
        <f>N381-M381</f>
        <v>#N/A</v>
      </c>
      <c r="P381" s="89" t="s">
        <v>39</v>
      </c>
      <c r="Q381" s="90"/>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hidden="1" outlineLevel="1">
      <c r="A382" s="29" t="str">
        <f>E382&amp;F382</f>
        <v>modesg_inp_risco_fisico_zipcodelocalizacao</v>
      </c>
      <c r="B382" s="67" t="s">
        <v>26</v>
      </c>
      <c r="C382" s="68" t="s">
        <v>181</v>
      </c>
      <c r="D382" s="64" t="s">
        <v>40</v>
      </c>
      <c r="E382" s="66" t="s">
        <v>2160</v>
      </c>
      <c r="F382" s="64" t="s">
        <v>2161</v>
      </c>
      <c r="G382" s="64" t="str">
        <f>INDEX(Auxiliar!$B$16:$B$24,MATCH(Plano_V3!H382,Auxiliar!$C$16:$C$24,0),1)</f>
        <v>2.1 Em Teste</v>
      </c>
      <c r="H382" s="64">
        <f>VLOOKUP(A382,'Aux - pivots1'!$A:$B,2,0)</f>
        <v>2</v>
      </c>
      <c r="I382" s="183" t="e">
        <f>SUMIFS(Table1[Estimação (horas)],Table1[Tabela],Plano_V3!E382,Table1[Campo],Plano_V3!F382)</f>
        <v>#N/A</v>
      </c>
      <c r="J382" s="183" t="e">
        <f>I382/8</f>
        <v>#N/A</v>
      </c>
      <c r="K382" s="183" t="e">
        <f>SUMIFS(Table1[Horas efetivas],Table1[Tabela],Plano_V3!E382,Table1[Campo],Plano_V3!F382)</f>
        <v>#N/A</v>
      </c>
      <c r="L382" s="183" t="e">
        <f>K382/8</f>
        <v>#N/A</v>
      </c>
      <c r="M382" s="177"/>
      <c r="N382" s="177" t="e">
        <f>L382/J382</f>
        <v>#N/A</v>
      </c>
      <c r="O382" s="177" t="e">
        <f>N382-M382</f>
        <v>#N/A</v>
      </c>
      <c r="P382" s="89" t="s">
        <v>39</v>
      </c>
      <c r="Q382" s="90"/>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hidden="1" outlineLevel="1">
      <c r="A383" s="29" t="str">
        <f>E383&amp;F383</f>
        <v>modesg_inp_risco_fisico_zipcodecod_nace_esg</v>
      </c>
      <c r="B383" s="67" t="s">
        <v>26</v>
      </c>
      <c r="C383" s="68" t="s">
        <v>181</v>
      </c>
      <c r="D383" s="64" t="s">
        <v>40</v>
      </c>
      <c r="E383" s="66" t="s">
        <v>2160</v>
      </c>
      <c r="F383" s="64" t="s">
        <v>281</v>
      </c>
      <c r="G383" s="64" t="str">
        <f>INDEX(Auxiliar!$B$16:$B$24,MATCH(Plano_V3!H383,Auxiliar!$C$16:$C$24,0),1)</f>
        <v>2.1 Em Teste</v>
      </c>
      <c r="H383" s="64">
        <f>VLOOKUP(A383,'Aux - pivots1'!$A:$B,2,0)</f>
        <v>2</v>
      </c>
      <c r="I383" s="183" t="e">
        <f>SUMIFS(Table1[Estimação (horas)],Table1[Tabela],Plano_V3!E383,Table1[Campo],Plano_V3!F383)</f>
        <v>#N/A</v>
      </c>
      <c r="J383" s="183" t="e">
        <f>I383/8</f>
        <v>#N/A</v>
      </c>
      <c r="K383" s="183" t="e">
        <f>SUMIFS(Table1[Horas efetivas],Table1[Tabela],Plano_V3!E383,Table1[Campo],Plano_V3!F383)</f>
        <v>#N/A</v>
      </c>
      <c r="L383" s="183" t="e">
        <f>K383/8</f>
        <v>#N/A</v>
      </c>
      <c r="M383" s="177"/>
      <c r="N383" s="177" t="e">
        <f>L383/J383</f>
        <v>#N/A</v>
      </c>
      <c r="O383" s="177" t="e">
        <f>N383-M383</f>
        <v>#N/A</v>
      </c>
      <c r="P383" s="89" t="s">
        <v>39</v>
      </c>
      <c r="Q383" s="90"/>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hidden="1" outlineLevel="1">
      <c r="A384" s="29" t="str">
        <f>E384&amp;F384</f>
        <v>modesg_inp_risco_fisico_zipcodeflg_rsc_fsc_agd</v>
      </c>
      <c r="B384" s="67" t="s">
        <v>26</v>
      </c>
      <c r="C384" s="68" t="s">
        <v>181</v>
      </c>
      <c r="D384" s="64" t="s">
        <v>40</v>
      </c>
      <c r="E384" s="66" t="s">
        <v>2160</v>
      </c>
      <c r="F384" s="64" t="s">
        <v>282</v>
      </c>
      <c r="G384" s="64" t="str">
        <f>INDEX(Auxiliar!$B$16:$B$24,MATCH(Plano_V3!H384,Auxiliar!$C$16:$C$24,0),1)</f>
        <v>2.1 Em Teste</v>
      </c>
      <c r="H384" s="64">
        <f>VLOOKUP(A384,'Aux - pivots1'!$A:$B,2,0)</f>
        <v>2</v>
      </c>
      <c r="I384" s="183" t="e">
        <f>SUMIFS(Table1[Estimação (horas)],Table1[Tabela],Plano_V3!E384,Table1[Campo],Plano_V3!F384)</f>
        <v>#N/A</v>
      </c>
      <c r="J384" s="183" t="e">
        <f>I384/8</f>
        <v>#N/A</v>
      </c>
      <c r="K384" s="183" t="e">
        <f>SUMIFS(Table1[Horas efetivas],Table1[Tabela],Plano_V3!E384,Table1[Campo],Plano_V3!F384)</f>
        <v>#N/A</v>
      </c>
      <c r="L384" s="183" t="e">
        <f>K384/8</f>
        <v>#N/A</v>
      </c>
      <c r="M384" s="177"/>
      <c r="N384" s="177" t="e">
        <f>L384/J384</f>
        <v>#N/A</v>
      </c>
      <c r="O384" s="177" t="e">
        <f>N384-M384</f>
        <v>#N/A</v>
      </c>
      <c r="P384" s="89" t="s">
        <v>39</v>
      </c>
      <c r="Q384" s="90"/>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hidden="1" outlineLevel="1">
      <c r="A385" s="29" t="str">
        <f>E385&amp;F385</f>
        <v>modesg_inp_risco_fisico_zipcodeflg_rsc_fsc_crnc</v>
      </c>
      <c r="B385" s="67" t="s">
        <v>26</v>
      </c>
      <c r="C385" s="68" t="s">
        <v>181</v>
      </c>
      <c r="D385" s="64" t="s">
        <v>40</v>
      </c>
      <c r="E385" s="66" t="s">
        <v>2160</v>
      </c>
      <c r="F385" s="64" t="s">
        <v>283</v>
      </c>
      <c r="G385" s="64" t="str">
        <f>INDEX(Auxiliar!$B$16:$B$24,MATCH(Plano_V3!H385,Auxiliar!$C$16:$C$24,0),1)</f>
        <v>2.1 Em Teste</v>
      </c>
      <c r="H385" s="64">
        <f>VLOOKUP(A385,'Aux - pivots1'!$A:$B,2,0)</f>
        <v>2</v>
      </c>
      <c r="I385" s="183" t="e">
        <f>SUMIFS(Table1[Estimação (horas)],Table1[Tabela],Plano_V3!E385,Table1[Campo],Plano_V3!F385)</f>
        <v>#N/A</v>
      </c>
      <c r="J385" s="183" t="e">
        <f>I385/8</f>
        <v>#N/A</v>
      </c>
      <c r="K385" s="183" t="e">
        <f>SUMIFS(Table1[Horas efetivas],Table1[Tabela],Plano_V3!E385,Table1[Campo],Plano_V3!F385)</f>
        <v>#N/A</v>
      </c>
      <c r="L385" s="183" t="e">
        <f>K385/8</f>
        <v>#N/A</v>
      </c>
      <c r="M385" s="177"/>
      <c r="N385" s="177" t="e">
        <f>L385/J385</f>
        <v>#N/A</v>
      </c>
      <c r="O385" s="177" t="e">
        <f>N385-M385</f>
        <v>#N/A</v>
      </c>
      <c r="P385" s="89" t="s">
        <v>39</v>
      </c>
      <c r="Q385" s="90"/>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hidden="1" outlineLevel="1">
      <c r="A386" s="29" t="str">
        <f t="shared" si="313"/>
        <v>modesg_inp_emss_scibref_date</v>
      </c>
      <c r="B386" s="67" t="s">
        <v>26</v>
      </c>
      <c r="C386" s="68" t="s">
        <v>181</v>
      </c>
      <c r="D386" s="64" t="s">
        <v>40</v>
      </c>
      <c r="E386" s="66" t="s">
        <v>217</v>
      </c>
      <c r="F386" s="64" t="s">
        <v>208</v>
      </c>
      <c r="G386" s="64" t="str">
        <f>INDEX(Auxiliar!$B$16:$B$24,MATCH(Plano_V3!H386,Auxiliar!$C$16:$C$24,0),1)</f>
        <v>1. Concluído</v>
      </c>
      <c r="H386" s="64">
        <f>VLOOKUP(A386,'Aux - pivots1'!$A:$B,2,0)</f>
        <v>1</v>
      </c>
      <c r="I386" s="183">
        <f>SUMIFS(Table1[Estimação (horas)],Table1[Tabela],Plano_V3!E386,Table1[Campo],Plano_V3!F386)</f>
        <v>0.5</v>
      </c>
      <c r="J386" s="183">
        <f t="shared" si="309"/>
        <v>6.25E-2</v>
      </c>
      <c r="K386" s="183">
        <f>SUMIFS(Table1[Horas efetivas],Table1[Tabela],Plano_V3!E386,Table1[Campo],Plano_V3!F386)</f>
        <v>0.5</v>
      </c>
      <c r="L386" s="183">
        <f t="shared" si="310"/>
        <v>6.25E-2</v>
      </c>
      <c r="M386" s="177"/>
      <c r="N386" s="177">
        <f t="shared" si="311"/>
        <v>1</v>
      </c>
      <c r="O386" s="177">
        <f t="shared" si="312"/>
        <v>1</v>
      </c>
      <c r="P386" s="89" t="s">
        <v>39</v>
      </c>
      <c r="Q386" s="90">
        <f t="shared" si="314"/>
        <v>6.25E-2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hidden="1" outlineLevel="1">
      <c r="A387" s="29" t="str">
        <f t="shared" si="313"/>
        <v>modesg_inp_emss_scibccli_kgl</v>
      </c>
      <c r="B387" s="67" t="s">
        <v>26</v>
      </c>
      <c r="C387" s="68" t="s">
        <v>181</v>
      </c>
      <c r="D387" s="64" t="s">
        <v>40</v>
      </c>
      <c r="E387" s="66" t="s">
        <v>217</v>
      </c>
      <c r="F387" s="64" t="s">
        <v>240</v>
      </c>
      <c r="G387" s="64" t="str">
        <f>INDEX(Auxiliar!$B$16:$B$24,MATCH(Plano_V3!H387,Auxiliar!$C$16:$C$24,0),1)</f>
        <v>1. Concluído</v>
      </c>
      <c r="H387" s="64">
        <f>VLOOKUP(A387,'Aux - pivots1'!$A:$B,2,0)</f>
        <v>1</v>
      </c>
      <c r="I387" s="183">
        <f>SUMIFS(Table1[Estimação (horas)],Table1[Tabela],Plano_V3!E387,Table1[Campo],Plano_V3!F387)</f>
        <v>0.6</v>
      </c>
      <c r="J387" s="183">
        <f t="shared" si="309"/>
        <v>7.4999999999999997E-2</v>
      </c>
      <c r="K387" s="183">
        <f>SUMIFS(Table1[Horas efetivas],Table1[Tabela],Plano_V3!E387,Table1[Campo],Plano_V3!F387)</f>
        <v>0.6</v>
      </c>
      <c r="L387" s="183">
        <f t="shared" si="310"/>
        <v>7.4999999999999997E-2</v>
      </c>
      <c r="M387" s="177"/>
      <c r="N387" s="177">
        <f t="shared" si="311"/>
        <v>1</v>
      </c>
      <c r="O387" s="177">
        <f t="shared" si="312"/>
        <v>1</v>
      </c>
      <c r="P387" s="89" t="s">
        <v>39</v>
      </c>
      <c r="Q387" s="90">
        <f t="shared" si="314"/>
        <v>7.4999999999999997E-2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hidden="1" outlineLevel="1">
      <c r="A388" s="29" t="str">
        <f t="shared" si="313"/>
        <v>modesg_inp_emss_scibnome_grupo</v>
      </c>
      <c r="B388" s="67" t="s">
        <v>26</v>
      </c>
      <c r="C388" s="68" t="s">
        <v>181</v>
      </c>
      <c r="D388" s="64" t="s">
        <v>40</v>
      </c>
      <c r="E388" s="66" t="s">
        <v>217</v>
      </c>
      <c r="F388" s="64" t="s">
        <v>284</v>
      </c>
      <c r="G388" s="64" t="str">
        <f>INDEX(Auxiliar!$B$16:$B$24,MATCH(Plano_V3!H388,Auxiliar!$C$16:$C$24,0),1)</f>
        <v>1. Concluído</v>
      </c>
      <c r="H388" s="64">
        <f>VLOOKUP(A388,'Aux - pivots1'!$A:$B,2,0)</f>
        <v>1</v>
      </c>
      <c r="I388" s="183">
        <f>SUMIFS(Table1[Estimação (horas)],Table1[Tabela],Plano_V3!E388,Table1[Campo],Plano_V3!F388)</f>
        <v>0.5</v>
      </c>
      <c r="J388" s="183">
        <f t="shared" si="309"/>
        <v>6.25E-2</v>
      </c>
      <c r="K388" s="183">
        <f>SUMIFS(Table1[Horas efetivas],Table1[Tabela],Plano_V3!E388,Table1[Campo],Plano_V3!F388)</f>
        <v>0.5</v>
      </c>
      <c r="L388" s="183">
        <f t="shared" si="310"/>
        <v>6.25E-2</v>
      </c>
      <c r="M388" s="177"/>
      <c r="N388" s="177">
        <f t="shared" si="311"/>
        <v>1</v>
      </c>
      <c r="O388" s="177">
        <f t="shared" si="312"/>
        <v>1</v>
      </c>
      <c r="P388" s="89" t="s">
        <v>39</v>
      </c>
      <c r="Q388" s="90">
        <f t="shared" si="314"/>
        <v>6.25E-2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hidden="1" outlineLevel="1">
      <c r="A389" s="29" t="str">
        <f t="shared" si="313"/>
        <v>modesg_inp_emss_scibisin</v>
      </c>
      <c r="B389" s="67" t="s">
        <v>26</v>
      </c>
      <c r="C389" s="68" t="s">
        <v>181</v>
      </c>
      <c r="D389" s="64" t="s">
        <v>40</v>
      </c>
      <c r="E389" s="66" t="s">
        <v>217</v>
      </c>
      <c r="F389" s="64" t="s">
        <v>238</v>
      </c>
      <c r="G389" s="64" t="str">
        <f>INDEX(Auxiliar!$B$16:$B$24,MATCH(Plano_V3!H389,Auxiliar!$C$16:$C$24,0),1)</f>
        <v>1. Concluído</v>
      </c>
      <c r="H389" s="64">
        <f>VLOOKUP(A389,'Aux - pivots1'!$A:$B,2,0)</f>
        <v>1</v>
      </c>
      <c r="I389" s="183">
        <f>SUMIFS(Table1[Estimação (horas)],Table1[Tabela],Plano_V3!E389,Table1[Campo],Plano_V3!F389)</f>
        <v>0.6</v>
      </c>
      <c r="J389" s="183">
        <f t="shared" si="309"/>
        <v>7.4999999999999997E-2</v>
      </c>
      <c r="K389" s="183">
        <f>SUMIFS(Table1[Horas efetivas],Table1[Tabela],Plano_V3!E389,Table1[Campo],Plano_V3!F389)</f>
        <v>0.6</v>
      </c>
      <c r="L389" s="183">
        <f t="shared" si="310"/>
        <v>7.4999999999999997E-2</v>
      </c>
      <c r="M389" s="177"/>
      <c r="N389" s="177">
        <f t="shared" si="311"/>
        <v>1</v>
      </c>
      <c r="O389" s="177">
        <f t="shared" si="312"/>
        <v>1</v>
      </c>
      <c r="P389" s="89" t="s">
        <v>39</v>
      </c>
      <c r="Q389" s="90">
        <f t="shared" si="314"/>
        <v>7.4999999999999997E-2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hidden="1" outlineLevel="1">
      <c r="A390" s="29" t="str">
        <f t="shared" si="313"/>
        <v>modesg_inp_emss_scibclei</v>
      </c>
      <c r="B390" s="67" t="s">
        <v>26</v>
      </c>
      <c r="C390" s="68" t="s">
        <v>181</v>
      </c>
      <c r="D390" s="64" t="s">
        <v>40</v>
      </c>
      <c r="E390" s="66" t="s">
        <v>217</v>
      </c>
      <c r="F390" s="64" t="s">
        <v>239</v>
      </c>
      <c r="G390" s="64" t="str">
        <f>INDEX(Auxiliar!$B$16:$B$24,MATCH(Plano_V3!H390,Auxiliar!$C$16:$C$24,0),1)</f>
        <v>1. Concluído</v>
      </c>
      <c r="H390" s="64">
        <f>VLOOKUP(A390,'Aux - pivots1'!$A:$B,2,0)</f>
        <v>1</v>
      </c>
      <c r="I390" s="183">
        <f>SUMIFS(Table1[Estimação (horas)],Table1[Tabela],Plano_V3!E390,Table1[Campo],Plano_V3!F390)</f>
        <v>0.6</v>
      </c>
      <c r="J390" s="183">
        <f t="shared" si="309"/>
        <v>7.4999999999999997E-2</v>
      </c>
      <c r="K390" s="183">
        <f>SUMIFS(Table1[Horas efetivas],Table1[Tabela],Plano_V3!E390,Table1[Campo],Plano_V3!F390)</f>
        <v>0.6</v>
      </c>
      <c r="L390" s="183">
        <f t="shared" si="310"/>
        <v>7.4999999999999997E-2</v>
      </c>
      <c r="M390" s="177"/>
      <c r="N390" s="177">
        <f t="shared" si="311"/>
        <v>1</v>
      </c>
      <c r="O390" s="177">
        <f t="shared" si="312"/>
        <v>1</v>
      </c>
      <c r="P390" s="89" t="s">
        <v>39</v>
      </c>
      <c r="Q390" s="90">
        <f t="shared" si="314"/>
        <v>7.4999999999999997E-2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hidden="1" outlineLevel="1">
      <c r="A391" s="29" t="str">
        <f t="shared" si="313"/>
        <v>modesg_inp_emss_scibscp1_emss</v>
      </c>
      <c r="B391" s="67" t="s">
        <v>26</v>
      </c>
      <c r="C391" s="68" t="s">
        <v>181</v>
      </c>
      <c r="D391" s="64" t="s">
        <v>40</v>
      </c>
      <c r="E391" s="66" t="s">
        <v>217</v>
      </c>
      <c r="F391" s="64" t="s">
        <v>285</v>
      </c>
      <c r="G391" s="64" t="str">
        <f>INDEX(Auxiliar!$B$16:$B$24,MATCH(Plano_V3!H391,Auxiliar!$C$16:$C$24,0),1)</f>
        <v>1. Concluído</v>
      </c>
      <c r="H391" s="64">
        <f>VLOOKUP(A391,'Aux - pivots1'!$A:$B,2,0)</f>
        <v>1</v>
      </c>
      <c r="I391" s="183">
        <f>SUMIFS(Table1[Estimação (horas)],Table1[Tabela],Plano_V3!E391,Table1[Campo],Plano_V3!F391)</f>
        <v>0.6</v>
      </c>
      <c r="J391" s="183">
        <f t="shared" si="309"/>
        <v>7.4999999999999997E-2</v>
      </c>
      <c r="K391" s="183">
        <f>SUMIFS(Table1[Horas efetivas],Table1[Tabela],Plano_V3!E391,Table1[Campo],Plano_V3!F391)</f>
        <v>0.6</v>
      </c>
      <c r="L391" s="183">
        <f t="shared" si="310"/>
        <v>7.4999999999999997E-2</v>
      </c>
      <c r="M391" s="177"/>
      <c r="N391" s="177">
        <f t="shared" si="311"/>
        <v>1</v>
      </c>
      <c r="O391" s="177">
        <f t="shared" si="312"/>
        <v>1</v>
      </c>
      <c r="P391" s="89" t="s">
        <v>39</v>
      </c>
      <c r="Q391" s="90">
        <f t="shared" si="314"/>
        <v>7.4999999999999997E-2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hidden="1" outlineLevel="1">
      <c r="A392" s="29" t="str">
        <f t="shared" si="313"/>
        <v>modesg_inp_emss_scibscp2_emss</v>
      </c>
      <c r="B392" s="67" t="s">
        <v>26</v>
      </c>
      <c r="C392" s="68" t="s">
        <v>181</v>
      </c>
      <c r="D392" s="64" t="s">
        <v>40</v>
      </c>
      <c r="E392" s="66" t="s">
        <v>217</v>
      </c>
      <c r="F392" s="64" t="s">
        <v>286</v>
      </c>
      <c r="G392" s="64" t="str">
        <f>INDEX(Auxiliar!$B$16:$B$24,MATCH(Plano_V3!H392,Auxiliar!$C$16:$C$24,0),1)</f>
        <v>1. Concluído</v>
      </c>
      <c r="H392" s="64">
        <f>VLOOKUP(A392,'Aux - pivots1'!$A:$B,2,0)</f>
        <v>1</v>
      </c>
      <c r="I392" s="183">
        <f>SUMIFS(Table1[Estimação (horas)],Table1[Tabela],Plano_V3!E392,Table1[Campo],Plano_V3!F392)</f>
        <v>0.6</v>
      </c>
      <c r="J392" s="183">
        <f t="shared" si="309"/>
        <v>7.4999999999999997E-2</v>
      </c>
      <c r="K392" s="183">
        <f>SUMIFS(Table1[Horas efetivas],Table1[Tabela],Plano_V3!E392,Table1[Campo],Plano_V3!F392)</f>
        <v>0.6</v>
      </c>
      <c r="L392" s="183">
        <f t="shared" si="310"/>
        <v>7.4999999999999997E-2</v>
      </c>
      <c r="M392" s="177"/>
      <c r="N392" s="177">
        <f t="shared" si="311"/>
        <v>1</v>
      </c>
      <c r="O392" s="177">
        <f t="shared" si="312"/>
        <v>1</v>
      </c>
      <c r="P392" s="89" t="s">
        <v>39</v>
      </c>
      <c r="Q392" s="90">
        <f t="shared" si="314"/>
        <v>7.4999999999999997E-2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hidden="1" outlineLevel="1">
      <c r="A393" s="29" t="str">
        <f t="shared" si="313"/>
        <v>modesg_inp_emss_scibscp3_emss</v>
      </c>
      <c r="B393" s="67" t="s">
        <v>26</v>
      </c>
      <c r="C393" s="68" t="s">
        <v>181</v>
      </c>
      <c r="D393" s="64" t="s">
        <v>40</v>
      </c>
      <c r="E393" s="66" t="s">
        <v>217</v>
      </c>
      <c r="F393" s="64" t="s">
        <v>287</v>
      </c>
      <c r="G393" s="64" t="str">
        <f>INDEX(Auxiliar!$B$16:$B$24,MATCH(Plano_V3!H393,Auxiliar!$C$16:$C$24,0),1)</f>
        <v>1. Concluído</v>
      </c>
      <c r="H393" s="64">
        <f>VLOOKUP(A393,'Aux - pivots1'!$A:$B,2,0)</f>
        <v>1</v>
      </c>
      <c r="I393" s="183">
        <f>SUMIFS(Table1[Estimação (horas)],Table1[Tabela],Plano_V3!E393,Table1[Campo],Plano_V3!F393)</f>
        <v>0.6</v>
      </c>
      <c r="J393" s="183">
        <f t="shared" si="309"/>
        <v>7.4999999999999997E-2</v>
      </c>
      <c r="K393" s="183">
        <f>SUMIFS(Table1[Horas efetivas],Table1[Tabela],Plano_V3!E393,Table1[Campo],Plano_V3!F393)</f>
        <v>0.6</v>
      </c>
      <c r="L393" s="183">
        <f t="shared" si="310"/>
        <v>7.4999999999999997E-2</v>
      </c>
      <c r="M393" s="177"/>
      <c r="N393" s="177">
        <f t="shared" si="311"/>
        <v>1</v>
      </c>
      <c r="O393" s="177">
        <f t="shared" si="312"/>
        <v>1</v>
      </c>
      <c r="P393" s="89" t="s">
        <v>39</v>
      </c>
      <c r="Q393" s="90">
        <f t="shared" si="314"/>
        <v>7.4999999999999997E-2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hidden="1" outlineLevel="1">
      <c r="A394" s="29" t="str">
        <f t="shared" si="313"/>
        <v>modesg_inp_emss_scibscore_scp1</v>
      </c>
      <c r="B394" s="67" t="s">
        <v>26</v>
      </c>
      <c r="C394" s="68" t="s">
        <v>181</v>
      </c>
      <c r="D394" s="64" t="s">
        <v>40</v>
      </c>
      <c r="E394" s="66" t="s">
        <v>217</v>
      </c>
      <c r="F394" s="64" t="s">
        <v>288</v>
      </c>
      <c r="G394" s="64" t="str">
        <f>INDEX(Auxiliar!$B$16:$B$24,MATCH(Plano_V3!H394,Auxiliar!$C$16:$C$24,0),1)</f>
        <v>1. Concluído</v>
      </c>
      <c r="H394" s="64">
        <f>VLOOKUP(A394,'Aux - pivots1'!$A:$B,2,0)</f>
        <v>1</v>
      </c>
      <c r="I394" s="183">
        <f>SUMIFS(Table1[Estimação (horas)],Table1[Tabela],Plano_V3!E394,Table1[Campo],Plano_V3!F394)</f>
        <v>0.5</v>
      </c>
      <c r="J394" s="183">
        <f t="shared" si="309"/>
        <v>6.25E-2</v>
      </c>
      <c r="K394" s="183">
        <f>SUMIFS(Table1[Horas efetivas],Table1[Tabela],Plano_V3!E394,Table1[Campo],Plano_V3!F394)</f>
        <v>0.5</v>
      </c>
      <c r="L394" s="183">
        <f t="shared" si="310"/>
        <v>6.25E-2</v>
      </c>
      <c r="M394" s="177"/>
      <c r="N394" s="177">
        <f t="shared" si="311"/>
        <v>1</v>
      </c>
      <c r="O394" s="177">
        <f t="shared" si="312"/>
        <v>1</v>
      </c>
      <c r="P394" s="89" t="s">
        <v>39</v>
      </c>
      <c r="Q394" s="90">
        <f t="shared" si="314"/>
        <v>6.25E-2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hidden="1" outlineLevel="1">
      <c r="A395" s="29" t="str">
        <f t="shared" si="313"/>
        <v>modesg_inp_emss_scibscore_scp2</v>
      </c>
      <c r="B395" s="67" t="s">
        <v>26</v>
      </c>
      <c r="C395" s="68" t="s">
        <v>181</v>
      </c>
      <c r="D395" s="64" t="s">
        <v>40</v>
      </c>
      <c r="E395" s="66" t="s">
        <v>217</v>
      </c>
      <c r="F395" s="64" t="s">
        <v>289</v>
      </c>
      <c r="G395" s="64" t="str">
        <f>INDEX(Auxiliar!$B$16:$B$24,MATCH(Plano_V3!H395,Auxiliar!$C$16:$C$24,0),1)</f>
        <v>1. Concluído</v>
      </c>
      <c r="H395" s="64">
        <f>VLOOKUP(A395,'Aux - pivots1'!$A:$B,2,0)</f>
        <v>1</v>
      </c>
      <c r="I395" s="183">
        <f>SUMIFS(Table1[Estimação (horas)],Table1[Tabela],Plano_V3!E395,Table1[Campo],Plano_V3!F395)</f>
        <v>0.5</v>
      </c>
      <c r="J395" s="183">
        <f t="shared" si="309"/>
        <v>6.25E-2</v>
      </c>
      <c r="K395" s="183">
        <f>SUMIFS(Table1[Horas efetivas],Table1[Tabela],Plano_V3!E395,Table1[Campo],Plano_V3!F395)</f>
        <v>0.5</v>
      </c>
      <c r="L395" s="183">
        <f t="shared" si="310"/>
        <v>6.25E-2</v>
      </c>
      <c r="M395" s="177"/>
      <c r="N395" s="177">
        <f t="shared" si="311"/>
        <v>1</v>
      </c>
      <c r="O395" s="177">
        <f t="shared" si="312"/>
        <v>1</v>
      </c>
      <c r="P395" s="89" t="s">
        <v>39</v>
      </c>
      <c r="Q395" s="90">
        <f t="shared" si="314"/>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hidden="1" outlineLevel="1">
      <c r="A396" s="29" t="str">
        <f t="shared" si="313"/>
        <v>modesg_inp_emss_scibscore_scp3</v>
      </c>
      <c r="B396" s="67" t="s">
        <v>26</v>
      </c>
      <c r="C396" s="68" t="s">
        <v>181</v>
      </c>
      <c r="D396" s="64" t="s">
        <v>40</v>
      </c>
      <c r="E396" s="66" t="s">
        <v>217</v>
      </c>
      <c r="F396" s="64" t="s">
        <v>290</v>
      </c>
      <c r="G396" s="64" t="str">
        <f>INDEX(Auxiliar!$B$16:$B$24,MATCH(Plano_V3!H396,Auxiliar!$C$16:$C$24,0),1)</f>
        <v>1. Concluído</v>
      </c>
      <c r="H396" s="64">
        <f>VLOOKUP(A396,'Aux - pivots1'!$A:$B,2,0)</f>
        <v>1</v>
      </c>
      <c r="I396" s="183">
        <f>SUMIFS(Table1[Estimação (horas)],Table1[Tabela],Plano_V3!E396,Table1[Campo],Plano_V3!F396)</f>
        <v>0.5</v>
      </c>
      <c r="J396" s="183">
        <f t="shared" si="309"/>
        <v>6.25E-2</v>
      </c>
      <c r="K396" s="183">
        <f>SUMIFS(Table1[Horas efetivas],Table1[Tabela],Plano_V3!E396,Table1[Campo],Plano_V3!F396)</f>
        <v>0.5</v>
      </c>
      <c r="L396" s="183">
        <f t="shared" si="310"/>
        <v>6.25E-2</v>
      </c>
      <c r="M396" s="177"/>
      <c r="N396" s="177">
        <f t="shared" si="311"/>
        <v>1</v>
      </c>
      <c r="O396" s="177">
        <f t="shared" si="312"/>
        <v>1</v>
      </c>
      <c r="P396" s="89" t="s">
        <v>39</v>
      </c>
      <c r="Q396" s="90">
        <f t="shared" si="314"/>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hidden="1" outlineLevel="1">
      <c r="A397" s="29" t="str">
        <f t="shared" si="313"/>
        <v>modesg_inp_emss_sciborigem_scp1</v>
      </c>
      <c r="B397" s="67" t="s">
        <v>26</v>
      </c>
      <c r="C397" s="68" t="s">
        <v>181</v>
      </c>
      <c r="D397" s="64" t="s">
        <v>40</v>
      </c>
      <c r="E397" s="66" t="s">
        <v>217</v>
      </c>
      <c r="F397" s="64" t="s">
        <v>291</v>
      </c>
      <c r="G397" s="64" t="str">
        <f>INDEX(Auxiliar!$B$16:$B$24,MATCH(Plano_V3!H397,Auxiliar!$C$16:$C$24,0),1)</f>
        <v>1. Concluído</v>
      </c>
      <c r="H397" s="64">
        <f>VLOOKUP(A397,'Aux - pivots1'!$A:$B,2,0)</f>
        <v>1</v>
      </c>
      <c r="I397" s="183">
        <f>SUMIFS(Table1[Estimação (horas)],Table1[Tabela],Plano_V3!E397,Table1[Campo],Plano_V3!F397)</f>
        <v>0.5</v>
      </c>
      <c r="J397" s="183">
        <f t="shared" si="309"/>
        <v>6.25E-2</v>
      </c>
      <c r="K397" s="183">
        <f>SUMIFS(Table1[Horas efetivas],Table1[Tabela],Plano_V3!E397,Table1[Campo],Plano_V3!F397)</f>
        <v>0.5</v>
      </c>
      <c r="L397" s="183">
        <f t="shared" si="310"/>
        <v>6.25E-2</v>
      </c>
      <c r="M397" s="177"/>
      <c r="N397" s="177">
        <f t="shared" si="311"/>
        <v>1</v>
      </c>
      <c r="O397" s="177">
        <f t="shared" si="312"/>
        <v>1</v>
      </c>
      <c r="P397" s="89" t="s">
        <v>39</v>
      </c>
      <c r="Q397" s="90">
        <f t="shared" si="314"/>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hidden="1" outlineLevel="1">
      <c r="A398" s="29" t="str">
        <f t="shared" si="313"/>
        <v>modesg_inp_emss_sciborigem_scp2</v>
      </c>
      <c r="B398" s="67" t="s">
        <v>26</v>
      </c>
      <c r="C398" s="68" t="s">
        <v>181</v>
      </c>
      <c r="D398" s="64" t="s">
        <v>40</v>
      </c>
      <c r="E398" s="66" t="s">
        <v>217</v>
      </c>
      <c r="F398" s="64" t="s">
        <v>292</v>
      </c>
      <c r="G398" s="64" t="str">
        <f>INDEX(Auxiliar!$B$16:$B$24,MATCH(Plano_V3!H398,Auxiliar!$C$16:$C$24,0),1)</f>
        <v>1. Concluído</v>
      </c>
      <c r="H398" s="64">
        <f>VLOOKUP(A398,'Aux - pivots1'!$A:$B,2,0)</f>
        <v>1</v>
      </c>
      <c r="I398" s="183">
        <f>SUMIFS(Table1[Estimação (horas)],Table1[Tabela],Plano_V3!E398,Table1[Campo],Plano_V3!F398)</f>
        <v>0.5</v>
      </c>
      <c r="J398" s="183">
        <f t="shared" si="309"/>
        <v>6.25E-2</v>
      </c>
      <c r="K398" s="183">
        <f>SUMIFS(Table1[Horas efetivas],Table1[Tabela],Plano_V3!E398,Table1[Campo],Plano_V3!F398)</f>
        <v>0.5</v>
      </c>
      <c r="L398" s="183">
        <f t="shared" si="310"/>
        <v>6.25E-2</v>
      </c>
      <c r="M398" s="177"/>
      <c r="N398" s="177">
        <f t="shared" si="311"/>
        <v>1</v>
      </c>
      <c r="O398" s="177">
        <f t="shared" si="312"/>
        <v>1</v>
      </c>
      <c r="P398" s="89" t="s">
        <v>39</v>
      </c>
      <c r="Q398" s="90">
        <f t="shared" si="314"/>
        <v>6.25E-2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hidden="1" outlineLevel="1">
      <c r="A399" s="29" t="str">
        <f t="shared" si="313"/>
        <v>modesg_inp_emss_sciborigem_scp3</v>
      </c>
      <c r="B399" s="67" t="s">
        <v>26</v>
      </c>
      <c r="C399" s="68" t="s">
        <v>181</v>
      </c>
      <c r="D399" s="64" t="s">
        <v>40</v>
      </c>
      <c r="E399" s="66" t="s">
        <v>217</v>
      </c>
      <c r="F399" s="64" t="s">
        <v>293</v>
      </c>
      <c r="G399" s="64" t="str">
        <f>INDEX(Auxiliar!$B$16:$B$24,MATCH(Plano_V3!H399,Auxiliar!$C$16:$C$24,0),1)</f>
        <v>1. Concluído</v>
      </c>
      <c r="H399" s="64">
        <f>VLOOKUP(A399,'Aux - pivots1'!$A:$B,2,0)</f>
        <v>1</v>
      </c>
      <c r="I399" s="183">
        <f>SUMIFS(Table1[Estimação (horas)],Table1[Tabela],Plano_V3!E399,Table1[Campo],Plano_V3!F399)</f>
        <v>0.5</v>
      </c>
      <c r="J399" s="183">
        <f t="shared" si="309"/>
        <v>6.25E-2</v>
      </c>
      <c r="K399" s="183">
        <f>SUMIFS(Table1[Horas efetivas],Table1[Tabela],Plano_V3!E399,Table1[Campo],Plano_V3!F399)</f>
        <v>0.5</v>
      </c>
      <c r="L399" s="183">
        <f t="shared" si="310"/>
        <v>6.25E-2</v>
      </c>
      <c r="M399" s="177"/>
      <c r="N399" s="177">
        <f t="shared" si="311"/>
        <v>1</v>
      </c>
      <c r="O399" s="177">
        <f t="shared" si="312"/>
        <v>1</v>
      </c>
      <c r="P399" s="89" t="s">
        <v>39</v>
      </c>
      <c r="Q399" s="90">
        <f t="shared" si="314"/>
        <v>6.25E-2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hidden="1" outlineLevel="1">
      <c r="A400" s="29" t="str">
        <f t="shared" si="313"/>
        <v>modesg_inp_emss_scibano_info</v>
      </c>
      <c r="B400" s="67" t="s">
        <v>26</v>
      </c>
      <c r="C400" s="68" t="s">
        <v>181</v>
      </c>
      <c r="D400" s="64" t="s">
        <v>40</v>
      </c>
      <c r="E400" s="66" t="s">
        <v>217</v>
      </c>
      <c r="F400" s="64" t="s">
        <v>294</v>
      </c>
      <c r="G400" s="64" t="str">
        <f>INDEX(Auxiliar!$B$16:$B$24,MATCH(Plano_V3!H400,Auxiliar!$C$16:$C$24,0),1)</f>
        <v>1. Concluído</v>
      </c>
      <c r="H400" s="64">
        <f>VLOOKUP(A400,'Aux - pivots1'!$A:$B,2,0)</f>
        <v>1</v>
      </c>
      <c r="I400" s="183">
        <f>SUMIFS(Table1[Estimação (horas)],Table1[Tabela],Plano_V3!E400,Table1[Campo],Plano_V3!F400)</f>
        <v>0.5</v>
      </c>
      <c r="J400" s="183">
        <f t="shared" si="309"/>
        <v>6.25E-2</v>
      </c>
      <c r="K400" s="183">
        <f>SUMIFS(Table1[Horas efetivas],Table1[Tabela],Plano_V3!E400,Table1[Campo],Plano_V3!F400)</f>
        <v>0.5</v>
      </c>
      <c r="L400" s="183">
        <f t="shared" si="310"/>
        <v>6.25E-2</v>
      </c>
      <c r="M400" s="177"/>
      <c r="N400" s="177">
        <f t="shared" si="311"/>
        <v>1</v>
      </c>
      <c r="O400" s="177">
        <f t="shared" si="312"/>
        <v>1</v>
      </c>
      <c r="P400" s="89" t="s">
        <v>39</v>
      </c>
      <c r="Q400" s="90">
        <f t="shared" si="314"/>
        <v>6.25E-2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hidden="1" outlineLevel="1">
      <c r="A401" s="29" t="str">
        <f t="shared" si="313"/>
        <v>modesg_inp_emss_scibdivida_total</v>
      </c>
      <c r="B401" s="67" t="s">
        <v>26</v>
      </c>
      <c r="C401" s="68" t="s">
        <v>181</v>
      </c>
      <c r="D401" s="64" t="s">
        <v>40</v>
      </c>
      <c r="E401" s="66" t="s">
        <v>217</v>
      </c>
      <c r="F401" s="64" t="s">
        <v>295</v>
      </c>
      <c r="G401" s="64" t="str">
        <f>INDEX(Auxiliar!$B$16:$B$24,MATCH(Plano_V3!H401,Auxiliar!$C$16:$C$24,0),1)</f>
        <v>1. Concluído</v>
      </c>
      <c r="H401" s="64">
        <f>VLOOKUP(A401,'Aux - pivots1'!$A:$B,2,0)</f>
        <v>1</v>
      </c>
      <c r="I401" s="183">
        <f>SUMIFS(Table1[Estimação (horas)],Table1[Tabela],Plano_V3!E401,Table1[Campo],Plano_V3!F401)</f>
        <v>0.5</v>
      </c>
      <c r="J401" s="183">
        <f t="shared" ref="J401:J441" si="315">I401/8</f>
        <v>6.25E-2</v>
      </c>
      <c r="K401" s="183">
        <f>SUMIFS(Table1[Horas efetivas],Table1[Tabela],Plano_V3!E401,Table1[Campo],Plano_V3!F401)</f>
        <v>0.5</v>
      </c>
      <c r="L401" s="183">
        <f t="shared" si="310"/>
        <v>6.25E-2</v>
      </c>
      <c r="M401" s="177"/>
      <c r="N401" s="177">
        <f t="shared" si="311"/>
        <v>1</v>
      </c>
      <c r="O401" s="177">
        <f t="shared" si="312"/>
        <v>1</v>
      </c>
      <c r="P401" s="89" t="s">
        <v>39</v>
      </c>
      <c r="Q401" s="90">
        <f t="shared" si="314"/>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hidden="1" outlineLevel="1">
      <c r="A402" s="29" t="str">
        <f t="shared" si="313"/>
        <v>modesg_inp_emss_scibcapital_proprio</v>
      </c>
      <c r="B402" s="67" t="s">
        <v>26</v>
      </c>
      <c r="C402" s="68" t="s">
        <v>181</v>
      </c>
      <c r="D402" s="64" t="s">
        <v>40</v>
      </c>
      <c r="E402" s="66" t="s">
        <v>217</v>
      </c>
      <c r="F402" s="64" t="s">
        <v>296</v>
      </c>
      <c r="G402" s="64" t="str">
        <f>INDEX(Auxiliar!$B$16:$B$24,MATCH(Plano_V3!H402,Auxiliar!$C$16:$C$24,0),1)</f>
        <v>1. Concluído</v>
      </c>
      <c r="H402" s="64">
        <f>VLOOKUP(A402,'Aux - pivots1'!$A:$B,2,0)</f>
        <v>1</v>
      </c>
      <c r="I402" s="183">
        <f>SUMIFS(Table1[Estimação (horas)],Table1[Tabela],Plano_V3!E402,Table1[Campo],Plano_V3!F402)</f>
        <v>0.5</v>
      </c>
      <c r="J402" s="183">
        <f t="shared" si="315"/>
        <v>6.25E-2</v>
      </c>
      <c r="K402" s="183">
        <f>SUMIFS(Table1[Horas efetivas],Table1[Tabela],Plano_V3!E402,Table1[Campo],Plano_V3!F402)</f>
        <v>0.5</v>
      </c>
      <c r="L402" s="183">
        <f t="shared" ref="L402:L441" si="316">K402/8</f>
        <v>6.25E-2</v>
      </c>
      <c r="M402" s="177"/>
      <c r="N402" s="177">
        <f t="shared" ref="N402:N441" si="317">L402/J402</f>
        <v>1</v>
      </c>
      <c r="O402" s="177">
        <f t="shared" si="312"/>
        <v>1</v>
      </c>
      <c r="P402" s="89" t="s">
        <v>39</v>
      </c>
      <c r="Q402" s="90">
        <f t="shared" si="314"/>
        <v>6.25E-2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hidden="1" outlineLevel="1">
      <c r="A403" s="29" t="str">
        <f t="shared" si="313"/>
        <v>modesg_inp_emss_naceref_date</v>
      </c>
      <c r="B403" s="67" t="s">
        <v>26</v>
      </c>
      <c r="C403" s="68" t="s">
        <v>181</v>
      </c>
      <c r="D403" s="64" t="s">
        <v>40</v>
      </c>
      <c r="E403" s="66" t="s">
        <v>218</v>
      </c>
      <c r="F403" s="64" t="s">
        <v>208</v>
      </c>
      <c r="G403" s="64" t="str">
        <f>INDEX(Auxiliar!$B$16:$B$24,MATCH(Plano_V3!H403,Auxiliar!$C$16:$C$24,0),1)</f>
        <v>1. Concluído</v>
      </c>
      <c r="H403" s="64">
        <f>VLOOKUP(A403,'Aux - pivots1'!$A:$B,2,0)</f>
        <v>1</v>
      </c>
      <c r="I403" s="183">
        <f>SUMIFS(Table1[Estimação (horas)],Table1[Tabela],Plano_V3!E403,Table1[Campo],Plano_V3!F403)</f>
        <v>0.5</v>
      </c>
      <c r="J403" s="183">
        <f t="shared" si="315"/>
        <v>6.25E-2</v>
      </c>
      <c r="K403" s="183">
        <f>SUMIFS(Table1[Horas efetivas],Table1[Tabela],Plano_V3!E403,Table1[Campo],Plano_V3!F403)</f>
        <v>0.5</v>
      </c>
      <c r="L403" s="183">
        <f t="shared" si="316"/>
        <v>6.25E-2</v>
      </c>
      <c r="M403" s="177"/>
      <c r="N403" s="177">
        <f t="shared" si="317"/>
        <v>1</v>
      </c>
      <c r="O403" s="177">
        <f t="shared" si="312"/>
        <v>1</v>
      </c>
      <c r="P403" s="89" t="s">
        <v>39</v>
      </c>
      <c r="Q403" s="90">
        <f t="shared" si="314"/>
        <v>6.25E-2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hidden="1" outlineLevel="1">
      <c r="A404" s="29" t="str">
        <f t="shared" si="313"/>
        <v>modesg_inp_emss_naceano</v>
      </c>
      <c r="B404" s="67" t="s">
        <v>26</v>
      </c>
      <c r="C404" s="68" t="s">
        <v>181</v>
      </c>
      <c r="D404" s="64" t="s">
        <v>40</v>
      </c>
      <c r="E404" s="66" t="s">
        <v>218</v>
      </c>
      <c r="F404" s="64" t="s">
        <v>297</v>
      </c>
      <c r="G404" s="64" t="str">
        <f>INDEX(Auxiliar!$B$16:$B$24,MATCH(Plano_V3!H404,Auxiliar!$C$16:$C$24,0),1)</f>
        <v>1. Concluído</v>
      </c>
      <c r="H404" s="64">
        <f>VLOOKUP(A404,'Aux - pivots1'!$A:$B,2,0)</f>
        <v>1</v>
      </c>
      <c r="I404" s="183">
        <f>SUMIFS(Table1[Estimação (horas)],Table1[Tabela],Plano_V3!E404,Table1[Campo],Plano_V3!F404)</f>
        <v>0.5</v>
      </c>
      <c r="J404" s="183">
        <f t="shared" si="315"/>
        <v>6.25E-2</v>
      </c>
      <c r="K404" s="183">
        <f>SUMIFS(Table1[Horas efetivas],Table1[Tabela],Plano_V3!E404,Table1[Campo],Plano_V3!F404)</f>
        <v>0.5</v>
      </c>
      <c r="L404" s="183">
        <f t="shared" si="316"/>
        <v>6.25E-2</v>
      </c>
      <c r="M404" s="177"/>
      <c r="N404" s="177">
        <f t="shared" si="317"/>
        <v>1</v>
      </c>
      <c r="O404" s="177">
        <f t="shared" si="312"/>
        <v>1</v>
      </c>
      <c r="P404" s="89" t="s">
        <v>39</v>
      </c>
      <c r="Q404" s="90">
        <f t="shared" si="314"/>
        <v>6.25E-2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hidden="1" outlineLevel="1">
      <c r="A405" s="29" t="str">
        <f t="shared" si="313"/>
        <v>modesg_inp_emss_nacenome_pais</v>
      </c>
      <c r="B405" s="67" t="s">
        <v>26</v>
      </c>
      <c r="C405" s="68" t="s">
        <v>181</v>
      </c>
      <c r="D405" s="64" t="s">
        <v>40</v>
      </c>
      <c r="E405" s="66" t="s">
        <v>218</v>
      </c>
      <c r="F405" s="64" t="s">
        <v>221</v>
      </c>
      <c r="G405" s="64" t="str">
        <f>INDEX(Auxiliar!$B$16:$B$24,MATCH(Plano_V3!H405,Auxiliar!$C$16:$C$24,0),1)</f>
        <v>1. Concluído</v>
      </c>
      <c r="H405" s="64">
        <f>VLOOKUP(A405,'Aux - pivots1'!$A:$B,2,0)</f>
        <v>1</v>
      </c>
      <c r="I405" s="183">
        <f>SUMIFS(Table1[Estimação (horas)],Table1[Tabela],Plano_V3!E405,Table1[Campo],Plano_V3!F405)</f>
        <v>0.5</v>
      </c>
      <c r="J405" s="183">
        <f t="shared" si="315"/>
        <v>6.25E-2</v>
      </c>
      <c r="K405" s="183">
        <f>SUMIFS(Table1[Horas efetivas],Table1[Tabela],Plano_V3!E405,Table1[Campo],Plano_V3!F405)</f>
        <v>0.5</v>
      </c>
      <c r="L405" s="183">
        <f t="shared" si="316"/>
        <v>6.25E-2</v>
      </c>
      <c r="M405" s="177"/>
      <c r="N405" s="177">
        <f t="shared" si="317"/>
        <v>1</v>
      </c>
      <c r="O405" s="177">
        <f t="shared" si="312"/>
        <v>1</v>
      </c>
      <c r="P405" s="89" t="s">
        <v>39</v>
      </c>
      <c r="Q405" s="90">
        <f t="shared" si="314"/>
        <v>6.25E-2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hidden="1" outlineLevel="1">
      <c r="A406" s="29" t="str">
        <f t="shared" si="313"/>
        <v>modesg_inp_emss_nacecod_nace_esg</v>
      </c>
      <c r="B406" s="67" t="s">
        <v>26</v>
      </c>
      <c r="C406" s="68" t="s">
        <v>181</v>
      </c>
      <c r="D406" s="64" t="s">
        <v>40</v>
      </c>
      <c r="E406" s="66" t="s">
        <v>218</v>
      </c>
      <c r="F406" s="64" t="s">
        <v>281</v>
      </c>
      <c r="G406" s="64" t="str">
        <f>INDEX(Auxiliar!$B$16:$B$24,MATCH(Plano_V3!H406,Auxiliar!$C$16:$C$24,0),1)</f>
        <v>1. Concluído</v>
      </c>
      <c r="H406" s="64">
        <f>VLOOKUP(A406,'Aux - pivots1'!$A:$B,2,0)</f>
        <v>1</v>
      </c>
      <c r="I406" s="183">
        <f>SUMIFS(Table1[Estimação (horas)],Table1[Tabela],Plano_V3!E406,Table1[Campo],Plano_V3!F406)</f>
        <v>0.6</v>
      </c>
      <c r="J406" s="183">
        <f t="shared" si="315"/>
        <v>7.4999999999999997E-2</v>
      </c>
      <c r="K406" s="183">
        <f>SUMIFS(Table1[Horas efetivas],Table1[Tabela],Plano_V3!E406,Table1[Campo],Plano_V3!F406)</f>
        <v>0.6</v>
      </c>
      <c r="L406" s="183">
        <f t="shared" si="316"/>
        <v>7.4999999999999997E-2</v>
      </c>
      <c r="M406" s="177"/>
      <c r="N406" s="177">
        <f t="shared" si="317"/>
        <v>1</v>
      </c>
      <c r="O406" s="177">
        <f t="shared" si="312"/>
        <v>1</v>
      </c>
      <c r="P406" s="89" t="s">
        <v>39</v>
      </c>
      <c r="Q406" s="90">
        <f t="shared" si="314"/>
        <v>7.4999999999999997E-2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hidden="1" outlineLevel="1">
      <c r="A407" s="29" t="str">
        <f t="shared" si="313"/>
        <v>modesg_inp_emss_nacecod_class_indust</v>
      </c>
      <c r="B407" s="67" t="s">
        <v>26</v>
      </c>
      <c r="C407" s="68" t="s">
        <v>181</v>
      </c>
      <c r="D407" s="64" t="s">
        <v>40</v>
      </c>
      <c r="E407" s="66" t="s">
        <v>218</v>
      </c>
      <c r="F407" s="64" t="s">
        <v>298</v>
      </c>
      <c r="G407" s="64" t="str">
        <f>INDEX(Auxiliar!$B$16:$B$24,MATCH(Plano_V3!H407,Auxiliar!$C$16:$C$24,0),1)</f>
        <v>1. Concluído</v>
      </c>
      <c r="H407" s="64">
        <f>VLOOKUP(A407,'Aux - pivots1'!$A:$B,2,0)</f>
        <v>1</v>
      </c>
      <c r="I407" s="183">
        <f>SUMIFS(Table1[Estimação (horas)],Table1[Tabela],Plano_V3!E407,Table1[Campo],Plano_V3!F407)</f>
        <v>0.5</v>
      </c>
      <c r="J407" s="183">
        <f t="shared" si="315"/>
        <v>6.25E-2</v>
      </c>
      <c r="K407" s="183">
        <f>SUMIFS(Table1[Horas efetivas],Table1[Tabela],Plano_V3!E407,Table1[Campo],Plano_V3!F407)</f>
        <v>0.5</v>
      </c>
      <c r="L407" s="183">
        <f t="shared" si="316"/>
        <v>6.25E-2</v>
      </c>
      <c r="M407" s="177"/>
      <c r="N407" s="177">
        <f t="shared" si="317"/>
        <v>1</v>
      </c>
      <c r="O407" s="177">
        <f t="shared" si="312"/>
        <v>1</v>
      </c>
      <c r="P407" s="89" t="s">
        <v>39</v>
      </c>
      <c r="Q407" s="90">
        <f t="shared" si="314"/>
        <v>6.25E-2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hidden="1" outlineLevel="1">
      <c r="A408" s="29" t="str">
        <f t="shared" si="313"/>
        <v>modesg_inp_emss_nacenivel_classificacao_1</v>
      </c>
      <c r="B408" s="67" t="s">
        <v>26</v>
      </c>
      <c r="C408" s="68" t="s">
        <v>181</v>
      </c>
      <c r="D408" s="64" t="s">
        <v>40</v>
      </c>
      <c r="E408" s="66" t="s">
        <v>218</v>
      </c>
      <c r="F408" s="64" t="s">
        <v>299</v>
      </c>
      <c r="G408" s="64" t="str">
        <f>INDEX(Auxiliar!$B$16:$B$24,MATCH(Plano_V3!H408,Auxiliar!$C$16:$C$24,0),1)</f>
        <v>1. Concluído</v>
      </c>
      <c r="H408" s="64">
        <f>VLOOKUP(A408,'Aux - pivots1'!$A:$B,2,0)</f>
        <v>1</v>
      </c>
      <c r="I408" s="183">
        <f>SUMIFS(Table1[Estimação (horas)],Table1[Tabela],Plano_V3!E408,Table1[Campo],Plano_V3!F408)</f>
        <v>0.5</v>
      </c>
      <c r="J408" s="183">
        <f t="shared" si="315"/>
        <v>6.25E-2</v>
      </c>
      <c r="K408" s="183">
        <f>SUMIFS(Table1[Horas efetivas],Table1[Tabela],Plano_V3!E408,Table1[Campo],Plano_V3!F408)</f>
        <v>0.5</v>
      </c>
      <c r="L408" s="183">
        <f t="shared" si="316"/>
        <v>6.25E-2</v>
      </c>
      <c r="M408" s="177"/>
      <c r="N408" s="177">
        <f t="shared" si="317"/>
        <v>1</v>
      </c>
      <c r="O408" s="177">
        <f t="shared" si="312"/>
        <v>1</v>
      </c>
      <c r="P408" s="89" t="s">
        <v>39</v>
      </c>
      <c r="Q408" s="90">
        <f t="shared" si="314"/>
        <v>6.25E-2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hidden="1" outlineLevel="1">
      <c r="A409" s="29" t="str">
        <f t="shared" si="313"/>
        <v>modesg_inp_emss_naceclasse_ativo</v>
      </c>
      <c r="B409" s="67" t="s">
        <v>26</v>
      </c>
      <c r="C409" s="68" t="s">
        <v>181</v>
      </c>
      <c r="D409" s="64" t="s">
        <v>40</v>
      </c>
      <c r="E409" s="66" t="s">
        <v>218</v>
      </c>
      <c r="F409" s="64" t="s">
        <v>300</v>
      </c>
      <c r="G409" s="64" t="str">
        <f>INDEX(Auxiliar!$B$16:$B$24,MATCH(Plano_V3!H409,Auxiliar!$C$16:$C$24,0),1)</f>
        <v>1. Concluído</v>
      </c>
      <c r="H409" s="64">
        <f>VLOOKUP(A409,'Aux - pivots1'!$A:$B,2,0)</f>
        <v>1</v>
      </c>
      <c r="I409" s="183">
        <f>SUMIFS(Table1[Estimação (horas)],Table1[Tabela],Plano_V3!E409,Table1[Campo],Plano_V3!F409)</f>
        <v>0.5</v>
      </c>
      <c r="J409" s="183">
        <f t="shared" si="315"/>
        <v>6.25E-2</v>
      </c>
      <c r="K409" s="183">
        <f>SUMIFS(Table1[Horas efetivas],Table1[Tabela],Plano_V3!E409,Table1[Campo],Plano_V3!F409)</f>
        <v>0.5</v>
      </c>
      <c r="L409" s="183">
        <f t="shared" si="316"/>
        <v>6.25E-2</v>
      </c>
      <c r="M409" s="177"/>
      <c r="N409" s="177">
        <f t="shared" si="317"/>
        <v>1</v>
      </c>
      <c r="O409" s="177">
        <f t="shared" si="312"/>
        <v>1</v>
      </c>
      <c r="P409" s="89" t="s">
        <v>39</v>
      </c>
      <c r="Q409" s="90">
        <f t="shared" si="314"/>
        <v>6.25E-2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hidden="1" outlineLevel="1">
      <c r="A410" s="29" t="str">
        <f t="shared" si="313"/>
        <v>modesg_inp_emss_naceopcao_metodologia</v>
      </c>
      <c r="B410" s="67" t="s">
        <v>26</v>
      </c>
      <c r="C410" s="68" t="s">
        <v>181</v>
      </c>
      <c r="D410" s="64" t="s">
        <v>40</v>
      </c>
      <c r="E410" s="66" t="s">
        <v>218</v>
      </c>
      <c r="F410" s="64" t="s">
        <v>301</v>
      </c>
      <c r="G410" s="64" t="str">
        <f>INDEX(Auxiliar!$B$16:$B$24,MATCH(Plano_V3!H410,Auxiliar!$C$16:$C$24,0),1)</f>
        <v>1. Concluído</v>
      </c>
      <c r="H410" s="64">
        <f>VLOOKUP(A410,'Aux - pivots1'!$A:$B,2,0)</f>
        <v>1</v>
      </c>
      <c r="I410" s="183">
        <f>SUMIFS(Table1[Estimação (horas)],Table1[Tabela],Plano_V3!E410,Table1[Campo],Plano_V3!F410)</f>
        <v>0.5</v>
      </c>
      <c r="J410" s="183">
        <f t="shared" si="315"/>
        <v>6.25E-2</v>
      </c>
      <c r="K410" s="183">
        <f>SUMIFS(Table1[Horas efetivas],Table1[Tabela],Plano_V3!E410,Table1[Campo],Plano_V3!F410)</f>
        <v>0.5</v>
      </c>
      <c r="L410" s="183">
        <f t="shared" si="316"/>
        <v>6.25E-2</v>
      </c>
      <c r="M410" s="177"/>
      <c r="N410" s="177">
        <f t="shared" si="317"/>
        <v>1</v>
      </c>
      <c r="O410" s="177">
        <f t="shared" ref="O410:O509" si="318">N410-M410</f>
        <v>1</v>
      </c>
      <c r="P410" s="89" t="s">
        <v>39</v>
      </c>
      <c r="Q410" s="90">
        <f t="shared" si="314"/>
        <v>6.25E-2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hidden="1" outlineLevel="1">
      <c r="A411" s="29" t="str">
        <f t="shared" si="313"/>
        <v>modesg_inp_emss_naceunidade_funcional</v>
      </c>
      <c r="B411" s="67" t="s">
        <v>26</v>
      </c>
      <c r="C411" s="68" t="s">
        <v>181</v>
      </c>
      <c r="D411" s="64" t="s">
        <v>40</v>
      </c>
      <c r="E411" s="66" t="s">
        <v>218</v>
      </c>
      <c r="F411" s="64" t="s">
        <v>229</v>
      </c>
      <c r="G411" s="64" t="str">
        <f>INDEX(Auxiliar!$B$16:$B$24,MATCH(Plano_V3!H411,Auxiliar!$C$16:$C$24,0),1)</f>
        <v>1. Concluído</v>
      </c>
      <c r="H411" s="64">
        <f>VLOOKUP(A411,'Aux - pivots1'!$A:$B,2,0)</f>
        <v>1</v>
      </c>
      <c r="I411" s="183">
        <f>SUMIFS(Table1[Estimação (horas)],Table1[Tabela],Plano_V3!E411,Table1[Campo],Plano_V3!F411)</f>
        <v>0.6</v>
      </c>
      <c r="J411" s="183">
        <f t="shared" si="315"/>
        <v>7.4999999999999997E-2</v>
      </c>
      <c r="K411" s="183">
        <f>SUMIFS(Table1[Horas efetivas],Table1[Tabela],Plano_V3!E411,Table1[Campo],Plano_V3!F411)</f>
        <v>0.6</v>
      </c>
      <c r="L411" s="183">
        <f t="shared" si="316"/>
        <v>7.4999999999999997E-2</v>
      </c>
      <c r="M411" s="177"/>
      <c r="N411" s="177">
        <f t="shared" si="317"/>
        <v>1</v>
      </c>
      <c r="O411" s="177">
        <f t="shared" si="318"/>
        <v>1</v>
      </c>
      <c r="P411" s="89" t="s">
        <v>39</v>
      </c>
      <c r="Q411" s="90">
        <f t="shared" si="314"/>
        <v>7.4999999999999997E-2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hidden="1" outlineLevel="1">
      <c r="A412" s="29" t="str">
        <f t="shared" ref="A412:A451" si="319">E412&amp;F412</f>
        <v>modesg_inp_emss_naceunidades_fator_de_emissao</v>
      </c>
      <c r="B412" s="67" t="s">
        <v>26</v>
      </c>
      <c r="C412" s="68" t="s">
        <v>181</v>
      </c>
      <c r="D412" s="64" t="s">
        <v>40</v>
      </c>
      <c r="E412" s="66" t="s">
        <v>218</v>
      </c>
      <c r="F412" s="64" t="s">
        <v>302</v>
      </c>
      <c r="G412" s="64" t="str">
        <f>INDEX(Auxiliar!$B$16:$B$24,MATCH(Plano_V3!H412,Auxiliar!$C$16:$C$24,0),1)</f>
        <v>1. Concluído</v>
      </c>
      <c r="H412" s="64">
        <f>VLOOKUP(A412,'Aux - pivots1'!$A:$B,2,0)</f>
        <v>1</v>
      </c>
      <c r="I412" s="183">
        <f>SUMIFS(Table1[Estimação (horas)],Table1[Tabela],Plano_V3!E412,Table1[Campo],Plano_V3!F412)</f>
        <v>0.5</v>
      </c>
      <c r="J412" s="183">
        <f t="shared" si="315"/>
        <v>6.25E-2</v>
      </c>
      <c r="K412" s="183">
        <f>SUMIFS(Table1[Horas efetivas],Table1[Tabela],Plano_V3!E412,Table1[Campo],Plano_V3!F412)</f>
        <v>0.5</v>
      </c>
      <c r="L412" s="183">
        <f t="shared" si="316"/>
        <v>6.25E-2</v>
      </c>
      <c r="M412" s="177"/>
      <c r="N412" s="177">
        <f t="shared" si="317"/>
        <v>1</v>
      </c>
      <c r="O412" s="177">
        <f t="shared" si="318"/>
        <v>1</v>
      </c>
      <c r="P412" s="89" t="s">
        <v>39</v>
      </c>
      <c r="Q412" s="90">
        <f t="shared" si="314"/>
        <v>6.25E-2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hidden="1" outlineLevel="1">
      <c r="A413" s="29" t="str">
        <f t="shared" si="319"/>
        <v>modesg_inp_emss_nacescore_qualidade</v>
      </c>
      <c r="B413" s="67" t="s">
        <v>26</v>
      </c>
      <c r="C413" s="68" t="s">
        <v>181</v>
      </c>
      <c r="D413" s="64" t="s">
        <v>40</v>
      </c>
      <c r="E413" s="66" t="s">
        <v>218</v>
      </c>
      <c r="F413" s="64" t="s">
        <v>232</v>
      </c>
      <c r="G413" s="64" t="str">
        <f>INDEX(Auxiliar!$B$16:$B$24,MATCH(Plano_V3!H413,Auxiliar!$C$16:$C$24,0),1)</f>
        <v>1. Concluído</v>
      </c>
      <c r="H413" s="64">
        <f>VLOOKUP(A413,'Aux - pivots1'!$A:$B,2,0)</f>
        <v>1</v>
      </c>
      <c r="I413" s="183">
        <f>SUMIFS(Table1[Estimação (horas)],Table1[Tabela],Plano_V3!E413,Table1[Campo],Plano_V3!F413)</f>
        <v>0.5</v>
      </c>
      <c r="J413" s="183">
        <f t="shared" si="315"/>
        <v>6.25E-2</v>
      </c>
      <c r="K413" s="183">
        <f>SUMIFS(Table1[Horas efetivas],Table1[Tabela],Plano_V3!E413,Table1[Campo],Plano_V3!F413)</f>
        <v>0.5</v>
      </c>
      <c r="L413" s="183">
        <f t="shared" si="316"/>
        <v>6.25E-2</v>
      </c>
      <c r="M413" s="177"/>
      <c r="N413" s="177">
        <f t="shared" si="317"/>
        <v>1</v>
      </c>
      <c r="O413" s="177">
        <f t="shared" si="318"/>
        <v>1</v>
      </c>
      <c r="P413" s="89" t="s">
        <v>39</v>
      </c>
      <c r="Q413" s="90">
        <f t="shared" si="314"/>
        <v>6.25E-2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hidden="1" outlineLevel="1">
      <c r="A414" s="29" t="str">
        <f t="shared" si="319"/>
        <v>modesg_inp_emss_nacescp1_ftr_emss</v>
      </c>
      <c r="B414" s="67" t="s">
        <v>26</v>
      </c>
      <c r="C414" s="68" t="s">
        <v>181</v>
      </c>
      <c r="D414" s="64" t="s">
        <v>40</v>
      </c>
      <c r="E414" s="66" t="s">
        <v>218</v>
      </c>
      <c r="F414" s="64" t="s">
        <v>233</v>
      </c>
      <c r="G414" s="64" t="str">
        <f>INDEX(Auxiliar!$B$16:$B$24,MATCH(Plano_V3!H414,Auxiliar!$C$16:$C$24,0),1)</f>
        <v>1. Concluído</v>
      </c>
      <c r="H414" s="64">
        <f>VLOOKUP(A414,'Aux - pivots1'!$A:$B,2,0)</f>
        <v>1</v>
      </c>
      <c r="I414" s="183">
        <f>SUMIFS(Table1[Estimação (horas)],Table1[Tabela],Plano_V3!E414,Table1[Campo],Plano_V3!F414)</f>
        <v>0.6</v>
      </c>
      <c r="J414" s="183">
        <f t="shared" si="315"/>
        <v>7.4999999999999997E-2</v>
      </c>
      <c r="K414" s="183">
        <f>SUMIFS(Table1[Horas efetivas],Table1[Tabela],Plano_V3!E414,Table1[Campo],Plano_V3!F414)</f>
        <v>0.6</v>
      </c>
      <c r="L414" s="183">
        <f t="shared" si="316"/>
        <v>7.4999999999999997E-2</v>
      </c>
      <c r="M414" s="177"/>
      <c r="N414" s="177">
        <f t="shared" si="317"/>
        <v>1</v>
      </c>
      <c r="O414" s="177">
        <f t="shared" si="318"/>
        <v>1</v>
      </c>
      <c r="P414" s="89" t="s">
        <v>39</v>
      </c>
      <c r="Q414" s="90">
        <f t="shared" si="314"/>
        <v>7.4999999999999997E-2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hidden="1" outlineLevel="1">
      <c r="A415" s="29" t="str">
        <f t="shared" si="319"/>
        <v>modesg_inp_emss_nacescp2_ftr_emss</v>
      </c>
      <c r="B415" s="67" t="s">
        <v>26</v>
      </c>
      <c r="C415" s="68" t="s">
        <v>181</v>
      </c>
      <c r="D415" s="64" t="s">
        <v>40</v>
      </c>
      <c r="E415" s="66" t="s">
        <v>218</v>
      </c>
      <c r="F415" s="64" t="s">
        <v>234</v>
      </c>
      <c r="G415" s="64" t="str">
        <f>INDEX(Auxiliar!$B$16:$B$24,MATCH(Plano_V3!H415,Auxiliar!$C$16:$C$24,0),1)</f>
        <v>1. Concluído</v>
      </c>
      <c r="H415" s="64">
        <f>VLOOKUP(A415,'Aux - pivots1'!$A:$B,2,0)</f>
        <v>1</v>
      </c>
      <c r="I415" s="183">
        <f>SUMIFS(Table1[Estimação (horas)],Table1[Tabela],Plano_V3!E415,Table1[Campo],Plano_V3!F415)</f>
        <v>0.6</v>
      </c>
      <c r="J415" s="183">
        <f t="shared" si="315"/>
        <v>7.4999999999999997E-2</v>
      </c>
      <c r="K415" s="183">
        <f>SUMIFS(Table1[Horas efetivas],Table1[Tabela],Plano_V3!E415,Table1[Campo],Plano_V3!F415)</f>
        <v>0.6</v>
      </c>
      <c r="L415" s="183">
        <f t="shared" si="316"/>
        <v>7.4999999999999997E-2</v>
      </c>
      <c r="M415" s="177"/>
      <c r="N415" s="177">
        <f t="shared" si="317"/>
        <v>1</v>
      </c>
      <c r="O415" s="177">
        <f t="shared" si="318"/>
        <v>1</v>
      </c>
      <c r="P415" s="89" t="s">
        <v>39</v>
      </c>
      <c r="Q415" s="90">
        <f t="shared" si="314"/>
        <v>7.4999999999999997E-2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hidden="1" outlineLevel="1">
      <c r="A416" s="29" t="str">
        <f t="shared" si="319"/>
        <v>modesg_inp_emss_nacescp3_ftr_emss</v>
      </c>
      <c r="B416" s="67" t="s">
        <v>26</v>
      </c>
      <c r="C416" s="68" t="s">
        <v>181</v>
      </c>
      <c r="D416" s="64" t="s">
        <v>40</v>
      </c>
      <c r="E416" s="66" t="s">
        <v>218</v>
      </c>
      <c r="F416" s="64" t="s">
        <v>235</v>
      </c>
      <c r="G416" s="64" t="str">
        <f>INDEX(Auxiliar!$B$16:$B$24,MATCH(Plano_V3!H416,Auxiliar!$C$16:$C$24,0),1)</f>
        <v>1. Concluído</v>
      </c>
      <c r="H416" s="64">
        <f>VLOOKUP(A416,'Aux - pivots1'!$A:$B,2,0)</f>
        <v>1</v>
      </c>
      <c r="I416" s="183">
        <f>SUMIFS(Table1[Estimação (horas)],Table1[Tabela],Plano_V3!E416,Table1[Campo],Plano_V3!F416)</f>
        <v>0.6</v>
      </c>
      <c r="J416" s="183">
        <f t="shared" si="315"/>
        <v>7.4999999999999997E-2</v>
      </c>
      <c r="K416" s="183">
        <f>SUMIFS(Table1[Horas efetivas],Table1[Tabela],Plano_V3!E416,Table1[Campo],Plano_V3!F416)</f>
        <v>0.6</v>
      </c>
      <c r="L416" s="183">
        <f t="shared" si="316"/>
        <v>7.4999999999999997E-2</v>
      </c>
      <c r="M416" s="177"/>
      <c r="N416" s="177">
        <f t="shared" si="317"/>
        <v>1</v>
      </c>
      <c r="O416" s="177">
        <f t="shared" si="318"/>
        <v>1</v>
      </c>
      <c r="P416" s="89" t="s">
        <v>39</v>
      </c>
      <c r="Q416" s="90">
        <f t="shared" si="314"/>
        <v>7.4999999999999997E-2</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hidden="1" outlineLevel="1">
      <c r="A417" s="29" t="str">
        <f t="shared" ref="A417:A423" si="320">E417&amp;F417</f>
        <v>modesg_inp_emss_nacenome_regiao</v>
      </c>
      <c r="B417" s="67" t="s">
        <v>26</v>
      </c>
      <c r="C417" s="68" t="s">
        <v>181</v>
      </c>
      <c r="D417" s="64" t="s">
        <v>40</v>
      </c>
      <c r="E417" s="66" t="s">
        <v>218</v>
      </c>
      <c r="F417" s="64" t="s">
        <v>220</v>
      </c>
      <c r="G417" s="64" t="str">
        <f>INDEX(Auxiliar!$B$16:$B$24,MATCH(Plano_V3!H417,Auxiliar!$C$16:$C$24,0),1)</f>
        <v>0. Cancelado</v>
      </c>
      <c r="H417" s="64">
        <f>VLOOKUP(A417,'Aux - pivots1'!$A:$B,2,0)</f>
        <v>0</v>
      </c>
      <c r="I417" s="183">
        <f>SUMIFS(Table1[Estimação (horas)],Table1[Tabela],Plano_V3!E417,Table1[Campo],Plano_V3!F417)</f>
        <v>0.5</v>
      </c>
      <c r="J417" s="183">
        <f t="shared" ref="J417:J423" si="321">I417/8</f>
        <v>6.25E-2</v>
      </c>
      <c r="K417" s="183">
        <f>SUMIFS(Table1[Horas efetivas],Table1[Tabela],Plano_V3!E417,Table1[Campo],Plano_V3!F417)</f>
        <v>0</v>
      </c>
      <c r="L417" s="183">
        <f t="shared" ref="L417:L423" si="322">K417/8</f>
        <v>0</v>
      </c>
      <c r="M417" s="177"/>
      <c r="N417" s="177">
        <f t="shared" ref="N417:N423" si="323">L417/J417</f>
        <v>0</v>
      </c>
      <c r="O417" s="177">
        <f t="shared" ref="O417:O423" si="324">N417-M417</f>
        <v>0</v>
      </c>
      <c r="P417" s="89" t="s">
        <v>39</v>
      </c>
      <c r="Q417" s="90">
        <f t="shared" ref="Q417:Q423" si="325">J417-SUM(R417:ES417)</f>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hidden="1" outlineLevel="1">
      <c r="A418" s="29" t="str">
        <f t="shared" si="320"/>
        <v>modesg_inp_emss_nacearea_atividade</v>
      </c>
      <c r="B418" s="67" t="s">
        <v>26</v>
      </c>
      <c r="C418" s="68" t="s">
        <v>181</v>
      </c>
      <c r="D418" s="64" t="s">
        <v>40</v>
      </c>
      <c r="E418" s="66" t="s">
        <v>218</v>
      </c>
      <c r="F418" s="64" t="s">
        <v>643</v>
      </c>
      <c r="G418" s="64" t="str">
        <f>INDEX(Auxiliar!$B$16:$B$24,MATCH(Plano_V3!H418,Auxiliar!$C$16:$C$24,0),1)</f>
        <v>0. Cancelado</v>
      </c>
      <c r="H418" s="64">
        <f>VLOOKUP(A418,'Aux - pivots1'!$A:$B,2,0)</f>
        <v>0</v>
      </c>
      <c r="I418" s="183">
        <f>SUMIFS(Table1[Estimação (horas)],Table1[Tabela],Plano_V3!E418,Table1[Campo],Plano_V3!F418)</f>
        <v>0.5</v>
      </c>
      <c r="J418" s="183">
        <f t="shared" si="321"/>
        <v>6.25E-2</v>
      </c>
      <c r="K418" s="183">
        <f>SUMIFS(Table1[Horas efetivas],Table1[Tabela],Plano_V3!E418,Table1[Campo],Plano_V3!F418)</f>
        <v>0</v>
      </c>
      <c r="L418" s="183">
        <f t="shared" si="322"/>
        <v>0</v>
      </c>
      <c r="M418" s="177"/>
      <c r="N418" s="177">
        <f t="shared" si="323"/>
        <v>0</v>
      </c>
      <c r="O418" s="177">
        <f t="shared" si="324"/>
        <v>0</v>
      </c>
      <c r="P418" s="89" t="s">
        <v>39</v>
      </c>
      <c r="Q418" s="90">
        <f t="shared" si="325"/>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hidden="1" outlineLevel="1">
      <c r="A419" s="29" t="str">
        <f t="shared" si="320"/>
        <v>modesg_inp_emss_nacetipo_atividade</v>
      </c>
      <c r="B419" s="67" t="s">
        <v>26</v>
      </c>
      <c r="C419" s="68" t="s">
        <v>181</v>
      </c>
      <c r="D419" s="64" t="s">
        <v>40</v>
      </c>
      <c r="E419" s="66" t="s">
        <v>218</v>
      </c>
      <c r="F419" s="64" t="s">
        <v>644</v>
      </c>
      <c r="G419" s="64" t="str">
        <f>INDEX(Auxiliar!$B$16:$B$24,MATCH(Plano_V3!H419,Auxiliar!$C$16:$C$24,0),1)</f>
        <v>0. Cancelado</v>
      </c>
      <c r="H419" s="64">
        <f>VLOOKUP(A419,'Aux - pivots1'!$A:$B,2,0)</f>
        <v>0</v>
      </c>
      <c r="I419" s="183">
        <f>SUMIFS(Table1[Estimação (horas)],Table1[Tabela],Plano_V3!E419,Table1[Campo],Plano_V3!F419)</f>
        <v>0.5</v>
      </c>
      <c r="J419" s="183">
        <f t="shared" si="321"/>
        <v>6.25E-2</v>
      </c>
      <c r="K419" s="183">
        <f>SUMIFS(Table1[Horas efetivas],Table1[Tabela],Plano_V3!E419,Table1[Campo],Plano_V3!F419)</f>
        <v>0</v>
      </c>
      <c r="L419" s="183">
        <f t="shared" si="322"/>
        <v>0</v>
      </c>
      <c r="M419" s="177"/>
      <c r="N419" s="177">
        <f t="shared" si="323"/>
        <v>0</v>
      </c>
      <c r="O419" s="177">
        <f t="shared" si="324"/>
        <v>0</v>
      </c>
      <c r="P419" s="89" t="s">
        <v>39</v>
      </c>
      <c r="Q419" s="90">
        <f t="shared" si="325"/>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hidden="1" outlineLevel="1">
      <c r="A420" s="29" t="str">
        <f t="shared" si="320"/>
        <v>modesg_inp_emss_nacesub_tipo_atividade_1</v>
      </c>
      <c r="B420" s="67" t="s">
        <v>26</v>
      </c>
      <c r="C420" s="68" t="s">
        <v>181</v>
      </c>
      <c r="D420" s="64" t="s">
        <v>40</v>
      </c>
      <c r="E420" s="66" t="s">
        <v>218</v>
      </c>
      <c r="F420" s="64" t="s">
        <v>645</v>
      </c>
      <c r="G420" s="64" t="str">
        <f>INDEX(Auxiliar!$B$16:$B$24,MATCH(Plano_V3!H420,Auxiliar!$C$16:$C$24,0),1)</f>
        <v>0. Cancelado</v>
      </c>
      <c r="H420" s="64">
        <f>VLOOKUP(A420,'Aux - pivots1'!$A:$B,2,0)</f>
        <v>0</v>
      </c>
      <c r="I420" s="183">
        <f>SUMIFS(Table1[Estimação (horas)],Table1[Tabela],Plano_V3!E420,Table1[Campo],Plano_V3!F420)</f>
        <v>0.5</v>
      </c>
      <c r="J420" s="183">
        <f t="shared" si="321"/>
        <v>6.25E-2</v>
      </c>
      <c r="K420" s="183">
        <f>SUMIFS(Table1[Horas efetivas],Table1[Tabela],Plano_V3!E420,Table1[Campo],Plano_V3!F420)</f>
        <v>0</v>
      </c>
      <c r="L420" s="183">
        <f t="shared" si="322"/>
        <v>0</v>
      </c>
      <c r="M420" s="177"/>
      <c r="N420" s="177">
        <f t="shared" si="323"/>
        <v>0</v>
      </c>
      <c r="O420" s="177">
        <f t="shared" si="324"/>
        <v>0</v>
      </c>
      <c r="P420" s="89" t="s">
        <v>39</v>
      </c>
      <c r="Q420" s="90">
        <f t="shared" si="325"/>
        <v>6.25E-2</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hidden="1" outlineLevel="1">
      <c r="A421" s="29" t="str">
        <f t="shared" si="320"/>
        <v>modesg_inp_emss_nacesub_tipo_atividade_2</v>
      </c>
      <c r="B421" s="67" t="s">
        <v>26</v>
      </c>
      <c r="C421" s="68" t="s">
        <v>181</v>
      </c>
      <c r="D421" s="64" t="s">
        <v>40</v>
      </c>
      <c r="E421" s="66" t="s">
        <v>218</v>
      </c>
      <c r="F421" s="64" t="s">
        <v>646</v>
      </c>
      <c r="G421" s="64" t="str">
        <f>INDEX(Auxiliar!$B$16:$B$24,MATCH(Plano_V3!H421,Auxiliar!$C$16:$C$24,0),1)</f>
        <v>0. Cancelado</v>
      </c>
      <c r="H421" s="64">
        <f>VLOOKUP(A421,'Aux - pivots1'!$A:$B,2,0)</f>
        <v>0</v>
      </c>
      <c r="I421" s="183">
        <f>SUMIFS(Table1[Estimação (horas)],Table1[Tabela],Plano_V3!E421,Table1[Campo],Plano_V3!F421)</f>
        <v>0.5</v>
      </c>
      <c r="J421" s="183">
        <f t="shared" si="321"/>
        <v>6.25E-2</v>
      </c>
      <c r="K421" s="183">
        <f>SUMIFS(Table1[Horas efetivas],Table1[Tabela],Plano_V3!E421,Table1[Campo],Plano_V3!F421)</f>
        <v>0</v>
      </c>
      <c r="L421" s="183">
        <f t="shared" si="322"/>
        <v>0</v>
      </c>
      <c r="M421" s="177"/>
      <c r="N421" s="177">
        <f t="shared" si="323"/>
        <v>0</v>
      </c>
      <c r="O421" s="177">
        <f t="shared" si="324"/>
        <v>0</v>
      </c>
      <c r="P421" s="89" t="s">
        <v>39</v>
      </c>
      <c r="Q421" s="90">
        <f t="shared" si="325"/>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hidden="1" outlineLevel="1">
      <c r="A422" s="29" t="str">
        <f t="shared" si="320"/>
        <v>modesg_inp_emss_naceunidades_unidade_funcional</v>
      </c>
      <c r="B422" s="67" t="s">
        <v>26</v>
      </c>
      <c r="C422" s="68" t="s">
        <v>181</v>
      </c>
      <c r="D422" s="64" t="s">
        <v>40</v>
      </c>
      <c r="E422" s="66" t="s">
        <v>218</v>
      </c>
      <c r="F422" s="64" t="s">
        <v>647</v>
      </c>
      <c r="G422" s="64" t="str">
        <f>INDEX(Auxiliar!$B$16:$B$24,MATCH(Plano_V3!H422,Auxiliar!$C$16:$C$24,0),1)</f>
        <v>0. Cancelado</v>
      </c>
      <c r="H422" s="64">
        <f>VLOOKUP(A422,'Aux - pivots1'!$A:$B,2,0)</f>
        <v>0</v>
      </c>
      <c r="I422" s="183">
        <f>SUMIFS(Table1[Estimação (horas)],Table1[Tabela],Plano_V3!E422,Table1[Campo],Plano_V3!F422)</f>
        <v>0.5</v>
      </c>
      <c r="J422" s="183">
        <f t="shared" si="321"/>
        <v>6.25E-2</v>
      </c>
      <c r="K422" s="183">
        <f>SUMIFS(Table1[Horas efetivas],Table1[Tabela],Plano_V3!E422,Table1[Campo],Plano_V3!F422)</f>
        <v>0</v>
      </c>
      <c r="L422" s="183">
        <f t="shared" si="322"/>
        <v>0</v>
      </c>
      <c r="M422" s="177"/>
      <c r="N422" s="177">
        <f t="shared" si="323"/>
        <v>0</v>
      </c>
      <c r="O422" s="177">
        <f t="shared" si="324"/>
        <v>0</v>
      </c>
      <c r="P422" s="89" t="s">
        <v>39</v>
      </c>
      <c r="Q422" s="90">
        <f t="shared" si="325"/>
        <v>6.25E-2</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hidden="1" outlineLevel="1">
      <c r="A423" s="29" t="str">
        <f t="shared" si="320"/>
        <v>modesg_inp_emss_nacefator_emissao</v>
      </c>
      <c r="B423" s="67" t="s">
        <v>26</v>
      </c>
      <c r="C423" s="68" t="s">
        <v>181</v>
      </c>
      <c r="D423" s="64" t="s">
        <v>40</v>
      </c>
      <c r="E423" s="66" t="s">
        <v>218</v>
      </c>
      <c r="F423" s="64" t="s">
        <v>648</v>
      </c>
      <c r="G423" s="64" t="str">
        <f>INDEX(Auxiliar!$B$16:$B$24,MATCH(Plano_V3!H423,Auxiliar!$C$16:$C$24,0),1)</f>
        <v>0. Cancelado</v>
      </c>
      <c r="H423" s="64">
        <f>VLOOKUP(A423,'Aux - pivots1'!$A:$B,2,0)</f>
        <v>0</v>
      </c>
      <c r="I423" s="183">
        <f>SUMIFS(Table1[Estimação (horas)],Table1[Tabela],Plano_V3!E423,Table1[Campo],Plano_V3!F423)</f>
        <v>0.5</v>
      </c>
      <c r="J423" s="183">
        <f t="shared" si="321"/>
        <v>6.25E-2</v>
      </c>
      <c r="K423" s="183">
        <f>SUMIFS(Table1[Horas efetivas],Table1[Tabela],Plano_V3!E423,Table1[Campo],Plano_V3!F423)</f>
        <v>0</v>
      </c>
      <c r="L423" s="183">
        <f t="shared" si="322"/>
        <v>0</v>
      </c>
      <c r="M423" s="177"/>
      <c r="N423" s="177">
        <f t="shared" si="323"/>
        <v>0</v>
      </c>
      <c r="O423" s="177">
        <f t="shared" si="324"/>
        <v>0</v>
      </c>
      <c r="P423" s="89" t="s">
        <v>39</v>
      </c>
      <c r="Q423" s="90">
        <f t="shared" si="325"/>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hidden="1" outlineLevel="1">
      <c r="A424" s="29" t="str">
        <f t="shared" si="319"/>
        <v>modesg_inp_emss_bens_imoveisref_date</v>
      </c>
      <c r="B424" s="67" t="s">
        <v>26</v>
      </c>
      <c r="C424" s="68" t="s">
        <v>181</v>
      </c>
      <c r="D424" s="64" t="s">
        <v>40</v>
      </c>
      <c r="E424" s="66" t="s">
        <v>219</v>
      </c>
      <c r="F424" s="64" t="s">
        <v>208</v>
      </c>
      <c r="G424" s="64" t="str">
        <f>INDEX(Auxiliar!$B$16:$B$24,MATCH(Plano_V3!H424,Auxiliar!$C$16:$C$24,0),1)</f>
        <v>1. Concluído</v>
      </c>
      <c r="H424" s="64">
        <f>VLOOKUP(A424,'Aux - pivots1'!$A:$B,2,0)</f>
        <v>1</v>
      </c>
      <c r="I424" s="183">
        <f>SUMIFS(Table1[Estimação (horas)],Table1[Tabela],Plano_V3!E424,Table1[Campo],Plano_V3!F424)</f>
        <v>0.5</v>
      </c>
      <c r="J424" s="183">
        <f t="shared" si="315"/>
        <v>6.25E-2</v>
      </c>
      <c r="K424" s="183">
        <f>SUMIFS(Table1[Horas efetivas],Table1[Tabela],Plano_V3!E424,Table1[Campo],Plano_V3!F424)</f>
        <v>0.5</v>
      </c>
      <c r="L424" s="183">
        <f t="shared" si="316"/>
        <v>6.25E-2</v>
      </c>
      <c r="M424" s="177"/>
      <c r="N424" s="177">
        <f t="shared" si="317"/>
        <v>1</v>
      </c>
      <c r="O424" s="177">
        <f t="shared" si="318"/>
        <v>1</v>
      </c>
      <c r="P424" s="89" t="s">
        <v>39</v>
      </c>
      <c r="Q424" s="90">
        <f t="shared" si="314"/>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hidden="1" outlineLevel="1">
      <c r="A425" s="29" t="str">
        <f t="shared" si="319"/>
        <v>modesg_inp_emss_bens_imoveisnome_pais</v>
      </c>
      <c r="B425" s="67" t="s">
        <v>26</v>
      </c>
      <c r="C425" s="68" t="s">
        <v>181</v>
      </c>
      <c r="D425" s="64" t="s">
        <v>40</v>
      </c>
      <c r="E425" s="66" t="s">
        <v>219</v>
      </c>
      <c r="F425" s="64" t="s">
        <v>221</v>
      </c>
      <c r="G425" s="64" t="str">
        <f>INDEX(Auxiliar!$B$16:$B$24,MATCH(Plano_V3!H425,Auxiliar!$C$16:$C$24,0),1)</f>
        <v>1. Concluído</v>
      </c>
      <c r="H425" s="64">
        <f>VLOOKUP(A425,'Aux - pivots1'!$A:$B,2,0)</f>
        <v>1</v>
      </c>
      <c r="I425" s="183">
        <f>SUMIFS(Table1[Estimação (horas)],Table1[Tabela],Plano_V3!E425,Table1[Campo],Plano_V3!F425)</f>
        <v>0.5</v>
      </c>
      <c r="J425" s="183">
        <f t="shared" si="315"/>
        <v>6.25E-2</v>
      </c>
      <c r="K425" s="183">
        <f>SUMIFS(Table1[Horas efetivas],Table1[Tabela],Plano_V3!E425,Table1[Campo],Plano_V3!F425)</f>
        <v>0.5</v>
      </c>
      <c r="L425" s="183">
        <f t="shared" si="316"/>
        <v>6.25E-2</v>
      </c>
      <c r="M425" s="177"/>
      <c r="N425" s="177">
        <f t="shared" si="317"/>
        <v>1</v>
      </c>
      <c r="O425" s="177">
        <f t="shared" si="318"/>
        <v>1</v>
      </c>
      <c r="P425" s="89" t="s">
        <v>39</v>
      </c>
      <c r="Q425" s="90">
        <f t="shared" si="314"/>
        <v>6.25E-2</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hidden="1" outlineLevel="1">
      <c r="A426" s="29" t="str">
        <f t="shared" si="319"/>
        <v>modesg_inp_emss_bens_imoveisnome_estado</v>
      </c>
      <c r="B426" s="67" t="s">
        <v>26</v>
      </c>
      <c r="C426" s="68" t="s">
        <v>181</v>
      </c>
      <c r="D426" s="64" t="s">
        <v>40</v>
      </c>
      <c r="E426" s="66" t="s">
        <v>219</v>
      </c>
      <c r="F426" s="64" t="s">
        <v>222</v>
      </c>
      <c r="G426" s="64" t="str">
        <f>INDEX(Auxiliar!$B$16:$B$24,MATCH(Plano_V3!H426,Auxiliar!$C$16:$C$24,0),1)</f>
        <v>1. Concluído</v>
      </c>
      <c r="H426" s="64">
        <f>VLOOKUP(A426,'Aux - pivots1'!$A:$B,2,0)</f>
        <v>1</v>
      </c>
      <c r="I426" s="183">
        <f>SUMIFS(Table1[Estimação (horas)],Table1[Tabela],Plano_V3!E426,Table1[Campo],Plano_V3!F426)</f>
        <v>0.5</v>
      </c>
      <c r="J426" s="183">
        <f t="shared" si="315"/>
        <v>6.25E-2</v>
      </c>
      <c r="K426" s="183">
        <f>SUMIFS(Table1[Horas efetivas],Table1[Tabela],Plano_V3!E426,Table1[Campo],Plano_V3!F426)</f>
        <v>0.5</v>
      </c>
      <c r="L426" s="183">
        <f t="shared" si="316"/>
        <v>6.25E-2</v>
      </c>
      <c r="M426" s="177"/>
      <c r="N426" s="177">
        <f t="shared" si="317"/>
        <v>1</v>
      </c>
      <c r="O426" s="177">
        <f t="shared" si="318"/>
        <v>1</v>
      </c>
      <c r="P426" s="89" t="s">
        <v>39</v>
      </c>
      <c r="Q426" s="90">
        <f t="shared" si="314"/>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hidden="1" outlineLevel="1">
      <c r="A427" s="29" t="str">
        <f t="shared" si="319"/>
        <v>modesg_inp_emss_bens_imoveisclasse_ativo</v>
      </c>
      <c r="B427" s="67" t="s">
        <v>26</v>
      </c>
      <c r="C427" s="68" t="s">
        <v>181</v>
      </c>
      <c r="D427" s="64" t="s">
        <v>40</v>
      </c>
      <c r="E427" s="66" t="s">
        <v>219</v>
      </c>
      <c r="F427" s="64" t="s">
        <v>300</v>
      </c>
      <c r="G427" s="64" t="str">
        <f>INDEX(Auxiliar!$B$16:$B$24,MATCH(Plano_V3!H427,Auxiliar!$C$16:$C$24,0),1)</f>
        <v>1. Concluído</v>
      </c>
      <c r="H427" s="64">
        <f>VLOOKUP(A427,'Aux - pivots1'!$A:$B,2,0)</f>
        <v>1</v>
      </c>
      <c r="I427" s="183">
        <f>SUMIFS(Table1[Estimação (horas)],Table1[Tabela],Plano_V3!E427,Table1[Campo],Plano_V3!F427)</f>
        <v>0.5</v>
      </c>
      <c r="J427" s="183">
        <f t="shared" si="315"/>
        <v>6.25E-2</v>
      </c>
      <c r="K427" s="183">
        <f>SUMIFS(Table1[Horas efetivas],Table1[Tabela],Plano_V3!E427,Table1[Campo],Plano_V3!F427)</f>
        <v>0.5</v>
      </c>
      <c r="L427" s="183">
        <f t="shared" si="316"/>
        <v>6.25E-2</v>
      </c>
      <c r="M427" s="177"/>
      <c r="N427" s="177">
        <f t="shared" si="317"/>
        <v>1</v>
      </c>
      <c r="O427" s="177">
        <f t="shared" si="318"/>
        <v>1</v>
      </c>
      <c r="P427" s="89" t="s">
        <v>39</v>
      </c>
      <c r="Q427" s="90">
        <f t="shared" si="314"/>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hidden="1" outlineLevel="1">
      <c r="A428" s="29" t="str">
        <f t="shared" si="319"/>
        <v>modesg_inp_emss_bens_imoveistipo_fator_emissao</v>
      </c>
      <c r="B428" s="67" t="s">
        <v>26</v>
      </c>
      <c r="C428" s="68" t="s">
        <v>181</v>
      </c>
      <c r="D428" s="64" t="s">
        <v>40</v>
      </c>
      <c r="E428" s="66" t="s">
        <v>219</v>
      </c>
      <c r="F428" s="64" t="s">
        <v>303</v>
      </c>
      <c r="G428" s="64" t="str">
        <f>INDEX(Auxiliar!$B$16:$B$24,MATCH(Plano_V3!H428,Auxiliar!$C$16:$C$24,0),1)</f>
        <v>1. Concluído</v>
      </c>
      <c r="H428" s="64">
        <f>VLOOKUP(A428,'Aux - pivots1'!$A:$B,2,0)</f>
        <v>1</v>
      </c>
      <c r="I428" s="183">
        <f>SUMIFS(Table1[Estimação (horas)],Table1[Tabela],Plano_V3!E428,Table1[Campo],Plano_V3!F428)</f>
        <v>1</v>
      </c>
      <c r="J428" s="183">
        <f t="shared" si="315"/>
        <v>0.125</v>
      </c>
      <c r="K428" s="183">
        <f>SUMIFS(Table1[Horas efetivas],Table1[Tabela],Plano_V3!E428,Table1[Campo],Plano_V3!F428)</f>
        <v>1</v>
      </c>
      <c r="L428" s="183">
        <f t="shared" si="316"/>
        <v>0.125</v>
      </c>
      <c r="M428" s="177"/>
      <c r="N428" s="177">
        <f t="shared" si="317"/>
        <v>1</v>
      </c>
      <c r="O428" s="177">
        <f t="shared" si="318"/>
        <v>1</v>
      </c>
      <c r="P428" s="89" t="s">
        <v>39</v>
      </c>
      <c r="Q428" s="90">
        <f t="shared" ref="Q428:Q520" si="326">J428-SUM(R428:ES428)</f>
        <v>0.125</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hidden="1" outlineLevel="1">
      <c r="A429" s="29" t="str">
        <f t="shared" si="319"/>
        <v>modesg_inp_emss_bens_imoveisregiao</v>
      </c>
      <c r="B429" s="67" t="s">
        <v>26</v>
      </c>
      <c r="C429" s="68" t="s">
        <v>181</v>
      </c>
      <c r="D429" s="64" t="s">
        <v>40</v>
      </c>
      <c r="E429" s="66" t="s">
        <v>219</v>
      </c>
      <c r="F429" s="64" t="s">
        <v>304</v>
      </c>
      <c r="G429" s="64" t="str">
        <f>INDEX(Auxiliar!$B$16:$B$24,MATCH(Plano_V3!H429,Auxiliar!$C$16:$C$24,0),1)</f>
        <v>1. Concluído</v>
      </c>
      <c r="H429" s="64">
        <f>VLOOKUP(A429,'Aux - pivots1'!$A:$B,2,0)</f>
        <v>1</v>
      </c>
      <c r="I429" s="183">
        <f>SUMIFS(Table1[Estimação (horas)],Table1[Tabela],Plano_V3!E429,Table1[Campo],Plano_V3!F429)</f>
        <v>0.5</v>
      </c>
      <c r="J429" s="183">
        <f t="shared" si="315"/>
        <v>6.25E-2</v>
      </c>
      <c r="K429" s="183">
        <f>SUMIFS(Table1[Horas efetivas],Table1[Tabela],Plano_V3!E429,Table1[Campo],Plano_V3!F429)</f>
        <v>0.5</v>
      </c>
      <c r="L429" s="183">
        <f t="shared" si="316"/>
        <v>6.25E-2</v>
      </c>
      <c r="M429" s="177"/>
      <c r="N429" s="177">
        <f t="shared" si="317"/>
        <v>1</v>
      </c>
      <c r="O429" s="177">
        <f t="shared" si="318"/>
        <v>1</v>
      </c>
      <c r="P429" s="89" t="s">
        <v>39</v>
      </c>
      <c r="Q429" s="90">
        <f t="shared" si="326"/>
        <v>6.25E-2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hidden="1" outlineLevel="1">
      <c r="A430" s="29" t="str">
        <f t="shared" si="319"/>
        <v>modesg_inp_emss_bens_imoveistipo_bem</v>
      </c>
      <c r="B430" s="67" t="s">
        <v>26</v>
      </c>
      <c r="C430" s="68" t="s">
        <v>181</v>
      </c>
      <c r="D430" s="64" t="s">
        <v>40</v>
      </c>
      <c r="E430" s="66" t="s">
        <v>219</v>
      </c>
      <c r="F430" s="64" t="s">
        <v>305</v>
      </c>
      <c r="G430" s="64" t="str">
        <f>INDEX(Auxiliar!$B$16:$B$24,MATCH(Plano_V3!H430,Auxiliar!$C$16:$C$24,0),1)</f>
        <v>1. Concluído</v>
      </c>
      <c r="H430" s="64">
        <f>VLOOKUP(A430,'Aux - pivots1'!$A:$B,2,0)</f>
        <v>1</v>
      </c>
      <c r="I430" s="183">
        <f>SUMIFS(Table1[Estimação (horas)],Table1[Tabela],Plano_V3!E430,Table1[Campo],Plano_V3!F430)</f>
        <v>0.5</v>
      </c>
      <c r="J430" s="183">
        <f t="shared" si="315"/>
        <v>6.25E-2</v>
      </c>
      <c r="K430" s="183">
        <f>SUMIFS(Table1[Horas efetivas],Table1[Tabela],Plano_V3!E430,Table1[Campo],Plano_V3!F430)</f>
        <v>0.5</v>
      </c>
      <c r="L430" s="183">
        <f t="shared" si="316"/>
        <v>6.25E-2</v>
      </c>
      <c r="M430" s="177"/>
      <c r="N430" s="177">
        <f t="shared" si="317"/>
        <v>1</v>
      </c>
      <c r="O430" s="177">
        <f t="shared" si="318"/>
        <v>1</v>
      </c>
      <c r="P430" s="89" t="s">
        <v>39</v>
      </c>
      <c r="Q430" s="90">
        <f t="shared" si="326"/>
        <v>6.25E-2</v>
      </c>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hidden="1" outlineLevel="1">
      <c r="A431" s="29" t="str">
        <f t="shared" si="319"/>
        <v>modesg_inp_emss_bens_imoveistipo_finalidade_bem</v>
      </c>
      <c r="B431" s="67" t="s">
        <v>26</v>
      </c>
      <c r="C431" s="68" t="s">
        <v>181</v>
      </c>
      <c r="D431" s="64" t="s">
        <v>40</v>
      </c>
      <c r="E431" s="66" t="s">
        <v>219</v>
      </c>
      <c r="F431" s="64" t="s">
        <v>306</v>
      </c>
      <c r="G431" s="64" t="str">
        <f>INDEX(Auxiliar!$B$16:$B$24,MATCH(Plano_V3!H431,Auxiliar!$C$16:$C$24,0),1)</f>
        <v>1. Concluído</v>
      </c>
      <c r="H431" s="64">
        <f>VLOOKUP(A431,'Aux - pivots1'!$A:$B,2,0)</f>
        <v>1</v>
      </c>
      <c r="I431" s="183">
        <f>SUMIFS(Table1[Estimação (horas)],Table1[Tabela],Plano_V3!E431,Table1[Campo],Plano_V3!F431)</f>
        <v>0.5</v>
      </c>
      <c r="J431" s="183">
        <f t="shared" si="315"/>
        <v>6.25E-2</v>
      </c>
      <c r="K431" s="183">
        <f>SUMIFS(Table1[Horas efetivas],Table1[Tabela],Plano_V3!E431,Table1[Campo],Plano_V3!F431)</f>
        <v>0.5</v>
      </c>
      <c r="L431" s="183">
        <f t="shared" si="316"/>
        <v>6.25E-2</v>
      </c>
      <c r="M431" s="177"/>
      <c r="N431" s="177">
        <f t="shared" si="317"/>
        <v>1</v>
      </c>
      <c r="O431" s="177">
        <f t="shared" si="318"/>
        <v>1</v>
      </c>
      <c r="P431" s="89" t="s">
        <v>39</v>
      </c>
      <c r="Q431" s="90">
        <f t="shared" si="326"/>
        <v>6.25E-2</v>
      </c>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hidden="1" outlineLevel="1">
      <c r="A432" s="29" t="str">
        <f t="shared" si="319"/>
        <v>modesg_inp_emss_bens_imoveisepc</v>
      </c>
      <c r="B432" s="67" t="s">
        <v>26</v>
      </c>
      <c r="C432" s="68" t="s">
        <v>181</v>
      </c>
      <c r="D432" s="64" t="s">
        <v>40</v>
      </c>
      <c r="E432" s="66" t="s">
        <v>219</v>
      </c>
      <c r="F432" s="64" t="s">
        <v>198</v>
      </c>
      <c r="G432" s="64" t="str">
        <f>INDEX(Auxiliar!$B$16:$B$24,MATCH(Plano_V3!H432,Auxiliar!$C$16:$C$24,0),1)</f>
        <v>1. Concluído</v>
      </c>
      <c r="H432" s="64">
        <f>VLOOKUP(A432,'Aux - pivots1'!$A:$B,2,0)</f>
        <v>1</v>
      </c>
      <c r="I432" s="183">
        <f>SUMIFS(Table1[Estimação (horas)],Table1[Tabela],Plano_V3!E432,Table1[Campo],Plano_V3!F432)</f>
        <v>0.5</v>
      </c>
      <c r="J432" s="183">
        <f t="shared" si="315"/>
        <v>6.25E-2</v>
      </c>
      <c r="K432" s="183">
        <f>SUMIFS(Table1[Horas efetivas],Table1[Tabela],Plano_V3!E432,Table1[Campo],Plano_V3!F432)</f>
        <v>0.5</v>
      </c>
      <c r="L432" s="183">
        <f t="shared" si="316"/>
        <v>6.25E-2</v>
      </c>
      <c r="M432" s="177"/>
      <c r="N432" s="177">
        <f t="shared" si="317"/>
        <v>1</v>
      </c>
      <c r="O432" s="177">
        <f t="shared" si="318"/>
        <v>1</v>
      </c>
      <c r="P432" s="89" t="s">
        <v>39</v>
      </c>
      <c r="Q432" s="90">
        <f t="shared" si="326"/>
        <v>6.25E-2</v>
      </c>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hidden="1" outlineLevel="1">
      <c r="A433" s="29" t="str">
        <f t="shared" si="319"/>
        <v>modesg_inp_emss_bens_imoveisflg_ftr_emss_area</v>
      </c>
      <c r="B433" s="67" t="s">
        <v>26</v>
      </c>
      <c r="C433" s="68" t="s">
        <v>181</v>
      </c>
      <c r="D433" s="64" t="s">
        <v>40</v>
      </c>
      <c r="E433" s="66" t="s">
        <v>219</v>
      </c>
      <c r="F433" s="64" t="s">
        <v>307</v>
      </c>
      <c r="G433" s="64" t="str">
        <f>INDEX(Auxiliar!$B$16:$B$24,MATCH(Plano_V3!H433,Auxiliar!$C$16:$C$24,0),1)</f>
        <v>0. Cancelado</v>
      </c>
      <c r="H433" s="64">
        <f>VLOOKUP(A433,'Aux - pivots1'!$A:$B,2,0)</f>
        <v>0</v>
      </c>
      <c r="I433" s="183">
        <f>SUMIFS(Table1[Estimação (horas)],Table1[Tabela],Plano_V3!E433,Table1[Campo],Plano_V3!F433)</f>
        <v>0.5</v>
      </c>
      <c r="J433" s="183">
        <f t="shared" si="315"/>
        <v>6.25E-2</v>
      </c>
      <c r="K433" s="183">
        <f>SUMIFS(Table1[Horas efetivas],Table1[Tabela],Plano_V3!E433,Table1[Campo],Plano_V3!F433)</f>
        <v>0</v>
      </c>
      <c r="L433" s="183">
        <f t="shared" si="316"/>
        <v>0</v>
      </c>
      <c r="M433" s="177"/>
      <c r="N433" s="177">
        <f t="shared" si="317"/>
        <v>0</v>
      </c>
      <c r="O433" s="177">
        <f t="shared" si="318"/>
        <v>0</v>
      </c>
      <c r="P433" s="89" t="s">
        <v>39</v>
      </c>
      <c r="Q433" s="90">
        <f t="shared" si="326"/>
        <v>6.25E-2</v>
      </c>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hidden="1" outlineLevel="1">
      <c r="A434" s="29" t="str">
        <f t="shared" si="319"/>
        <v>modesg_inp_emss_bens_imoveisnome_unidade_funcional</v>
      </c>
      <c r="B434" s="67" t="s">
        <v>26</v>
      </c>
      <c r="C434" s="68" t="s">
        <v>181</v>
      </c>
      <c r="D434" s="64" t="s">
        <v>40</v>
      </c>
      <c r="E434" s="66" t="s">
        <v>219</v>
      </c>
      <c r="F434" s="64" t="s">
        <v>228</v>
      </c>
      <c r="G434" s="64" t="str">
        <f>INDEX(Auxiliar!$B$16:$B$24,MATCH(Plano_V3!H434,Auxiliar!$C$16:$C$24,0),1)</f>
        <v>1. Concluído</v>
      </c>
      <c r="H434" s="64">
        <f>VLOOKUP(A434,'Aux - pivots1'!$A:$B,2,0)</f>
        <v>1</v>
      </c>
      <c r="I434" s="183">
        <f>SUMIFS(Table1[Estimação (horas)],Table1[Tabela],Plano_V3!E434,Table1[Campo],Plano_V3!F434)</f>
        <v>0.5</v>
      </c>
      <c r="J434" s="183">
        <f t="shared" si="315"/>
        <v>6.25E-2</v>
      </c>
      <c r="K434" s="183">
        <f>SUMIFS(Table1[Horas efetivas],Table1[Tabela],Plano_V3!E434,Table1[Campo],Plano_V3!F434)</f>
        <v>0.5</v>
      </c>
      <c r="L434" s="183">
        <f t="shared" si="316"/>
        <v>6.25E-2</v>
      </c>
      <c r="M434" s="177"/>
      <c r="N434" s="177">
        <f t="shared" si="317"/>
        <v>1</v>
      </c>
      <c r="O434" s="177">
        <f t="shared" si="318"/>
        <v>1</v>
      </c>
      <c r="P434" s="89" t="s">
        <v>39</v>
      </c>
      <c r="Q434" s="90">
        <f t="shared" si="326"/>
        <v>6.25E-2</v>
      </c>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hidden="1" outlineLevel="1">
      <c r="A435" s="29" t="str">
        <f t="shared" si="319"/>
        <v>modesg_inp_emss_bens_imoveisunidade_funcional</v>
      </c>
      <c r="B435" s="67" t="s">
        <v>26</v>
      </c>
      <c r="C435" s="68" t="s">
        <v>181</v>
      </c>
      <c r="D435" s="64" t="s">
        <v>40</v>
      </c>
      <c r="E435" s="66" t="s">
        <v>219</v>
      </c>
      <c r="F435" s="64" t="s">
        <v>229</v>
      </c>
      <c r="G435" s="64" t="str">
        <f>INDEX(Auxiliar!$B$16:$B$24,MATCH(Plano_V3!H435,Auxiliar!$C$16:$C$24,0),1)</f>
        <v>1. Concluído</v>
      </c>
      <c r="H435" s="64">
        <f>VLOOKUP(A435,'Aux - pivots1'!$A:$B,2,0)</f>
        <v>1</v>
      </c>
      <c r="I435" s="183">
        <f>SUMIFS(Table1[Estimação (horas)],Table1[Tabela],Plano_V3!E435,Table1[Campo],Plano_V3!F435)</f>
        <v>0.5</v>
      </c>
      <c r="J435" s="183">
        <f t="shared" si="315"/>
        <v>6.25E-2</v>
      </c>
      <c r="K435" s="183">
        <f>SUMIFS(Table1[Horas efetivas],Table1[Tabela],Plano_V3!E435,Table1[Campo],Plano_V3!F435)</f>
        <v>0.5</v>
      </c>
      <c r="L435" s="183">
        <f t="shared" si="316"/>
        <v>6.25E-2</v>
      </c>
      <c r="M435" s="177"/>
      <c r="N435" s="177">
        <f t="shared" si="317"/>
        <v>1</v>
      </c>
      <c r="O435" s="177">
        <f t="shared" si="318"/>
        <v>1</v>
      </c>
      <c r="P435" s="89" t="s">
        <v>39</v>
      </c>
      <c r="Q435" s="90">
        <f t="shared" si="326"/>
        <v>6.25E-2</v>
      </c>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hidden="1" outlineLevel="1">
      <c r="A436" s="29" t="str">
        <f t="shared" si="319"/>
        <v>modesg_inp_emss_bens_imoveisnome_fator_emissao</v>
      </c>
      <c r="B436" s="67" t="s">
        <v>26</v>
      </c>
      <c r="C436" s="68" t="s">
        <v>181</v>
      </c>
      <c r="D436" s="64" t="s">
        <v>40</v>
      </c>
      <c r="E436" s="66" t="s">
        <v>219</v>
      </c>
      <c r="F436" s="64" t="s">
        <v>230</v>
      </c>
      <c r="G436" s="64" t="str">
        <f>INDEX(Auxiliar!$B$16:$B$24,MATCH(Plano_V3!H436,Auxiliar!$C$16:$C$24,0),1)</f>
        <v>1. Concluído</v>
      </c>
      <c r="H436" s="64">
        <f>VLOOKUP(A436,'Aux - pivots1'!$A:$B,2,0)</f>
        <v>1</v>
      </c>
      <c r="I436" s="183">
        <f>SUMIFS(Table1[Estimação (horas)],Table1[Tabela],Plano_V3!E436,Table1[Campo],Plano_V3!F436)</f>
        <v>0.5</v>
      </c>
      <c r="J436" s="183">
        <f t="shared" si="315"/>
        <v>6.25E-2</v>
      </c>
      <c r="K436" s="183">
        <f>SUMIFS(Table1[Horas efetivas],Table1[Tabela],Plano_V3!E436,Table1[Campo],Plano_V3!F436)</f>
        <v>0.5</v>
      </c>
      <c r="L436" s="183">
        <f t="shared" si="316"/>
        <v>6.25E-2</v>
      </c>
      <c r="M436" s="177"/>
      <c r="N436" s="177">
        <f t="shared" si="317"/>
        <v>1</v>
      </c>
      <c r="O436" s="177">
        <f t="shared" si="318"/>
        <v>1</v>
      </c>
      <c r="P436" s="89" t="s">
        <v>39</v>
      </c>
      <c r="Q436" s="90">
        <f t="shared" si="326"/>
        <v>6.25E-2</v>
      </c>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hidden="1" outlineLevel="1">
      <c r="A437" s="29" t="str">
        <f t="shared" si="319"/>
        <v>modesg_inp_emss_bens_imoveisunidade_fator_de_emissao</v>
      </c>
      <c r="B437" s="67" t="s">
        <v>26</v>
      </c>
      <c r="C437" s="68" t="s">
        <v>181</v>
      </c>
      <c r="D437" s="64" t="s">
        <v>40</v>
      </c>
      <c r="E437" s="66" t="s">
        <v>219</v>
      </c>
      <c r="F437" s="64" t="s">
        <v>231</v>
      </c>
      <c r="G437" s="64" t="str">
        <f>INDEX(Auxiliar!$B$16:$B$24,MATCH(Plano_V3!H437,Auxiliar!$C$16:$C$24,0),1)</f>
        <v>1. Concluído</v>
      </c>
      <c r="H437" s="64">
        <f>VLOOKUP(A437,'Aux - pivots1'!$A:$B,2,0)</f>
        <v>1</v>
      </c>
      <c r="I437" s="183">
        <f>SUMIFS(Table1[Estimação (horas)],Table1[Tabela],Plano_V3!E437,Table1[Campo],Plano_V3!F437)</f>
        <v>0.5</v>
      </c>
      <c r="J437" s="183">
        <f t="shared" si="315"/>
        <v>6.25E-2</v>
      </c>
      <c r="K437" s="183">
        <f>SUMIFS(Table1[Horas efetivas],Table1[Tabela],Plano_V3!E437,Table1[Campo],Plano_V3!F437)</f>
        <v>0.5</v>
      </c>
      <c r="L437" s="183">
        <f t="shared" si="316"/>
        <v>6.25E-2</v>
      </c>
      <c r="M437" s="177"/>
      <c r="N437" s="177">
        <f t="shared" si="317"/>
        <v>1</v>
      </c>
      <c r="O437" s="177">
        <f t="shared" si="318"/>
        <v>1</v>
      </c>
      <c r="P437" s="89" t="s">
        <v>39</v>
      </c>
      <c r="Q437" s="90">
        <f t="shared" si="326"/>
        <v>6.25E-2</v>
      </c>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hidden="1" outlineLevel="1">
      <c r="A438" s="29" t="str">
        <f t="shared" si="319"/>
        <v>modesg_inp_emss_bens_imoveisscore_qualidade</v>
      </c>
      <c r="B438" s="67" t="s">
        <v>26</v>
      </c>
      <c r="C438" s="68" t="s">
        <v>181</v>
      </c>
      <c r="D438" s="64" t="s">
        <v>40</v>
      </c>
      <c r="E438" s="66" t="s">
        <v>219</v>
      </c>
      <c r="F438" s="64" t="s">
        <v>232</v>
      </c>
      <c r="G438" s="64" t="str">
        <f>INDEX(Auxiliar!$B$16:$B$24,MATCH(Plano_V3!H438,Auxiliar!$C$16:$C$24,0),1)</f>
        <v>1. Concluído</v>
      </c>
      <c r="H438" s="64">
        <f>VLOOKUP(A438,'Aux - pivots1'!$A:$B,2,0)</f>
        <v>1</v>
      </c>
      <c r="I438" s="183">
        <f>SUMIFS(Table1[Estimação (horas)],Table1[Tabela],Plano_V3!E438,Table1[Campo],Plano_V3!F438)</f>
        <v>0.5</v>
      </c>
      <c r="J438" s="183">
        <f t="shared" si="315"/>
        <v>6.25E-2</v>
      </c>
      <c r="K438" s="183">
        <f>SUMIFS(Table1[Horas efetivas],Table1[Tabela],Plano_V3!E438,Table1[Campo],Plano_V3!F438)</f>
        <v>0.5</v>
      </c>
      <c r="L438" s="183">
        <f t="shared" si="316"/>
        <v>6.25E-2</v>
      </c>
      <c r="M438" s="177"/>
      <c r="N438" s="177">
        <f t="shared" si="317"/>
        <v>1</v>
      </c>
      <c r="O438" s="177">
        <f t="shared" si="318"/>
        <v>1</v>
      </c>
      <c r="P438" s="89" t="s">
        <v>39</v>
      </c>
      <c r="Q438" s="90">
        <f t="shared" si="326"/>
        <v>6.25E-2</v>
      </c>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hidden="1" outlineLevel="1">
      <c r="A439" s="29" t="str">
        <f t="shared" si="319"/>
        <v>modesg_inp_emss_bens_imoveisano_fator_emissao</v>
      </c>
      <c r="B439" s="67" t="s">
        <v>26</v>
      </c>
      <c r="C439" s="68" t="s">
        <v>181</v>
      </c>
      <c r="D439" s="64" t="s">
        <v>40</v>
      </c>
      <c r="E439" s="66" t="s">
        <v>219</v>
      </c>
      <c r="F439" s="64" t="s">
        <v>308</v>
      </c>
      <c r="G439" s="64" t="str">
        <f>INDEX(Auxiliar!$B$16:$B$24,MATCH(Plano_V3!H439,Auxiliar!$C$16:$C$24,0),1)</f>
        <v>1. Concluído</v>
      </c>
      <c r="H439" s="64">
        <f>VLOOKUP(A439,'Aux - pivots1'!$A:$B,2,0)</f>
        <v>1</v>
      </c>
      <c r="I439" s="183">
        <f>SUMIFS(Table1[Estimação (horas)],Table1[Tabela],Plano_V3!E439,Table1[Campo],Plano_V3!F439)</f>
        <v>0.5</v>
      </c>
      <c r="J439" s="183">
        <f t="shared" si="315"/>
        <v>6.25E-2</v>
      </c>
      <c r="K439" s="183">
        <f>SUMIFS(Table1[Horas efetivas],Table1[Tabela],Plano_V3!E439,Table1[Campo],Plano_V3!F439)</f>
        <v>0.5</v>
      </c>
      <c r="L439" s="183">
        <f t="shared" si="316"/>
        <v>6.25E-2</v>
      </c>
      <c r="M439" s="177"/>
      <c r="N439" s="177">
        <f t="shared" si="317"/>
        <v>1</v>
      </c>
      <c r="O439" s="177">
        <f t="shared" si="318"/>
        <v>1</v>
      </c>
      <c r="P439" s="89" t="s">
        <v>39</v>
      </c>
      <c r="Q439" s="90">
        <f t="shared" si="326"/>
        <v>6.25E-2</v>
      </c>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hidden="1" outlineLevel="1">
      <c r="A440" s="29" t="str">
        <f t="shared" si="319"/>
        <v>modesg_inp_emss_bens_imoveisscp1_ftr_emss</v>
      </c>
      <c r="B440" s="67" t="s">
        <v>26</v>
      </c>
      <c r="C440" s="68" t="s">
        <v>181</v>
      </c>
      <c r="D440" s="64" t="s">
        <v>40</v>
      </c>
      <c r="E440" s="66" t="s">
        <v>219</v>
      </c>
      <c r="F440" s="64" t="s">
        <v>233</v>
      </c>
      <c r="G440" s="64" t="str">
        <f>INDEX(Auxiliar!$B$16:$B$24,MATCH(Plano_V3!H440,Auxiliar!$C$16:$C$24,0),1)</f>
        <v>1. Concluído</v>
      </c>
      <c r="H440" s="64">
        <f>VLOOKUP(A440,'Aux - pivots1'!$A:$B,2,0)</f>
        <v>1</v>
      </c>
      <c r="I440" s="183">
        <f>SUMIFS(Table1[Estimação (horas)],Table1[Tabela],Plano_V3!E440,Table1[Campo],Plano_V3!F440)</f>
        <v>0.6</v>
      </c>
      <c r="J440" s="183">
        <f t="shared" si="315"/>
        <v>7.4999999999999997E-2</v>
      </c>
      <c r="K440" s="183">
        <f>SUMIFS(Table1[Horas efetivas],Table1[Tabela],Plano_V3!E440,Table1[Campo],Plano_V3!F440)</f>
        <v>0.6</v>
      </c>
      <c r="L440" s="183">
        <f t="shared" si="316"/>
        <v>7.4999999999999997E-2</v>
      </c>
      <c r="M440" s="177"/>
      <c r="N440" s="177">
        <f t="shared" si="317"/>
        <v>1</v>
      </c>
      <c r="O440" s="177">
        <f t="shared" si="318"/>
        <v>1</v>
      </c>
      <c r="P440" s="89" t="s">
        <v>39</v>
      </c>
      <c r="Q440" s="90">
        <f t="shared" si="326"/>
        <v>7.4999999999999997E-2</v>
      </c>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78"/>
      <c r="EJ440" s="78"/>
      <c r="EK440" s="78"/>
      <c r="EL440" s="78"/>
      <c r="EM440" s="78"/>
      <c r="EN440" s="91"/>
      <c r="EO440" s="91"/>
      <c r="EP440" s="91"/>
      <c r="EQ440" s="91"/>
      <c r="ER440" s="91"/>
      <c r="ES440" s="91"/>
    </row>
    <row r="441" spans="1:149" hidden="1" outlineLevel="1">
      <c r="A441" s="29" t="str">
        <f t="shared" si="319"/>
        <v>modesg_inp_emss_bens_imoveisscp2_ftr_emss</v>
      </c>
      <c r="B441" s="67" t="s">
        <v>26</v>
      </c>
      <c r="C441" s="68" t="s">
        <v>181</v>
      </c>
      <c r="D441" s="64" t="s">
        <v>40</v>
      </c>
      <c r="E441" s="66" t="s">
        <v>219</v>
      </c>
      <c r="F441" s="64" t="s">
        <v>234</v>
      </c>
      <c r="G441" s="64" t="str">
        <f>INDEX(Auxiliar!$B$16:$B$24,MATCH(Plano_V3!H441,Auxiliar!$C$16:$C$24,0),1)</f>
        <v>1. Concluído</v>
      </c>
      <c r="H441" s="64">
        <f>VLOOKUP(A441,'Aux - pivots1'!$A:$B,2,0)</f>
        <v>1</v>
      </c>
      <c r="I441" s="183">
        <f>SUMIFS(Table1[Estimação (horas)],Table1[Tabela],Plano_V3!E441,Table1[Campo],Plano_V3!F441)</f>
        <v>0.6</v>
      </c>
      <c r="J441" s="183">
        <f t="shared" si="315"/>
        <v>7.4999999999999997E-2</v>
      </c>
      <c r="K441" s="183">
        <f>SUMIFS(Table1[Horas efetivas],Table1[Tabela],Plano_V3!E441,Table1[Campo],Plano_V3!F441)</f>
        <v>0.6</v>
      </c>
      <c r="L441" s="183">
        <f t="shared" si="316"/>
        <v>7.4999999999999997E-2</v>
      </c>
      <c r="M441" s="177"/>
      <c r="N441" s="177">
        <f t="shared" si="317"/>
        <v>1</v>
      </c>
      <c r="O441" s="177">
        <f t="shared" si="318"/>
        <v>1</v>
      </c>
      <c r="P441" s="89" t="s">
        <v>39</v>
      </c>
      <c r="Q441" s="90">
        <f t="shared" si="326"/>
        <v>7.4999999999999997E-2</v>
      </c>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hidden="1" outlineLevel="1">
      <c r="A442" s="29" t="str">
        <f t="shared" si="319"/>
        <v>modesg_inp_project_financecodigo_unidade</v>
      </c>
      <c r="B442" s="67"/>
      <c r="C442" s="68"/>
      <c r="D442" s="64" t="s">
        <v>40</v>
      </c>
      <c r="E442" s="66" t="s">
        <v>2066</v>
      </c>
      <c r="F442" s="64" t="s">
        <v>2067</v>
      </c>
      <c r="G442" s="64" t="str">
        <f>INDEX(Auxiliar!$B$16:$B$24,MATCH(Plano_V3!H442,Auxiliar!$C$16:$C$24,0),1)</f>
        <v>1. Concluído</v>
      </c>
      <c r="H442" s="64">
        <f>VLOOKUP(A442,'Aux - pivots1'!$A:$B,2,0)</f>
        <v>1</v>
      </c>
      <c r="I442" s="183" t="e">
        <f>SUMIFS(Table1[Estimação (horas)],Table1[Tabela],Plano_V3!E442,Table1[Campo],Plano_V3!F442)</f>
        <v>#N/A</v>
      </c>
      <c r="J442" s="183" t="e">
        <f t="shared" ref="J442:J450" si="327">I442/8</f>
        <v>#N/A</v>
      </c>
      <c r="K442" s="183" t="e">
        <f>SUMIFS(Table1[Horas efetivas],Table1[Tabela],Plano_V3!E442,Table1[Campo],Plano_V3!F442)</f>
        <v>#N/A</v>
      </c>
      <c r="L442" s="183" t="e">
        <f t="shared" ref="L442:L450" si="328">K442/8</f>
        <v>#N/A</v>
      </c>
      <c r="M442" s="177"/>
      <c r="N442" s="177" t="e">
        <f t="shared" ref="N442:N450" si="329">L442/J442</f>
        <v>#N/A</v>
      </c>
      <c r="O442" s="177" t="e">
        <f t="shared" ref="O442:O450" si="330">N442-M442</f>
        <v>#N/A</v>
      </c>
      <c r="P442" s="89" t="s">
        <v>39</v>
      </c>
      <c r="Q442" s="90"/>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hidden="1" outlineLevel="1">
      <c r="A443" s="29" t="str">
        <f t="shared" si="319"/>
        <v>modesg_inp_project_financenome_unidade</v>
      </c>
      <c r="B443" s="67"/>
      <c r="C443" s="68"/>
      <c r="D443" s="64" t="s">
        <v>40</v>
      </c>
      <c r="E443" s="66" t="s">
        <v>2066</v>
      </c>
      <c r="F443" s="64" t="s">
        <v>2068</v>
      </c>
      <c r="G443" s="64" t="str">
        <f>INDEX(Auxiliar!$B$16:$B$24,MATCH(Plano_V3!H443,Auxiliar!$C$16:$C$24,0),1)</f>
        <v>1. Concluído</v>
      </c>
      <c r="H443" s="64">
        <f>VLOOKUP(A443,'Aux - pivots1'!$A:$B,2,0)</f>
        <v>1</v>
      </c>
      <c r="I443" s="183" t="e">
        <f>SUMIFS(Table1[Estimação (horas)],Table1[Tabela],Plano_V3!E443,Table1[Campo],Plano_V3!F443)</f>
        <v>#N/A</v>
      </c>
      <c r="J443" s="183" t="e">
        <f t="shared" si="327"/>
        <v>#N/A</v>
      </c>
      <c r="K443" s="183" t="e">
        <f>SUMIFS(Table1[Horas efetivas],Table1[Tabela],Plano_V3!E443,Table1[Campo],Plano_V3!F443)</f>
        <v>#N/A</v>
      </c>
      <c r="L443" s="183" t="e">
        <f t="shared" si="328"/>
        <v>#N/A</v>
      </c>
      <c r="M443" s="177"/>
      <c r="N443" s="177" t="e">
        <f t="shared" si="329"/>
        <v>#N/A</v>
      </c>
      <c r="O443" s="177" t="e">
        <f t="shared" si="330"/>
        <v>#N/A</v>
      </c>
      <c r="P443" s="89" t="s">
        <v>39</v>
      </c>
      <c r="Q443" s="90"/>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hidden="1" outlineLevel="1">
      <c r="A444" s="29" t="str">
        <f t="shared" si="319"/>
        <v>modesg_inp_project_financekgl</v>
      </c>
      <c r="B444" s="67"/>
      <c r="C444" s="68"/>
      <c r="D444" s="64" t="s">
        <v>40</v>
      </c>
      <c r="E444" s="66" t="s">
        <v>2066</v>
      </c>
      <c r="F444" s="64" t="s">
        <v>2069</v>
      </c>
      <c r="G444" s="64" t="str">
        <f>INDEX(Auxiliar!$B$16:$B$24,MATCH(Plano_V3!H444,Auxiliar!$C$16:$C$24,0),1)</f>
        <v>1. Concluído</v>
      </c>
      <c r="H444" s="64">
        <f>VLOOKUP(A444,'Aux - pivots1'!$A:$B,2,0)</f>
        <v>1</v>
      </c>
      <c r="I444" s="183" t="e">
        <f>SUMIFS(Table1[Estimação (horas)],Table1[Tabela],Plano_V3!E444,Table1[Campo],Plano_V3!F444)</f>
        <v>#N/A</v>
      </c>
      <c r="J444" s="183" t="e">
        <f t="shared" si="327"/>
        <v>#N/A</v>
      </c>
      <c r="K444" s="183" t="e">
        <f>SUMIFS(Table1[Horas efetivas],Table1[Tabela],Plano_V3!E444,Table1[Campo],Plano_V3!F444)</f>
        <v>#N/A</v>
      </c>
      <c r="L444" s="183" t="e">
        <f t="shared" si="328"/>
        <v>#N/A</v>
      </c>
      <c r="M444" s="177"/>
      <c r="N444" s="177" t="e">
        <f t="shared" si="329"/>
        <v>#N/A</v>
      </c>
      <c r="O444" s="177" t="e">
        <f t="shared" si="330"/>
        <v>#N/A</v>
      </c>
      <c r="P444" s="89" t="s">
        <v>39</v>
      </c>
      <c r="Q444" s="90"/>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78"/>
      <c r="EJ444" s="78"/>
      <c r="EK444" s="78"/>
      <c r="EL444" s="78"/>
      <c r="EM444" s="78"/>
      <c r="EN444" s="91"/>
      <c r="EO444" s="91"/>
      <c r="EP444" s="91"/>
      <c r="EQ444" s="91"/>
      <c r="ER444" s="91"/>
      <c r="ES444" s="91"/>
    </row>
    <row r="445" spans="1:149" hidden="1" outlineLevel="1">
      <c r="A445" s="29" t="str">
        <f t="shared" si="319"/>
        <v>modesg_inp_project_financenome_legal_kgl</v>
      </c>
      <c r="B445" s="67"/>
      <c r="C445" s="68"/>
      <c r="D445" s="64" t="s">
        <v>40</v>
      </c>
      <c r="E445" s="66" t="s">
        <v>2066</v>
      </c>
      <c r="F445" s="64" t="s">
        <v>2070</v>
      </c>
      <c r="G445" s="64" t="str">
        <f>INDEX(Auxiliar!$B$16:$B$24,MATCH(Plano_V3!H445,Auxiliar!$C$16:$C$24,0),1)</f>
        <v>1. Concluído</v>
      </c>
      <c r="H445" s="64">
        <f>VLOOKUP(A445,'Aux - pivots1'!$A:$B,2,0)</f>
        <v>1</v>
      </c>
      <c r="I445" s="183" t="e">
        <f>SUMIFS(Table1[Estimação (horas)],Table1[Tabela],Plano_V3!E445,Table1[Campo],Plano_V3!F445)</f>
        <v>#N/A</v>
      </c>
      <c r="J445" s="183" t="e">
        <f t="shared" si="327"/>
        <v>#N/A</v>
      </c>
      <c r="K445" s="183" t="e">
        <f>SUMIFS(Table1[Horas efetivas],Table1[Tabela],Plano_V3!E445,Table1[Campo],Plano_V3!F445)</f>
        <v>#N/A</v>
      </c>
      <c r="L445" s="183" t="e">
        <f t="shared" si="328"/>
        <v>#N/A</v>
      </c>
      <c r="M445" s="177"/>
      <c r="N445" s="177" t="e">
        <f t="shared" si="329"/>
        <v>#N/A</v>
      </c>
      <c r="O445" s="177" t="e">
        <f t="shared" si="330"/>
        <v>#N/A</v>
      </c>
      <c r="P445" s="89" t="s">
        <v>39</v>
      </c>
      <c r="Q445" s="90"/>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hidden="1" outlineLevel="1">
      <c r="A446" s="29" t="str">
        <f t="shared" si="319"/>
        <v>modesg_inp_project_financekgl_top_entidade_principal</v>
      </c>
      <c r="B446" s="67"/>
      <c r="C446" s="68"/>
      <c r="D446" s="64" t="s">
        <v>40</v>
      </c>
      <c r="E446" s="66" t="s">
        <v>2066</v>
      </c>
      <c r="F446" s="64" t="s">
        <v>2071</v>
      </c>
      <c r="G446" s="64" t="str">
        <f>INDEX(Auxiliar!$B$16:$B$24,MATCH(Plano_V3!H446,Auxiliar!$C$16:$C$24,0),1)</f>
        <v>1. Concluído</v>
      </c>
      <c r="H446" s="64">
        <f>VLOOKUP(A446,'Aux - pivots1'!$A:$B,2,0)</f>
        <v>1</v>
      </c>
      <c r="I446" s="183" t="e">
        <f>SUMIFS(Table1[Estimação (horas)],Table1[Tabela],Plano_V3!E446,Table1[Campo],Plano_V3!F446)</f>
        <v>#N/A</v>
      </c>
      <c r="J446" s="183" t="e">
        <f t="shared" si="327"/>
        <v>#N/A</v>
      </c>
      <c r="K446" s="183" t="e">
        <f>SUMIFS(Table1[Horas efetivas],Table1[Tabela],Plano_V3!E446,Table1[Campo],Plano_V3!F446)</f>
        <v>#N/A</v>
      </c>
      <c r="L446" s="183" t="e">
        <f t="shared" si="328"/>
        <v>#N/A</v>
      </c>
      <c r="M446" s="177"/>
      <c r="N446" s="177" t="e">
        <f t="shared" si="329"/>
        <v>#N/A</v>
      </c>
      <c r="O446" s="177" t="e">
        <f t="shared" si="330"/>
        <v>#N/A</v>
      </c>
      <c r="P446" s="89" t="s">
        <v>39</v>
      </c>
      <c r="Q446" s="90"/>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78"/>
      <c r="EJ446" s="78"/>
      <c r="EK446" s="78"/>
      <c r="EL446" s="78"/>
      <c r="EM446" s="78"/>
      <c r="EN446" s="91"/>
      <c r="EO446" s="91"/>
      <c r="EP446" s="91"/>
      <c r="EQ446" s="91"/>
      <c r="ER446" s="91"/>
      <c r="ES446" s="91"/>
    </row>
    <row r="447" spans="1:149" hidden="1" outlineLevel="1">
      <c r="A447" s="29" t="str">
        <f t="shared" si="319"/>
        <v>modesg_inp_project_financekgl_entidade_principal</v>
      </c>
      <c r="B447" s="67"/>
      <c r="C447" s="68"/>
      <c r="D447" s="64" t="s">
        <v>40</v>
      </c>
      <c r="E447" s="66" t="s">
        <v>2066</v>
      </c>
      <c r="F447" s="64" t="s">
        <v>2072</v>
      </c>
      <c r="G447" s="64" t="str">
        <f>INDEX(Auxiliar!$B$16:$B$24,MATCH(Plano_V3!H447,Auxiliar!$C$16:$C$24,0),1)</f>
        <v>1. Concluído</v>
      </c>
      <c r="H447" s="64">
        <f>VLOOKUP(A447,'Aux - pivots1'!$A:$B,2,0)</f>
        <v>1</v>
      </c>
      <c r="I447" s="183" t="e">
        <f>SUMIFS(Table1[Estimação (horas)],Table1[Tabela],Plano_V3!E447,Table1[Campo],Plano_V3!F447)</f>
        <v>#N/A</v>
      </c>
      <c r="J447" s="183" t="e">
        <f t="shared" si="327"/>
        <v>#N/A</v>
      </c>
      <c r="K447" s="183" t="e">
        <f>SUMIFS(Table1[Horas efetivas],Table1[Tabela],Plano_V3!E447,Table1[Campo],Plano_V3!F447)</f>
        <v>#N/A</v>
      </c>
      <c r="L447" s="183" t="e">
        <f t="shared" si="328"/>
        <v>#N/A</v>
      </c>
      <c r="M447" s="177"/>
      <c r="N447" s="177" t="e">
        <f t="shared" si="329"/>
        <v>#N/A</v>
      </c>
      <c r="O447" s="177" t="e">
        <f t="shared" si="330"/>
        <v>#N/A</v>
      </c>
      <c r="P447" s="89" t="s">
        <v>39</v>
      </c>
      <c r="Q447" s="90"/>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hidden="1" outlineLevel="1">
      <c r="A448" s="29" t="str">
        <f t="shared" si="319"/>
        <v>modesg_inp_project_financenome_top_entidade_principal</v>
      </c>
      <c r="B448" s="67"/>
      <c r="C448" s="68"/>
      <c r="D448" s="64" t="s">
        <v>40</v>
      </c>
      <c r="E448" s="66" t="s">
        <v>2066</v>
      </c>
      <c r="F448" s="64" t="s">
        <v>2073</v>
      </c>
      <c r="G448" s="64" t="str">
        <f>INDEX(Auxiliar!$B$16:$B$24,MATCH(Plano_V3!H448,Auxiliar!$C$16:$C$24,0),1)</f>
        <v>1. Concluído</v>
      </c>
      <c r="H448" s="64">
        <f>VLOOKUP(A448,'Aux - pivots1'!$A:$B,2,0)</f>
        <v>1</v>
      </c>
      <c r="I448" s="183" t="e">
        <f>SUMIFS(Table1[Estimação (horas)],Table1[Tabela],Plano_V3!E448,Table1[Campo],Plano_V3!F448)</f>
        <v>#N/A</v>
      </c>
      <c r="J448" s="183" t="e">
        <f t="shared" si="327"/>
        <v>#N/A</v>
      </c>
      <c r="K448" s="183" t="e">
        <f>SUMIFS(Table1[Horas efetivas],Table1[Tabela],Plano_V3!E448,Table1[Campo],Plano_V3!F448)</f>
        <v>#N/A</v>
      </c>
      <c r="L448" s="183" t="e">
        <f t="shared" si="328"/>
        <v>#N/A</v>
      </c>
      <c r="M448" s="177"/>
      <c r="N448" s="177" t="e">
        <f t="shared" si="329"/>
        <v>#N/A</v>
      </c>
      <c r="O448" s="177" t="e">
        <f t="shared" si="330"/>
        <v>#N/A</v>
      </c>
      <c r="P448" s="89" t="s">
        <v>39</v>
      </c>
      <c r="Q448" s="90"/>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hidden="1" outlineLevel="1">
      <c r="A449" s="29" t="str">
        <f t="shared" si="319"/>
        <v>modesg_inp_project_financecodigo_unidade_operativa</v>
      </c>
      <c r="B449" s="67"/>
      <c r="C449" s="68"/>
      <c r="D449" s="64" t="s">
        <v>40</v>
      </c>
      <c r="E449" s="66" t="s">
        <v>2066</v>
      </c>
      <c r="F449" s="64" t="s">
        <v>2074</v>
      </c>
      <c r="G449" s="64" t="str">
        <f>INDEX(Auxiliar!$B$16:$B$24,MATCH(Plano_V3!H449,Auxiliar!$C$16:$C$24,0),1)</f>
        <v>1. Concluído</v>
      </c>
      <c r="H449" s="64">
        <f>VLOOKUP(A449,'Aux - pivots1'!$A:$B,2,0)</f>
        <v>1</v>
      </c>
      <c r="I449" s="183" t="e">
        <f>SUMIFS(Table1[Estimação (horas)],Table1[Tabela],Plano_V3!E449,Table1[Campo],Plano_V3!F449)</f>
        <v>#N/A</v>
      </c>
      <c r="J449" s="183" t="e">
        <f t="shared" si="327"/>
        <v>#N/A</v>
      </c>
      <c r="K449" s="183" t="e">
        <f>SUMIFS(Table1[Horas efetivas],Table1[Tabela],Plano_V3!E449,Table1[Campo],Plano_V3!F449)</f>
        <v>#N/A</v>
      </c>
      <c r="L449" s="183" t="e">
        <f t="shared" si="328"/>
        <v>#N/A</v>
      </c>
      <c r="M449" s="177"/>
      <c r="N449" s="177" t="e">
        <f t="shared" si="329"/>
        <v>#N/A</v>
      </c>
      <c r="O449" s="177" t="e">
        <f t="shared" si="330"/>
        <v>#N/A</v>
      </c>
      <c r="P449" s="89" t="s">
        <v>39</v>
      </c>
      <c r="Q449" s="90"/>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78"/>
      <c r="EJ449" s="78"/>
      <c r="EK449" s="78"/>
      <c r="EL449" s="78"/>
      <c r="EM449" s="78"/>
      <c r="EN449" s="91"/>
      <c r="EO449" s="91"/>
      <c r="EP449" s="91"/>
      <c r="EQ449" s="91"/>
      <c r="ER449" s="91"/>
      <c r="ES449" s="91"/>
    </row>
    <row r="450" spans="1:149" hidden="1" outlineLevel="1">
      <c r="A450" s="29" t="str">
        <f t="shared" si="319"/>
        <v>modesg_inp_project_financenome_entidade_operativa</v>
      </c>
      <c r="B450" s="67"/>
      <c r="C450" s="68"/>
      <c r="D450" s="64" t="s">
        <v>40</v>
      </c>
      <c r="E450" s="66" t="s">
        <v>2066</v>
      </c>
      <c r="F450" s="64" t="s">
        <v>2075</v>
      </c>
      <c r="G450" s="64" t="str">
        <f>INDEX(Auxiliar!$B$16:$B$24,MATCH(Plano_V3!H450,Auxiliar!$C$16:$C$24,0),1)</f>
        <v>1. Concluído</v>
      </c>
      <c r="H450" s="64">
        <f>VLOOKUP(A450,'Aux - pivots1'!$A:$B,2,0)</f>
        <v>1</v>
      </c>
      <c r="I450" s="183" t="e">
        <f>SUMIFS(Table1[Estimação (horas)],Table1[Tabela],Plano_V3!E450,Table1[Campo],Plano_V3!F450)</f>
        <v>#N/A</v>
      </c>
      <c r="J450" s="183" t="e">
        <f t="shared" si="327"/>
        <v>#N/A</v>
      </c>
      <c r="K450" s="183">
        <f>SUMIFS(Table1[Horas efetivas],Table1[Tabela],Plano_V3!E450,Table1[Campo],Plano_V3!F450)</f>
        <v>0</v>
      </c>
      <c r="L450" s="183">
        <f t="shared" si="328"/>
        <v>0</v>
      </c>
      <c r="M450" s="177"/>
      <c r="N450" s="177" t="e">
        <f t="shared" si="329"/>
        <v>#N/A</v>
      </c>
      <c r="O450" s="177" t="e">
        <f t="shared" si="330"/>
        <v>#N/A</v>
      </c>
      <c r="P450" s="89" t="s">
        <v>39</v>
      </c>
      <c r="Q450" s="90"/>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hidden="1" outlineLevel="1">
      <c r="A451" s="29" t="str">
        <f t="shared" si="319"/>
        <v>Re-testesn.a.</v>
      </c>
      <c r="B451" s="67" t="s">
        <v>26</v>
      </c>
      <c r="C451" s="68" t="s">
        <v>181</v>
      </c>
      <c r="D451" s="64" t="s">
        <v>40</v>
      </c>
      <c r="E451" s="66" t="s">
        <v>53</v>
      </c>
      <c r="F451" s="64" t="s">
        <v>38</v>
      </c>
      <c r="G451" s="64" t="s">
        <v>309</v>
      </c>
      <c r="H451" s="64"/>
      <c r="I451" s="183">
        <f>J451*8</f>
        <v>16</v>
      </c>
      <c r="J451" s="183">
        <v>2</v>
      </c>
      <c r="K451" s="183"/>
      <c r="L451" s="183"/>
      <c r="M451" s="177"/>
      <c r="N451" s="177">
        <v>0.25</v>
      </c>
      <c r="O451" s="177">
        <f t="shared" si="318"/>
        <v>0.25</v>
      </c>
      <c r="P451" s="87"/>
      <c r="Q451" s="90">
        <f t="shared" si="326"/>
        <v>2</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collapsed="1">
      <c r="A452" s="104" t="str">
        <f t="shared" ref="A452:A526" si="331">E452&amp;F452</f>
        <v/>
      </c>
      <c r="B452" s="63" t="s">
        <v>26</v>
      </c>
      <c r="C452" s="96" t="s">
        <v>310</v>
      </c>
      <c r="D452" s="96"/>
      <c r="E452" s="103"/>
      <c r="F452" s="96"/>
      <c r="G452" s="96"/>
      <c r="H452" s="96"/>
      <c r="I452" s="182" t="e">
        <f>SUM(I453:I561)</f>
        <v>#N/A</v>
      </c>
      <c r="J452" s="182" t="e">
        <f>ROUNDUP(I452/8,0)</f>
        <v>#N/A</v>
      </c>
      <c r="K452" s="182" t="e">
        <f>SUM(K453:K561)</f>
        <v>#N/A</v>
      </c>
      <c r="L452" s="182" t="e">
        <f>ROUNDUP(K452/8,0)</f>
        <v>#N/A</v>
      </c>
      <c r="M452" s="181" t="e">
        <f>SUMIFS(R452:ES452,$R$9:$ES$9,"S")/J452</f>
        <v>#N/A</v>
      </c>
      <c r="N452" s="181">
        <f>IFERROR(L452/J452,0)-15%</f>
        <v>-0.15</v>
      </c>
      <c r="O452" s="181" t="e">
        <f t="shared" si="318"/>
        <v>#N/A</v>
      </c>
      <c r="P452" s="188" t="s">
        <v>1847</v>
      </c>
      <c r="Q452" s="90" t="e">
        <f t="shared" si="326"/>
        <v>#N/A</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v>1</v>
      </c>
      <c r="BW452" s="78">
        <v>1</v>
      </c>
      <c r="BX452" s="78">
        <v>1</v>
      </c>
      <c r="BY452" s="78">
        <v>1</v>
      </c>
      <c r="BZ452" s="78">
        <v>0.5</v>
      </c>
      <c r="CA452" s="78">
        <v>1</v>
      </c>
      <c r="CB452" s="78">
        <v>1</v>
      </c>
      <c r="CC452" s="78">
        <v>1</v>
      </c>
      <c r="CD452" s="78">
        <v>1</v>
      </c>
      <c r="CE452" s="78">
        <v>0.5</v>
      </c>
      <c r="CF452" s="78">
        <v>1</v>
      </c>
      <c r="CG452" s="78">
        <v>1</v>
      </c>
      <c r="CH452" s="78">
        <v>1</v>
      </c>
      <c r="CI452" s="78">
        <v>1</v>
      </c>
      <c r="CJ452" s="78">
        <v>0.5</v>
      </c>
      <c r="CK452" s="78">
        <v>1</v>
      </c>
      <c r="CL452" s="78">
        <v>1</v>
      </c>
      <c r="CM452" s="78">
        <v>1</v>
      </c>
      <c r="CN452" s="78">
        <v>1</v>
      </c>
      <c r="CO452" s="78">
        <v>0.5</v>
      </c>
      <c r="CP452" s="78">
        <v>1</v>
      </c>
      <c r="CQ452" s="78">
        <v>1</v>
      </c>
      <c r="CR452" s="78">
        <v>1</v>
      </c>
      <c r="CS452" s="78">
        <v>1</v>
      </c>
      <c r="CT452" s="78">
        <v>0.5</v>
      </c>
      <c r="CU452" s="78">
        <v>1</v>
      </c>
      <c r="CV452" s="78">
        <v>1</v>
      </c>
      <c r="CW452" s="78">
        <v>1</v>
      </c>
      <c r="CX452" s="78">
        <v>1</v>
      </c>
      <c r="CY452" s="78">
        <v>2</v>
      </c>
      <c r="CZ452" s="78">
        <v>2</v>
      </c>
      <c r="DA452" s="78">
        <v>2</v>
      </c>
      <c r="DB452" s="78">
        <v>2</v>
      </c>
      <c r="DC452" s="78">
        <v>2</v>
      </c>
      <c r="DD452" s="78">
        <v>2</v>
      </c>
      <c r="DE452" s="78">
        <v>2</v>
      </c>
      <c r="DF452" s="78">
        <v>2</v>
      </c>
      <c r="DG452" s="78">
        <v>2</v>
      </c>
      <c r="DH452" s="78">
        <v>2</v>
      </c>
      <c r="DI452" s="78">
        <v>2</v>
      </c>
      <c r="DJ452" s="78">
        <v>2</v>
      </c>
      <c r="DK452" s="78">
        <v>2</v>
      </c>
      <c r="DL452" s="78">
        <v>2</v>
      </c>
      <c r="DM452" s="78">
        <v>2</v>
      </c>
      <c r="DN452" s="78">
        <v>2</v>
      </c>
      <c r="DO452" s="78">
        <v>2</v>
      </c>
      <c r="DP452" s="78">
        <v>2</v>
      </c>
      <c r="DQ452" s="78">
        <v>2</v>
      </c>
      <c r="DR452" s="78">
        <v>2</v>
      </c>
      <c r="DS452" s="78">
        <v>2</v>
      </c>
      <c r="DT452" s="78">
        <v>2</v>
      </c>
      <c r="DU452" s="78">
        <v>2</v>
      </c>
      <c r="DV452" s="78">
        <v>2</v>
      </c>
      <c r="DW452" s="78">
        <v>2</v>
      </c>
      <c r="DX452" s="78">
        <v>2</v>
      </c>
      <c r="DY452" s="78">
        <v>2</v>
      </c>
      <c r="DZ452" s="78">
        <v>2</v>
      </c>
      <c r="EA452" s="78">
        <v>2</v>
      </c>
      <c r="EB452" s="78">
        <v>2</v>
      </c>
      <c r="EC452" s="78">
        <v>2</v>
      </c>
      <c r="ED452" s="78">
        <v>2</v>
      </c>
      <c r="EE452" s="78">
        <v>2</v>
      </c>
      <c r="EF452" s="78">
        <v>2</v>
      </c>
      <c r="EG452" s="78">
        <v>2</v>
      </c>
      <c r="EH452" s="78">
        <v>2</v>
      </c>
      <c r="EI452" s="78">
        <v>1.5</v>
      </c>
      <c r="EJ452" s="78"/>
      <c r="EK452" s="78"/>
      <c r="EL452" s="78"/>
      <c r="EM452" s="78"/>
      <c r="EN452" s="91"/>
      <c r="EO452" s="91"/>
      <c r="EP452" s="91"/>
      <c r="EQ452" s="91"/>
      <c r="ER452" s="91"/>
      <c r="ES452" s="91"/>
    </row>
    <row r="453" spans="1:149" outlineLevel="1">
      <c r="A453" s="29" t="str">
        <f t="shared" si="331"/>
        <v>modesg_out_bens_imoveisn.a.</v>
      </c>
      <c r="B453" s="67" t="s">
        <v>26</v>
      </c>
      <c r="C453" s="68" t="s">
        <v>310</v>
      </c>
      <c r="D453" s="64" t="s">
        <v>36</v>
      </c>
      <c r="E453" s="66" t="s">
        <v>311</v>
      </c>
      <c r="F453" s="64" t="s">
        <v>38</v>
      </c>
      <c r="G453" s="64" t="str">
        <f>INDEX(Auxiliar!$B$16:$B$24,MATCH(Plano_V3!H453,Auxiliar!$C$16:$C$24,0),1)</f>
        <v>1. Concluído</v>
      </c>
      <c r="H453" s="64">
        <f>VLOOKUP(A453,'Aux - pivots1'!$A:$B,2,0)</f>
        <v>1</v>
      </c>
      <c r="I453" s="183">
        <f>SUMIFS(Table1[Estimação (horas)],Table1[Tabela],Plano_V3!E453,Table1[Campo],Plano_V3!F453)</f>
        <v>8</v>
      </c>
      <c r="J453" s="183">
        <f t="shared" ref="J453:J538" si="332">I453/8</f>
        <v>1</v>
      </c>
      <c r="K453" s="183">
        <f>SUMIFS(Table1[Horas efetivas],Table1[Tabela],Plano_V3!E453,Table1[Campo],Plano_V3!F453)</f>
        <v>8</v>
      </c>
      <c r="L453" s="183">
        <f t="shared" ref="L453:L538" si="333">K453/8</f>
        <v>1</v>
      </c>
      <c r="M453" s="177"/>
      <c r="N453" s="177">
        <f t="shared" ref="N453:N538" si="334">L453/J453</f>
        <v>1</v>
      </c>
      <c r="O453" s="177">
        <f t="shared" si="318"/>
        <v>1</v>
      </c>
      <c r="P453" s="87" t="s">
        <v>312</v>
      </c>
      <c r="Q453" s="90">
        <f t="shared" si="326"/>
        <v>1</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outlineLevel="1">
      <c r="A454" s="29" t="str">
        <f t="shared" si="331"/>
        <v>modesg_out_bens_imoveiscempbem</v>
      </c>
      <c r="B454" s="67" t="s">
        <v>26</v>
      </c>
      <c r="C454" s="68" t="s">
        <v>310</v>
      </c>
      <c r="D454" s="64" t="s">
        <v>40</v>
      </c>
      <c r="E454" s="66" t="s">
        <v>311</v>
      </c>
      <c r="F454" s="64" t="s">
        <v>313</v>
      </c>
      <c r="G454" s="64" t="str">
        <f>INDEX(Auxiliar!$B$16:$B$24,MATCH(Plano_V3!H454,Auxiliar!$C$16:$C$24,0),1)</f>
        <v>1. Concluído</v>
      </c>
      <c r="H454" s="64">
        <f>VLOOKUP(A454,'Aux - pivots1'!$A:$B,2,0)</f>
        <v>1</v>
      </c>
      <c r="I454" s="183">
        <f>SUMIFS(Table1[Estimação (horas)],Table1[Tabela],Plano_V3!E454,Table1[Campo],Plano_V3!F454)</f>
        <v>4.0999999999999996</v>
      </c>
      <c r="J454" s="183">
        <f t="shared" si="332"/>
        <v>0.51249999999999996</v>
      </c>
      <c r="K454" s="183">
        <f>SUMIFS(Table1[Horas efetivas],Table1[Tabela],Plano_V3!E454,Table1[Campo],Plano_V3!F454)</f>
        <v>4.0999999999999996</v>
      </c>
      <c r="L454" s="183">
        <f t="shared" si="333"/>
        <v>0.51249999999999996</v>
      </c>
      <c r="M454" s="177"/>
      <c r="N454" s="177">
        <f t="shared" si="334"/>
        <v>1</v>
      </c>
      <c r="O454" s="177">
        <f t="shared" si="318"/>
        <v>1</v>
      </c>
      <c r="P454" s="87" t="s">
        <v>312</v>
      </c>
      <c r="Q454" s="90">
        <f t="shared" si="326"/>
        <v>0.51249999999999996</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outlineLevel="1">
      <c r="A455" s="29" t="str">
        <f t="shared" si="331"/>
        <v>modesg_out_bens_imoveisckbalbem</v>
      </c>
      <c r="B455" s="67" t="s">
        <v>26</v>
      </c>
      <c r="C455" s="68" t="s">
        <v>310</v>
      </c>
      <c r="D455" s="64" t="s">
        <v>40</v>
      </c>
      <c r="E455" s="66" t="s">
        <v>311</v>
      </c>
      <c r="F455" s="64" t="s">
        <v>314</v>
      </c>
      <c r="G455" s="64" t="str">
        <f>INDEX(Auxiliar!$B$16:$B$24,MATCH(Plano_V3!H455,Auxiliar!$C$16:$C$24,0),1)</f>
        <v>1. Concluído</v>
      </c>
      <c r="H455" s="64">
        <f>VLOOKUP(A455,'Aux - pivots1'!$A:$B,2,0)</f>
        <v>1</v>
      </c>
      <c r="I455" s="183">
        <f>SUMIFS(Table1[Estimação (horas)],Table1[Tabela],Plano_V3!E455,Table1[Campo],Plano_V3!F455)</f>
        <v>4.0999999999999996</v>
      </c>
      <c r="J455" s="183">
        <f t="shared" si="332"/>
        <v>0.51249999999999996</v>
      </c>
      <c r="K455" s="183">
        <f>SUMIFS(Table1[Horas efetivas],Table1[Tabela],Plano_V3!E455,Table1[Campo],Plano_V3!F455)</f>
        <v>4.0999999999999996</v>
      </c>
      <c r="L455" s="183">
        <f t="shared" si="333"/>
        <v>0.51249999999999996</v>
      </c>
      <c r="M455" s="177"/>
      <c r="N455" s="177">
        <f t="shared" si="334"/>
        <v>1</v>
      </c>
      <c r="O455" s="177">
        <f t="shared" si="318"/>
        <v>1</v>
      </c>
      <c r="P455" s="87" t="s">
        <v>312</v>
      </c>
      <c r="Q455" s="90">
        <f t="shared" si="326"/>
        <v>0.51249999999999996</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outlineLevel="1">
      <c r="A456" s="29" t="str">
        <f t="shared" si="331"/>
        <v>modesg_out_bens_imoveisckctabem</v>
      </c>
      <c r="B456" s="67" t="s">
        <v>26</v>
      </c>
      <c r="C456" s="68" t="s">
        <v>310</v>
      </c>
      <c r="D456" s="64" t="s">
        <v>40</v>
      </c>
      <c r="E456" s="66" t="s">
        <v>311</v>
      </c>
      <c r="F456" s="64" t="s">
        <v>315</v>
      </c>
      <c r="G456" s="64" t="str">
        <f>INDEX(Auxiliar!$B$16:$B$24,MATCH(Plano_V3!H456,Auxiliar!$C$16:$C$24,0),1)</f>
        <v>1. Concluído</v>
      </c>
      <c r="H456" s="64">
        <f>VLOOKUP(A456,'Aux - pivots1'!$A:$B,2,0)</f>
        <v>1</v>
      </c>
      <c r="I456" s="183">
        <f>SUMIFS(Table1[Estimação (horas)],Table1[Tabela],Plano_V3!E456,Table1[Campo],Plano_V3!F456)</f>
        <v>4.0999999999999996</v>
      </c>
      <c r="J456" s="183">
        <f t="shared" si="332"/>
        <v>0.51249999999999996</v>
      </c>
      <c r="K456" s="183">
        <f>SUMIFS(Table1[Horas efetivas],Table1[Tabela],Plano_V3!E456,Table1[Campo],Plano_V3!F456)</f>
        <v>4.0999999999999996</v>
      </c>
      <c r="L456" s="183">
        <f t="shared" si="333"/>
        <v>0.51249999999999996</v>
      </c>
      <c r="M456" s="177"/>
      <c r="N456" s="177">
        <f t="shared" si="334"/>
        <v>1</v>
      </c>
      <c r="O456" s="177">
        <f t="shared" si="318"/>
        <v>1</v>
      </c>
      <c r="P456" s="87" t="s">
        <v>312</v>
      </c>
      <c r="Q456" s="90">
        <f t="shared" si="326"/>
        <v>0.51249999999999996</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outlineLevel="1">
      <c r="A457" s="29" t="str">
        <f t="shared" si="331"/>
        <v>modesg_out_bens_imoveisckrefbem</v>
      </c>
      <c r="B457" s="67" t="s">
        <v>26</v>
      </c>
      <c r="C457" s="68" t="s">
        <v>310</v>
      </c>
      <c r="D457" s="64" t="s">
        <v>40</v>
      </c>
      <c r="E457" s="66" t="s">
        <v>311</v>
      </c>
      <c r="F457" s="64" t="s">
        <v>316</v>
      </c>
      <c r="G457" s="64" t="str">
        <f>INDEX(Auxiliar!$B$16:$B$24,MATCH(Plano_V3!H457,Auxiliar!$C$16:$C$24,0),1)</f>
        <v>1. Concluído</v>
      </c>
      <c r="H457" s="64">
        <f>VLOOKUP(A457,'Aux - pivots1'!$A:$B,2,0)</f>
        <v>1</v>
      </c>
      <c r="I457" s="183">
        <f>SUMIFS(Table1[Estimação (horas)],Table1[Tabela],Plano_V3!E457,Table1[Campo],Plano_V3!F457)</f>
        <v>4.0999999999999996</v>
      </c>
      <c r="J457" s="183">
        <f t="shared" si="332"/>
        <v>0.51249999999999996</v>
      </c>
      <c r="K457" s="183">
        <f>SUMIFS(Table1[Horas efetivas],Table1[Tabela],Plano_V3!E457,Table1[Campo],Plano_V3!F457)</f>
        <v>4.0999999999999996</v>
      </c>
      <c r="L457" s="183">
        <f t="shared" si="333"/>
        <v>0.51249999999999996</v>
      </c>
      <c r="M457" s="177"/>
      <c r="N457" s="177">
        <f t="shared" si="334"/>
        <v>1</v>
      </c>
      <c r="O457" s="177">
        <f t="shared" si="318"/>
        <v>1</v>
      </c>
      <c r="P457" s="87" t="s">
        <v>312</v>
      </c>
      <c r="Q457" s="90">
        <f t="shared" si="326"/>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outlineLevel="1">
      <c r="A458" s="29" t="str">
        <f t="shared" si="331"/>
        <v>modesg_out_bens_imoveisflg_rsc_fsc_agd</v>
      </c>
      <c r="B458" s="67" t="s">
        <v>26</v>
      </c>
      <c r="C458" s="68" t="s">
        <v>310</v>
      </c>
      <c r="D458" s="64" t="s">
        <v>40</v>
      </c>
      <c r="E458" s="66" t="s">
        <v>311</v>
      </c>
      <c r="F458" s="64" t="s">
        <v>282</v>
      </c>
      <c r="G458" s="64" t="str">
        <f>INDEX(Auxiliar!$B$16:$B$24,MATCH(Plano_V3!H458,Auxiliar!$C$16:$C$24,0),1)</f>
        <v>2.1 Em Teste</v>
      </c>
      <c r="H458" s="64">
        <f>VLOOKUP(A458,'Aux - pivots1'!$A:$B,2,0)</f>
        <v>2</v>
      </c>
      <c r="I458" s="183">
        <f>SUMIFS(Table1[Estimação (horas)],Table1[Tabela],Plano_V3!E458,Table1[Campo],Plano_V3!F458)</f>
        <v>16.100000000000001</v>
      </c>
      <c r="J458" s="183">
        <f t="shared" si="332"/>
        <v>2.0125000000000002</v>
      </c>
      <c r="K458" s="183">
        <f>SUMIFS(Table1[Horas efetivas],Table1[Tabela],Plano_V3!E458,Table1[Campo],Plano_V3!F458)</f>
        <v>8.0500000000000007</v>
      </c>
      <c r="L458" s="183">
        <f t="shared" si="333"/>
        <v>1.0062500000000001</v>
      </c>
      <c r="M458" s="177"/>
      <c r="N458" s="177">
        <f t="shared" si="334"/>
        <v>0.5</v>
      </c>
      <c r="O458" s="177">
        <f t="shared" si="318"/>
        <v>0.5</v>
      </c>
      <c r="P458" s="87" t="s">
        <v>312</v>
      </c>
      <c r="Q458" s="90">
        <f t="shared" si="326"/>
        <v>2.0125000000000002</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outlineLevel="1">
      <c r="A459" s="29" t="str">
        <f t="shared" si="331"/>
        <v>modesg_out_bens_imoveisflg_rsc_fsc_crnc</v>
      </c>
      <c r="B459" s="67" t="s">
        <v>26</v>
      </c>
      <c r="C459" s="68" t="s">
        <v>310</v>
      </c>
      <c r="D459" s="64" t="s">
        <v>40</v>
      </c>
      <c r="E459" s="66" t="s">
        <v>311</v>
      </c>
      <c r="F459" s="64" t="s">
        <v>283</v>
      </c>
      <c r="G459" s="64" t="str">
        <f>INDEX(Auxiliar!$B$16:$B$24,MATCH(Plano_V3!H459,Auxiliar!$C$16:$C$24,0),1)</f>
        <v>2.1 Em Teste</v>
      </c>
      <c r="H459" s="64">
        <f>VLOOKUP(A459,'Aux - pivots1'!$A:$B,2,0)</f>
        <v>2</v>
      </c>
      <c r="I459" s="183">
        <f>SUMIFS(Table1[Estimação (horas)],Table1[Tabela],Plano_V3!E459,Table1[Campo],Plano_V3!F459)</f>
        <v>16.100000000000001</v>
      </c>
      <c r="J459" s="183">
        <f t="shared" si="332"/>
        <v>2.0125000000000002</v>
      </c>
      <c r="K459" s="183">
        <f>SUMIFS(Table1[Horas efetivas],Table1[Tabela],Plano_V3!E459,Table1[Campo],Plano_V3!F459)</f>
        <v>8.0500000000000007</v>
      </c>
      <c r="L459" s="183">
        <f t="shared" si="333"/>
        <v>1.0062500000000001</v>
      </c>
      <c r="M459" s="177"/>
      <c r="N459" s="177">
        <f t="shared" si="334"/>
        <v>0.5</v>
      </c>
      <c r="O459" s="177">
        <f t="shared" si="318"/>
        <v>0.5</v>
      </c>
      <c r="P459" s="87" t="s">
        <v>312</v>
      </c>
      <c r="Q459" s="90">
        <f t="shared" si="326"/>
        <v>2.0125000000000002</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outlineLevel="1">
      <c r="A460" s="29" t="str">
        <f t="shared" si="331"/>
        <v>modesg_out_bens_imoveisorigem_flg_rsc_fsc_agd</v>
      </c>
      <c r="B460" s="67" t="s">
        <v>26</v>
      </c>
      <c r="C460" s="68" t="s">
        <v>310</v>
      </c>
      <c r="D460" s="64" t="s">
        <v>40</v>
      </c>
      <c r="E460" s="66" t="s">
        <v>311</v>
      </c>
      <c r="F460" s="64" t="s">
        <v>317</v>
      </c>
      <c r="G460" s="64" t="str">
        <f>INDEX(Auxiliar!$B$16:$B$24,MATCH(Plano_V3!H460,Auxiliar!$C$16:$C$24,0),1)</f>
        <v>2.1 Em Teste</v>
      </c>
      <c r="H460" s="64">
        <f>VLOOKUP(A460,'Aux - pivots1'!$A:$B,2,0)</f>
        <v>2</v>
      </c>
      <c r="I460" s="183">
        <f>SUMIFS(Table1[Estimação (horas)],Table1[Tabela],Plano_V3!E460,Table1[Campo],Plano_V3!F460)</f>
        <v>4.0999999999999996</v>
      </c>
      <c r="J460" s="183">
        <f t="shared" si="332"/>
        <v>0.51249999999999996</v>
      </c>
      <c r="K460" s="183">
        <f>SUMIFS(Table1[Horas efetivas],Table1[Tabela],Plano_V3!E460,Table1[Campo],Plano_V3!F460)</f>
        <v>2.0499999999999998</v>
      </c>
      <c r="L460" s="183">
        <f t="shared" si="333"/>
        <v>0.25624999999999998</v>
      </c>
      <c r="M460" s="177"/>
      <c r="N460" s="177">
        <f t="shared" si="334"/>
        <v>0.5</v>
      </c>
      <c r="O460" s="177">
        <f t="shared" si="318"/>
        <v>0.5</v>
      </c>
      <c r="P460" s="87" t="s">
        <v>312</v>
      </c>
      <c r="Q460" s="90">
        <f t="shared" si="326"/>
        <v>0.51249999999999996</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outlineLevel="1">
      <c r="A461" s="29" t="str">
        <f t="shared" si="331"/>
        <v>modesg_out_bens_imoveisorigem_flg_rsc_fsc_crnc</v>
      </c>
      <c r="B461" s="67" t="s">
        <v>26</v>
      </c>
      <c r="C461" s="68" t="s">
        <v>310</v>
      </c>
      <c r="D461" s="64" t="s">
        <v>40</v>
      </c>
      <c r="E461" s="66" t="s">
        <v>311</v>
      </c>
      <c r="F461" s="64" t="s">
        <v>318</v>
      </c>
      <c r="G461" s="64" t="str">
        <f>INDEX(Auxiliar!$B$16:$B$24,MATCH(Plano_V3!H461,Auxiliar!$C$16:$C$24,0),1)</f>
        <v>2.1 Em Teste</v>
      </c>
      <c r="H461" s="64">
        <f>VLOOKUP(A461,'Aux - pivots1'!$A:$B,2,0)</f>
        <v>2</v>
      </c>
      <c r="I461" s="183">
        <f>SUMIFS(Table1[Estimação (horas)],Table1[Tabela],Plano_V3!E461,Table1[Campo],Plano_V3!F461)</f>
        <v>4.0999999999999996</v>
      </c>
      <c r="J461" s="183">
        <f t="shared" si="332"/>
        <v>0.51249999999999996</v>
      </c>
      <c r="K461" s="183">
        <f>SUMIFS(Table1[Horas efetivas],Table1[Tabela],Plano_V3!E461,Table1[Campo],Plano_V3!F461)</f>
        <v>2.0499999999999998</v>
      </c>
      <c r="L461" s="183">
        <f t="shared" si="333"/>
        <v>0.25624999999999998</v>
      </c>
      <c r="M461" s="177"/>
      <c r="N461" s="177">
        <f t="shared" si="334"/>
        <v>0.5</v>
      </c>
      <c r="O461" s="177">
        <f t="shared" si="318"/>
        <v>0.5</v>
      </c>
      <c r="P461" s="87" t="s">
        <v>312</v>
      </c>
      <c r="Q461" s="90">
        <f t="shared" si="326"/>
        <v>0.51249999999999996</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outlineLevel="1">
      <c r="A462" s="29" t="str">
        <f t="shared" si="331"/>
        <v>modesg_out_bens_imoveisorigem_scp1_emss</v>
      </c>
      <c r="B462" s="67" t="s">
        <v>26</v>
      </c>
      <c r="C462" s="68" t="s">
        <v>310</v>
      </c>
      <c r="D462" s="64" t="s">
        <v>40</v>
      </c>
      <c r="E462" s="66" t="s">
        <v>311</v>
      </c>
      <c r="F462" s="64" t="s">
        <v>319</v>
      </c>
      <c r="G462" s="64" t="str">
        <f>INDEX(Auxiliar!$B$16:$B$24,MATCH(Plano_V3!H462,Auxiliar!$C$16:$C$24,0),1)</f>
        <v>1. Concluído</v>
      </c>
      <c r="H462" s="64">
        <f>VLOOKUP(A462,'Aux - pivots1'!$A:$B,2,0)</f>
        <v>1</v>
      </c>
      <c r="I462" s="183">
        <f>SUMIFS(Table1[Estimação (horas)],Table1[Tabela],Plano_V3!E462,Table1[Campo],Plano_V3!F462)</f>
        <v>4.0999999999999996</v>
      </c>
      <c r="J462" s="183">
        <f t="shared" si="332"/>
        <v>0.51249999999999996</v>
      </c>
      <c r="K462" s="183">
        <f>SUMIFS(Table1[Horas efetivas],Table1[Tabela],Plano_V3!E462,Table1[Campo],Plano_V3!F462)</f>
        <v>4.0999999999999996</v>
      </c>
      <c r="L462" s="183">
        <f t="shared" si="333"/>
        <v>0.51249999999999996</v>
      </c>
      <c r="M462" s="177"/>
      <c r="N462" s="177">
        <f t="shared" si="334"/>
        <v>1</v>
      </c>
      <c r="O462" s="177">
        <f t="shared" si="318"/>
        <v>1</v>
      </c>
      <c r="P462" s="87" t="s">
        <v>312</v>
      </c>
      <c r="Q462" s="90">
        <f t="shared" si="326"/>
        <v>0.51249999999999996</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outlineLevel="1">
      <c r="A463" s="29" t="str">
        <f t="shared" si="331"/>
        <v>modesg_out_bens_imoveisorigem_scp2_emss</v>
      </c>
      <c r="B463" s="67" t="s">
        <v>26</v>
      </c>
      <c r="C463" s="68" t="s">
        <v>310</v>
      </c>
      <c r="D463" s="64" t="s">
        <v>40</v>
      </c>
      <c r="E463" s="66" t="s">
        <v>311</v>
      </c>
      <c r="F463" s="64" t="s">
        <v>320</v>
      </c>
      <c r="G463" s="64" t="str">
        <f>INDEX(Auxiliar!$B$16:$B$24,MATCH(Plano_V3!H463,Auxiliar!$C$16:$C$24,0),1)</f>
        <v>1. Concluído</v>
      </c>
      <c r="H463" s="64">
        <f>VLOOKUP(A463,'Aux - pivots1'!$A:$B,2,0)</f>
        <v>1</v>
      </c>
      <c r="I463" s="183">
        <f>SUMIFS(Table1[Estimação (horas)],Table1[Tabela],Plano_V3!E463,Table1[Campo],Plano_V3!F463)</f>
        <v>4.0999999999999996</v>
      </c>
      <c r="J463" s="183">
        <f t="shared" si="332"/>
        <v>0.51249999999999996</v>
      </c>
      <c r="K463" s="183">
        <f>SUMIFS(Table1[Horas efetivas],Table1[Tabela],Plano_V3!E463,Table1[Campo],Plano_V3!F463)</f>
        <v>4.0999999999999996</v>
      </c>
      <c r="L463" s="183">
        <f t="shared" si="333"/>
        <v>0.51249999999999996</v>
      </c>
      <c r="M463" s="177"/>
      <c r="N463" s="177">
        <f t="shared" si="334"/>
        <v>1</v>
      </c>
      <c r="O463" s="177">
        <f t="shared" si="318"/>
        <v>1</v>
      </c>
      <c r="P463" s="87" t="s">
        <v>312</v>
      </c>
      <c r="Q463" s="90">
        <f t="shared" si="326"/>
        <v>0.51249999999999996</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outlineLevel="1">
      <c r="A464" s="29" t="str">
        <f t="shared" si="331"/>
        <v>modesg_out_bens_imoveisorigem_scp3_emss</v>
      </c>
      <c r="B464" s="67" t="s">
        <v>26</v>
      </c>
      <c r="C464" s="68" t="s">
        <v>310</v>
      </c>
      <c r="D464" s="64" t="s">
        <v>40</v>
      </c>
      <c r="E464" s="66" t="s">
        <v>311</v>
      </c>
      <c r="F464" s="64" t="s">
        <v>321</v>
      </c>
      <c r="G464" s="64" t="str">
        <f>INDEX(Auxiliar!$B$16:$B$24,MATCH(Plano_V3!H464,Auxiliar!$C$16:$C$24,0),1)</f>
        <v>1. Concluído</v>
      </c>
      <c r="H464" s="64">
        <f>VLOOKUP(A464,'Aux - pivots1'!$A:$B,2,0)</f>
        <v>1</v>
      </c>
      <c r="I464" s="183">
        <f>SUMIFS(Table1[Estimação (horas)],Table1[Tabela],Plano_V3!E464,Table1[Campo],Plano_V3!F464)</f>
        <v>4.0999999999999996</v>
      </c>
      <c r="J464" s="183">
        <f t="shared" si="332"/>
        <v>0.51249999999999996</v>
      </c>
      <c r="K464" s="183">
        <f>SUMIFS(Table1[Horas efetivas],Table1[Tabela],Plano_V3!E464,Table1[Campo],Plano_V3!F464)</f>
        <v>4.0999999999999996</v>
      </c>
      <c r="L464" s="183">
        <f t="shared" si="333"/>
        <v>0.51249999999999996</v>
      </c>
      <c r="M464" s="177"/>
      <c r="N464" s="177">
        <f t="shared" si="334"/>
        <v>1</v>
      </c>
      <c r="O464" s="177">
        <f t="shared" si="318"/>
        <v>1</v>
      </c>
      <c r="P464" s="87" t="s">
        <v>312</v>
      </c>
      <c r="Q464" s="90">
        <f t="shared" si="326"/>
        <v>0.51249999999999996</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outlineLevel="1">
      <c r="A465" s="29" t="str">
        <f t="shared" si="331"/>
        <v>modesg_out_bens_imoveisref_date</v>
      </c>
      <c r="B465" s="67" t="s">
        <v>26</v>
      </c>
      <c r="C465" s="68" t="s">
        <v>310</v>
      </c>
      <c r="D465" s="64" t="s">
        <v>40</v>
      </c>
      <c r="E465" s="66" t="s">
        <v>311</v>
      </c>
      <c r="F465" s="64" t="s">
        <v>208</v>
      </c>
      <c r="G465" s="64" t="str">
        <f>INDEX(Auxiliar!$B$16:$B$24,MATCH(Plano_V3!H465,Auxiliar!$C$16:$C$24,0),1)</f>
        <v>1. Concluído</v>
      </c>
      <c r="H465" s="64">
        <f>VLOOKUP(A465,'Aux - pivots1'!$A:$B,2,0)</f>
        <v>1</v>
      </c>
      <c r="I465" s="183">
        <f>SUMIFS(Table1[Estimação (horas)],Table1[Tabela],Plano_V3!E465,Table1[Campo],Plano_V3!F465)</f>
        <v>4.0999999999999996</v>
      </c>
      <c r="J465" s="183">
        <f t="shared" si="332"/>
        <v>0.51249999999999996</v>
      </c>
      <c r="K465" s="183">
        <f>SUMIFS(Table1[Horas efetivas],Table1[Tabela],Plano_V3!E465,Table1[Campo],Plano_V3!F465)</f>
        <v>4.0999999999999996</v>
      </c>
      <c r="L465" s="183">
        <f t="shared" si="333"/>
        <v>0.51249999999999996</v>
      </c>
      <c r="M465" s="177"/>
      <c r="N465" s="177">
        <f t="shared" si="334"/>
        <v>1</v>
      </c>
      <c r="O465" s="177">
        <f t="shared" si="318"/>
        <v>1</v>
      </c>
      <c r="P465" s="87" t="s">
        <v>312</v>
      </c>
      <c r="Q465" s="90">
        <f t="shared" si="326"/>
        <v>0.51249999999999996</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outlineLevel="1">
      <c r="A466" s="29" t="str">
        <f t="shared" si="331"/>
        <v>modesg_out_bens_imoveisscp1_emss</v>
      </c>
      <c r="B466" s="67" t="s">
        <v>26</v>
      </c>
      <c r="C466" s="68" t="s">
        <v>310</v>
      </c>
      <c r="D466" s="64" t="s">
        <v>40</v>
      </c>
      <c r="E466" s="66" t="s">
        <v>311</v>
      </c>
      <c r="F466" s="64" t="s">
        <v>285</v>
      </c>
      <c r="G466" s="64" t="str">
        <f>INDEX(Auxiliar!$B$16:$B$24,MATCH(Plano_V3!H466,Auxiliar!$C$16:$C$24,0),1)</f>
        <v>1. Concluído</v>
      </c>
      <c r="H466" s="64">
        <f>VLOOKUP(A466,'Aux - pivots1'!$A:$B,2,0)</f>
        <v>1</v>
      </c>
      <c r="I466" s="183">
        <f>SUMIFS(Table1[Estimação (horas)],Table1[Tabela],Plano_V3!E466,Table1[Campo],Plano_V3!F466)</f>
        <v>8.1</v>
      </c>
      <c r="J466" s="183">
        <f t="shared" si="332"/>
        <v>1.0125</v>
      </c>
      <c r="K466" s="183">
        <f>SUMIFS(Table1[Horas efetivas],Table1[Tabela],Plano_V3!E466,Table1[Campo],Plano_V3!F466)</f>
        <v>8.1</v>
      </c>
      <c r="L466" s="183">
        <f t="shared" si="333"/>
        <v>1.0125</v>
      </c>
      <c r="M466" s="177"/>
      <c r="N466" s="177">
        <f t="shared" si="334"/>
        <v>1</v>
      </c>
      <c r="O466" s="177">
        <f t="shared" si="318"/>
        <v>1</v>
      </c>
      <c r="P466" s="87" t="s">
        <v>312</v>
      </c>
      <c r="Q466" s="90">
        <f t="shared" si="326"/>
        <v>1.0125</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outlineLevel="1">
      <c r="A467" s="29" t="str">
        <f t="shared" si="331"/>
        <v>modesg_out_bens_imoveisscp2_emss</v>
      </c>
      <c r="B467" s="67" t="s">
        <v>26</v>
      </c>
      <c r="C467" s="68" t="s">
        <v>310</v>
      </c>
      <c r="D467" s="64" t="s">
        <v>40</v>
      </c>
      <c r="E467" s="66" t="s">
        <v>311</v>
      </c>
      <c r="F467" s="64" t="s">
        <v>286</v>
      </c>
      <c r="G467" s="64" t="str">
        <f>INDEX(Auxiliar!$B$16:$B$24,MATCH(Plano_V3!H467,Auxiliar!$C$16:$C$24,0),1)</f>
        <v>1. Concluído</v>
      </c>
      <c r="H467" s="64">
        <f>VLOOKUP(A467,'Aux - pivots1'!$A:$B,2,0)</f>
        <v>1</v>
      </c>
      <c r="I467" s="183">
        <f>SUMIFS(Table1[Estimação (horas)],Table1[Tabela],Plano_V3!E467,Table1[Campo],Plano_V3!F467)</f>
        <v>8.1</v>
      </c>
      <c r="J467" s="183">
        <f t="shared" si="332"/>
        <v>1.0125</v>
      </c>
      <c r="K467" s="183">
        <f>SUMIFS(Table1[Horas efetivas],Table1[Tabela],Plano_V3!E467,Table1[Campo],Plano_V3!F467)</f>
        <v>8.1</v>
      </c>
      <c r="L467" s="183">
        <f t="shared" si="333"/>
        <v>1.0125</v>
      </c>
      <c r="M467" s="177"/>
      <c r="N467" s="177">
        <f t="shared" si="334"/>
        <v>1</v>
      </c>
      <c r="O467" s="177">
        <f t="shared" si="318"/>
        <v>1</v>
      </c>
      <c r="P467" s="87" t="s">
        <v>312</v>
      </c>
      <c r="Q467" s="90">
        <f t="shared" si="326"/>
        <v>1.0125</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outlineLevel="1">
      <c r="A468" s="29" t="str">
        <f t="shared" si="331"/>
        <v>modesg_out_bens_imoveisscp3_emss</v>
      </c>
      <c r="B468" s="67" t="s">
        <v>26</v>
      </c>
      <c r="C468" s="68" t="s">
        <v>310</v>
      </c>
      <c r="D468" s="64" t="s">
        <v>40</v>
      </c>
      <c r="E468" s="66" t="s">
        <v>311</v>
      </c>
      <c r="F468" s="64" t="s">
        <v>287</v>
      </c>
      <c r="G468" s="64" t="str">
        <f>INDEX(Auxiliar!$B$16:$B$24,MATCH(Plano_V3!H468,Auxiliar!$C$16:$C$24,0),1)</f>
        <v>1. Concluído</v>
      </c>
      <c r="H468" s="64">
        <f>VLOOKUP(A468,'Aux - pivots1'!$A:$B,2,0)</f>
        <v>1</v>
      </c>
      <c r="I468" s="183">
        <f>SUMIFS(Table1[Estimação (horas)],Table1[Tabela],Plano_V3!E468,Table1[Campo],Plano_V3!F468)</f>
        <v>4.0999999999999996</v>
      </c>
      <c r="J468" s="183">
        <f t="shared" si="332"/>
        <v>0.51249999999999996</v>
      </c>
      <c r="K468" s="183">
        <f>SUMIFS(Table1[Horas efetivas],Table1[Tabela],Plano_V3!E468,Table1[Campo],Plano_V3!F468)</f>
        <v>4.0999999999999996</v>
      </c>
      <c r="L468" s="183">
        <f t="shared" si="333"/>
        <v>0.51249999999999996</v>
      </c>
      <c r="M468" s="177"/>
      <c r="N468" s="177">
        <f t="shared" si="334"/>
        <v>1</v>
      </c>
      <c r="O468" s="177">
        <f t="shared" si="318"/>
        <v>1</v>
      </c>
      <c r="P468" s="87" t="s">
        <v>312</v>
      </c>
      <c r="Q468" s="90">
        <f t="shared" si="326"/>
        <v>0.51249999999999996</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outlineLevel="1">
      <c r="A469" s="29" t="str">
        <f t="shared" si="331"/>
        <v>modesg_out_bens_imoveisunidade_funcional_scp1_emss</v>
      </c>
      <c r="B469" s="67" t="s">
        <v>26</v>
      </c>
      <c r="C469" s="68" t="s">
        <v>310</v>
      </c>
      <c r="D469" s="64" t="s">
        <v>40</v>
      </c>
      <c r="E469" s="66" t="s">
        <v>311</v>
      </c>
      <c r="F469" s="64" t="s">
        <v>322</v>
      </c>
      <c r="G469" s="64" t="str">
        <f>INDEX(Auxiliar!$B$16:$B$24,MATCH(Plano_V3!H469,Auxiliar!$C$16:$C$24,0),1)</f>
        <v>1. Concluído</v>
      </c>
      <c r="H469" s="64">
        <f>VLOOKUP(A469,'Aux - pivots1'!$A:$B,2,0)</f>
        <v>1</v>
      </c>
      <c r="I469" s="183">
        <f>SUMIFS(Table1[Estimação (horas)],Table1[Tabela],Plano_V3!E469,Table1[Campo],Plano_V3!F469)</f>
        <v>4.0999999999999996</v>
      </c>
      <c r="J469" s="183">
        <f t="shared" si="332"/>
        <v>0.51249999999999996</v>
      </c>
      <c r="K469" s="183">
        <f>SUMIFS(Table1[Horas efetivas],Table1[Tabela],Plano_V3!E469,Table1[Campo],Plano_V3!F469)</f>
        <v>4.0999999999999996</v>
      </c>
      <c r="L469" s="183">
        <f t="shared" si="333"/>
        <v>0.51249999999999996</v>
      </c>
      <c r="M469" s="177"/>
      <c r="N469" s="177">
        <f t="shared" si="334"/>
        <v>1</v>
      </c>
      <c r="O469" s="177">
        <f t="shared" si="318"/>
        <v>1</v>
      </c>
      <c r="P469" s="87" t="s">
        <v>312</v>
      </c>
      <c r="Q469" s="90">
        <f t="shared" si="326"/>
        <v>0.51249999999999996</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outlineLevel="1">
      <c r="A470" s="29" t="str">
        <f t="shared" si="331"/>
        <v>modesg_out_bens_imoveisunidade_funcional_scp2_emss</v>
      </c>
      <c r="B470" s="67" t="s">
        <v>26</v>
      </c>
      <c r="C470" s="68" t="s">
        <v>310</v>
      </c>
      <c r="D470" s="64" t="s">
        <v>40</v>
      </c>
      <c r="E470" s="66" t="s">
        <v>311</v>
      </c>
      <c r="F470" s="64" t="s">
        <v>323</v>
      </c>
      <c r="G470" s="64" t="str">
        <f>INDEX(Auxiliar!$B$16:$B$24,MATCH(Plano_V3!H470,Auxiliar!$C$16:$C$24,0),1)</f>
        <v>1. Concluído</v>
      </c>
      <c r="H470" s="64">
        <f>VLOOKUP(A470,'Aux - pivots1'!$A:$B,2,0)</f>
        <v>1</v>
      </c>
      <c r="I470" s="183">
        <f>SUMIFS(Table1[Estimação (horas)],Table1[Tabela],Plano_V3!E470,Table1[Campo],Plano_V3!F470)</f>
        <v>4.0999999999999996</v>
      </c>
      <c r="J470" s="183">
        <f t="shared" si="332"/>
        <v>0.51249999999999996</v>
      </c>
      <c r="K470" s="183">
        <f>SUMIFS(Table1[Horas efetivas],Table1[Tabela],Plano_V3!E470,Table1[Campo],Plano_V3!F470)</f>
        <v>4.0999999999999996</v>
      </c>
      <c r="L470" s="183">
        <f t="shared" si="333"/>
        <v>0.51249999999999996</v>
      </c>
      <c r="M470" s="177"/>
      <c r="N470" s="177">
        <f t="shared" si="334"/>
        <v>1</v>
      </c>
      <c r="O470" s="177">
        <f t="shared" si="318"/>
        <v>1</v>
      </c>
      <c r="P470" s="87" t="s">
        <v>312</v>
      </c>
      <c r="Q470" s="90">
        <f t="shared" si="326"/>
        <v>0.51249999999999996</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outlineLevel="1">
      <c r="A471" s="29" t="str">
        <f t="shared" si="331"/>
        <v>modesg_out_bens_imoveisunidade_funcional_scp3_emss</v>
      </c>
      <c r="B471" s="67" t="s">
        <v>26</v>
      </c>
      <c r="C471" s="68" t="s">
        <v>310</v>
      </c>
      <c r="D471" s="64" t="s">
        <v>40</v>
      </c>
      <c r="E471" s="66" t="s">
        <v>311</v>
      </c>
      <c r="F471" s="64" t="s">
        <v>324</v>
      </c>
      <c r="G471" s="64" t="str">
        <f>INDEX(Auxiliar!$B$16:$B$24,MATCH(Plano_V3!H471,Auxiliar!$C$16:$C$24,0),1)</f>
        <v>1. Concluído</v>
      </c>
      <c r="H471" s="64">
        <f>VLOOKUP(A471,'Aux - pivots1'!$A:$B,2,0)</f>
        <v>1</v>
      </c>
      <c r="I471" s="183">
        <f>SUMIFS(Table1[Estimação (horas)],Table1[Tabela],Plano_V3!E471,Table1[Campo],Plano_V3!F471)</f>
        <v>4.0999999999999996</v>
      </c>
      <c r="J471" s="183">
        <f t="shared" si="332"/>
        <v>0.51249999999999996</v>
      </c>
      <c r="K471" s="183">
        <f>SUMIFS(Table1[Horas efetivas],Table1[Tabela],Plano_V3!E471,Table1[Campo],Plano_V3!F471)</f>
        <v>4.0999999999999996</v>
      </c>
      <c r="L471" s="183">
        <f t="shared" si="333"/>
        <v>0.51249999999999996</v>
      </c>
      <c r="M471" s="177"/>
      <c r="N471" s="177">
        <f t="shared" si="334"/>
        <v>1</v>
      </c>
      <c r="O471" s="177">
        <f t="shared" si="318"/>
        <v>1</v>
      </c>
      <c r="P471" s="87" t="s">
        <v>312</v>
      </c>
      <c r="Q471" s="90">
        <f t="shared" si="326"/>
        <v>0.51249999999999996</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outlineLevel="1">
      <c r="A472" s="29" t="str">
        <f t="shared" si="331"/>
        <v>modesg_out_empr_info_nfinn.a.</v>
      </c>
      <c r="B472" s="67" t="s">
        <v>26</v>
      </c>
      <c r="C472" s="68" t="s">
        <v>310</v>
      </c>
      <c r="D472" s="64" t="s">
        <v>36</v>
      </c>
      <c r="E472" s="66" t="s">
        <v>325</v>
      </c>
      <c r="F472" s="64" t="s">
        <v>38</v>
      </c>
      <c r="G472" s="64" t="str">
        <f>INDEX(Auxiliar!$B$16:$B$24,MATCH(Plano_V3!H472,Auxiliar!$C$16:$C$24,0),1)</f>
        <v>1. Concluído</v>
      </c>
      <c r="H472" s="64">
        <f>VLOOKUP(A472,'Aux - pivots1'!$A:$B,2,0)</f>
        <v>1</v>
      </c>
      <c r="I472" s="183">
        <f>SUMIFS(Table1[Estimação (horas)],Table1[Tabela],Plano_V3!E472,Table1[Campo],Plano_V3!F472)</f>
        <v>8</v>
      </c>
      <c r="J472" s="183">
        <f t="shared" si="332"/>
        <v>1</v>
      </c>
      <c r="K472" s="183">
        <f>SUMIFS(Table1[Horas efetivas],Table1[Tabela],Plano_V3!E472,Table1[Campo],Plano_V3!F472)</f>
        <v>8</v>
      </c>
      <c r="L472" s="183">
        <f t="shared" si="333"/>
        <v>1</v>
      </c>
      <c r="M472" s="177"/>
      <c r="N472" s="177">
        <f t="shared" si="334"/>
        <v>1</v>
      </c>
      <c r="O472" s="177">
        <f t="shared" si="318"/>
        <v>1</v>
      </c>
      <c r="P472" s="87" t="s">
        <v>326</v>
      </c>
      <c r="Q472" s="90">
        <f t="shared" si="326"/>
        <v>1</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outlineLevel="1">
      <c r="A473" s="29" t="str">
        <f t="shared" si="331"/>
        <v>modesg_out_empr_info_nfincca_capex_enblng_algnd</v>
      </c>
      <c r="B473" s="67" t="s">
        <v>26</v>
      </c>
      <c r="C473" s="68" t="s">
        <v>310</v>
      </c>
      <c r="D473" s="64" t="s">
        <v>40</v>
      </c>
      <c r="E473" s="66" t="s">
        <v>325</v>
      </c>
      <c r="F473" s="64" t="s">
        <v>249</v>
      </c>
      <c r="G473" s="64" t="str">
        <f>INDEX(Auxiliar!$B$16:$B$24,MATCH(Plano_V3!H473,Auxiliar!$C$16:$C$24,0),1)</f>
        <v>1. Concluído</v>
      </c>
      <c r="H473" s="64">
        <f>VLOOKUP(A473,'Aux - pivots1'!$A:$B,2,0)</f>
        <v>1</v>
      </c>
      <c r="I473" s="183">
        <f>SUMIFS(Table1[Estimação (horas)],Table1[Tabela],Plano_V3!E473,Table1[Campo],Plano_V3!F473)</f>
        <v>16.100000000000001</v>
      </c>
      <c r="J473" s="183">
        <f t="shared" si="332"/>
        <v>2.0125000000000002</v>
      </c>
      <c r="K473" s="183">
        <f>SUMIFS(Table1[Horas efetivas],Table1[Tabela],Plano_V3!E473,Table1[Campo],Plano_V3!F473)</f>
        <v>16.100000000000001</v>
      </c>
      <c r="L473" s="183">
        <f t="shared" si="333"/>
        <v>2.0125000000000002</v>
      </c>
      <c r="M473" s="177"/>
      <c r="N473" s="177">
        <f t="shared" si="334"/>
        <v>1</v>
      </c>
      <c r="O473" s="177">
        <f t="shared" si="318"/>
        <v>1</v>
      </c>
      <c r="P473" s="87" t="s">
        <v>326</v>
      </c>
      <c r="Q473" s="90">
        <f t="shared" si="326"/>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outlineLevel="1">
      <c r="A474" s="29" t="str">
        <f t="shared" si="331"/>
        <v>modesg_out_empr_info_nfincca_capex_own_prfrmnce_algnd</v>
      </c>
      <c r="B474" s="67" t="s">
        <v>26</v>
      </c>
      <c r="C474" s="68" t="s">
        <v>310</v>
      </c>
      <c r="D474" s="64" t="s">
        <v>40</v>
      </c>
      <c r="E474" s="66" t="s">
        <v>325</v>
      </c>
      <c r="F474" s="64" t="s">
        <v>250</v>
      </c>
      <c r="G474" s="64" t="str">
        <f>INDEX(Auxiliar!$B$16:$B$24,MATCH(Plano_V3!H474,Auxiliar!$C$16:$C$24,0),1)</f>
        <v>1. Concluído</v>
      </c>
      <c r="H474" s="64">
        <f>VLOOKUP(A474,'Aux - pivots1'!$A:$B,2,0)</f>
        <v>1</v>
      </c>
      <c r="I474" s="183">
        <f>SUMIFS(Table1[Estimação (horas)],Table1[Tabela],Plano_V3!E474,Table1[Campo],Plano_V3!F474)</f>
        <v>16.100000000000001</v>
      </c>
      <c r="J474" s="183">
        <f t="shared" si="332"/>
        <v>2.0125000000000002</v>
      </c>
      <c r="K474" s="183">
        <f>SUMIFS(Table1[Horas efetivas],Table1[Tabela],Plano_V3!E474,Table1[Campo],Plano_V3!F474)</f>
        <v>16.100000000000001</v>
      </c>
      <c r="L474" s="183">
        <f t="shared" si="333"/>
        <v>2.0125000000000002</v>
      </c>
      <c r="M474" s="177"/>
      <c r="N474" s="177">
        <f t="shared" si="334"/>
        <v>1</v>
      </c>
      <c r="O474" s="177">
        <f t="shared" si="318"/>
        <v>1</v>
      </c>
      <c r="P474" s="87" t="s">
        <v>326</v>
      </c>
      <c r="Q474" s="90">
        <f t="shared" si="326"/>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outlineLevel="1">
      <c r="A475" s="29" t="str">
        <f t="shared" si="331"/>
        <v>modesg_out_empr_info_nfincca_capex_ttl_elgbl</v>
      </c>
      <c r="B475" s="67" t="s">
        <v>26</v>
      </c>
      <c r="C475" s="68" t="s">
        <v>310</v>
      </c>
      <c r="D475" s="64" t="s">
        <v>40</v>
      </c>
      <c r="E475" s="66" t="s">
        <v>325</v>
      </c>
      <c r="F475" s="64" t="s">
        <v>248</v>
      </c>
      <c r="G475" s="64" t="str">
        <f>INDEX(Auxiliar!$B$16:$B$24,MATCH(Plano_V3!H475,Auxiliar!$C$16:$C$24,0),1)</f>
        <v>1. Concluído</v>
      </c>
      <c r="H475" s="64">
        <f>VLOOKUP(A475,'Aux - pivots1'!$A:$B,2,0)</f>
        <v>1</v>
      </c>
      <c r="I475" s="183">
        <f>SUMIFS(Table1[Estimação (horas)],Table1[Tabela],Plano_V3!E475,Table1[Campo],Plano_V3!F475)</f>
        <v>16.100000000000001</v>
      </c>
      <c r="J475" s="183">
        <f t="shared" si="332"/>
        <v>2.0125000000000002</v>
      </c>
      <c r="K475" s="183">
        <f>SUMIFS(Table1[Horas efetivas],Table1[Tabela],Plano_V3!E475,Table1[Campo],Plano_V3!F475)</f>
        <v>16.100000000000001</v>
      </c>
      <c r="L475" s="183">
        <f t="shared" si="333"/>
        <v>2.0125000000000002</v>
      </c>
      <c r="M475" s="177"/>
      <c r="N475" s="177">
        <f t="shared" si="334"/>
        <v>1</v>
      </c>
      <c r="O475" s="177">
        <f t="shared" si="318"/>
        <v>1</v>
      </c>
      <c r="P475" s="87" t="s">
        <v>326</v>
      </c>
      <c r="Q475" s="90">
        <f t="shared" si="326"/>
        <v>2.0125000000000002</v>
      </c>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outlineLevel="1">
      <c r="A476" s="29" t="str">
        <f t="shared" si="331"/>
        <v>modesg_out_empr_info_nfincca_trnvr_enblng_alignd</v>
      </c>
      <c r="B476" s="67" t="s">
        <v>26</v>
      </c>
      <c r="C476" s="68" t="s">
        <v>310</v>
      </c>
      <c r="D476" s="64" t="s">
        <v>40</v>
      </c>
      <c r="E476" s="66" t="s">
        <v>325</v>
      </c>
      <c r="F476" s="64" t="s">
        <v>246</v>
      </c>
      <c r="G476" s="64" t="str">
        <f>INDEX(Auxiliar!$B$16:$B$24,MATCH(Plano_V3!H476,Auxiliar!$C$16:$C$24,0),1)</f>
        <v>1. Concluído</v>
      </c>
      <c r="H476" s="64">
        <f>VLOOKUP(A476,'Aux - pivots1'!$A:$B,2,0)</f>
        <v>1</v>
      </c>
      <c r="I476" s="183">
        <f>SUMIFS(Table1[Estimação (horas)],Table1[Tabela],Plano_V3!E476,Table1[Campo],Plano_V3!F476)</f>
        <v>16.100000000000001</v>
      </c>
      <c r="J476" s="183">
        <f t="shared" si="332"/>
        <v>2.0125000000000002</v>
      </c>
      <c r="K476" s="183">
        <f>SUMIFS(Table1[Horas efetivas],Table1[Tabela],Plano_V3!E476,Table1[Campo],Plano_V3!F476)</f>
        <v>16.100000000000001</v>
      </c>
      <c r="L476" s="183">
        <f t="shared" si="333"/>
        <v>2.0125000000000002</v>
      </c>
      <c r="M476" s="177"/>
      <c r="N476" s="177">
        <f t="shared" si="334"/>
        <v>1</v>
      </c>
      <c r="O476" s="177">
        <f t="shared" si="318"/>
        <v>1</v>
      </c>
      <c r="P476" s="87" t="s">
        <v>326</v>
      </c>
      <c r="Q476" s="90">
        <f t="shared" si="326"/>
        <v>2.0125000000000002</v>
      </c>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outlineLevel="1">
      <c r="A477" s="29" t="str">
        <f t="shared" si="331"/>
        <v>modesg_out_empr_info_nfincca_trnvr_ttl_elgbl</v>
      </c>
      <c r="B477" s="67" t="s">
        <v>26</v>
      </c>
      <c r="C477" s="68" t="s">
        <v>310</v>
      </c>
      <c r="D477" s="64" t="s">
        <v>40</v>
      </c>
      <c r="E477" s="66" t="s">
        <v>325</v>
      </c>
      <c r="F477" s="64" t="s">
        <v>245</v>
      </c>
      <c r="G477" s="64" t="str">
        <f>INDEX(Auxiliar!$B$16:$B$24,MATCH(Plano_V3!H477,Auxiliar!$C$16:$C$24,0),1)</f>
        <v>1. Concluído</v>
      </c>
      <c r="H477" s="64">
        <f>VLOOKUP(A477,'Aux - pivots1'!$A:$B,2,0)</f>
        <v>1</v>
      </c>
      <c r="I477" s="183">
        <f>SUMIFS(Table1[Estimação (horas)],Table1[Tabela],Plano_V3!E477,Table1[Campo],Plano_V3!F477)</f>
        <v>16.100000000000001</v>
      </c>
      <c r="J477" s="183">
        <f t="shared" si="332"/>
        <v>2.0125000000000002</v>
      </c>
      <c r="K477" s="183">
        <f>SUMIFS(Table1[Horas efetivas],Table1[Tabela],Plano_V3!E477,Table1[Campo],Plano_V3!F477)</f>
        <v>16.100000000000001</v>
      </c>
      <c r="L477" s="183">
        <f t="shared" si="333"/>
        <v>2.0125000000000002</v>
      </c>
      <c r="M477" s="177"/>
      <c r="N477" s="177">
        <f t="shared" si="334"/>
        <v>1</v>
      </c>
      <c r="O477" s="177">
        <f t="shared" si="318"/>
        <v>1</v>
      </c>
      <c r="P477" s="87" t="s">
        <v>326</v>
      </c>
      <c r="Q477" s="90">
        <f t="shared" si="326"/>
        <v>2.0125000000000002</v>
      </c>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outlineLevel="1">
      <c r="A478" s="29" t="str">
        <f t="shared" si="331"/>
        <v>modesg_out_empr_info_nfincca_turnover_own_prfrmnce_algnd</v>
      </c>
      <c r="B478" s="67" t="s">
        <v>26</v>
      </c>
      <c r="C478" s="68" t="s">
        <v>310</v>
      </c>
      <c r="D478" s="64" t="s">
        <v>40</v>
      </c>
      <c r="E478" s="66" t="s">
        <v>325</v>
      </c>
      <c r="F478" s="64" t="s">
        <v>247</v>
      </c>
      <c r="G478" s="64" t="str">
        <f>INDEX(Auxiliar!$B$16:$B$24,MATCH(Plano_V3!H478,Auxiliar!$C$16:$C$24,0),1)</f>
        <v>1. Concluído</v>
      </c>
      <c r="H478" s="64">
        <f>VLOOKUP(A478,'Aux - pivots1'!$A:$B,2,0)</f>
        <v>1</v>
      </c>
      <c r="I478" s="183">
        <f>SUMIFS(Table1[Estimação (horas)],Table1[Tabela],Plano_V3!E478,Table1[Campo],Plano_V3!F478)</f>
        <v>16.100000000000001</v>
      </c>
      <c r="J478" s="183">
        <f t="shared" si="332"/>
        <v>2.0125000000000002</v>
      </c>
      <c r="K478" s="183">
        <f>SUMIFS(Table1[Horas efetivas],Table1[Tabela],Plano_V3!E478,Table1[Campo],Plano_V3!F478)</f>
        <v>16.100000000000001</v>
      </c>
      <c r="L478" s="183">
        <f t="shared" si="333"/>
        <v>2.0125000000000002</v>
      </c>
      <c r="M478" s="177"/>
      <c r="N478" s="177">
        <f t="shared" si="334"/>
        <v>1</v>
      </c>
      <c r="O478" s="177">
        <f t="shared" si="318"/>
        <v>1</v>
      </c>
      <c r="P478" s="87" t="s">
        <v>326</v>
      </c>
      <c r="Q478" s="90">
        <f t="shared" si="326"/>
        <v>2.0125000000000002</v>
      </c>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outlineLevel="1">
      <c r="A479" s="29" t="str">
        <f t="shared" si="331"/>
        <v>modesg_out_empr_info_nfinccm_capex_enblng_algnd</v>
      </c>
      <c r="B479" s="67" t="s">
        <v>26</v>
      </c>
      <c r="C479" s="68" t="s">
        <v>310</v>
      </c>
      <c r="D479" s="64" t="s">
        <v>40</v>
      </c>
      <c r="E479" s="66" t="s">
        <v>325</v>
      </c>
      <c r="F479" s="64" t="s">
        <v>256</v>
      </c>
      <c r="G479" s="64" t="str">
        <f>INDEX(Auxiliar!$B$16:$B$24,MATCH(Plano_V3!H479,Auxiliar!$C$16:$C$24,0),1)</f>
        <v>1. Concluído</v>
      </c>
      <c r="H479" s="64">
        <f>VLOOKUP(A479,'Aux - pivots1'!$A:$B,2,0)</f>
        <v>1</v>
      </c>
      <c r="I479" s="183">
        <f>SUMIFS(Table1[Estimação (horas)],Table1[Tabela],Plano_V3!E479,Table1[Campo],Plano_V3!F479)</f>
        <v>16.100000000000001</v>
      </c>
      <c r="J479" s="183">
        <f t="shared" si="332"/>
        <v>2.0125000000000002</v>
      </c>
      <c r="K479" s="183">
        <f>SUMIFS(Table1[Horas efetivas],Table1[Tabela],Plano_V3!E479,Table1[Campo],Plano_V3!F479)</f>
        <v>16.100000000000001</v>
      </c>
      <c r="L479" s="183">
        <f t="shared" si="333"/>
        <v>2.0125000000000002</v>
      </c>
      <c r="M479" s="177"/>
      <c r="N479" s="177">
        <f t="shared" si="334"/>
        <v>1</v>
      </c>
      <c r="O479" s="177">
        <f t="shared" si="318"/>
        <v>1</v>
      </c>
      <c r="P479" s="87" t="s">
        <v>326</v>
      </c>
      <c r="Q479" s="90">
        <f t="shared" si="326"/>
        <v>2.0125000000000002</v>
      </c>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outlineLevel="1">
      <c r="A480" s="29" t="str">
        <f t="shared" si="331"/>
        <v>modesg_out_empr_info_nfinccm_capex_own_prfrmnce_algnd</v>
      </c>
      <c r="B480" s="67" t="s">
        <v>26</v>
      </c>
      <c r="C480" s="68" t="s">
        <v>310</v>
      </c>
      <c r="D480" s="64" t="s">
        <v>40</v>
      </c>
      <c r="E480" s="66" t="s">
        <v>325</v>
      </c>
      <c r="F480" s="64" t="s">
        <v>258</v>
      </c>
      <c r="G480" s="64" t="str">
        <f>INDEX(Auxiliar!$B$16:$B$24,MATCH(Plano_V3!H480,Auxiliar!$C$16:$C$24,0),1)</f>
        <v>1. Concluído</v>
      </c>
      <c r="H480" s="64">
        <f>VLOOKUP(A480,'Aux - pivots1'!$A:$B,2,0)</f>
        <v>1</v>
      </c>
      <c r="I480" s="183">
        <f>SUMIFS(Table1[Estimação (horas)],Table1[Tabela],Plano_V3!E480,Table1[Campo],Plano_V3!F480)</f>
        <v>16.100000000000001</v>
      </c>
      <c r="J480" s="183">
        <f t="shared" si="332"/>
        <v>2.0125000000000002</v>
      </c>
      <c r="K480" s="183">
        <f>SUMIFS(Table1[Horas efetivas],Table1[Tabela],Plano_V3!E480,Table1[Campo],Plano_V3!F480)</f>
        <v>16.100000000000001</v>
      </c>
      <c r="L480" s="183">
        <f t="shared" si="333"/>
        <v>2.0125000000000002</v>
      </c>
      <c r="M480" s="177"/>
      <c r="N480" s="177">
        <f t="shared" si="334"/>
        <v>1</v>
      </c>
      <c r="O480" s="177">
        <f t="shared" si="318"/>
        <v>1</v>
      </c>
      <c r="P480" s="87" t="s">
        <v>326</v>
      </c>
      <c r="Q480" s="90">
        <f t="shared" si="326"/>
        <v>2.0125000000000002</v>
      </c>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outlineLevel="1">
      <c r="A481" s="29" t="str">
        <f t="shared" si="331"/>
        <v>modesg_out_empr_info_nfinccm_capex_trnstn_algnd</v>
      </c>
      <c r="B481" s="67" t="s">
        <v>26</v>
      </c>
      <c r="C481" s="68" t="s">
        <v>310</v>
      </c>
      <c r="D481" s="64" t="s">
        <v>40</v>
      </c>
      <c r="E481" s="66" t="s">
        <v>325</v>
      </c>
      <c r="F481" s="64" t="s">
        <v>257</v>
      </c>
      <c r="G481" s="64" t="str">
        <f>INDEX(Auxiliar!$B$16:$B$24,MATCH(Plano_V3!H481,Auxiliar!$C$16:$C$24,0),1)</f>
        <v>1. Concluído</v>
      </c>
      <c r="H481" s="64">
        <f>VLOOKUP(A481,'Aux - pivots1'!$A:$B,2,0)</f>
        <v>1</v>
      </c>
      <c r="I481" s="183">
        <f>SUMIFS(Table1[Estimação (horas)],Table1[Tabela],Plano_V3!E481,Table1[Campo],Plano_V3!F481)</f>
        <v>16.100000000000001</v>
      </c>
      <c r="J481" s="183">
        <f t="shared" si="332"/>
        <v>2.0125000000000002</v>
      </c>
      <c r="K481" s="183">
        <f>SUMIFS(Table1[Horas efetivas],Table1[Tabela],Plano_V3!E481,Table1[Campo],Plano_V3!F481)</f>
        <v>16.100000000000001</v>
      </c>
      <c r="L481" s="183">
        <f t="shared" si="333"/>
        <v>2.0125000000000002</v>
      </c>
      <c r="M481" s="177"/>
      <c r="N481" s="177">
        <f t="shared" si="334"/>
        <v>1</v>
      </c>
      <c r="O481" s="177">
        <f t="shared" si="318"/>
        <v>1</v>
      </c>
      <c r="P481" s="87" t="s">
        <v>326</v>
      </c>
      <c r="Q481" s="90">
        <f t="shared" si="326"/>
        <v>2.0125000000000002</v>
      </c>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outlineLevel="1">
      <c r="A482" s="29" t="str">
        <f t="shared" si="331"/>
        <v>modesg_out_empr_info_nfinccm_capex_ttl_elgbl</v>
      </c>
      <c r="B482" s="67" t="s">
        <v>26</v>
      </c>
      <c r="C482" s="68" t="s">
        <v>310</v>
      </c>
      <c r="D482" s="64" t="s">
        <v>40</v>
      </c>
      <c r="E482" s="66" t="s">
        <v>325</v>
      </c>
      <c r="F482" s="64" t="s">
        <v>255</v>
      </c>
      <c r="G482" s="64" t="str">
        <f>INDEX(Auxiliar!$B$16:$B$24,MATCH(Plano_V3!H482,Auxiliar!$C$16:$C$24,0),1)</f>
        <v>1. Concluído</v>
      </c>
      <c r="H482" s="64">
        <f>VLOOKUP(A482,'Aux - pivots1'!$A:$B,2,0)</f>
        <v>1</v>
      </c>
      <c r="I482" s="183">
        <f>SUMIFS(Table1[Estimação (horas)],Table1[Tabela],Plano_V3!E482,Table1[Campo],Plano_V3!F482)</f>
        <v>16.100000000000001</v>
      </c>
      <c r="J482" s="183">
        <f t="shared" si="332"/>
        <v>2.0125000000000002</v>
      </c>
      <c r="K482" s="183">
        <f>SUMIFS(Table1[Horas efetivas],Table1[Tabela],Plano_V3!E482,Table1[Campo],Plano_V3!F482)</f>
        <v>16.100000000000001</v>
      </c>
      <c r="L482" s="183">
        <f t="shared" si="333"/>
        <v>2.0125000000000002</v>
      </c>
      <c r="M482" s="177"/>
      <c r="N482" s="177">
        <f t="shared" si="334"/>
        <v>1</v>
      </c>
      <c r="O482" s="177">
        <f t="shared" si="318"/>
        <v>1</v>
      </c>
      <c r="P482" s="87" t="s">
        <v>326</v>
      </c>
      <c r="Q482" s="90">
        <f t="shared" si="326"/>
        <v>2.0125000000000002</v>
      </c>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outlineLevel="1">
      <c r="A483" s="29" t="str">
        <f t="shared" si="331"/>
        <v>modesg_out_empr_info_nfinccm_trnvr_enblng_algnd</v>
      </c>
      <c r="B483" s="67" t="s">
        <v>26</v>
      </c>
      <c r="C483" s="68" t="s">
        <v>310</v>
      </c>
      <c r="D483" s="64" t="s">
        <v>40</v>
      </c>
      <c r="E483" s="66" t="s">
        <v>325</v>
      </c>
      <c r="F483" s="64" t="s">
        <v>252</v>
      </c>
      <c r="G483" s="64" t="str">
        <f>INDEX(Auxiliar!$B$16:$B$24,MATCH(Plano_V3!H483,Auxiliar!$C$16:$C$24,0),1)</f>
        <v>1. Concluído</v>
      </c>
      <c r="H483" s="64">
        <f>VLOOKUP(A483,'Aux - pivots1'!$A:$B,2,0)</f>
        <v>1</v>
      </c>
      <c r="I483" s="183">
        <f>SUMIFS(Table1[Estimação (horas)],Table1[Tabela],Plano_V3!E483,Table1[Campo],Plano_V3!F483)</f>
        <v>16.100000000000001</v>
      </c>
      <c r="J483" s="183">
        <f t="shared" si="332"/>
        <v>2.0125000000000002</v>
      </c>
      <c r="K483" s="183">
        <f>SUMIFS(Table1[Horas efetivas],Table1[Tabela],Plano_V3!E483,Table1[Campo],Plano_V3!F483)</f>
        <v>16.100000000000001</v>
      </c>
      <c r="L483" s="183">
        <f t="shared" si="333"/>
        <v>2.0125000000000002</v>
      </c>
      <c r="M483" s="177"/>
      <c r="N483" s="177">
        <f t="shared" si="334"/>
        <v>1</v>
      </c>
      <c r="O483" s="177">
        <f t="shared" si="318"/>
        <v>1</v>
      </c>
      <c r="P483" s="87" t="s">
        <v>326</v>
      </c>
      <c r="Q483" s="90">
        <f t="shared" si="326"/>
        <v>2.0125000000000002</v>
      </c>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outlineLevel="1">
      <c r="A484" s="29" t="str">
        <f t="shared" si="331"/>
        <v>modesg_out_empr_info_nfinccm_trnvr_own_prfrmnce_algnd</v>
      </c>
      <c r="B484" s="67" t="s">
        <v>26</v>
      </c>
      <c r="C484" s="68" t="s">
        <v>310</v>
      </c>
      <c r="D484" s="64" t="s">
        <v>40</v>
      </c>
      <c r="E484" s="66" t="s">
        <v>325</v>
      </c>
      <c r="F484" s="64" t="s">
        <v>254</v>
      </c>
      <c r="G484" s="64" t="str">
        <f>INDEX(Auxiliar!$B$16:$B$24,MATCH(Plano_V3!H484,Auxiliar!$C$16:$C$24,0),1)</f>
        <v>1. Concluído</v>
      </c>
      <c r="H484" s="64">
        <f>VLOOKUP(A484,'Aux - pivots1'!$A:$B,2,0)</f>
        <v>1</v>
      </c>
      <c r="I484" s="183">
        <f>SUMIFS(Table1[Estimação (horas)],Table1[Tabela],Plano_V3!E484,Table1[Campo],Plano_V3!F484)</f>
        <v>16.100000000000001</v>
      </c>
      <c r="J484" s="183">
        <f t="shared" si="332"/>
        <v>2.0125000000000002</v>
      </c>
      <c r="K484" s="183">
        <f>SUMIFS(Table1[Horas efetivas],Table1[Tabela],Plano_V3!E484,Table1[Campo],Plano_V3!F484)</f>
        <v>16.100000000000001</v>
      </c>
      <c r="L484" s="183">
        <f t="shared" si="333"/>
        <v>2.0125000000000002</v>
      </c>
      <c r="M484" s="177"/>
      <c r="N484" s="177">
        <f t="shared" si="334"/>
        <v>1</v>
      </c>
      <c r="O484" s="177">
        <f t="shared" si="318"/>
        <v>1</v>
      </c>
      <c r="P484" s="87" t="s">
        <v>326</v>
      </c>
      <c r="Q484" s="90">
        <f t="shared" si="326"/>
        <v>2.0125000000000002</v>
      </c>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outlineLevel="1">
      <c r="A485" s="29" t="str">
        <f t="shared" si="331"/>
        <v>modesg_out_empr_info_nfinccm_trnvr_trnstn_alignd</v>
      </c>
      <c r="B485" s="67" t="s">
        <v>26</v>
      </c>
      <c r="C485" s="68" t="s">
        <v>310</v>
      </c>
      <c r="D485" s="64" t="s">
        <v>40</v>
      </c>
      <c r="E485" s="66" t="s">
        <v>325</v>
      </c>
      <c r="F485" s="64" t="s">
        <v>253</v>
      </c>
      <c r="G485" s="64" t="str">
        <f>INDEX(Auxiliar!$B$16:$B$24,MATCH(Plano_V3!H485,Auxiliar!$C$16:$C$24,0),1)</f>
        <v>1. Concluído</v>
      </c>
      <c r="H485" s="64">
        <f>VLOOKUP(A485,'Aux - pivots1'!$A:$B,2,0)</f>
        <v>1</v>
      </c>
      <c r="I485" s="183">
        <f>SUMIFS(Table1[Estimação (horas)],Table1[Tabela],Plano_V3!E485,Table1[Campo],Plano_V3!F485)</f>
        <v>16.100000000000001</v>
      </c>
      <c r="J485" s="183">
        <f t="shared" si="332"/>
        <v>2.0125000000000002</v>
      </c>
      <c r="K485" s="183">
        <f>SUMIFS(Table1[Horas efetivas],Table1[Tabela],Plano_V3!E485,Table1[Campo],Plano_V3!F485)</f>
        <v>16.100000000000001</v>
      </c>
      <c r="L485" s="183">
        <f t="shared" si="333"/>
        <v>2.0125000000000002</v>
      </c>
      <c r="M485" s="177"/>
      <c r="N485" s="177">
        <f t="shared" si="334"/>
        <v>1</v>
      </c>
      <c r="O485" s="177">
        <f t="shared" si="318"/>
        <v>1</v>
      </c>
      <c r="P485" s="87" t="s">
        <v>326</v>
      </c>
      <c r="Q485" s="90">
        <f t="shared" si="326"/>
        <v>2.0125000000000002</v>
      </c>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outlineLevel="1">
      <c r="A486" s="29" t="str">
        <f>E486&amp;F486</f>
        <v>modesg_out_empr_info_nfinccm_trnvr_ttl_elgbl</v>
      </c>
      <c r="B486" s="67" t="s">
        <v>26</v>
      </c>
      <c r="C486" s="68" t="s">
        <v>310</v>
      </c>
      <c r="D486" s="64" t="s">
        <v>40</v>
      </c>
      <c r="E486" s="66" t="s">
        <v>325</v>
      </c>
      <c r="F486" s="64" t="s">
        <v>251</v>
      </c>
      <c r="G486" s="64" t="str">
        <f>INDEX(Auxiliar!$B$16:$B$24,MATCH(Plano_V3!H486,Auxiliar!$C$16:$C$24,0),1)</f>
        <v>1. Concluído</v>
      </c>
      <c r="H486" s="64">
        <f>VLOOKUP(A486,'Aux - pivots1'!$A:$B,2,0)</f>
        <v>1</v>
      </c>
      <c r="I486" s="183">
        <f>SUMIFS(Table1[Estimação (horas)],Table1[Tabela],Plano_V3!E486,Table1[Campo],Plano_V3!F486)</f>
        <v>16.100000000000001</v>
      </c>
      <c r="J486" s="183">
        <f>I486/8</f>
        <v>2.0125000000000002</v>
      </c>
      <c r="K486" s="183">
        <f>SUMIFS(Table1[Horas efetivas],Table1[Tabela],Plano_V3!E486,Table1[Campo],Plano_V3!F486)</f>
        <v>16.100000000000001</v>
      </c>
      <c r="L486" s="183">
        <f>K486/8</f>
        <v>2.0125000000000002</v>
      </c>
      <c r="M486" s="177"/>
      <c r="N486" s="177">
        <f>L486/J486</f>
        <v>1</v>
      </c>
      <c r="O486" s="177">
        <f>N486-M486</f>
        <v>1</v>
      </c>
      <c r="P486" s="87" t="s">
        <v>326</v>
      </c>
      <c r="Q486" s="90">
        <f>J486-SUM(R486:ES486)</f>
        <v>2.0125000000000002</v>
      </c>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outlineLevel="1">
      <c r="A487" s="29" t="str">
        <f t="shared" ref="A487:A506" si="335">E487&amp;F487</f>
        <v>modesg_out_empr_info_nfinppc_trnvr_ttl_elgbl</v>
      </c>
      <c r="B487" s="67" t="s">
        <v>26</v>
      </c>
      <c r="C487" s="68" t="s">
        <v>310</v>
      </c>
      <c r="D487" s="64" t="s">
        <v>40</v>
      </c>
      <c r="E487" s="66" t="s">
        <v>325</v>
      </c>
      <c r="F487" s="64" t="s">
        <v>259</v>
      </c>
      <c r="G487" s="64" t="str">
        <f>INDEX(Auxiliar!$B$16:$B$24,MATCH(Plano_V3!H487,Auxiliar!$C$16:$C$24,0),1)</f>
        <v>1. Concluído</v>
      </c>
      <c r="H487" s="64">
        <f>VLOOKUP(A487,'Aux - pivots1'!$A:$B,2,0)</f>
        <v>1</v>
      </c>
      <c r="I487" s="183" t="e">
        <f>SUMIFS(Table1[Estimação (horas)],Table1[Tabela],Plano_V3!E487,Table1[Campo],Plano_V3!F487)</f>
        <v>#N/A</v>
      </c>
      <c r="J487" s="183" t="e">
        <f t="shared" ref="J487:J506" si="336">I487/8</f>
        <v>#N/A</v>
      </c>
      <c r="K487" s="183" t="e">
        <f>SUMIFS(Table1[Horas efetivas],Table1[Tabela],Plano_V3!E487,Table1[Campo],Plano_V3!F487)</f>
        <v>#N/A</v>
      </c>
      <c r="L487" s="183" t="e">
        <f t="shared" ref="L487:L506" si="337">K487/8</f>
        <v>#N/A</v>
      </c>
      <c r="M487" s="177"/>
      <c r="N487" s="177" t="e">
        <f t="shared" ref="N487:N506" si="338">L487/J487</f>
        <v>#N/A</v>
      </c>
      <c r="O487" s="177" t="e">
        <f t="shared" ref="O487:O506" si="339">N487-M487</f>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outlineLevel="1">
      <c r="A488" s="29" t="str">
        <f t="shared" si="335"/>
        <v>modesg_out_empr_info_nfinppc_turnover_own_prfrmnce_algnd</v>
      </c>
      <c r="B488" s="67" t="s">
        <v>26</v>
      </c>
      <c r="C488" s="68" t="s">
        <v>310</v>
      </c>
      <c r="D488" s="64" t="s">
        <v>40</v>
      </c>
      <c r="E488" s="66" t="s">
        <v>325</v>
      </c>
      <c r="F488" s="64" t="s">
        <v>260</v>
      </c>
      <c r="G488" s="64" t="str">
        <f>INDEX(Auxiliar!$B$16:$B$24,MATCH(Plano_V3!H488,Auxiliar!$C$16:$C$24,0),1)</f>
        <v>1. Concluído</v>
      </c>
      <c r="H488" s="64">
        <f>VLOOKUP(A488,'Aux - pivots1'!$A:$B,2,0)</f>
        <v>1</v>
      </c>
      <c r="I488" s="183" t="e">
        <f>SUMIFS(Table1[Estimação (horas)],Table1[Tabela],Plano_V3!E488,Table1[Campo],Plano_V3!F488)</f>
        <v>#N/A</v>
      </c>
      <c r="J488" s="183" t="e">
        <f t="shared" si="336"/>
        <v>#N/A</v>
      </c>
      <c r="K488" s="183" t="e">
        <f>SUMIFS(Table1[Horas efetivas],Table1[Tabela],Plano_V3!E488,Table1[Campo],Plano_V3!F488)</f>
        <v>#N/A</v>
      </c>
      <c r="L488" s="183" t="e">
        <f t="shared" si="337"/>
        <v>#N/A</v>
      </c>
      <c r="M488" s="177"/>
      <c r="N488" s="177" t="e">
        <f t="shared" si="338"/>
        <v>#N/A</v>
      </c>
      <c r="O488" s="177" t="e">
        <f t="shared" si="339"/>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outlineLevel="1">
      <c r="A489" s="29" t="str">
        <f t="shared" si="335"/>
        <v>modesg_out_empr_info_nfinppc_capex_ttl_elgbl</v>
      </c>
      <c r="B489" s="67" t="s">
        <v>26</v>
      </c>
      <c r="C489" s="68" t="s">
        <v>310</v>
      </c>
      <c r="D489" s="64" t="s">
        <v>40</v>
      </c>
      <c r="E489" s="66" t="s">
        <v>325</v>
      </c>
      <c r="F489" s="64" t="s">
        <v>261</v>
      </c>
      <c r="G489" s="64" t="str">
        <f>INDEX(Auxiliar!$B$16:$B$24,MATCH(Plano_V3!H489,Auxiliar!$C$16:$C$24,0),1)</f>
        <v>1. Concluído</v>
      </c>
      <c r="H489" s="64">
        <f>VLOOKUP(A489,'Aux - pivots1'!$A:$B,2,0)</f>
        <v>1</v>
      </c>
      <c r="I489" s="183" t="e">
        <f>SUMIFS(Table1[Estimação (horas)],Table1[Tabela],Plano_V3!E489,Table1[Campo],Plano_V3!F489)</f>
        <v>#N/A</v>
      </c>
      <c r="J489" s="183" t="e">
        <f t="shared" si="336"/>
        <v>#N/A</v>
      </c>
      <c r="K489" s="183" t="e">
        <f>SUMIFS(Table1[Horas efetivas],Table1[Tabela],Plano_V3!E489,Table1[Campo],Plano_V3!F489)</f>
        <v>#N/A</v>
      </c>
      <c r="L489" s="183" t="e">
        <f t="shared" si="337"/>
        <v>#N/A</v>
      </c>
      <c r="M489" s="177"/>
      <c r="N489" s="177" t="e">
        <f t="shared" si="338"/>
        <v>#N/A</v>
      </c>
      <c r="O489" s="177" t="e">
        <f t="shared" si="339"/>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outlineLevel="1">
      <c r="A490" s="29" t="str">
        <f t="shared" si="335"/>
        <v>modesg_out_empr_info_nfinppc_capex_own_prfrmnce_algnd</v>
      </c>
      <c r="B490" s="67" t="s">
        <v>26</v>
      </c>
      <c r="C490" s="68" t="s">
        <v>310</v>
      </c>
      <c r="D490" s="64" t="s">
        <v>40</v>
      </c>
      <c r="E490" s="66" t="s">
        <v>325</v>
      </c>
      <c r="F490" s="64" t="s">
        <v>262</v>
      </c>
      <c r="G490" s="64" t="str">
        <f>INDEX(Auxiliar!$B$16:$B$24,MATCH(Plano_V3!H490,Auxiliar!$C$16:$C$24,0),1)</f>
        <v>1. Concluído</v>
      </c>
      <c r="H490" s="64">
        <f>VLOOKUP(A490,'Aux - pivots1'!$A:$B,2,0)</f>
        <v>1</v>
      </c>
      <c r="I490" s="183" t="e">
        <f>SUMIFS(Table1[Estimação (horas)],Table1[Tabela],Plano_V3!E490,Table1[Campo],Plano_V3!F490)</f>
        <v>#N/A</v>
      </c>
      <c r="J490" s="183" t="e">
        <f t="shared" si="336"/>
        <v>#N/A</v>
      </c>
      <c r="K490" s="183" t="e">
        <f>SUMIFS(Table1[Horas efetivas],Table1[Tabela],Plano_V3!E490,Table1[Campo],Plano_V3!F490)</f>
        <v>#N/A</v>
      </c>
      <c r="L490" s="183" t="e">
        <f t="shared" si="337"/>
        <v>#N/A</v>
      </c>
      <c r="M490" s="177"/>
      <c r="N490" s="177" t="e">
        <f t="shared" si="338"/>
        <v>#N/A</v>
      </c>
      <c r="O490" s="177" t="e">
        <f t="shared" si="339"/>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outlineLevel="1">
      <c r="A491" s="29" t="str">
        <f t="shared" si="335"/>
        <v>modesg_out_empr_info_nfinbio_trnvr_ttl_elgbl</v>
      </c>
      <c r="B491" s="67" t="s">
        <v>26</v>
      </c>
      <c r="C491" s="68" t="s">
        <v>310</v>
      </c>
      <c r="D491" s="64" t="s">
        <v>40</v>
      </c>
      <c r="E491" s="66" t="s">
        <v>325</v>
      </c>
      <c r="F491" s="64" t="s">
        <v>263</v>
      </c>
      <c r="G491" s="64" t="str">
        <f>INDEX(Auxiliar!$B$16:$B$24,MATCH(Plano_V3!H491,Auxiliar!$C$16:$C$24,0),1)</f>
        <v>1. Concluído</v>
      </c>
      <c r="H491" s="64">
        <f>VLOOKUP(A491,'Aux - pivots1'!$A:$B,2,0)</f>
        <v>1</v>
      </c>
      <c r="I491" s="183" t="e">
        <f>SUMIFS(Table1[Estimação (horas)],Table1[Tabela],Plano_V3!E491,Table1[Campo],Plano_V3!F491)</f>
        <v>#N/A</v>
      </c>
      <c r="J491" s="183" t="e">
        <f t="shared" si="336"/>
        <v>#N/A</v>
      </c>
      <c r="K491" s="183" t="e">
        <f>SUMIFS(Table1[Horas efetivas],Table1[Tabela],Plano_V3!E491,Table1[Campo],Plano_V3!F491)</f>
        <v>#N/A</v>
      </c>
      <c r="L491" s="183" t="e">
        <f t="shared" si="337"/>
        <v>#N/A</v>
      </c>
      <c r="M491" s="177"/>
      <c r="N491" s="177" t="e">
        <f t="shared" si="338"/>
        <v>#N/A</v>
      </c>
      <c r="O491" s="177" t="e">
        <f t="shared" si="339"/>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outlineLevel="1">
      <c r="A492" s="29" t="str">
        <f t="shared" si="335"/>
        <v>modesg_out_empr_info_nfinbio_turnover_own_prfrmnce_algnd</v>
      </c>
      <c r="B492" s="67" t="s">
        <v>26</v>
      </c>
      <c r="C492" s="68" t="s">
        <v>310</v>
      </c>
      <c r="D492" s="64" t="s">
        <v>40</v>
      </c>
      <c r="E492" s="66" t="s">
        <v>325</v>
      </c>
      <c r="F492" s="64" t="s">
        <v>264</v>
      </c>
      <c r="G492" s="64" t="str">
        <f>INDEX(Auxiliar!$B$16:$B$24,MATCH(Plano_V3!H492,Auxiliar!$C$16:$C$24,0),1)</f>
        <v>1. Concluído</v>
      </c>
      <c r="H492" s="64">
        <f>VLOOKUP(A492,'Aux - pivots1'!$A:$B,2,0)</f>
        <v>1</v>
      </c>
      <c r="I492" s="183" t="e">
        <f>SUMIFS(Table1[Estimação (horas)],Table1[Tabela],Plano_V3!E492,Table1[Campo],Plano_V3!F492)</f>
        <v>#N/A</v>
      </c>
      <c r="J492" s="183" t="e">
        <f t="shared" si="336"/>
        <v>#N/A</v>
      </c>
      <c r="K492" s="183" t="e">
        <f>SUMIFS(Table1[Horas efetivas],Table1[Tabela],Plano_V3!E492,Table1[Campo],Plano_V3!F492)</f>
        <v>#N/A</v>
      </c>
      <c r="L492" s="183" t="e">
        <f t="shared" si="337"/>
        <v>#N/A</v>
      </c>
      <c r="M492" s="177"/>
      <c r="N492" s="177" t="e">
        <f t="shared" si="338"/>
        <v>#N/A</v>
      </c>
      <c r="O492" s="177" t="e">
        <f t="shared" si="339"/>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outlineLevel="1">
      <c r="A493" s="29" t="str">
        <f t="shared" si="335"/>
        <v>modesg_out_empr_info_nfinbio_capex_ttl_elgbl</v>
      </c>
      <c r="B493" s="67" t="s">
        <v>26</v>
      </c>
      <c r="C493" s="68" t="s">
        <v>310</v>
      </c>
      <c r="D493" s="64" t="s">
        <v>40</v>
      </c>
      <c r="E493" s="66" t="s">
        <v>325</v>
      </c>
      <c r="F493" s="64" t="s">
        <v>265</v>
      </c>
      <c r="G493" s="64" t="str">
        <f>INDEX(Auxiliar!$B$16:$B$24,MATCH(Plano_V3!H493,Auxiliar!$C$16:$C$24,0),1)</f>
        <v>1. Concluído</v>
      </c>
      <c r="H493" s="64">
        <f>VLOOKUP(A493,'Aux - pivots1'!$A:$B,2,0)</f>
        <v>1</v>
      </c>
      <c r="I493" s="183" t="e">
        <f>SUMIFS(Table1[Estimação (horas)],Table1[Tabela],Plano_V3!E493,Table1[Campo],Plano_V3!F493)</f>
        <v>#N/A</v>
      </c>
      <c r="J493" s="183" t="e">
        <f t="shared" si="336"/>
        <v>#N/A</v>
      </c>
      <c r="K493" s="183" t="e">
        <f>SUMIFS(Table1[Horas efetivas],Table1[Tabela],Plano_V3!E493,Table1[Campo],Plano_V3!F493)</f>
        <v>#N/A</v>
      </c>
      <c r="L493" s="183" t="e">
        <f t="shared" si="337"/>
        <v>#N/A</v>
      </c>
      <c r="M493" s="177"/>
      <c r="N493" s="177" t="e">
        <f t="shared" si="338"/>
        <v>#N/A</v>
      </c>
      <c r="O493" s="177" t="e">
        <f t="shared" si="339"/>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outlineLevel="1">
      <c r="A494" s="29" t="str">
        <f t="shared" si="335"/>
        <v>modesg_out_empr_info_nfinbio_capex_own_prfrmnce_algnd</v>
      </c>
      <c r="B494" s="67" t="s">
        <v>26</v>
      </c>
      <c r="C494" s="68" t="s">
        <v>310</v>
      </c>
      <c r="D494" s="64" t="s">
        <v>40</v>
      </c>
      <c r="E494" s="66" t="s">
        <v>325</v>
      </c>
      <c r="F494" s="64" t="s">
        <v>266</v>
      </c>
      <c r="G494" s="64" t="str">
        <f>INDEX(Auxiliar!$B$16:$B$24,MATCH(Plano_V3!H494,Auxiliar!$C$16:$C$24,0),1)</f>
        <v>1. Concluído</v>
      </c>
      <c r="H494" s="64">
        <f>VLOOKUP(A494,'Aux - pivots1'!$A:$B,2,0)</f>
        <v>1</v>
      </c>
      <c r="I494" s="183" t="e">
        <f>SUMIFS(Table1[Estimação (horas)],Table1[Tabela],Plano_V3!E494,Table1[Campo],Plano_V3!F494)</f>
        <v>#N/A</v>
      </c>
      <c r="J494" s="183" t="e">
        <f t="shared" si="336"/>
        <v>#N/A</v>
      </c>
      <c r="K494" s="183" t="e">
        <f>SUMIFS(Table1[Horas efetivas],Table1[Tabela],Plano_V3!E494,Table1[Campo],Plano_V3!F494)</f>
        <v>#N/A</v>
      </c>
      <c r="L494" s="183" t="e">
        <f t="shared" si="337"/>
        <v>#N/A</v>
      </c>
      <c r="M494" s="177"/>
      <c r="N494" s="177" t="e">
        <f t="shared" si="338"/>
        <v>#N/A</v>
      </c>
      <c r="O494" s="177" t="e">
        <f t="shared" si="339"/>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outlineLevel="1">
      <c r="A495" s="29" t="str">
        <f t="shared" si="335"/>
        <v>modesg_out_empr_info_nfinwtr_trnvr_ttl_elgbl</v>
      </c>
      <c r="B495" s="67" t="s">
        <v>26</v>
      </c>
      <c r="C495" s="68" t="s">
        <v>310</v>
      </c>
      <c r="D495" s="64" t="s">
        <v>40</v>
      </c>
      <c r="E495" s="66" t="s">
        <v>325</v>
      </c>
      <c r="F495" s="64" t="s">
        <v>267</v>
      </c>
      <c r="G495" s="64" t="str">
        <f>INDEX(Auxiliar!$B$16:$B$24,MATCH(Plano_V3!H495,Auxiliar!$C$16:$C$24,0),1)</f>
        <v>1. Concluído</v>
      </c>
      <c r="H495" s="64">
        <f>VLOOKUP(A495,'Aux - pivots1'!$A:$B,2,0)</f>
        <v>1</v>
      </c>
      <c r="I495" s="183" t="e">
        <f>SUMIFS(Table1[Estimação (horas)],Table1[Tabela],Plano_V3!E495,Table1[Campo],Plano_V3!F495)</f>
        <v>#N/A</v>
      </c>
      <c r="J495" s="183" t="e">
        <f t="shared" si="336"/>
        <v>#N/A</v>
      </c>
      <c r="K495" s="183" t="e">
        <f>SUMIFS(Table1[Horas efetivas],Table1[Tabela],Plano_V3!E495,Table1[Campo],Plano_V3!F495)</f>
        <v>#N/A</v>
      </c>
      <c r="L495" s="183" t="e">
        <f t="shared" si="337"/>
        <v>#N/A</v>
      </c>
      <c r="M495" s="177"/>
      <c r="N495" s="177" t="e">
        <f t="shared" si="338"/>
        <v>#N/A</v>
      </c>
      <c r="O495" s="177" t="e">
        <f t="shared" si="339"/>
        <v>#N/A</v>
      </c>
      <c r="P495" s="87" t="s">
        <v>326</v>
      </c>
      <c r="Q495" s="90"/>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outlineLevel="1">
      <c r="A496" s="29" t="str">
        <f t="shared" si="335"/>
        <v>modesg_out_empr_info_nfinwtr_trnvr_enblng_alignd</v>
      </c>
      <c r="B496" s="67" t="s">
        <v>26</v>
      </c>
      <c r="C496" s="68" t="s">
        <v>310</v>
      </c>
      <c r="D496" s="64" t="s">
        <v>40</v>
      </c>
      <c r="E496" s="66" t="s">
        <v>325</v>
      </c>
      <c r="F496" s="64" t="s">
        <v>268</v>
      </c>
      <c r="G496" s="64" t="str">
        <f>INDEX(Auxiliar!$B$16:$B$24,MATCH(Plano_V3!H496,Auxiliar!$C$16:$C$24,0),1)</f>
        <v>1. Concluído</v>
      </c>
      <c r="H496" s="64">
        <f>VLOOKUP(A496,'Aux - pivots1'!$A:$B,2,0)</f>
        <v>1</v>
      </c>
      <c r="I496" s="183" t="e">
        <f>SUMIFS(Table1[Estimação (horas)],Table1[Tabela],Plano_V3!E496,Table1[Campo],Plano_V3!F496)</f>
        <v>#N/A</v>
      </c>
      <c r="J496" s="183" t="e">
        <f t="shared" si="336"/>
        <v>#N/A</v>
      </c>
      <c r="K496" s="183" t="e">
        <f>SUMIFS(Table1[Horas efetivas],Table1[Tabela],Plano_V3!E496,Table1[Campo],Plano_V3!F496)</f>
        <v>#N/A</v>
      </c>
      <c r="L496" s="183" t="e">
        <f t="shared" si="337"/>
        <v>#N/A</v>
      </c>
      <c r="M496" s="177"/>
      <c r="N496" s="177" t="e">
        <f t="shared" si="338"/>
        <v>#N/A</v>
      </c>
      <c r="O496" s="177" t="e">
        <f t="shared" si="339"/>
        <v>#N/A</v>
      </c>
      <c r="P496" s="87" t="s">
        <v>326</v>
      </c>
      <c r="Q496" s="90"/>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outlineLevel="1">
      <c r="A497" s="29" t="str">
        <f t="shared" si="335"/>
        <v>modesg_out_empr_info_nfinwtr_turnover_own_prfrmnce_algnd</v>
      </c>
      <c r="B497" s="67" t="s">
        <v>26</v>
      </c>
      <c r="C497" s="68" t="s">
        <v>310</v>
      </c>
      <c r="D497" s="64" t="s">
        <v>40</v>
      </c>
      <c r="E497" s="66" t="s">
        <v>325</v>
      </c>
      <c r="F497" s="64" t="s">
        <v>269</v>
      </c>
      <c r="G497" s="64" t="str">
        <f>INDEX(Auxiliar!$B$16:$B$24,MATCH(Plano_V3!H497,Auxiliar!$C$16:$C$24,0),1)</f>
        <v>1. Concluído</v>
      </c>
      <c r="H497" s="64">
        <f>VLOOKUP(A497,'Aux - pivots1'!$A:$B,2,0)</f>
        <v>1</v>
      </c>
      <c r="I497" s="183" t="e">
        <f>SUMIFS(Table1[Estimação (horas)],Table1[Tabela],Plano_V3!E497,Table1[Campo],Plano_V3!F497)</f>
        <v>#N/A</v>
      </c>
      <c r="J497" s="183" t="e">
        <f t="shared" si="336"/>
        <v>#N/A</v>
      </c>
      <c r="K497" s="183" t="e">
        <f>SUMIFS(Table1[Horas efetivas],Table1[Tabela],Plano_V3!E497,Table1[Campo],Plano_V3!F497)</f>
        <v>#N/A</v>
      </c>
      <c r="L497" s="183" t="e">
        <f t="shared" si="337"/>
        <v>#N/A</v>
      </c>
      <c r="M497" s="177"/>
      <c r="N497" s="177" t="e">
        <f t="shared" si="338"/>
        <v>#N/A</v>
      </c>
      <c r="O497" s="177" t="e">
        <f t="shared" si="339"/>
        <v>#N/A</v>
      </c>
      <c r="P497" s="87" t="s">
        <v>326</v>
      </c>
      <c r="Q497" s="90"/>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outlineLevel="1">
      <c r="A498" s="29" t="str">
        <f t="shared" si="335"/>
        <v>modesg_out_empr_info_nfinwtr_capex_ttl_elgbl</v>
      </c>
      <c r="B498" s="67" t="s">
        <v>26</v>
      </c>
      <c r="C498" s="68" t="s">
        <v>310</v>
      </c>
      <c r="D498" s="64" t="s">
        <v>40</v>
      </c>
      <c r="E498" s="66" t="s">
        <v>325</v>
      </c>
      <c r="F498" s="64" t="s">
        <v>270</v>
      </c>
      <c r="G498" s="64" t="str">
        <f>INDEX(Auxiliar!$B$16:$B$24,MATCH(Plano_V3!H498,Auxiliar!$C$16:$C$24,0),1)</f>
        <v>1. Concluído</v>
      </c>
      <c r="H498" s="64">
        <f>VLOOKUP(A498,'Aux - pivots1'!$A:$B,2,0)</f>
        <v>1</v>
      </c>
      <c r="I498" s="183" t="e">
        <f>SUMIFS(Table1[Estimação (horas)],Table1[Tabela],Plano_V3!E498,Table1[Campo],Plano_V3!F498)</f>
        <v>#N/A</v>
      </c>
      <c r="J498" s="183" t="e">
        <f t="shared" si="336"/>
        <v>#N/A</v>
      </c>
      <c r="K498" s="183" t="e">
        <f>SUMIFS(Table1[Horas efetivas],Table1[Tabela],Plano_V3!E498,Table1[Campo],Plano_V3!F498)</f>
        <v>#N/A</v>
      </c>
      <c r="L498" s="183" t="e">
        <f t="shared" si="337"/>
        <v>#N/A</v>
      </c>
      <c r="M498" s="177"/>
      <c r="N498" s="177" t="e">
        <f t="shared" si="338"/>
        <v>#N/A</v>
      </c>
      <c r="O498" s="177" t="e">
        <f t="shared" si="339"/>
        <v>#N/A</v>
      </c>
      <c r="P498" s="87" t="s">
        <v>326</v>
      </c>
      <c r="Q498" s="90"/>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outlineLevel="1">
      <c r="A499" s="29" t="str">
        <f t="shared" si="335"/>
        <v>modesg_out_empr_info_nfinwtr_capex_enblng_algnd</v>
      </c>
      <c r="B499" s="67" t="s">
        <v>26</v>
      </c>
      <c r="C499" s="68" t="s">
        <v>310</v>
      </c>
      <c r="D499" s="64" t="s">
        <v>40</v>
      </c>
      <c r="E499" s="66" t="s">
        <v>325</v>
      </c>
      <c r="F499" s="64" t="s">
        <v>271</v>
      </c>
      <c r="G499" s="64" t="str">
        <f>INDEX(Auxiliar!$B$16:$B$24,MATCH(Plano_V3!H499,Auxiliar!$C$16:$C$24,0),1)</f>
        <v>1. Concluído</v>
      </c>
      <c r="H499" s="64">
        <f>VLOOKUP(A499,'Aux - pivots1'!$A:$B,2,0)</f>
        <v>1</v>
      </c>
      <c r="I499" s="183" t="e">
        <f>SUMIFS(Table1[Estimação (horas)],Table1[Tabela],Plano_V3!E499,Table1[Campo],Plano_V3!F499)</f>
        <v>#N/A</v>
      </c>
      <c r="J499" s="183" t="e">
        <f t="shared" si="336"/>
        <v>#N/A</v>
      </c>
      <c r="K499" s="183" t="e">
        <f>SUMIFS(Table1[Horas efetivas],Table1[Tabela],Plano_V3!E499,Table1[Campo],Plano_V3!F499)</f>
        <v>#N/A</v>
      </c>
      <c r="L499" s="183" t="e">
        <f t="shared" si="337"/>
        <v>#N/A</v>
      </c>
      <c r="M499" s="177"/>
      <c r="N499" s="177" t="e">
        <f t="shared" si="338"/>
        <v>#N/A</v>
      </c>
      <c r="O499" s="177" t="e">
        <f t="shared" si="339"/>
        <v>#N/A</v>
      </c>
      <c r="P499" s="87" t="s">
        <v>326</v>
      </c>
      <c r="Q499" s="90"/>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outlineLevel="1">
      <c r="A500" s="29" t="str">
        <f t="shared" si="335"/>
        <v>modesg_out_empr_info_nfinwtr_capex_own_prfrmnce_algnd</v>
      </c>
      <c r="B500" s="67" t="s">
        <v>26</v>
      </c>
      <c r="C500" s="68" t="s">
        <v>310</v>
      </c>
      <c r="D500" s="64" t="s">
        <v>40</v>
      </c>
      <c r="E500" s="66" t="s">
        <v>325</v>
      </c>
      <c r="F500" s="64" t="s">
        <v>272</v>
      </c>
      <c r="G500" s="64" t="str">
        <f>INDEX(Auxiliar!$B$16:$B$24,MATCH(Plano_V3!H500,Auxiliar!$C$16:$C$24,0),1)</f>
        <v>1. Concluído</v>
      </c>
      <c r="H500" s="64">
        <f>VLOOKUP(A500,'Aux - pivots1'!$A:$B,2,0)</f>
        <v>1</v>
      </c>
      <c r="I500" s="183" t="e">
        <f>SUMIFS(Table1[Estimação (horas)],Table1[Tabela],Plano_V3!E500,Table1[Campo],Plano_V3!F500)</f>
        <v>#N/A</v>
      </c>
      <c r="J500" s="183" t="e">
        <f t="shared" si="336"/>
        <v>#N/A</v>
      </c>
      <c r="K500" s="183" t="e">
        <f>SUMIFS(Table1[Horas efetivas],Table1[Tabela],Plano_V3!E500,Table1[Campo],Plano_V3!F500)</f>
        <v>#N/A</v>
      </c>
      <c r="L500" s="183" t="e">
        <f t="shared" si="337"/>
        <v>#N/A</v>
      </c>
      <c r="M500" s="177"/>
      <c r="N500" s="177" t="e">
        <f t="shared" si="338"/>
        <v>#N/A</v>
      </c>
      <c r="O500" s="177" t="e">
        <f t="shared" si="339"/>
        <v>#N/A</v>
      </c>
      <c r="P500" s="87" t="s">
        <v>326</v>
      </c>
      <c r="Q500" s="90"/>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outlineLevel="1">
      <c r="A501" s="29" t="str">
        <f t="shared" si="335"/>
        <v>modesg_out_empr_info_nfince_trnvr_ttl_elgbl</v>
      </c>
      <c r="B501" s="67" t="s">
        <v>26</v>
      </c>
      <c r="C501" s="68" t="s">
        <v>310</v>
      </c>
      <c r="D501" s="64" t="s">
        <v>40</v>
      </c>
      <c r="E501" s="66" t="s">
        <v>325</v>
      </c>
      <c r="F501" s="64" t="s">
        <v>273</v>
      </c>
      <c r="G501" s="64" t="str">
        <f>INDEX(Auxiliar!$B$16:$B$24,MATCH(Plano_V3!H501,Auxiliar!$C$16:$C$24,0),1)</f>
        <v>1. Concluído</v>
      </c>
      <c r="H501" s="64">
        <f>VLOOKUP(A501,'Aux - pivots1'!$A:$B,2,0)</f>
        <v>1</v>
      </c>
      <c r="I501" s="183" t="e">
        <f>SUMIFS(Table1[Estimação (horas)],Table1[Tabela],Plano_V3!E501,Table1[Campo],Plano_V3!F501)</f>
        <v>#N/A</v>
      </c>
      <c r="J501" s="183" t="e">
        <f t="shared" si="336"/>
        <v>#N/A</v>
      </c>
      <c r="K501" s="183" t="e">
        <f>SUMIFS(Table1[Horas efetivas],Table1[Tabela],Plano_V3!E501,Table1[Campo],Plano_V3!F501)</f>
        <v>#N/A</v>
      </c>
      <c r="L501" s="183" t="e">
        <f t="shared" si="337"/>
        <v>#N/A</v>
      </c>
      <c r="M501" s="177"/>
      <c r="N501" s="177" t="e">
        <f t="shared" si="338"/>
        <v>#N/A</v>
      </c>
      <c r="O501" s="177" t="e">
        <f t="shared" si="339"/>
        <v>#N/A</v>
      </c>
      <c r="P501" s="87" t="s">
        <v>326</v>
      </c>
      <c r="Q501" s="90"/>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outlineLevel="1">
      <c r="A502" s="29" t="str">
        <f t="shared" si="335"/>
        <v>modesg_out_empr_info_nfince_trnvr_enblng_alignd</v>
      </c>
      <c r="B502" s="67" t="s">
        <v>26</v>
      </c>
      <c r="C502" s="68" t="s">
        <v>310</v>
      </c>
      <c r="D502" s="64" t="s">
        <v>40</v>
      </c>
      <c r="E502" s="66" t="s">
        <v>325</v>
      </c>
      <c r="F502" s="64" t="s">
        <v>274</v>
      </c>
      <c r="G502" s="64" t="str">
        <f>INDEX(Auxiliar!$B$16:$B$24,MATCH(Plano_V3!H502,Auxiliar!$C$16:$C$24,0),1)</f>
        <v>1. Concluído</v>
      </c>
      <c r="H502" s="64">
        <f>VLOOKUP(A502,'Aux - pivots1'!$A:$B,2,0)</f>
        <v>1</v>
      </c>
      <c r="I502" s="183" t="e">
        <f>SUMIFS(Table1[Estimação (horas)],Table1[Tabela],Plano_V3!E502,Table1[Campo],Plano_V3!F502)</f>
        <v>#N/A</v>
      </c>
      <c r="J502" s="183" t="e">
        <f t="shared" si="336"/>
        <v>#N/A</v>
      </c>
      <c r="K502" s="183" t="e">
        <f>SUMIFS(Table1[Horas efetivas],Table1[Tabela],Plano_V3!E502,Table1[Campo],Plano_V3!F502)</f>
        <v>#N/A</v>
      </c>
      <c r="L502" s="183" t="e">
        <f t="shared" si="337"/>
        <v>#N/A</v>
      </c>
      <c r="M502" s="177"/>
      <c r="N502" s="177" t="e">
        <f t="shared" si="338"/>
        <v>#N/A</v>
      </c>
      <c r="O502" s="177" t="e">
        <f t="shared" si="339"/>
        <v>#N/A</v>
      </c>
      <c r="P502" s="87" t="s">
        <v>326</v>
      </c>
      <c r="Q502" s="90"/>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outlineLevel="1">
      <c r="A503" s="29" t="str">
        <f t="shared" si="335"/>
        <v>modesg_out_empr_info_nfince_turnover_own_prfrmnce_algnd</v>
      </c>
      <c r="B503" s="67" t="s">
        <v>26</v>
      </c>
      <c r="C503" s="68" t="s">
        <v>310</v>
      </c>
      <c r="D503" s="64" t="s">
        <v>40</v>
      </c>
      <c r="E503" s="66" t="s">
        <v>325</v>
      </c>
      <c r="F503" s="64" t="s">
        <v>275</v>
      </c>
      <c r="G503" s="64" t="str">
        <f>INDEX(Auxiliar!$B$16:$B$24,MATCH(Plano_V3!H503,Auxiliar!$C$16:$C$24,0),1)</f>
        <v>1. Concluído</v>
      </c>
      <c r="H503" s="64">
        <f>VLOOKUP(A503,'Aux - pivots1'!$A:$B,2,0)</f>
        <v>1</v>
      </c>
      <c r="I503" s="183" t="e">
        <f>SUMIFS(Table1[Estimação (horas)],Table1[Tabela],Plano_V3!E503,Table1[Campo],Plano_V3!F503)</f>
        <v>#N/A</v>
      </c>
      <c r="J503" s="183" t="e">
        <f t="shared" si="336"/>
        <v>#N/A</v>
      </c>
      <c r="K503" s="183" t="e">
        <f>SUMIFS(Table1[Horas efetivas],Table1[Tabela],Plano_V3!E503,Table1[Campo],Plano_V3!F503)</f>
        <v>#N/A</v>
      </c>
      <c r="L503" s="183" t="e">
        <f t="shared" si="337"/>
        <v>#N/A</v>
      </c>
      <c r="M503" s="177"/>
      <c r="N503" s="177" t="e">
        <f t="shared" si="338"/>
        <v>#N/A</v>
      </c>
      <c r="O503" s="177" t="e">
        <f t="shared" si="339"/>
        <v>#N/A</v>
      </c>
      <c r="P503" s="87" t="s">
        <v>326</v>
      </c>
      <c r="Q503" s="90"/>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outlineLevel="1">
      <c r="A504" s="29" t="str">
        <f t="shared" si="335"/>
        <v>modesg_out_empr_info_nfince_capex_ttl_elgbl</v>
      </c>
      <c r="B504" s="67" t="s">
        <v>26</v>
      </c>
      <c r="C504" s="68" t="s">
        <v>310</v>
      </c>
      <c r="D504" s="64" t="s">
        <v>40</v>
      </c>
      <c r="E504" s="66" t="s">
        <v>325</v>
      </c>
      <c r="F504" s="64" t="s">
        <v>276</v>
      </c>
      <c r="G504" s="64" t="str">
        <f>INDEX(Auxiliar!$B$16:$B$24,MATCH(Plano_V3!H504,Auxiliar!$C$16:$C$24,0),1)</f>
        <v>1. Concluído</v>
      </c>
      <c r="H504" s="64">
        <f>VLOOKUP(A504,'Aux - pivots1'!$A:$B,2,0)</f>
        <v>1</v>
      </c>
      <c r="I504" s="183" t="e">
        <f>SUMIFS(Table1[Estimação (horas)],Table1[Tabela],Plano_V3!E504,Table1[Campo],Plano_V3!F504)</f>
        <v>#N/A</v>
      </c>
      <c r="J504" s="183" t="e">
        <f t="shared" si="336"/>
        <v>#N/A</v>
      </c>
      <c r="K504" s="183" t="e">
        <f>SUMIFS(Table1[Horas efetivas],Table1[Tabela],Plano_V3!E504,Table1[Campo],Plano_V3!F504)</f>
        <v>#N/A</v>
      </c>
      <c r="L504" s="183" t="e">
        <f t="shared" si="337"/>
        <v>#N/A</v>
      </c>
      <c r="M504" s="177"/>
      <c r="N504" s="177" t="e">
        <f t="shared" si="338"/>
        <v>#N/A</v>
      </c>
      <c r="O504" s="177" t="e">
        <f t="shared" si="339"/>
        <v>#N/A</v>
      </c>
      <c r="P504" s="87" t="s">
        <v>326</v>
      </c>
      <c r="Q504" s="90"/>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outlineLevel="1">
      <c r="A505" s="29" t="str">
        <f t="shared" si="335"/>
        <v>modesg_out_empr_info_nfince_capex_enblng_algnd</v>
      </c>
      <c r="B505" s="67" t="s">
        <v>26</v>
      </c>
      <c r="C505" s="68" t="s">
        <v>310</v>
      </c>
      <c r="D505" s="64" t="s">
        <v>40</v>
      </c>
      <c r="E505" s="66" t="s">
        <v>325</v>
      </c>
      <c r="F505" s="64" t="s">
        <v>277</v>
      </c>
      <c r="G505" s="64" t="str">
        <f>INDEX(Auxiliar!$B$16:$B$24,MATCH(Plano_V3!H505,Auxiliar!$C$16:$C$24,0),1)</f>
        <v>1. Concluído</v>
      </c>
      <c r="H505" s="64">
        <f>VLOOKUP(A505,'Aux - pivots1'!$A:$B,2,0)</f>
        <v>1</v>
      </c>
      <c r="I505" s="183" t="e">
        <f>SUMIFS(Table1[Estimação (horas)],Table1[Tabela],Plano_V3!E505,Table1[Campo],Plano_V3!F505)</f>
        <v>#N/A</v>
      </c>
      <c r="J505" s="183" t="e">
        <f t="shared" si="336"/>
        <v>#N/A</v>
      </c>
      <c r="K505" s="183" t="e">
        <f>SUMIFS(Table1[Horas efetivas],Table1[Tabela],Plano_V3!E505,Table1[Campo],Plano_V3!F505)</f>
        <v>#N/A</v>
      </c>
      <c r="L505" s="183" t="e">
        <f t="shared" si="337"/>
        <v>#N/A</v>
      </c>
      <c r="M505" s="177"/>
      <c r="N505" s="177" t="e">
        <f t="shared" si="338"/>
        <v>#N/A</v>
      </c>
      <c r="O505" s="177" t="e">
        <f t="shared" si="339"/>
        <v>#N/A</v>
      </c>
      <c r="P505" s="87" t="s">
        <v>326</v>
      </c>
      <c r="Q505" s="90"/>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outlineLevel="1">
      <c r="A506" s="29" t="str">
        <f t="shared" si="335"/>
        <v>modesg_out_empr_info_nfince_capex_own_prfrmnce_algnd</v>
      </c>
      <c r="B506" s="67" t="s">
        <v>26</v>
      </c>
      <c r="C506" s="68" t="s">
        <v>310</v>
      </c>
      <c r="D506" s="64" t="s">
        <v>40</v>
      </c>
      <c r="E506" s="66" t="s">
        <v>325</v>
      </c>
      <c r="F506" s="64" t="s">
        <v>278</v>
      </c>
      <c r="G506" s="64" t="str">
        <f>INDEX(Auxiliar!$B$16:$B$24,MATCH(Plano_V3!H506,Auxiliar!$C$16:$C$24,0),1)</f>
        <v>1. Concluído</v>
      </c>
      <c r="H506" s="64">
        <f>VLOOKUP(A506,'Aux - pivots1'!$A:$B,2,0)</f>
        <v>1</v>
      </c>
      <c r="I506" s="183" t="e">
        <f>SUMIFS(Table1[Estimação (horas)],Table1[Tabela],Plano_V3!E506,Table1[Campo],Plano_V3!F506)</f>
        <v>#N/A</v>
      </c>
      <c r="J506" s="183" t="e">
        <f t="shared" si="336"/>
        <v>#N/A</v>
      </c>
      <c r="K506" s="183" t="e">
        <f>SUMIFS(Table1[Horas efetivas],Table1[Tabela],Plano_V3!E506,Table1[Campo],Plano_V3!F506)</f>
        <v>#N/A</v>
      </c>
      <c r="L506" s="183" t="e">
        <f t="shared" si="337"/>
        <v>#N/A</v>
      </c>
      <c r="M506" s="177"/>
      <c r="N506" s="177" t="e">
        <f t="shared" si="338"/>
        <v>#N/A</v>
      </c>
      <c r="O506" s="177" t="e">
        <f t="shared" si="339"/>
        <v>#N/A</v>
      </c>
      <c r="P506" s="87" t="s">
        <v>326</v>
      </c>
      <c r="Q506" s="90"/>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outlineLevel="1">
      <c r="A507" s="29" t="str">
        <f t="shared" si="331"/>
        <v>modesg_out_empr_info_nfincod_nace_esg</v>
      </c>
      <c r="B507" s="67" t="s">
        <v>26</v>
      </c>
      <c r="C507" s="68" t="s">
        <v>310</v>
      </c>
      <c r="D507" s="64" t="s">
        <v>40</v>
      </c>
      <c r="E507" s="66" t="s">
        <v>325</v>
      </c>
      <c r="F507" s="64" t="s">
        <v>281</v>
      </c>
      <c r="G507" s="64" t="str">
        <f>INDEX(Auxiliar!$B$16:$B$24,MATCH(Plano_V3!H507,Auxiliar!$C$16:$C$24,0),1)</f>
        <v xml:space="preserve">6. Em implementação </v>
      </c>
      <c r="H507" s="64">
        <f>VLOOKUP(A507,'Aux - pivots1'!$A:$B,2,0)</f>
        <v>7</v>
      </c>
      <c r="I507" s="183">
        <f>SUMIFS(Table1[Estimação (horas)],Table1[Tabela],Plano_V3!E507,Table1[Campo],Plano_V3!F507)</f>
        <v>16.100000000000001</v>
      </c>
      <c r="J507" s="183">
        <f t="shared" si="332"/>
        <v>2.0125000000000002</v>
      </c>
      <c r="K507" s="183">
        <f>SUMIFS(Table1[Horas efetivas],Table1[Tabela],Plano_V3!E507,Table1[Campo],Plano_V3!F507)</f>
        <v>4.0250000000000004</v>
      </c>
      <c r="L507" s="183">
        <f t="shared" si="333"/>
        <v>0.50312500000000004</v>
      </c>
      <c r="M507" s="177"/>
      <c r="N507" s="177">
        <f t="shared" si="334"/>
        <v>0.25</v>
      </c>
      <c r="O507" s="177">
        <f t="shared" si="318"/>
        <v>0.25</v>
      </c>
      <c r="P507" s="87" t="s">
        <v>326</v>
      </c>
      <c r="Q507" s="90">
        <f t="shared" si="326"/>
        <v>2.0125000000000002</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outlineLevel="1">
      <c r="A508" s="29" t="str">
        <f t="shared" si="331"/>
        <v>modesg_out_empr_info_nfinflg_emprs_excl_paris</v>
      </c>
      <c r="B508" s="67" t="s">
        <v>26</v>
      </c>
      <c r="C508" s="68" t="s">
        <v>310</v>
      </c>
      <c r="D508" s="64" t="s">
        <v>40</v>
      </c>
      <c r="E508" s="66" t="s">
        <v>325</v>
      </c>
      <c r="F508" s="64" t="s">
        <v>327</v>
      </c>
      <c r="G508" s="64" t="str">
        <f>INDEX(Auxiliar!$B$16:$B$24,MATCH(Plano_V3!H508,Auxiliar!$C$16:$C$24,0),1)</f>
        <v>1. Concluído</v>
      </c>
      <c r="H508" s="64">
        <f>VLOOKUP(A508,'Aux - pivots1'!$A:$B,2,0)</f>
        <v>1</v>
      </c>
      <c r="I508" s="183">
        <f>SUMIFS(Table1[Estimação (horas)],Table1[Tabela],Plano_V3!E508,Table1[Campo],Plano_V3!F508)</f>
        <v>8.1</v>
      </c>
      <c r="J508" s="183">
        <f t="shared" si="332"/>
        <v>1.0125</v>
      </c>
      <c r="K508" s="183">
        <f>SUMIFS(Table1[Horas efetivas],Table1[Tabela],Plano_V3!E508,Table1[Campo],Plano_V3!F508)</f>
        <v>8.1</v>
      </c>
      <c r="L508" s="183">
        <f t="shared" si="333"/>
        <v>1.0125</v>
      </c>
      <c r="M508" s="177"/>
      <c r="N508" s="177">
        <f t="shared" si="334"/>
        <v>1</v>
      </c>
      <c r="O508" s="177">
        <f t="shared" si="318"/>
        <v>1</v>
      </c>
      <c r="P508" s="87" t="s">
        <v>326</v>
      </c>
      <c r="Q508" s="90">
        <f t="shared" si="326"/>
        <v>1.0125</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outlineLevel="1">
      <c r="A509" s="29" t="str">
        <f t="shared" si="331"/>
        <v>modesg_out_empr_info_nfinflg_nfrd</v>
      </c>
      <c r="B509" s="67" t="s">
        <v>26</v>
      </c>
      <c r="C509" s="68" t="s">
        <v>310</v>
      </c>
      <c r="D509" s="64" t="s">
        <v>40</v>
      </c>
      <c r="E509" s="66" t="s">
        <v>325</v>
      </c>
      <c r="F509" s="64" t="s">
        <v>244</v>
      </c>
      <c r="G509" s="64" t="str">
        <f>INDEX(Auxiliar!$B$16:$B$24,MATCH(Plano_V3!H509,Auxiliar!$C$16:$C$24,0),1)</f>
        <v>1. Concluído</v>
      </c>
      <c r="H509" s="64">
        <f>VLOOKUP(A509,'Aux - pivots1'!$A:$B,2,0)</f>
        <v>1</v>
      </c>
      <c r="I509" s="183">
        <f>SUMIFS(Table1[Estimação (horas)],Table1[Tabela],Plano_V3!E509,Table1[Campo],Plano_V3!F509)</f>
        <v>8.1</v>
      </c>
      <c r="J509" s="183">
        <f t="shared" si="332"/>
        <v>1.0125</v>
      </c>
      <c r="K509" s="183">
        <f>SUMIFS(Table1[Horas efetivas],Table1[Tabela],Plano_V3!E509,Table1[Campo],Plano_V3!F509)</f>
        <v>8.1</v>
      </c>
      <c r="L509" s="183">
        <f t="shared" si="333"/>
        <v>1.0125</v>
      </c>
      <c r="M509" s="177"/>
      <c r="N509" s="177">
        <f t="shared" si="334"/>
        <v>1</v>
      </c>
      <c r="O509" s="177">
        <f t="shared" si="318"/>
        <v>1</v>
      </c>
      <c r="P509" s="87" t="s">
        <v>326</v>
      </c>
      <c r="Q509" s="90">
        <f t="shared" si="326"/>
        <v>1.0125</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outlineLevel="1">
      <c r="A510" s="29" t="str">
        <f t="shared" si="331"/>
        <v>modesg_out_empr_info_nfinflg_rsc_fsc_agd</v>
      </c>
      <c r="B510" s="67" t="s">
        <v>26</v>
      </c>
      <c r="C510" s="68" t="s">
        <v>310</v>
      </c>
      <c r="D510" s="64" t="s">
        <v>40</v>
      </c>
      <c r="E510" s="66" t="s">
        <v>325</v>
      </c>
      <c r="F510" s="64" t="s">
        <v>282</v>
      </c>
      <c r="G510" s="64" t="str">
        <f>INDEX(Auxiliar!$B$16:$B$24,MATCH(Plano_V3!H510,Auxiliar!$C$16:$C$24,0),1)</f>
        <v xml:space="preserve">6. Em implementação </v>
      </c>
      <c r="H510" s="64">
        <f>VLOOKUP(A510,'Aux - pivots1'!$A:$B,2,0)</f>
        <v>7</v>
      </c>
      <c r="I510" s="183">
        <f>SUMIFS(Table1[Estimação (horas)],Table1[Tabela],Plano_V3!E510,Table1[Campo],Plano_V3!F510)</f>
        <v>16.100000000000001</v>
      </c>
      <c r="J510" s="183">
        <f t="shared" si="332"/>
        <v>2.0125000000000002</v>
      </c>
      <c r="K510" s="183">
        <f>SUMIFS(Table1[Horas efetivas],Table1[Tabela],Plano_V3!E510,Table1[Campo],Plano_V3!F510)</f>
        <v>4.0250000000000004</v>
      </c>
      <c r="L510" s="183">
        <f t="shared" si="333"/>
        <v>0.50312500000000004</v>
      </c>
      <c r="M510" s="177"/>
      <c r="N510" s="177">
        <f t="shared" si="334"/>
        <v>0.25</v>
      </c>
      <c r="O510" s="177">
        <f t="shared" ref="O510:O562" si="340">N510-M510</f>
        <v>0.25</v>
      </c>
      <c r="P510" s="87" t="s">
        <v>326</v>
      </c>
      <c r="Q510" s="90">
        <f t="shared" si="326"/>
        <v>2.0125000000000002</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outlineLevel="1">
      <c r="A511" s="29" t="str">
        <f t="shared" si="331"/>
        <v>modesg_out_empr_info_nfinflg_rsc_fsc_crnc</v>
      </c>
      <c r="B511" s="67" t="s">
        <v>26</v>
      </c>
      <c r="C511" s="68" t="s">
        <v>310</v>
      </c>
      <c r="D511" s="64" t="s">
        <v>40</v>
      </c>
      <c r="E511" s="66" t="s">
        <v>325</v>
      </c>
      <c r="F511" s="64" t="s">
        <v>283</v>
      </c>
      <c r="G511" s="64" t="str">
        <f>INDEX(Auxiliar!$B$16:$B$24,MATCH(Plano_V3!H511,Auxiliar!$C$16:$C$24,0),1)</f>
        <v xml:space="preserve">6. Em implementação </v>
      </c>
      <c r="H511" s="64">
        <f>VLOOKUP(A511,'Aux - pivots1'!$A:$B,2,0)</f>
        <v>7</v>
      </c>
      <c r="I511" s="183">
        <f>SUMIFS(Table1[Estimação (horas)],Table1[Tabela],Plano_V3!E511,Table1[Campo],Plano_V3!F511)</f>
        <v>16.100000000000001</v>
      </c>
      <c r="J511" s="183">
        <f t="shared" si="332"/>
        <v>2.0125000000000002</v>
      </c>
      <c r="K511" s="183">
        <f>SUMIFS(Table1[Horas efetivas],Table1[Tabela],Plano_V3!E511,Table1[Campo],Plano_V3!F511)</f>
        <v>4.0250000000000004</v>
      </c>
      <c r="L511" s="183">
        <f t="shared" si="333"/>
        <v>0.50312500000000004</v>
      </c>
      <c r="M511" s="177"/>
      <c r="N511" s="177">
        <f t="shared" si="334"/>
        <v>0.25</v>
      </c>
      <c r="O511" s="177">
        <f t="shared" si="340"/>
        <v>0.25</v>
      </c>
      <c r="P511" s="87" t="s">
        <v>326</v>
      </c>
      <c r="Q511" s="90">
        <f t="shared" si="326"/>
        <v>2.0125000000000002</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outlineLevel="1">
      <c r="A512" s="29" t="str">
        <f t="shared" si="331"/>
        <v>modesg_out_empr_info_nfinorigem_alinhamentos</v>
      </c>
      <c r="B512" s="67" t="s">
        <v>26</v>
      </c>
      <c r="C512" s="68" t="s">
        <v>310</v>
      </c>
      <c r="D512" s="64" t="s">
        <v>40</v>
      </c>
      <c r="E512" s="66" t="s">
        <v>325</v>
      </c>
      <c r="F512" s="64" t="s">
        <v>328</v>
      </c>
      <c r="G512" s="64" t="str">
        <f>INDEX(Auxiliar!$B$16:$B$24,MATCH(Plano_V3!H512,Auxiliar!$C$16:$C$24,0),1)</f>
        <v>1. Concluído</v>
      </c>
      <c r="H512" s="64">
        <f>VLOOKUP(A512,'Aux - pivots1'!$A:$B,2,0)</f>
        <v>1</v>
      </c>
      <c r="I512" s="183">
        <f>SUMIFS(Table1[Estimação (horas)],Table1[Tabela],Plano_V3!E512,Table1[Campo],Plano_V3!F512)</f>
        <v>4.0999999999999996</v>
      </c>
      <c r="J512" s="183">
        <f t="shared" si="332"/>
        <v>0.51249999999999996</v>
      </c>
      <c r="K512" s="183">
        <f>SUMIFS(Table1[Horas efetivas],Table1[Tabela],Plano_V3!E512,Table1[Campo],Plano_V3!F512)</f>
        <v>4.0999999999999996</v>
      </c>
      <c r="L512" s="183">
        <f t="shared" si="333"/>
        <v>0.51249999999999996</v>
      </c>
      <c r="M512" s="177"/>
      <c r="N512" s="177">
        <f t="shared" si="334"/>
        <v>1</v>
      </c>
      <c r="O512" s="177">
        <f t="shared" si="340"/>
        <v>1</v>
      </c>
      <c r="P512" s="87" t="s">
        <v>326</v>
      </c>
      <c r="Q512" s="90">
        <f t="shared" si="326"/>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outlineLevel="1">
      <c r="A513" s="29" t="str">
        <f t="shared" si="331"/>
        <v>modesg_out_empr_info_nfinorigem_flg_emprs_excl_paris</v>
      </c>
      <c r="B513" s="67" t="s">
        <v>26</v>
      </c>
      <c r="C513" s="68" t="s">
        <v>310</v>
      </c>
      <c r="D513" s="64" t="s">
        <v>40</v>
      </c>
      <c r="E513" s="66" t="s">
        <v>325</v>
      </c>
      <c r="F513" s="64" t="s">
        <v>329</v>
      </c>
      <c r="G513" s="64" t="str">
        <f>INDEX(Auxiliar!$B$16:$B$24,MATCH(Plano_V3!H513,Auxiliar!$C$16:$C$24,0),1)</f>
        <v>1. Concluído</v>
      </c>
      <c r="H513" s="64">
        <f>VLOOKUP(A513,'Aux - pivots1'!$A:$B,2,0)</f>
        <v>1</v>
      </c>
      <c r="I513" s="183">
        <f>SUMIFS(Table1[Estimação (horas)],Table1[Tabela],Plano_V3!E513,Table1[Campo],Plano_V3!F513)</f>
        <v>4.0999999999999996</v>
      </c>
      <c r="J513" s="183">
        <f t="shared" si="332"/>
        <v>0.51249999999999996</v>
      </c>
      <c r="K513" s="183">
        <f>SUMIFS(Table1[Horas efetivas],Table1[Tabela],Plano_V3!E513,Table1[Campo],Plano_V3!F513)</f>
        <v>4.0999999999999996</v>
      </c>
      <c r="L513" s="183">
        <f t="shared" si="333"/>
        <v>0.51249999999999996</v>
      </c>
      <c r="M513" s="177"/>
      <c r="N513" s="177">
        <f t="shared" si="334"/>
        <v>1</v>
      </c>
      <c r="O513" s="177">
        <f t="shared" si="340"/>
        <v>1</v>
      </c>
      <c r="P513" s="87" t="s">
        <v>326</v>
      </c>
      <c r="Q513" s="90">
        <f t="shared" si="326"/>
        <v>0.51249999999999996</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outlineLevel="1">
      <c r="A514" s="29" t="str">
        <f t="shared" si="331"/>
        <v>modesg_out_empr_info_nfinorigem_flg_nfrd</v>
      </c>
      <c r="B514" s="67" t="s">
        <v>26</v>
      </c>
      <c r="C514" s="68" t="s">
        <v>310</v>
      </c>
      <c r="D514" s="64" t="s">
        <v>40</v>
      </c>
      <c r="E514" s="66" t="s">
        <v>325</v>
      </c>
      <c r="F514" s="64" t="s">
        <v>330</v>
      </c>
      <c r="G514" s="64" t="str">
        <f>INDEX(Auxiliar!$B$16:$B$24,MATCH(Plano_V3!H514,Auxiliar!$C$16:$C$24,0),1)</f>
        <v>1. Concluído</v>
      </c>
      <c r="H514" s="64">
        <f>VLOOKUP(A514,'Aux - pivots1'!$A:$B,2,0)</f>
        <v>1</v>
      </c>
      <c r="I514" s="183">
        <f>SUMIFS(Table1[Estimação (horas)],Table1[Tabela],Plano_V3!E514,Table1[Campo],Plano_V3!F514)</f>
        <v>4.0999999999999996</v>
      </c>
      <c r="J514" s="183">
        <f t="shared" si="332"/>
        <v>0.51249999999999996</v>
      </c>
      <c r="K514" s="183">
        <f>SUMIFS(Table1[Horas efetivas],Table1[Tabela],Plano_V3!E514,Table1[Campo],Plano_V3!F514)</f>
        <v>4.0999999999999996</v>
      </c>
      <c r="L514" s="183">
        <f t="shared" si="333"/>
        <v>0.51249999999999996</v>
      </c>
      <c r="M514" s="177"/>
      <c r="N514" s="177">
        <f t="shared" si="334"/>
        <v>1</v>
      </c>
      <c r="O514" s="177">
        <f t="shared" si="340"/>
        <v>1</v>
      </c>
      <c r="P514" s="87" t="s">
        <v>326</v>
      </c>
      <c r="Q514" s="90">
        <f t="shared" si="326"/>
        <v>0.51249999999999996</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outlineLevel="1">
      <c r="A515" s="29" t="str">
        <f t="shared" si="331"/>
        <v>modesg_out_empr_info_nfinorigem_flg_rsc_fsc_agd</v>
      </c>
      <c r="B515" s="67" t="s">
        <v>26</v>
      </c>
      <c r="C515" s="68" t="s">
        <v>310</v>
      </c>
      <c r="D515" s="64" t="s">
        <v>40</v>
      </c>
      <c r="E515" s="66" t="s">
        <v>325</v>
      </c>
      <c r="F515" s="64" t="s">
        <v>317</v>
      </c>
      <c r="G515" s="64" t="str">
        <f>INDEX(Auxiliar!$B$16:$B$24,MATCH(Plano_V3!H515,Auxiliar!$C$16:$C$24,0),1)</f>
        <v xml:space="preserve">6. Em implementação </v>
      </c>
      <c r="H515" s="64">
        <f>VLOOKUP(A515,'Aux - pivots1'!$A:$B,2,0)</f>
        <v>7</v>
      </c>
      <c r="I515" s="183">
        <f>SUMIFS(Table1[Estimação (horas)],Table1[Tabela],Plano_V3!E515,Table1[Campo],Plano_V3!F515)</f>
        <v>4.0999999999999996</v>
      </c>
      <c r="J515" s="183">
        <f t="shared" si="332"/>
        <v>0.51249999999999996</v>
      </c>
      <c r="K515" s="183">
        <f>SUMIFS(Table1[Horas efetivas],Table1[Tabela],Plano_V3!E515,Table1[Campo],Plano_V3!F515)</f>
        <v>1.0249999999999999</v>
      </c>
      <c r="L515" s="183">
        <f t="shared" si="333"/>
        <v>0.12812499999999999</v>
      </c>
      <c r="M515" s="177"/>
      <c r="N515" s="177">
        <f t="shared" si="334"/>
        <v>0.25</v>
      </c>
      <c r="O515" s="177">
        <f t="shared" si="340"/>
        <v>0.25</v>
      </c>
      <c r="P515" s="87" t="s">
        <v>326</v>
      </c>
      <c r="Q515" s="90">
        <f t="shared" si="326"/>
        <v>0.51249999999999996</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outlineLevel="1">
      <c r="A516" s="29" t="str">
        <f t="shared" si="331"/>
        <v>modesg_out_empr_info_nfinorigem_flg_rsc_fsc_crnc</v>
      </c>
      <c r="B516" s="67" t="s">
        <v>26</v>
      </c>
      <c r="C516" s="68" t="s">
        <v>310</v>
      </c>
      <c r="D516" s="64" t="s">
        <v>40</v>
      </c>
      <c r="E516" s="66" t="s">
        <v>325</v>
      </c>
      <c r="F516" s="64" t="s">
        <v>318</v>
      </c>
      <c r="G516" s="64" t="str">
        <f>INDEX(Auxiliar!$B$16:$B$24,MATCH(Plano_V3!H516,Auxiliar!$C$16:$C$24,0),1)</f>
        <v xml:space="preserve">6. Em implementação </v>
      </c>
      <c r="H516" s="64">
        <f>VLOOKUP(A516,'Aux - pivots1'!$A:$B,2,0)</f>
        <v>7</v>
      </c>
      <c r="I516" s="183">
        <f>SUMIFS(Table1[Estimação (horas)],Table1[Tabela],Plano_V3!E516,Table1[Campo],Plano_V3!F516)</f>
        <v>4.0999999999999996</v>
      </c>
      <c r="J516" s="183">
        <f t="shared" si="332"/>
        <v>0.51249999999999996</v>
      </c>
      <c r="K516" s="183">
        <f>SUMIFS(Table1[Horas efetivas],Table1[Tabela],Plano_V3!E516,Table1[Campo],Plano_V3!F516)</f>
        <v>1.0249999999999999</v>
      </c>
      <c r="L516" s="183">
        <f t="shared" si="333"/>
        <v>0.12812499999999999</v>
      </c>
      <c r="M516" s="177"/>
      <c r="N516" s="177">
        <f t="shared" si="334"/>
        <v>0.25</v>
      </c>
      <c r="O516" s="177">
        <f t="shared" si="340"/>
        <v>0.25</v>
      </c>
      <c r="P516" s="87" t="s">
        <v>326</v>
      </c>
      <c r="Q516" s="90">
        <f t="shared" si="326"/>
        <v>0.51249999999999996</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outlineLevel="1">
      <c r="A517" s="29" t="str">
        <f t="shared" si="331"/>
        <v>modesg_out_empr_info_nfinorigem_scp1_emss</v>
      </c>
      <c r="B517" s="67" t="s">
        <v>26</v>
      </c>
      <c r="C517" s="68" t="s">
        <v>310</v>
      </c>
      <c r="D517" s="64" t="s">
        <v>40</v>
      </c>
      <c r="E517" s="66" t="s">
        <v>325</v>
      </c>
      <c r="F517" s="64" t="s">
        <v>319</v>
      </c>
      <c r="G517" s="64" t="str">
        <f>INDEX(Auxiliar!$B$16:$B$24,MATCH(Plano_V3!H517,Auxiliar!$C$16:$C$24,0),1)</f>
        <v>2.1 Em Teste</v>
      </c>
      <c r="H517" s="64">
        <f>VLOOKUP(A517,'Aux - pivots1'!$A:$B,2,0)</f>
        <v>2</v>
      </c>
      <c r="I517" s="183">
        <f>SUMIFS(Table1[Estimação (horas)],Table1[Tabela],Plano_V3!E517,Table1[Campo],Plano_V3!F517)</f>
        <v>4.0999999999999996</v>
      </c>
      <c r="J517" s="183">
        <f t="shared" si="332"/>
        <v>0.51249999999999996</v>
      </c>
      <c r="K517" s="183">
        <f>SUMIFS(Table1[Horas efetivas],Table1[Tabela],Plano_V3!E517,Table1[Campo],Plano_V3!F517)</f>
        <v>2.0499999999999998</v>
      </c>
      <c r="L517" s="183">
        <f t="shared" si="333"/>
        <v>0.25624999999999998</v>
      </c>
      <c r="M517" s="177"/>
      <c r="N517" s="177">
        <f t="shared" si="334"/>
        <v>0.5</v>
      </c>
      <c r="O517" s="177">
        <f t="shared" si="340"/>
        <v>0.5</v>
      </c>
      <c r="P517" s="87" t="s">
        <v>326</v>
      </c>
      <c r="Q517" s="90">
        <f t="shared" si="326"/>
        <v>0.51249999999999996</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outlineLevel="1">
      <c r="A518" s="29" t="str">
        <f t="shared" si="331"/>
        <v>modesg_out_empr_info_nfinorigem_scp2_emss</v>
      </c>
      <c r="B518" s="67" t="s">
        <v>26</v>
      </c>
      <c r="C518" s="68" t="s">
        <v>310</v>
      </c>
      <c r="D518" s="64" t="s">
        <v>40</v>
      </c>
      <c r="E518" s="66" t="s">
        <v>325</v>
      </c>
      <c r="F518" s="64" t="s">
        <v>320</v>
      </c>
      <c r="G518" s="64" t="str">
        <f>INDEX(Auxiliar!$B$16:$B$24,MATCH(Plano_V3!H518,Auxiliar!$C$16:$C$24,0),1)</f>
        <v>2.1 Em Teste</v>
      </c>
      <c r="H518" s="64">
        <f>VLOOKUP(A518,'Aux - pivots1'!$A:$B,2,0)</f>
        <v>2</v>
      </c>
      <c r="I518" s="183">
        <f>SUMIFS(Table1[Estimação (horas)],Table1[Tabela],Plano_V3!E518,Table1[Campo],Plano_V3!F518)</f>
        <v>4.0999999999999996</v>
      </c>
      <c r="J518" s="183">
        <f t="shared" si="332"/>
        <v>0.51249999999999996</v>
      </c>
      <c r="K518" s="183">
        <f>SUMIFS(Table1[Horas efetivas],Table1[Tabela],Plano_V3!E518,Table1[Campo],Plano_V3!F518)</f>
        <v>2.0499999999999998</v>
      </c>
      <c r="L518" s="183">
        <f t="shared" si="333"/>
        <v>0.25624999999999998</v>
      </c>
      <c r="M518" s="177"/>
      <c r="N518" s="177">
        <f t="shared" si="334"/>
        <v>0.5</v>
      </c>
      <c r="O518" s="177">
        <f t="shared" si="340"/>
        <v>0.5</v>
      </c>
      <c r="P518" s="87" t="s">
        <v>326</v>
      </c>
      <c r="Q518" s="90">
        <f t="shared" si="326"/>
        <v>0.51249999999999996</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outlineLevel="1">
      <c r="A519" s="29" t="str">
        <f t="shared" si="331"/>
        <v>modesg_out_empr_info_nfinorigem_scp3_emss</v>
      </c>
      <c r="B519" s="67" t="s">
        <v>26</v>
      </c>
      <c r="C519" s="68" t="s">
        <v>310</v>
      </c>
      <c r="D519" s="64" t="s">
        <v>40</v>
      </c>
      <c r="E519" s="66" t="s">
        <v>325</v>
      </c>
      <c r="F519" s="64" t="s">
        <v>321</v>
      </c>
      <c r="G519" s="64" t="str">
        <f>INDEX(Auxiliar!$B$16:$B$24,MATCH(Plano_V3!H519,Auxiliar!$C$16:$C$24,0),1)</f>
        <v>2.1 Em Teste</v>
      </c>
      <c r="H519" s="64">
        <f>VLOOKUP(A519,'Aux - pivots1'!$A:$B,2,0)</f>
        <v>2</v>
      </c>
      <c r="I519" s="183">
        <f>SUMIFS(Table1[Estimação (horas)],Table1[Tabela],Plano_V3!E519,Table1[Campo],Plano_V3!F519)</f>
        <v>4.0999999999999996</v>
      </c>
      <c r="J519" s="183">
        <f t="shared" si="332"/>
        <v>0.51249999999999996</v>
      </c>
      <c r="K519" s="183">
        <f>SUMIFS(Table1[Horas efetivas],Table1[Tabela],Plano_V3!E519,Table1[Campo],Plano_V3!F519)</f>
        <v>2.0499999999999998</v>
      </c>
      <c r="L519" s="183">
        <f t="shared" si="333"/>
        <v>0.25624999999999998</v>
      </c>
      <c r="M519" s="177"/>
      <c r="N519" s="177">
        <f t="shared" si="334"/>
        <v>0.5</v>
      </c>
      <c r="O519" s="177">
        <f t="shared" si="340"/>
        <v>0.5</v>
      </c>
      <c r="P519" s="87" t="s">
        <v>326</v>
      </c>
      <c r="Q519" s="90">
        <f t="shared" si="326"/>
        <v>0.51249999999999996</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outlineLevel="1">
      <c r="A520" s="29" t="str">
        <f t="shared" si="331"/>
        <v>modesg_out_empr_info_nfinref_date</v>
      </c>
      <c r="B520" s="67" t="s">
        <v>26</v>
      </c>
      <c r="C520" s="68" t="s">
        <v>310</v>
      </c>
      <c r="D520" s="64" t="s">
        <v>40</v>
      </c>
      <c r="E520" s="66" t="s">
        <v>325</v>
      </c>
      <c r="F520" s="64" t="s">
        <v>208</v>
      </c>
      <c r="G520" s="64" t="str">
        <f>INDEX(Auxiliar!$B$16:$B$24,MATCH(Plano_V3!H520,Auxiliar!$C$16:$C$24,0),1)</f>
        <v>1. Concluído</v>
      </c>
      <c r="H520" s="64">
        <f>VLOOKUP(A520,'Aux - pivots1'!$A:$B,2,0)</f>
        <v>1</v>
      </c>
      <c r="I520" s="183">
        <f>SUMIFS(Table1[Estimação (horas)],Table1[Tabela],Plano_V3!E520,Table1[Campo],Plano_V3!F520)</f>
        <v>4.0999999999999996</v>
      </c>
      <c r="J520" s="183">
        <f t="shared" si="332"/>
        <v>0.51249999999999996</v>
      </c>
      <c r="K520" s="183">
        <f>SUMIFS(Table1[Horas efetivas],Table1[Tabela],Plano_V3!E520,Table1[Campo],Plano_V3!F520)</f>
        <v>4.0999999999999996</v>
      </c>
      <c r="L520" s="183">
        <f t="shared" si="333"/>
        <v>0.51249999999999996</v>
      </c>
      <c r="M520" s="177"/>
      <c r="N520" s="177">
        <f t="shared" si="334"/>
        <v>1</v>
      </c>
      <c r="O520" s="177">
        <f t="shared" si="340"/>
        <v>1</v>
      </c>
      <c r="P520" s="87" t="s">
        <v>326</v>
      </c>
      <c r="Q520" s="90">
        <f t="shared" si="326"/>
        <v>0.51249999999999996</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outlineLevel="1">
      <c r="A521" s="29" t="str">
        <f t="shared" si="331"/>
        <v>modesg_out_empr_info_nfinscp1_emss</v>
      </c>
      <c r="B521" s="67" t="s">
        <v>26</v>
      </c>
      <c r="C521" s="68" t="s">
        <v>310</v>
      </c>
      <c r="D521" s="64" t="s">
        <v>40</v>
      </c>
      <c r="E521" s="66" t="s">
        <v>325</v>
      </c>
      <c r="F521" s="64" t="s">
        <v>285</v>
      </c>
      <c r="G521" s="64" t="str">
        <f>INDEX(Auxiliar!$B$16:$B$24,MATCH(Plano_V3!H521,Auxiliar!$C$16:$C$24,0),1)</f>
        <v>2.1 Em Teste</v>
      </c>
      <c r="H521" s="64">
        <f>VLOOKUP(A521,'Aux - pivots1'!$A:$B,2,0)</f>
        <v>2</v>
      </c>
      <c r="I521" s="183">
        <f>SUMIFS(Table1[Estimação (horas)],Table1[Tabela],Plano_V3!E521,Table1[Campo],Plano_V3!F521)</f>
        <v>8.1</v>
      </c>
      <c r="J521" s="183">
        <f t="shared" si="332"/>
        <v>1.0125</v>
      </c>
      <c r="K521" s="183">
        <f>SUMIFS(Table1[Horas efetivas],Table1[Tabela],Plano_V3!E521,Table1[Campo],Plano_V3!F521)</f>
        <v>4.05</v>
      </c>
      <c r="L521" s="183">
        <f t="shared" si="333"/>
        <v>0.50624999999999998</v>
      </c>
      <c r="M521" s="177"/>
      <c r="N521" s="177">
        <f t="shared" si="334"/>
        <v>0.5</v>
      </c>
      <c r="O521" s="177">
        <f t="shared" si="340"/>
        <v>0.5</v>
      </c>
      <c r="P521" s="87" t="s">
        <v>326</v>
      </c>
      <c r="Q521" s="90">
        <f t="shared" ref="Q521:Q562" si="341">J521-SUM(R521:ES521)</f>
        <v>1.0125</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outlineLevel="1">
      <c r="A522" s="29" t="str">
        <f t="shared" si="331"/>
        <v>modesg_out_empr_info_nfinscp2_emss</v>
      </c>
      <c r="B522" s="67" t="s">
        <v>26</v>
      </c>
      <c r="C522" s="68" t="s">
        <v>310</v>
      </c>
      <c r="D522" s="64" t="s">
        <v>40</v>
      </c>
      <c r="E522" s="66" t="s">
        <v>325</v>
      </c>
      <c r="F522" s="64" t="s">
        <v>286</v>
      </c>
      <c r="G522" s="64" t="str">
        <f>INDEX(Auxiliar!$B$16:$B$24,MATCH(Plano_V3!H522,Auxiliar!$C$16:$C$24,0),1)</f>
        <v>2.1 Em Teste</v>
      </c>
      <c r="H522" s="64">
        <f>VLOOKUP(A522,'Aux - pivots1'!$A:$B,2,0)</f>
        <v>2</v>
      </c>
      <c r="I522" s="183">
        <f>SUMIFS(Table1[Estimação (horas)],Table1[Tabela],Plano_V3!E522,Table1[Campo],Plano_V3!F522)</f>
        <v>8.1</v>
      </c>
      <c r="J522" s="183">
        <f t="shared" si="332"/>
        <v>1.0125</v>
      </c>
      <c r="K522" s="183">
        <f>SUMIFS(Table1[Horas efetivas],Table1[Tabela],Plano_V3!E522,Table1[Campo],Plano_V3!F522)</f>
        <v>4.05</v>
      </c>
      <c r="L522" s="183">
        <f t="shared" si="333"/>
        <v>0.50624999999999998</v>
      </c>
      <c r="M522" s="177"/>
      <c r="N522" s="177">
        <f t="shared" si="334"/>
        <v>0.5</v>
      </c>
      <c r="O522" s="177">
        <f t="shared" si="340"/>
        <v>0.5</v>
      </c>
      <c r="P522" s="87" t="s">
        <v>326</v>
      </c>
      <c r="Q522" s="90">
        <f t="shared" si="341"/>
        <v>1.0125</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outlineLevel="1">
      <c r="A523" s="29" t="str">
        <f t="shared" si="331"/>
        <v>modesg_out_empr_info_nfinscp3_emss</v>
      </c>
      <c r="B523" s="67" t="s">
        <v>26</v>
      </c>
      <c r="C523" s="68" t="s">
        <v>310</v>
      </c>
      <c r="D523" s="64" t="s">
        <v>40</v>
      </c>
      <c r="E523" s="66" t="s">
        <v>325</v>
      </c>
      <c r="F523" s="64" t="s">
        <v>287</v>
      </c>
      <c r="G523" s="64" t="str">
        <f>INDEX(Auxiliar!$B$16:$B$24,MATCH(Plano_V3!H523,Auxiliar!$C$16:$C$24,0),1)</f>
        <v>2.1 Em Teste</v>
      </c>
      <c r="H523" s="64">
        <f>VLOOKUP(A523,'Aux - pivots1'!$A:$B,2,0)</f>
        <v>2</v>
      </c>
      <c r="I523" s="183">
        <f>SUMIFS(Table1[Estimação (horas)],Table1[Tabela],Plano_V3!E523,Table1[Campo],Plano_V3!F523)</f>
        <v>8.1</v>
      </c>
      <c r="J523" s="183">
        <f t="shared" si="332"/>
        <v>1.0125</v>
      </c>
      <c r="K523" s="183">
        <f>SUMIFS(Table1[Horas efetivas],Table1[Tabela],Plano_V3!E523,Table1[Campo],Plano_V3!F523)</f>
        <v>4.05</v>
      </c>
      <c r="L523" s="183">
        <f t="shared" si="333"/>
        <v>0.50624999999999998</v>
      </c>
      <c r="M523" s="177"/>
      <c r="N523" s="177">
        <f t="shared" si="334"/>
        <v>0.5</v>
      </c>
      <c r="O523" s="177">
        <f t="shared" si="340"/>
        <v>0.5</v>
      </c>
      <c r="P523" s="87" t="s">
        <v>326</v>
      </c>
      <c r="Q523" s="90">
        <f t="shared" si="341"/>
        <v>1.0125</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outlineLevel="1">
      <c r="A524" s="29" t="str">
        <f t="shared" si="331"/>
        <v>modesg_out_empr_info_nfinzcliente</v>
      </c>
      <c r="B524" s="67" t="s">
        <v>26</v>
      </c>
      <c r="C524" s="68" t="s">
        <v>310</v>
      </c>
      <c r="D524" s="64" t="s">
        <v>40</v>
      </c>
      <c r="E524" s="66" t="s">
        <v>325</v>
      </c>
      <c r="F524" s="64" t="s">
        <v>209</v>
      </c>
      <c r="G524" s="64" t="str">
        <f>INDEX(Auxiliar!$B$16:$B$24,MATCH(Plano_V3!H524,Auxiliar!$C$16:$C$24,0),1)</f>
        <v>1. Concluído</v>
      </c>
      <c r="H524" s="64">
        <f>VLOOKUP(A524,'Aux - pivots1'!$A:$B,2,0)</f>
        <v>1</v>
      </c>
      <c r="I524" s="183">
        <f>SUMIFS(Table1[Estimação (horas)],Table1[Tabela],Plano_V3!E524,Table1[Campo],Plano_V3!F524)</f>
        <v>4.0999999999999996</v>
      </c>
      <c r="J524" s="183">
        <f t="shared" si="332"/>
        <v>0.51249999999999996</v>
      </c>
      <c r="K524" s="183">
        <f>SUMIFS(Table1[Horas efetivas],Table1[Tabela],Plano_V3!E524,Table1[Campo],Plano_V3!F524)</f>
        <v>4.0999999999999996</v>
      </c>
      <c r="L524" s="183">
        <f t="shared" si="333"/>
        <v>0.51249999999999996</v>
      </c>
      <c r="M524" s="177"/>
      <c r="N524" s="177">
        <f t="shared" si="334"/>
        <v>1</v>
      </c>
      <c r="O524" s="177">
        <f t="shared" si="340"/>
        <v>1</v>
      </c>
      <c r="P524" s="87" t="s">
        <v>326</v>
      </c>
      <c r="Q524" s="90">
        <f t="shared" si="341"/>
        <v>0.51249999999999996</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outlineLevel="1">
      <c r="A525" s="29" t="str">
        <f t="shared" si="331"/>
        <v>modesg_out_empr_info_nfindivida_total</v>
      </c>
      <c r="B525" s="67"/>
      <c r="C525" s="68"/>
      <c r="D525" s="64" t="s">
        <v>40</v>
      </c>
      <c r="E525" s="66" t="s">
        <v>325</v>
      </c>
      <c r="F525" s="64" t="s">
        <v>295</v>
      </c>
      <c r="G525" s="64" t="str">
        <f>INDEX(Auxiliar!$B$16:$B$24,MATCH(Plano_V3!H525,Auxiliar!$C$16:$C$24,0),1)</f>
        <v>2.1 Em Teste</v>
      </c>
      <c r="H525" s="64">
        <f>VLOOKUP(A525,'Aux - pivots1'!$A:$B,2,0)</f>
        <v>2</v>
      </c>
      <c r="I525" s="183">
        <f>SUMIFS(Table1[Estimação (horas)],Table1[Tabela],Plano_V3!E525,Table1[Campo],Plano_V3!F525)</f>
        <v>4</v>
      </c>
      <c r="J525" s="183">
        <f t="shared" ref="J525:J526" si="342">I525/8</f>
        <v>0.5</v>
      </c>
      <c r="K525" s="183">
        <f>SUMIFS(Table1[Horas efetivas],Table1[Tabela],Plano_V3!E525,Table1[Campo],Plano_V3!F525)</f>
        <v>2</v>
      </c>
      <c r="L525" s="183">
        <f t="shared" ref="L525:L526" si="343">K525/8</f>
        <v>0.25</v>
      </c>
      <c r="M525" s="177"/>
      <c r="N525" s="177"/>
      <c r="O525" s="177"/>
      <c r="P525" s="87"/>
      <c r="Q525" s="90"/>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outlineLevel="1">
      <c r="A526" s="29" t="str">
        <f t="shared" si="331"/>
        <v>modesg_out_empr_info_nfincapital_proprio</v>
      </c>
      <c r="B526" s="67"/>
      <c r="C526" s="68"/>
      <c r="D526" s="64" t="s">
        <v>40</v>
      </c>
      <c r="E526" s="66" t="s">
        <v>325</v>
      </c>
      <c r="F526" s="64" t="s">
        <v>296</v>
      </c>
      <c r="G526" s="64" t="str">
        <f>INDEX(Auxiliar!$B$16:$B$24,MATCH(Plano_V3!H526,Auxiliar!$C$16:$C$24,0),1)</f>
        <v>2.1 Em Teste</v>
      </c>
      <c r="H526" s="64">
        <f>VLOOKUP(A526,'Aux - pivots1'!$A:$B,2,0)</f>
        <v>2</v>
      </c>
      <c r="I526" s="183">
        <f>SUMIFS(Table1[Estimação (horas)],Table1[Tabela],Plano_V3!E526,Table1[Campo],Plano_V3!F526)</f>
        <v>4</v>
      </c>
      <c r="J526" s="183">
        <f t="shared" si="342"/>
        <v>0.5</v>
      </c>
      <c r="K526" s="183">
        <f>SUMIFS(Table1[Horas efetivas],Table1[Tabela],Plano_V3!E526,Table1[Campo],Plano_V3!F526)</f>
        <v>2</v>
      </c>
      <c r="L526" s="183">
        <f t="shared" si="343"/>
        <v>0.25</v>
      </c>
      <c r="M526" s="177"/>
      <c r="N526" s="177"/>
      <c r="O526" s="177"/>
      <c r="P526" s="87"/>
      <c r="Q526" s="90"/>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outlineLevel="1">
      <c r="A527" s="29" t="str">
        <f t="shared" ref="A527:A561" si="344">E527&amp;F527</f>
        <v>modesg_out_emss_vclsn.a.</v>
      </c>
      <c r="B527" s="67" t="s">
        <v>26</v>
      </c>
      <c r="C527" s="68" t="s">
        <v>310</v>
      </c>
      <c r="D527" s="64" t="s">
        <v>36</v>
      </c>
      <c r="E527" s="66" t="s">
        <v>331</v>
      </c>
      <c r="F527" s="64" t="s">
        <v>38</v>
      </c>
      <c r="G527" s="64" t="str">
        <f>INDEX(Auxiliar!$B$16:$B$24,MATCH(Plano_V3!H527,Auxiliar!$C$16:$C$24,0),1)</f>
        <v>1. Concluído</v>
      </c>
      <c r="H527" s="64">
        <f>VLOOKUP(A527,'Aux - pivots1'!$A:$B,2,0)</f>
        <v>1</v>
      </c>
      <c r="I527" s="183">
        <f>SUMIFS(Table1[Estimação (horas)],Table1[Tabela],Plano_V3!E527,Table1[Campo],Plano_V3!F527)</f>
        <v>8</v>
      </c>
      <c r="J527" s="183">
        <f t="shared" si="332"/>
        <v>1</v>
      </c>
      <c r="K527" s="183">
        <f>SUMIFS(Table1[Horas efetivas],Table1[Tabela],Plano_V3!E527,Table1[Campo],Plano_V3!F527)</f>
        <v>8</v>
      </c>
      <c r="L527" s="183">
        <f t="shared" si="333"/>
        <v>1</v>
      </c>
      <c r="M527" s="177"/>
      <c r="N527" s="177">
        <f t="shared" si="334"/>
        <v>1</v>
      </c>
      <c r="O527" s="177">
        <f t="shared" si="340"/>
        <v>1</v>
      </c>
      <c r="P527" s="87" t="s">
        <v>332</v>
      </c>
      <c r="Q527" s="90">
        <f t="shared" si="341"/>
        <v>1</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outlineLevel="1">
      <c r="A528" s="29" t="str">
        <f t="shared" si="344"/>
        <v>modesg_out_emss_vclscempbem</v>
      </c>
      <c r="B528" s="67" t="s">
        <v>26</v>
      </c>
      <c r="C528" s="68" t="s">
        <v>310</v>
      </c>
      <c r="D528" s="64" t="s">
        <v>40</v>
      </c>
      <c r="E528" s="66" t="s">
        <v>331</v>
      </c>
      <c r="F528" s="64" t="s">
        <v>313</v>
      </c>
      <c r="G528" s="64" t="str">
        <f>INDEX(Auxiliar!$B$16:$B$24,MATCH(Plano_V3!H528,Auxiliar!$C$16:$C$24,0),1)</f>
        <v>1. Concluído</v>
      </c>
      <c r="H528" s="64">
        <f>VLOOKUP(A528,'Aux - pivots1'!$A:$B,2,0)</f>
        <v>1</v>
      </c>
      <c r="I528" s="183">
        <f>SUMIFS(Table1[Estimação (horas)],Table1[Tabela],Plano_V3!E528,Table1[Campo],Plano_V3!F528)</f>
        <v>4.0999999999999996</v>
      </c>
      <c r="J528" s="183">
        <f t="shared" si="332"/>
        <v>0.51249999999999996</v>
      </c>
      <c r="K528" s="183">
        <f>SUMIFS(Table1[Horas efetivas],Table1[Tabela],Plano_V3!E528,Table1[Campo],Plano_V3!F528)</f>
        <v>4.0999999999999996</v>
      </c>
      <c r="L528" s="183">
        <f t="shared" si="333"/>
        <v>0.51249999999999996</v>
      </c>
      <c r="M528" s="177"/>
      <c r="N528" s="177">
        <f t="shared" si="334"/>
        <v>1</v>
      </c>
      <c r="O528" s="177">
        <f t="shared" si="340"/>
        <v>1</v>
      </c>
      <c r="P528" s="87" t="s">
        <v>332</v>
      </c>
      <c r="Q528" s="90">
        <f t="shared" si="341"/>
        <v>0.51249999999999996</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outlineLevel="1">
      <c r="A529" s="29" t="str">
        <f t="shared" si="344"/>
        <v>modesg_out_emss_vclsckbalbem</v>
      </c>
      <c r="B529" s="67" t="s">
        <v>26</v>
      </c>
      <c r="C529" s="68" t="s">
        <v>310</v>
      </c>
      <c r="D529" s="64" t="s">
        <v>40</v>
      </c>
      <c r="E529" s="66" t="s">
        <v>331</v>
      </c>
      <c r="F529" s="64" t="s">
        <v>314</v>
      </c>
      <c r="G529" s="64" t="str">
        <f>INDEX(Auxiliar!$B$16:$B$24,MATCH(Plano_V3!H529,Auxiliar!$C$16:$C$24,0),1)</f>
        <v>1. Concluído</v>
      </c>
      <c r="H529" s="64">
        <f>VLOOKUP(A529,'Aux - pivots1'!$A:$B,2,0)</f>
        <v>1</v>
      </c>
      <c r="I529" s="183">
        <f>SUMIFS(Table1[Estimação (horas)],Table1[Tabela],Plano_V3!E529,Table1[Campo],Plano_V3!F529)</f>
        <v>4.0999999999999996</v>
      </c>
      <c r="J529" s="183">
        <f t="shared" si="332"/>
        <v>0.51249999999999996</v>
      </c>
      <c r="K529" s="183">
        <f>SUMIFS(Table1[Horas efetivas],Table1[Tabela],Plano_V3!E529,Table1[Campo],Plano_V3!F529)</f>
        <v>4.0999999999999996</v>
      </c>
      <c r="L529" s="183">
        <f t="shared" si="333"/>
        <v>0.51249999999999996</v>
      </c>
      <c r="M529" s="177"/>
      <c r="N529" s="177">
        <f t="shared" si="334"/>
        <v>1</v>
      </c>
      <c r="O529" s="177">
        <f t="shared" si="340"/>
        <v>1</v>
      </c>
      <c r="P529" s="87" t="s">
        <v>332</v>
      </c>
      <c r="Q529" s="90">
        <f t="shared" si="341"/>
        <v>0.51249999999999996</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outlineLevel="1">
      <c r="A530" s="29" t="str">
        <f t="shared" si="344"/>
        <v>modesg_out_emss_vclsckctabem</v>
      </c>
      <c r="B530" s="67" t="s">
        <v>26</v>
      </c>
      <c r="C530" s="68" t="s">
        <v>310</v>
      </c>
      <c r="D530" s="64" t="s">
        <v>40</v>
      </c>
      <c r="E530" s="66" t="s">
        <v>331</v>
      </c>
      <c r="F530" s="64" t="s">
        <v>315</v>
      </c>
      <c r="G530" s="64" t="str">
        <f>INDEX(Auxiliar!$B$16:$B$24,MATCH(Plano_V3!H530,Auxiliar!$C$16:$C$24,0),1)</f>
        <v>1. Concluído</v>
      </c>
      <c r="H530" s="64">
        <f>VLOOKUP(A530,'Aux - pivots1'!$A:$B,2,0)</f>
        <v>1</v>
      </c>
      <c r="I530" s="183">
        <f>SUMIFS(Table1[Estimação (horas)],Table1[Tabela],Plano_V3!E530,Table1[Campo],Plano_V3!F530)</f>
        <v>4.0999999999999996</v>
      </c>
      <c r="J530" s="183">
        <f t="shared" si="332"/>
        <v>0.51249999999999996</v>
      </c>
      <c r="K530" s="183">
        <f>SUMIFS(Table1[Horas efetivas],Table1[Tabela],Plano_V3!E530,Table1[Campo],Plano_V3!F530)</f>
        <v>4.0999999999999996</v>
      </c>
      <c r="L530" s="183">
        <f t="shared" si="333"/>
        <v>0.51249999999999996</v>
      </c>
      <c r="M530" s="177"/>
      <c r="N530" s="177">
        <f t="shared" si="334"/>
        <v>1</v>
      </c>
      <c r="O530" s="177">
        <f t="shared" si="340"/>
        <v>1</v>
      </c>
      <c r="P530" s="87" t="s">
        <v>332</v>
      </c>
      <c r="Q530" s="90">
        <f t="shared" si="341"/>
        <v>0.51249999999999996</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outlineLevel="1">
      <c r="A531" s="29" t="str">
        <f t="shared" si="344"/>
        <v>modesg_out_emss_vclsckrefbem</v>
      </c>
      <c r="B531" s="67" t="s">
        <v>26</v>
      </c>
      <c r="C531" s="68" t="s">
        <v>310</v>
      </c>
      <c r="D531" s="64" t="s">
        <v>40</v>
      </c>
      <c r="E531" s="66" t="s">
        <v>331</v>
      </c>
      <c r="F531" s="64" t="s">
        <v>316</v>
      </c>
      <c r="G531" s="64" t="str">
        <f>INDEX(Auxiliar!$B$16:$B$24,MATCH(Plano_V3!H531,Auxiliar!$C$16:$C$24,0),1)</f>
        <v>1. Concluído</v>
      </c>
      <c r="H531" s="64">
        <f>VLOOKUP(A531,'Aux - pivots1'!$A:$B,2,0)</f>
        <v>1</v>
      </c>
      <c r="I531" s="183">
        <f>SUMIFS(Table1[Estimação (horas)],Table1[Tabela],Plano_V3!E531,Table1[Campo],Plano_V3!F531)</f>
        <v>4.0999999999999996</v>
      </c>
      <c r="J531" s="183">
        <f t="shared" si="332"/>
        <v>0.51249999999999996</v>
      </c>
      <c r="K531" s="183">
        <f>SUMIFS(Table1[Horas efetivas],Table1[Tabela],Plano_V3!E531,Table1[Campo],Plano_V3!F531)</f>
        <v>4.0999999999999996</v>
      </c>
      <c r="L531" s="183">
        <f t="shared" si="333"/>
        <v>0.51249999999999996</v>
      </c>
      <c r="M531" s="177"/>
      <c r="N531" s="177">
        <f t="shared" si="334"/>
        <v>1</v>
      </c>
      <c r="O531" s="177">
        <f t="shared" si="340"/>
        <v>1</v>
      </c>
      <c r="P531" s="87" t="s">
        <v>332</v>
      </c>
      <c r="Q531" s="90">
        <f t="shared" si="341"/>
        <v>0.51249999999999996</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outlineLevel="1">
      <c r="A532" s="29" t="str">
        <f t="shared" si="344"/>
        <v>modesg_out_emss_vclscnsm_co2</v>
      </c>
      <c r="B532" s="67" t="s">
        <v>26</v>
      </c>
      <c r="C532" s="68" t="s">
        <v>310</v>
      </c>
      <c r="D532" s="64" t="s">
        <v>40</v>
      </c>
      <c r="E532" s="66" t="s">
        <v>331</v>
      </c>
      <c r="F532" s="64" t="s">
        <v>188</v>
      </c>
      <c r="G532" s="64" t="str">
        <f>INDEX(Auxiliar!$B$16:$B$24,MATCH(Plano_V3!H532,Auxiliar!$C$16:$C$24,0),1)</f>
        <v>1. Concluído</v>
      </c>
      <c r="H532" s="64">
        <f>VLOOKUP(A532,'Aux - pivots1'!$A:$B,2,0)</f>
        <v>1</v>
      </c>
      <c r="I532" s="183">
        <f>SUMIFS(Table1[Estimação (horas)],Table1[Tabela],Plano_V3!E532,Table1[Campo],Plano_V3!F532)</f>
        <v>8.1</v>
      </c>
      <c r="J532" s="183">
        <f t="shared" si="332"/>
        <v>1.0125</v>
      </c>
      <c r="K532" s="183">
        <f>SUMIFS(Table1[Horas efetivas],Table1[Tabela],Plano_V3!E532,Table1[Campo],Plano_V3!F532)</f>
        <v>8.1</v>
      </c>
      <c r="L532" s="183">
        <f t="shared" si="333"/>
        <v>1.0125</v>
      </c>
      <c r="M532" s="177"/>
      <c r="N532" s="177">
        <f t="shared" si="334"/>
        <v>1</v>
      </c>
      <c r="O532" s="177">
        <f t="shared" si="340"/>
        <v>1</v>
      </c>
      <c r="P532" s="87" t="s">
        <v>332</v>
      </c>
      <c r="Q532" s="90">
        <f t="shared" si="341"/>
        <v>1.0125</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outlineLevel="1">
      <c r="A533" s="29" t="str">
        <f t="shared" si="344"/>
        <v>modesg_out_emss_vclsorigem_scp1_emss</v>
      </c>
      <c r="B533" s="67" t="s">
        <v>26</v>
      </c>
      <c r="C533" s="68" t="s">
        <v>310</v>
      </c>
      <c r="D533" s="64" t="s">
        <v>40</v>
      </c>
      <c r="E533" s="66" t="s">
        <v>331</v>
      </c>
      <c r="F533" s="64" t="s">
        <v>319</v>
      </c>
      <c r="G533" s="64" t="str">
        <f>INDEX(Auxiliar!$B$16:$B$24,MATCH(Plano_V3!H533,Auxiliar!$C$16:$C$24,0),1)</f>
        <v>1. Concluído</v>
      </c>
      <c r="H533" s="64">
        <f>VLOOKUP(A533,'Aux - pivots1'!$A:$B,2,0)</f>
        <v>1</v>
      </c>
      <c r="I533" s="183">
        <f>SUMIFS(Table1[Estimação (horas)],Table1[Tabela],Plano_V3!E533,Table1[Campo],Plano_V3!F533)</f>
        <v>8.1</v>
      </c>
      <c r="J533" s="183">
        <f t="shared" si="332"/>
        <v>1.0125</v>
      </c>
      <c r="K533" s="183">
        <f>SUMIFS(Table1[Horas efetivas],Table1[Tabela],Plano_V3!E533,Table1[Campo],Plano_V3!F533)</f>
        <v>8.1</v>
      </c>
      <c r="L533" s="183">
        <f t="shared" si="333"/>
        <v>1.0125</v>
      </c>
      <c r="M533" s="177"/>
      <c r="N533" s="177">
        <f t="shared" si="334"/>
        <v>1</v>
      </c>
      <c r="O533" s="177">
        <f t="shared" si="340"/>
        <v>1</v>
      </c>
      <c r="P533" s="87" t="s">
        <v>332</v>
      </c>
      <c r="Q533" s="90">
        <f t="shared" si="341"/>
        <v>1.0125</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outlineLevel="1">
      <c r="A534" s="29" t="str">
        <f t="shared" si="344"/>
        <v>modesg_out_emss_vclsorigem_scp2_emss</v>
      </c>
      <c r="B534" s="67" t="s">
        <v>26</v>
      </c>
      <c r="C534" s="68" t="s">
        <v>310</v>
      </c>
      <c r="D534" s="64" t="s">
        <v>40</v>
      </c>
      <c r="E534" s="66" t="s">
        <v>331</v>
      </c>
      <c r="F534" s="64" t="s">
        <v>320</v>
      </c>
      <c r="G534" s="64" t="str">
        <f>INDEX(Auxiliar!$B$16:$B$24,MATCH(Plano_V3!H534,Auxiliar!$C$16:$C$24,0),1)</f>
        <v>1. Concluído</v>
      </c>
      <c r="H534" s="64">
        <f>VLOOKUP(A534,'Aux - pivots1'!$A:$B,2,0)</f>
        <v>1</v>
      </c>
      <c r="I534" s="183">
        <f>SUMIFS(Table1[Estimação (horas)],Table1[Tabela],Plano_V3!E534,Table1[Campo],Plano_V3!F534)</f>
        <v>8.1</v>
      </c>
      <c r="J534" s="183">
        <f t="shared" si="332"/>
        <v>1.0125</v>
      </c>
      <c r="K534" s="183">
        <f>SUMIFS(Table1[Horas efetivas],Table1[Tabela],Plano_V3!E534,Table1[Campo],Plano_V3!F534)</f>
        <v>8.1</v>
      </c>
      <c r="L534" s="183">
        <f t="shared" si="333"/>
        <v>1.0125</v>
      </c>
      <c r="M534" s="177"/>
      <c r="N534" s="177">
        <f t="shared" si="334"/>
        <v>1</v>
      </c>
      <c r="O534" s="177">
        <f t="shared" si="340"/>
        <v>1</v>
      </c>
      <c r="P534" s="87" t="s">
        <v>332</v>
      </c>
      <c r="Q534" s="90">
        <f t="shared" si="341"/>
        <v>1.0125</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outlineLevel="1">
      <c r="A535" s="29" t="str">
        <f t="shared" si="344"/>
        <v>modesg_out_emss_vclsorigem_scp3_emss</v>
      </c>
      <c r="B535" s="67" t="s">
        <v>26</v>
      </c>
      <c r="C535" s="68" t="s">
        <v>310</v>
      </c>
      <c r="D535" s="64" t="s">
        <v>40</v>
      </c>
      <c r="E535" s="66" t="s">
        <v>331</v>
      </c>
      <c r="F535" s="64" t="s">
        <v>321</v>
      </c>
      <c r="G535" s="64" t="str">
        <f>INDEX(Auxiliar!$B$16:$B$24,MATCH(Plano_V3!H535,Auxiliar!$C$16:$C$24,0),1)</f>
        <v>1. Concluído</v>
      </c>
      <c r="H535" s="64">
        <f>VLOOKUP(A535,'Aux - pivots1'!$A:$B,2,0)</f>
        <v>1</v>
      </c>
      <c r="I535" s="183">
        <f>SUMIFS(Table1[Estimação (horas)],Table1[Tabela],Plano_V3!E535,Table1[Campo],Plano_V3!F535)</f>
        <v>8.1</v>
      </c>
      <c r="J535" s="183">
        <f t="shared" si="332"/>
        <v>1.0125</v>
      </c>
      <c r="K535" s="183">
        <f>SUMIFS(Table1[Horas efetivas],Table1[Tabela],Plano_V3!E535,Table1[Campo],Plano_V3!F535)</f>
        <v>8.1</v>
      </c>
      <c r="L535" s="183">
        <f t="shared" si="333"/>
        <v>1.0125</v>
      </c>
      <c r="M535" s="177"/>
      <c r="N535" s="177">
        <f t="shared" si="334"/>
        <v>1</v>
      </c>
      <c r="O535" s="177">
        <f t="shared" si="340"/>
        <v>1</v>
      </c>
      <c r="P535" s="87" t="s">
        <v>332</v>
      </c>
      <c r="Q535" s="90">
        <f t="shared" si="341"/>
        <v>1.0125</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outlineLevel="1">
      <c r="A536" s="29" t="str">
        <f t="shared" si="344"/>
        <v>modesg_out_emss_vclsref_date</v>
      </c>
      <c r="B536" s="67" t="s">
        <v>26</v>
      </c>
      <c r="C536" s="68" t="s">
        <v>310</v>
      </c>
      <c r="D536" s="64" t="s">
        <v>40</v>
      </c>
      <c r="E536" s="66" t="s">
        <v>331</v>
      </c>
      <c r="F536" s="64" t="s">
        <v>208</v>
      </c>
      <c r="G536" s="64" t="str">
        <f>INDEX(Auxiliar!$B$16:$B$24,MATCH(Plano_V3!H536,Auxiliar!$C$16:$C$24,0),1)</f>
        <v>1. Concluído</v>
      </c>
      <c r="H536" s="64">
        <f>VLOOKUP(A536,'Aux - pivots1'!$A:$B,2,0)</f>
        <v>1</v>
      </c>
      <c r="I536" s="183">
        <f>SUMIFS(Table1[Estimação (horas)],Table1[Tabela],Plano_V3!E536,Table1[Campo],Plano_V3!F536)</f>
        <v>4.0999999999999996</v>
      </c>
      <c r="J536" s="183">
        <f t="shared" si="332"/>
        <v>0.51249999999999996</v>
      </c>
      <c r="K536" s="183">
        <f>SUMIFS(Table1[Horas efetivas],Table1[Tabela],Plano_V3!E536,Table1[Campo],Plano_V3!F536)</f>
        <v>4.0999999999999996</v>
      </c>
      <c r="L536" s="183">
        <f t="shared" si="333"/>
        <v>0.51249999999999996</v>
      </c>
      <c r="M536" s="177"/>
      <c r="N536" s="177">
        <f t="shared" si="334"/>
        <v>1</v>
      </c>
      <c r="O536" s="177">
        <f t="shared" si="340"/>
        <v>1</v>
      </c>
      <c r="P536" s="87" t="s">
        <v>332</v>
      </c>
      <c r="Q536" s="90">
        <f t="shared" si="341"/>
        <v>0.51249999999999996</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outlineLevel="1">
      <c r="A537" s="29" t="str">
        <f t="shared" si="344"/>
        <v>modesg_out_emss_vclsscp1_emss</v>
      </c>
      <c r="B537" s="67" t="s">
        <v>26</v>
      </c>
      <c r="C537" s="68" t="s">
        <v>310</v>
      </c>
      <c r="D537" s="64" t="s">
        <v>40</v>
      </c>
      <c r="E537" s="66" t="s">
        <v>331</v>
      </c>
      <c r="F537" s="64" t="s">
        <v>285</v>
      </c>
      <c r="G537" s="64" t="str">
        <f>INDEX(Auxiliar!$B$16:$B$24,MATCH(Plano_V3!H537,Auxiliar!$C$16:$C$24,0),1)</f>
        <v>1. Concluído</v>
      </c>
      <c r="H537" s="64">
        <f>VLOOKUP(A537,'Aux - pivots1'!$A:$B,2,0)</f>
        <v>1</v>
      </c>
      <c r="I537" s="183">
        <f>SUMIFS(Table1[Estimação (horas)],Table1[Tabela],Plano_V3!E537,Table1[Campo],Plano_V3!F537)</f>
        <v>16.100000000000001</v>
      </c>
      <c r="J537" s="183">
        <f t="shared" si="332"/>
        <v>2.0125000000000002</v>
      </c>
      <c r="K537" s="183">
        <f>SUMIFS(Table1[Horas efetivas],Table1[Tabela],Plano_V3!E537,Table1[Campo],Plano_V3!F537)</f>
        <v>16.100000000000001</v>
      </c>
      <c r="L537" s="183">
        <f t="shared" si="333"/>
        <v>2.0125000000000002</v>
      </c>
      <c r="M537" s="177"/>
      <c r="N537" s="177">
        <f t="shared" si="334"/>
        <v>1</v>
      </c>
      <c r="O537" s="177">
        <f t="shared" si="340"/>
        <v>1</v>
      </c>
      <c r="P537" s="87" t="s">
        <v>332</v>
      </c>
      <c r="Q537" s="90">
        <f t="shared" si="341"/>
        <v>2.0125000000000002</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outlineLevel="1">
      <c r="A538" s="29" t="str">
        <f t="shared" si="344"/>
        <v>modesg_out_emss_vclsscp2_emss</v>
      </c>
      <c r="B538" s="67" t="s">
        <v>26</v>
      </c>
      <c r="C538" s="68" t="s">
        <v>310</v>
      </c>
      <c r="D538" s="64" t="s">
        <v>40</v>
      </c>
      <c r="E538" s="66" t="s">
        <v>331</v>
      </c>
      <c r="F538" s="64" t="s">
        <v>286</v>
      </c>
      <c r="G538" s="64" t="str">
        <f>INDEX(Auxiliar!$B$16:$B$24,MATCH(Plano_V3!H538,Auxiliar!$C$16:$C$24,0),1)</f>
        <v>1. Concluído</v>
      </c>
      <c r="H538" s="64">
        <f>VLOOKUP(A538,'Aux - pivots1'!$A:$B,2,0)</f>
        <v>1</v>
      </c>
      <c r="I538" s="183">
        <f>SUMIFS(Table1[Estimação (horas)],Table1[Tabela],Plano_V3!E538,Table1[Campo],Plano_V3!F538)</f>
        <v>16.100000000000001</v>
      </c>
      <c r="J538" s="183">
        <f t="shared" si="332"/>
        <v>2.0125000000000002</v>
      </c>
      <c r="K538" s="183">
        <f>SUMIFS(Table1[Horas efetivas],Table1[Tabela],Plano_V3!E538,Table1[Campo],Plano_V3!F538)</f>
        <v>16.100000000000001</v>
      </c>
      <c r="L538" s="183">
        <f t="shared" si="333"/>
        <v>2.0125000000000002</v>
      </c>
      <c r="M538" s="177"/>
      <c r="N538" s="177">
        <f t="shared" si="334"/>
        <v>1</v>
      </c>
      <c r="O538" s="177">
        <f t="shared" si="340"/>
        <v>1</v>
      </c>
      <c r="P538" s="87" t="s">
        <v>332</v>
      </c>
      <c r="Q538" s="90">
        <f t="shared" si="341"/>
        <v>2.0125000000000002</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outlineLevel="1">
      <c r="A539" s="29" t="str">
        <f t="shared" si="344"/>
        <v>modesg_out_emss_vclsscp3_emss</v>
      </c>
      <c r="B539" s="67" t="s">
        <v>26</v>
      </c>
      <c r="C539" s="68" t="s">
        <v>310</v>
      </c>
      <c r="D539" s="64" t="s">
        <v>40</v>
      </c>
      <c r="E539" s="66" t="s">
        <v>331</v>
      </c>
      <c r="F539" s="64" t="s">
        <v>287</v>
      </c>
      <c r="G539" s="64" t="str">
        <f>INDEX(Auxiliar!$B$16:$B$24,MATCH(Plano_V3!H539,Auxiliar!$C$16:$C$24,0),1)</f>
        <v>1. Concluído</v>
      </c>
      <c r="H539" s="64">
        <f>VLOOKUP(A539,'Aux - pivots1'!$A:$B,2,0)</f>
        <v>1</v>
      </c>
      <c r="I539" s="183">
        <f>SUMIFS(Table1[Estimação (horas)],Table1[Tabela],Plano_V3!E539,Table1[Campo],Plano_V3!F539)</f>
        <v>16.100000000000001</v>
      </c>
      <c r="J539" s="183">
        <f t="shared" ref="J539:J560" si="345">I539/8</f>
        <v>2.0125000000000002</v>
      </c>
      <c r="K539" s="183">
        <f>SUMIFS(Table1[Horas efetivas],Table1[Tabela],Plano_V3!E539,Table1[Campo],Plano_V3!F539)</f>
        <v>16.100000000000001</v>
      </c>
      <c r="L539" s="183">
        <f t="shared" ref="L539:L560" si="346">K539/8</f>
        <v>2.0125000000000002</v>
      </c>
      <c r="M539" s="177"/>
      <c r="N539" s="177">
        <f t="shared" ref="N539:N561" si="347">L539/J539</f>
        <v>1</v>
      </c>
      <c r="O539" s="177">
        <f t="shared" si="340"/>
        <v>1</v>
      </c>
      <c r="P539" s="87" t="s">
        <v>332</v>
      </c>
      <c r="Q539" s="90">
        <f t="shared" si="341"/>
        <v>2.0125000000000002</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outlineLevel="1">
      <c r="A540" s="29" t="str">
        <f t="shared" si="344"/>
        <v>modesg_out_emss_vclsunidade_funcional_scp1_emss</v>
      </c>
      <c r="B540" s="67" t="s">
        <v>26</v>
      </c>
      <c r="C540" s="68" t="s">
        <v>310</v>
      </c>
      <c r="D540" s="64" t="s">
        <v>40</v>
      </c>
      <c r="E540" s="66" t="s">
        <v>331</v>
      </c>
      <c r="F540" s="64" t="s">
        <v>322</v>
      </c>
      <c r="G540" s="64" t="str">
        <f>INDEX(Auxiliar!$B$16:$B$24,MATCH(Plano_V3!H540,Auxiliar!$C$16:$C$24,0),1)</f>
        <v>1. Concluído</v>
      </c>
      <c r="H540" s="64">
        <f>VLOOKUP(A540,'Aux - pivots1'!$A:$B,2,0)</f>
        <v>1</v>
      </c>
      <c r="I540" s="183">
        <f>SUMIFS(Table1[Estimação (horas)],Table1[Tabela],Plano_V3!E540,Table1[Campo],Plano_V3!F540)</f>
        <v>4.0999999999999996</v>
      </c>
      <c r="J540" s="183">
        <f t="shared" si="345"/>
        <v>0.51249999999999996</v>
      </c>
      <c r="K540" s="183">
        <f>SUMIFS(Table1[Horas efetivas],Table1[Tabela],Plano_V3!E540,Table1[Campo],Plano_V3!F540)</f>
        <v>4.0999999999999996</v>
      </c>
      <c r="L540" s="183">
        <f t="shared" si="346"/>
        <v>0.51249999999999996</v>
      </c>
      <c r="M540" s="177"/>
      <c r="N540" s="177">
        <f t="shared" si="347"/>
        <v>1</v>
      </c>
      <c r="O540" s="177">
        <f t="shared" si="340"/>
        <v>1</v>
      </c>
      <c r="P540" s="87" t="s">
        <v>332</v>
      </c>
      <c r="Q540" s="90">
        <f t="shared" si="341"/>
        <v>0.51249999999999996</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outlineLevel="1">
      <c r="A541" s="29" t="str">
        <f t="shared" si="344"/>
        <v>modesg_out_emss_vclsunidade_funcional_scp2_emss</v>
      </c>
      <c r="B541" s="67" t="s">
        <v>26</v>
      </c>
      <c r="C541" s="68" t="s">
        <v>310</v>
      </c>
      <c r="D541" s="64" t="s">
        <v>40</v>
      </c>
      <c r="E541" s="66" t="s">
        <v>331</v>
      </c>
      <c r="F541" s="64" t="s">
        <v>323</v>
      </c>
      <c r="G541" s="64" t="str">
        <f>INDEX(Auxiliar!$B$16:$B$24,MATCH(Plano_V3!H541,Auxiliar!$C$16:$C$24,0),1)</f>
        <v>1. Concluído</v>
      </c>
      <c r="H541" s="64">
        <f>VLOOKUP(A541,'Aux - pivots1'!$A:$B,2,0)</f>
        <v>1</v>
      </c>
      <c r="I541" s="183">
        <f>SUMIFS(Table1[Estimação (horas)],Table1[Tabela],Plano_V3!E541,Table1[Campo],Plano_V3!F541)</f>
        <v>4.0999999999999996</v>
      </c>
      <c r="J541" s="183">
        <f t="shared" si="345"/>
        <v>0.51249999999999996</v>
      </c>
      <c r="K541" s="183">
        <f>SUMIFS(Table1[Horas efetivas],Table1[Tabela],Plano_V3!E541,Table1[Campo],Plano_V3!F541)</f>
        <v>4.0999999999999996</v>
      </c>
      <c r="L541" s="183">
        <f t="shared" si="346"/>
        <v>0.51249999999999996</v>
      </c>
      <c r="M541" s="177"/>
      <c r="N541" s="177">
        <f t="shared" si="347"/>
        <v>1</v>
      </c>
      <c r="O541" s="177">
        <f t="shared" si="340"/>
        <v>1</v>
      </c>
      <c r="P541" s="87" t="s">
        <v>332</v>
      </c>
      <c r="Q541" s="90">
        <f t="shared" si="341"/>
        <v>0.51249999999999996</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outlineLevel="1">
      <c r="A542" s="29" t="str">
        <f t="shared" si="344"/>
        <v>modesg_out_emss_vclsunidade_funcional_scp3_emss</v>
      </c>
      <c r="B542" s="67" t="s">
        <v>26</v>
      </c>
      <c r="C542" s="68" t="s">
        <v>310</v>
      </c>
      <c r="D542" s="64" t="s">
        <v>40</v>
      </c>
      <c r="E542" s="66" t="s">
        <v>331</v>
      </c>
      <c r="F542" s="64" t="s">
        <v>324</v>
      </c>
      <c r="G542" s="64" t="str">
        <f>INDEX(Auxiliar!$B$16:$B$24,MATCH(Plano_V3!H542,Auxiliar!$C$16:$C$24,0),1)</f>
        <v>1. Concluído</v>
      </c>
      <c r="H542" s="64">
        <f>VLOOKUP(A542,'Aux - pivots1'!$A:$B,2,0)</f>
        <v>1</v>
      </c>
      <c r="I542" s="183">
        <f>SUMIFS(Table1[Estimação (horas)],Table1[Tabela],Plano_V3!E542,Table1[Campo],Plano_V3!F542)</f>
        <v>4.0999999999999996</v>
      </c>
      <c r="J542" s="183">
        <f t="shared" si="345"/>
        <v>0.51249999999999996</v>
      </c>
      <c r="K542" s="183">
        <f>SUMIFS(Table1[Horas efetivas],Table1[Tabela],Plano_V3!E542,Table1[Campo],Plano_V3!F542)</f>
        <v>4.0999999999999996</v>
      </c>
      <c r="L542" s="183">
        <f t="shared" si="346"/>
        <v>0.51249999999999996</v>
      </c>
      <c r="M542" s="177"/>
      <c r="N542" s="177">
        <f t="shared" si="347"/>
        <v>1</v>
      </c>
      <c r="O542" s="177">
        <f t="shared" si="340"/>
        <v>1</v>
      </c>
      <c r="P542" s="87" t="s">
        <v>332</v>
      </c>
      <c r="Q542" s="90">
        <f t="shared" si="341"/>
        <v>0.51249999999999996</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outlineLevel="1">
      <c r="A543" s="29" t="str">
        <f t="shared" si="344"/>
        <v>modesg_out_sfics_taxon_europeian.a.</v>
      </c>
      <c r="B543" s="67" t="s">
        <v>26</v>
      </c>
      <c r="C543" s="68" t="s">
        <v>310</v>
      </c>
      <c r="D543" s="64" t="s">
        <v>36</v>
      </c>
      <c r="E543" s="66" t="s">
        <v>2085</v>
      </c>
      <c r="F543" s="64" t="s">
        <v>38</v>
      </c>
      <c r="G543" s="64" t="str">
        <f>INDEX(Auxiliar!$B$16:$B$24,MATCH(Plano_V3!H543,Auxiliar!$C$16:$C$24,0),1)</f>
        <v xml:space="preserve">6. Em implementação </v>
      </c>
      <c r="H543" s="64">
        <f>VLOOKUP(A543,'Aux - pivots1'!$A:$B,2,0)</f>
        <v>7</v>
      </c>
      <c r="I543" s="183">
        <f>SUMIFS(Table1[Estimação (horas)],Table1[Tabela],Plano_V3!E543,Table1[Campo],Plano_V3!F543)</f>
        <v>8</v>
      </c>
      <c r="J543" s="183">
        <f t="shared" si="345"/>
        <v>1</v>
      </c>
      <c r="K543" s="183">
        <f>SUMIFS(Table1[Horas efetivas],Table1[Tabela],Plano_V3!E543,Table1[Campo],Plano_V3!F543)</f>
        <v>2</v>
      </c>
      <c r="L543" s="183">
        <f t="shared" si="346"/>
        <v>0.25</v>
      </c>
      <c r="M543" s="177"/>
      <c r="N543" s="177">
        <f t="shared" si="347"/>
        <v>0.25</v>
      </c>
      <c r="O543" s="177">
        <f t="shared" si="340"/>
        <v>0.25</v>
      </c>
      <c r="P543" s="87" t="s">
        <v>334</v>
      </c>
      <c r="Q543" s="90">
        <f t="shared" si="341"/>
        <v>1</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outlineLevel="1">
      <c r="A544" s="29" t="str">
        <f t="shared" si="344"/>
        <v>modesg_out_sfics_taxon_europeiacbalcao</v>
      </c>
      <c r="B544" s="67" t="s">
        <v>26</v>
      </c>
      <c r="C544" s="68" t="s">
        <v>310</v>
      </c>
      <c r="D544" s="64" t="s">
        <v>40</v>
      </c>
      <c r="E544" s="66" t="s">
        <v>2085</v>
      </c>
      <c r="F544" s="64" t="s">
        <v>183</v>
      </c>
      <c r="G544" s="64" t="str">
        <f>INDEX(Auxiliar!$B$16:$B$24,MATCH(Plano_V3!H544,Auxiliar!$C$16:$C$24,0),1)</f>
        <v xml:space="preserve">6. Em implementação </v>
      </c>
      <c r="H544" s="64">
        <f>VLOOKUP(A544,'Aux - pivots1'!$A:$B,2,0)</f>
        <v>7</v>
      </c>
      <c r="I544" s="183">
        <f>SUMIFS(Table1[Estimação (horas)],Table1[Tabela],Plano_V3!E544,Table1[Campo],Plano_V3!F544)</f>
        <v>4.0999999999999996</v>
      </c>
      <c r="J544" s="183">
        <f t="shared" si="345"/>
        <v>0.51249999999999996</v>
      </c>
      <c r="K544" s="183">
        <f>SUMIFS(Table1[Horas efetivas],Table1[Tabela],Plano_V3!E544,Table1[Campo],Plano_V3!F544)</f>
        <v>1.0249999999999999</v>
      </c>
      <c r="L544" s="183">
        <f t="shared" si="346"/>
        <v>0.12812499999999999</v>
      </c>
      <c r="M544" s="177"/>
      <c r="N544" s="177">
        <f t="shared" si="347"/>
        <v>0.25</v>
      </c>
      <c r="O544" s="177">
        <f t="shared" si="340"/>
        <v>0.25</v>
      </c>
      <c r="P544" s="87" t="s">
        <v>334</v>
      </c>
      <c r="Q544" s="90">
        <f t="shared" si="341"/>
        <v>0.51249999999999996</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outlineLevel="1">
      <c r="A545" s="29" t="str">
        <f t="shared" si="344"/>
        <v>modesg_out_sfics_taxon_europeiacempresa</v>
      </c>
      <c r="B545" s="67" t="s">
        <v>26</v>
      </c>
      <c r="C545" s="68" t="s">
        <v>310</v>
      </c>
      <c r="D545" s="64" t="s">
        <v>40</v>
      </c>
      <c r="E545" s="66" t="s">
        <v>2085</v>
      </c>
      <c r="F545" s="64" t="s">
        <v>184</v>
      </c>
      <c r="G545" s="64" t="str">
        <f>INDEX(Auxiliar!$B$16:$B$24,MATCH(Plano_V3!H545,Auxiliar!$C$16:$C$24,0),1)</f>
        <v xml:space="preserve">6. Em implementação </v>
      </c>
      <c r="H545" s="64">
        <f>VLOOKUP(A545,'Aux - pivots1'!$A:$B,2,0)</f>
        <v>7</v>
      </c>
      <c r="I545" s="183">
        <f>SUMIFS(Table1[Estimação (horas)],Table1[Tabela],Plano_V3!E545,Table1[Campo],Plano_V3!F545)</f>
        <v>4.0999999999999996</v>
      </c>
      <c r="J545" s="183">
        <f t="shared" si="345"/>
        <v>0.51249999999999996</v>
      </c>
      <c r="K545" s="183">
        <f>SUMIFS(Table1[Horas efetivas],Table1[Tabela],Plano_V3!E545,Table1[Campo],Plano_V3!F545)</f>
        <v>1.0249999999999999</v>
      </c>
      <c r="L545" s="183">
        <f t="shared" si="346"/>
        <v>0.12812499999999999</v>
      </c>
      <c r="M545" s="177"/>
      <c r="N545" s="177">
        <f t="shared" si="347"/>
        <v>0.25</v>
      </c>
      <c r="O545" s="177">
        <f t="shared" si="340"/>
        <v>0.25</v>
      </c>
      <c r="P545" s="87" t="s">
        <v>334</v>
      </c>
      <c r="Q545" s="90">
        <f t="shared" si="341"/>
        <v>0.51249999999999996</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outlineLevel="1">
      <c r="A546" s="29" t="str">
        <f t="shared" si="344"/>
        <v>modesg_out_sfics_taxon_europeiacnumecta</v>
      </c>
      <c r="B546" s="67" t="s">
        <v>26</v>
      </c>
      <c r="C546" s="68" t="s">
        <v>310</v>
      </c>
      <c r="D546" s="64" t="s">
        <v>40</v>
      </c>
      <c r="E546" s="66" t="s">
        <v>2085</v>
      </c>
      <c r="F546" s="64" t="s">
        <v>189</v>
      </c>
      <c r="G546" s="64" t="str">
        <f>INDEX(Auxiliar!$B$16:$B$24,MATCH(Plano_V3!H546,Auxiliar!$C$16:$C$24,0),1)</f>
        <v xml:space="preserve">6. Em implementação </v>
      </c>
      <c r="H546" s="64">
        <f>VLOOKUP(A546,'Aux - pivots1'!$A:$B,2,0)</f>
        <v>7</v>
      </c>
      <c r="I546" s="183">
        <f>SUMIFS(Table1[Estimação (horas)],Table1[Tabela],Plano_V3!E546,Table1[Campo],Plano_V3!F546)</f>
        <v>4.0999999999999996</v>
      </c>
      <c r="J546" s="183">
        <f t="shared" si="345"/>
        <v>0.51249999999999996</v>
      </c>
      <c r="K546" s="183">
        <f>SUMIFS(Table1[Horas efetivas],Table1[Tabela],Plano_V3!E546,Table1[Campo],Plano_V3!F546)</f>
        <v>1.0249999999999999</v>
      </c>
      <c r="L546" s="183">
        <f t="shared" si="346"/>
        <v>0.12812499999999999</v>
      </c>
      <c r="M546" s="177"/>
      <c r="N546" s="177">
        <f t="shared" si="347"/>
        <v>0.25</v>
      </c>
      <c r="O546" s="177">
        <f t="shared" si="340"/>
        <v>0.25</v>
      </c>
      <c r="P546" s="87" t="s">
        <v>334</v>
      </c>
      <c r="Q546" s="90">
        <f t="shared" si="341"/>
        <v>0.51249999999999996</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78"/>
      <c r="EJ546" s="78"/>
      <c r="EK546" s="78"/>
      <c r="EL546" s="78"/>
      <c r="EM546" s="78"/>
      <c r="EN546" s="91"/>
      <c r="EO546" s="91"/>
      <c r="EP546" s="91"/>
      <c r="EQ546" s="91"/>
      <c r="ER546" s="91"/>
      <c r="ES546" s="91"/>
    </row>
    <row r="547" spans="1:149" outlineLevel="1">
      <c r="A547" s="29" t="str">
        <f t="shared" si="344"/>
        <v>modesg_out_sfics_taxon_europeiacod_regra</v>
      </c>
      <c r="B547" s="67" t="s">
        <v>26</v>
      </c>
      <c r="C547" s="68" t="s">
        <v>310</v>
      </c>
      <c r="D547" s="64" t="s">
        <v>40</v>
      </c>
      <c r="E547" s="66" t="s">
        <v>2085</v>
      </c>
      <c r="F547" s="64" t="s">
        <v>191</v>
      </c>
      <c r="G547" s="64" t="str">
        <f>INDEX(Auxiliar!$B$16:$B$24,MATCH(Plano_V3!H547,Auxiliar!$C$16:$C$24,0),1)</f>
        <v xml:space="preserve">6. Em implementação </v>
      </c>
      <c r="H547" s="64">
        <f>VLOOKUP(A547,'Aux - pivots1'!$A:$B,2,0)</f>
        <v>7</v>
      </c>
      <c r="I547" s="183">
        <f>SUMIFS(Table1[Estimação (horas)],Table1[Tabela],Plano_V3!E547,Table1[Campo],Plano_V3!F547)</f>
        <v>4.0999999999999996</v>
      </c>
      <c r="J547" s="183">
        <f t="shared" si="345"/>
        <v>0.51249999999999996</v>
      </c>
      <c r="K547" s="183">
        <f>SUMIFS(Table1[Horas efetivas],Table1[Tabela],Plano_V3!E547,Table1[Campo],Plano_V3!F547)</f>
        <v>1.0249999999999999</v>
      </c>
      <c r="L547" s="183">
        <f t="shared" si="346"/>
        <v>0.12812499999999999</v>
      </c>
      <c r="M547" s="177"/>
      <c r="N547" s="177">
        <f t="shared" si="347"/>
        <v>0.25</v>
      </c>
      <c r="O547" s="177">
        <f t="shared" si="340"/>
        <v>0.25</v>
      </c>
      <c r="P547" s="87" t="s">
        <v>334</v>
      </c>
      <c r="Q547" s="90">
        <f t="shared" si="341"/>
        <v>0.51249999999999996</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outlineLevel="1">
      <c r="A548" s="29" t="str">
        <f t="shared" si="344"/>
        <v>modesg_out_sfics_taxon_europeiaordem</v>
      </c>
      <c r="B548" s="67" t="s">
        <v>26</v>
      </c>
      <c r="C548" s="68" t="s">
        <v>310</v>
      </c>
      <c r="D548" s="64" t="s">
        <v>40</v>
      </c>
      <c r="E548" s="66" t="s">
        <v>2085</v>
      </c>
      <c r="F548" s="64" t="s">
        <v>211</v>
      </c>
      <c r="G548" s="64" t="str">
        <f>INDEX(Auxiliar!$B$16:$B$24,MATCH(Plano_V3!H548,Auxiliar!$C$16:$C$24,0),1)</f>
        <v>0. Cancelado</v>
      </c>
      <c r="H548" s="64">
        <f>VLOOKUP(A548,'Aux - pivots1'!$A:$B,2,0)</f>
        <v>0</v>
      </c>
      <c r="I548" s="183">
        <f>SUMIFS(Table1[Estimação (horas)],Table1[Tabela],Plano_V3!E548,Table1[Campo],Plano_V3!F548)</f>
        <v>4.0999999999999996</v>
      </c>
      <c r="J548" s="183">
        <f t="shared" si="345"/>
        <v>0.51249999999999996</v>
      </c>
      <c r="K548" s="183">
        <f>SUMIFS(Table1[Horas efetivas],Table1[Tabela],Plano_V3!E548,Table1[Campo],Plano_V3!F548)</f>
        <v>0</v>
      </c>
      <c r="L548" s="183">
        <f t="shared" si="346"/>
        <v>0</v>
      </c>
      <c r="M548" s="177"/>
      <c r="N548" s="177">
        <f t="shared" si="347"/>
        <v>0</v>
      </c>
      <c r="O548" s="177">
        <f t="shared" si="340"/>
        <v>0</v>
      </c>
      <c r="P548" s="87" t="s">
        <v>334</v>
      </c>
      <c r="Q548" s="90">
        <f t="shared" si="341"/>
        <v>0.51249999999999996</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outlineLevel="1">
      <c r="A549" s="29" t="str">
        <f>E549&amp;F549</f>
        <v>modesg_out_sfics_taxon_europeianivel</v>
      </c>
      <c r="B549" s="67" t="s">
        <v>26</v>
      </c>
      <c r="C549" s="68" t="s">
        <v>310</v>
      </c>
      <c r="D549" s="64" t="s">
        <v>40</v>
      </c>
      <c r="E549" s="66" t="s">
        <v>2085</v>
      </c>
      <c r="F549" s="64" t="s">
        <v>2414</v>
      </c>
      <c r="G549" s="64" t="str">
        <f>INDEX(Auxiliar!$B$16:$B$24,MATCH(Plano_V3!H549,Auxiliar!$C$16:$C$24,0),1)</f>
        <v xml:space="preserve">6. Em implementação </v>
      </c>
      <c r="H549" s="64">
        <f>VLOOKUP(A549,'Aux - pivots1'!$A:$B,2,0)</f>
        <v>7</v>
      </c>
      <c r="I549" s="183">
        <f>SUMIFS(Table1[Estimação (horas)],Table1[Tabela],Plano_V3!E549,Table1[Campo],Plano_V3!F549)</f>
        <v>0.1</v>
      </c>
      <c r="J549" s="183">
        <f>I549/8</f>
        <v>1.2500000000000001E-2</v>
      </c>
      <c r="K549" s="183">
        <f>SUMIFS(Table1[Horas efetivas],Table1[Tabela],Plano_V3!E549,Table1[Campo],Plano_V3!F549)</f>
        <v>2.5000000000000001E-2</v>
      </c>
      <c r="L549" s="183">
        <f>K549/8</f>
        <v>3.1250000000000002E-3</v>
      </c>
      <c r="M549" s="177"/>
      <c r="N549" s="177">
        <f>L549/J549</f>
        <v>0.25</v>
      </c>
      <c r="O549" s="177">
        <f>N549-M549</f>
        <v>0.25</v>
      </c>
      <c r="P549" s="87" t="s">
        <v>334</v>
      </c>
      <c r="Q549" s="90">
        <f>J549-SUM(R549:ES549)</f>
        <v>1.2500000000000001E-2</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outlineLevel="1">
      <c r="A550" s="29" t="str">
        <f t="shared" si="344"/>
        <v>modesg_out_sfics_taxon_europeiamontante_pndrc</v>
      </c>
      <c r="B550" s="67" t="s">
        <v>26</v>
      </c>
      <c r="C550" s="68" t="s">
        <v>310</v>
      </c>
      <c r="D550" s="64" t="s">
        <v>40</v>
      </c>
      <c r="E550" s="66" t="s">
        <v>2085</v>
      </c>
      <c r="F550" s="64" t="s">
        <v>202</v>
      </c>
      <c r="G550" s="64" t="str">
        <f>INDEX(Auxiliar!$B$16:$B$24,MATCH(Plano_V3!H550,Auxiliar!$C$16:$C$24,0),1)</f>
        <v xml:space="preserve">6. Em implementação </v>
      </c>
      <c r="H550" s="64">
        <f>VLOOKUP(A550,'Aux - pivots1'!$A:$B,2,0)</f>
        <v>7</v>
      </c>
      <c r="I550" s="183">
        <f>SUMIFS(Table1[Estimação (horas)],Table1[Tabela],Plano_V3!E550,Table1[Campo],Plano_V3!F550)</f>
        <v>16.100000000000001</v>
      </c>
      <c r="J550" s="183">
        <f t="shared" si="345"/>
        <v>2.0125000000000002</v>
      </c>
      <c r="K550" s="183">
        <f>SUMIFS(Table1[Horas efetivas],Table1[Tabela],Plano_V3!E550,Table1[Campo],Plano_V3!F550)</f>
        <v>4.0250000000000004</v>
      </c>
      <c r="L550" s="183">
        <f t="shared" si="346"/>
        <v>0.50312500000000004</v>
      </c>
      <c r="M550" s="177"/>
      <c r="N550" s="177">
        <f t="shared" si="347"/>
        <v>0.25</v>
      </c>
      <c r="O550" s="177">
        <f t="shared" si="340"/>
        <v>0.25</v>
      </c>
      <c r="P550" s="87" t="s">
        <v>334</v>
      </c>
      <c r="Q550" s="90">
        <f t="shared" si="341"/>
        <v>2.0125000000000002</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78"/>
      <c r="EJ550" s="78"/>
      <c r="EK550" s="78"/>
      <c r="EL550" s="78"/>
      <c r="EM550" s="78"/>
      <c r="EN550" s="91"/>
      <c r="EO550" s="91"/>
      <c r="EP550" s="91"/>
      <c r="EQ550" s="91"/>
      <c r="ER550" s="91"/>
      <c r="ES550" s="91"/>
    </row>
    <row r="551" spans="1:149" outlineLevel="1">
      <c r="A551" s="29" t="str">
        <f t="shared" si="344"/>
        <v>modesg_out_sfics_taxon_europeianome_ctgr_sfics</v>
      </c>
      <c r="B551" s="67" t="s">
        <v>26</v>
      </c>
      <c r="C551" s="68" t="s">
        <v>310</v>
      </c>
      <c r="D551" s="64" t="s">
        <v>40</v>
      </c>
      <c r="E551" s="66" t="s">
        <v>2085</v>
      </c>
      <c r="F551" s="64" t="s">
        <v>2053</v>
      </c>
      <c r="G551" s="64" t="str">
        <f>INDEX(Auxiliar!$B$16:$B$24,MATCH(Plano_V3!H551,Auxiliar!$C$16:$C$24,0),1)</f>
        <v xml:space="preserve">6. Em implementação </v>
      </c>
      <c r="H551" s="64">
        <f>VLOOKUP(A551,'Aux - pivots1'!$A:$B,2,0)</f>
        <v>7</v>
      </c>
      <c r="I551" s="183">
        <f>SUMIFS(Table1[Estimação (horas)],Table1[Tabela],Plano_V3!E551,Table1[Campo],Plano_V3!F551)</f>
        <v>16.100000000000001</v>
      </c>
      <c r="J551" s="183">
        <f t="shared" si="345"/>
        <v>2.0125000000000002</v>
      </c>
      <c r="K551" s="183">
        <f>SUMIFS(Table1[Horas efetivas],Table1[Tabela],Plano_V3!E551,Table1[Campo],Plano_V3!F551)</f>
        <v>4.0250000000000004</v>
      </c>
      <c r="L551" s="183">
        <f t="shared" si="346"/>
        <v>0.50312500000000004</v>
      </c>
      <c r="M551" s="177"/>
      <c r="N551" s="177">
        <f t="shared" si="347"/>
        <v>0.25</v>
      </c>
      <c r="O551" s="177">
        <f t="shared" si="340"/>
        <v>0.25</v>
      </c>
      <c r="P551" s="87" t="s">
        <v>334</v>
      </c>
      <c r="Q551" s="90">
        <f t="shared" si="341"/>
        <v>2.0125000000000002</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outlineLevel="1">
      <c r="A552" s="29" t="str">
        <f t="shared" si="344"/>
        <v>modesg_out_sfics_taxon_europeianome_general_specific_purpose</v>
      </c>
      <c r="B552" s="67" t="s">
        <v>26</v>
      </c>
      <c r="C552" s="68" t="s">
        <v>310</v>
      </c>
      <c r="D552" s="64" t="s">
        <v>40</v>
      </c>
      <c r="E552" s="66" t="s">
        <v>2085</v>
      </c>
      <c r="F552" s="64" t="s">
        <v>204</v>
      </c>
      <c r="G552" s="64" t="str">
        <f>INDEX(Auxiliar!$B$16:$B$24,MATCH(Plano_V3!H552,Auxiliar!$C$16:$C$24,0),1)</f>
        <v xml:space="preserve">6. Em implementação </v>
      </c>
      <c r="H552" s="64">
        <f>VLOOKUP(A552,'Aux - pivots1'!$A:$B,2,0)</f>
        <v>7</v>
      </c>
      <c r="I552" s="183">
        <f>SUMIFS(Table1[Estimação (horas)],Table1[Tabela],Plano_V3!E552,Table1[Campo],Plano_V3!F552)</f>
        <v>8.1</v>
      </c>
      <c r="J552" s="183">
        <f t="shared" si="345"/>
        <v>1.0125</v>
      </c>
      <c r="K552" s="183">
        <f>SUMIFS(Table1[Horas efetivas],Table1[Tabela],Plano_V3!E552,Table1[Campo],Plano_V3!F552)</f>
        <v>2.0249999999999999</v>
      </c>
      <c r="L552" s="183">
        <f t="shared" si="346"/>
        <v>0.25312499999999999</v>
      </c>
      <c r="M552" s="177"/>
      <c r="N552" s="177">
        <f t="shared" si="347"/>
        <v>0.25</v>
      </c>
      <c r="O552" s="177">
        <f t="shared" si="340"/>
        <v>0.25</v>
      </c>
      <c r="P552" s="87" t="s">
        <v>334</v>
      </c>
      <c r="Q552" s="90">
        <f t="shared" si="341"/>
        <v>1.0125</v>
      </c>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78"/>
      <c r="EJ552" s="78"/>
      <c r="EK552" s="78"/>
      <c r="EL552" s="78"/>
      <c r="EM552" s="78"/>
      <c r="EN552" s="91"/>
      <c r="EO552" s="91"/>
      <c r="EP552" s="91"/>
      <c r="EQ552" s="91"/>
      <c r="ER552" s="91"/>
      <c r="ES552" s="91"/>
    </row>
    <row r="553" spans="1:149" outlineLevel="1">
      <c r="A553" s="29" t="str">
        <f t="shared" si="344"/>
        <v>modesg_out_sfics_taxon_europeianome_purpose_esg_alinh_tax</v>
      </c>
      <c r="B553" s="67" t="s">
        <v>26</v>
      </c>
      <c r="C553" s="68" t="s">
        <v>310</v>
      </c>
      <c r="D553" s="64" t="s">
        <v>40</v>
      </c>
      <c r="E553" s="66" t="s">
        <v>2085</v>
      </c>
      <c r="F553" s="64" t="s">
        <v>2064</v>
      </c>
      <c r="G553" s="64" t="str">
        <f>INDEX(Auxiliar!$B$16:$B$24,MATCH(Plano_V3!H553,Auxiliar!$C$16:$C$24,0),1)</f>
        <v xml:space="preserve">6. Em implementação </v>
      </c>
      <c r="H553" s="64">
        <f>VLOOKUP(A553,'Aux - pivots1'!$A:$B,2,0)</f>
        <v>7</v>
      </c>
      <c r="I553" s="183">
        <f>SUMIFS(Table1[Estimação (horas)],Table1[Tabela],Plano_V3!E553,Table1[Campo],Plano_V3!F553)</f>
        <v>8.1</v>
      </c>
      <c r="J553" s="183">
        <f>I553/8</f>
        <v>1.0125</v>
      </c>
      <c r="K553" s="183">
        <f>SUMIFS(Table1[Horas efetivas],Table1[Tabela],Plano_V3!E553,Table1[Campo],Plano_V3!F553)</f>
        <v>2.0249999999999999</v>
      </c>
      <c r="L553" s="183">
        <f>K553/8</f>
        <v>0.25312499999999999</v>
      </c>
      <c r="M553" s="177"/>
      <c r="N553" s="177">
        <f>L553/J553</f>
        <v>0.25</v>
      </c>
      <c r="O553" s="177">
        <f>N553-M553</f>
        <v>0.25</v>
      </c>
      <c r="P553" s="87" t="s">
        <v>334</v>
      </c>
      <c r="Q553" s="90">
        <f>J553-SUM(R553:ES553)</f>
        <v>1.0125</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c r="A554" s="29" t="str">
        <f t="shared" si="344"/>
        <v>modesg_out_sfics_taxon_europeianome_purpose_esg_nalinh_tax</v>
      </c>
      <c r="B554" s="67" t="s">
        <v>26</v>
      </c>
      <c r="C554" s="68" t="s">
        <v>310</v>
      </c>
      <c r="D554" s="64" t="s">
        <v>40</v>
      </c>
      <c r="E554" s="66" t="s">
        <v>2085</v>
      </c>
      <c r="F554" s="64" t="s">
        <v>2065</v>
      </c>
      <c r="G554" s="64" t="str">
        <f>INDEX(Auxiliar!$B$16:$B$24,MATCH(Plano_V3!H554,Auxiliar!$C$16:$C$24,0),1)</f>
        <v xml:space="preserve">6. Em implementação </v>
      </c>
      <c r="H554" s="64">
        <f>VLOOKUP(A554,'Aux - pivots1'!$A:$B,2,0)</f>
        <v>7</v>
      </c>
      <c r="I554" s="183">
        <f>SUMIFS(Table1[Estimação (horas)],Table1[Tabela],Plano_V3!E554,Table1[Campo],Plano_V3!F554)</f>
        <v>8.1</v>
      </c>
      <c r="J554" s="183">
        <f t="shared" si="345"/>
        <v>1.0125</v>
      </c>
      <c r="K554" s="183">
        <f>SUMIFS(Table1[Horas efetivas],Table1[Tabela],Plano_V3!E554,Table1[Campo],Plano_V3!F554)</f>
        <v>2.0249999999999999</v>
      </c>
      <c r="L554" s="183">
        <f t="shared" si="346"/>
        <v>0.25312499999999999</v>
      </c>
      <c r="M554" s="177"/>
      <c r="N554" s="177">
        <f t="shared" si="347"/>
        <v>0.25</v>
      </c>
      <c r="O554" s="177">
        <f t="shared" si="340"/>
        <v>0.25</v>
      </c>
      <c r="P554" s="87" t="s">
        <v>334</v>
      </c>
      <c r="Q554" s="90">
        <f t="shared" si="341"/>
        <v>1.0125</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c r="A555" s="29" t="str">
        <f t="shared" si="344"/>
        <v>modesg_out_sfics_taxon_europeianome_specific_eligible</v>
      </c>
      <c r="B555" s="67" t="s">
        <v>26</v>
      </c>
      <c r="C555" s="68" t="s">
        <v>310</v>
      </c>
      <c r="D555" s="64" t="s">
        <v>40</v>
      </c>
      <c r="E555" s="66" t="s">
        <v>2085</v>
      </c>
      <c r="F555" s="64" t="s">
        <v>206</v>
      </c>
      <c r="G555" s="64" t="str">
        <f>INDEX(Auxiliar!$B$16:$B$24,MATCH(Plano_V3!H555,Auxiliar!$C$16:$C$24,0),1)</f>
        <v xml:space="preserve">6. Em implementação </v>
      </c>
      <c r="H555" s="64">
        <f>VLOOKUP(A555,'Aux - pivots1'!$A:$B,2,0)</f>
        <v>7</v>
      </c>
      <c r="I555" s="183">
        <f>SUMIFS(Table1[Estimação (horas)],Table1[Tabela],Plano_V3!E555,Table1[Campo],Plano_V3!F555)</f>
        <v>8.1</v>
      </c>
      <c r="J555" s="183">
        <f t="shared" si="345"/>
        <v>1.0125</v>
      </c>
      <c r="K555" s="183">
        <f>SUMIFS(Table1[Horas efetivas],Table1[Tabela],Plano_V3!E555,Table1[Campo],Plano_V3!F555)</f>
        <v>2.0249999999999999</v>
      </c>
      <c r="L555" s="183">
        <f t="shared" si="346"/>
        <v>0.25312499999999999</v>
      </c>
      <c r="M555" s="177"/>
      <c r="N555" s="177">
        <f t="shared" si="347"/>
        <v>0.25</v>
      </c>
      <c r="O555" s="177">
        <f t="shared" si="340"/>
        <v>0.25</v>
      </c>
      <c r="P555" s="87" t="s">
        <v>334</v>
      </c>
      <c r="Q555" s="90">
        <f t="shared" si="341"/>
        <v>1.0125</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c r="A556" s="29" t="str">
        <f t="shared" si="344"/>
        <v>modesg_out_sfics_taxon_europeianome_specific_sustainable</v>
      </c>
      <c r="B556" s="67" t="s">
        <v>26</v>
      </c>
      <c r="C556" s="68" t="s">
        <v>310</v>
      </c>
      <c r="D556" s="64" t="s">
        <v>40</v>
      </c>
      <c r="E556" s="66" t="s">
        <v>2085</v>
      </c>
      <c r="F556" s="64" t="s">
        <v>207</v>
      </c>
      <c r="G556" s="64" t="str">
        <f>INDEX(Auxiliar!$B$16:$B$24,MATCH(Plano_V3!H556,Auxiliar!$C$16:$C$24,0),1)</f>
        <v xml:space="preserve">6. Em implementação </v>
      </c>
      <c r="H556" s="64">
        <f>VLOOKUP(A556,'Aux - pivots1'!$A:$B,2,0)</f>
        <v>7</v>
      </c>
      <c r="I556" s="183">
        <f>SUMIFS(Table1[Estimação (horas)],Table1[Tabela],Plano_V3!E556,Table1[Campo],Plano_V3!F556)</f>
        <v>8.1</v>
      </c>
      <c r="J556" s="183">
        <f t="shared" si="345"/>
        <v>1.0125</v>
      </c>
      <c r="K556" s="183">
        <f>SUMIFS(Table1[Horas efetivas],Table1[Tabela],Plano_V3!E556,Table1[Campo],Plano_V3!F556)</f>
        <v>2.0249999999999999</v>
      </c>
      <c r="L556" s="183">
        <f t="shared" si="346"/>
        <v>0.25312499999999999</v>
      </c>
      <c r="M556" s="177"/>
      <c r="N556" s="177">
        <f t="shared" si="347"/>
        <v>0.25</v>
      </c>
      <c r="O556" s="177">
        <f t="shared" si="340"/>
        <v>0.25</v>
      </c>
      <c r="P556" s="87" t="s">
        <v>334</v>
      </c>
      <c r="Q556" s="90">
        <f t="shared" si="341"/>
        <v>1.0125</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outlineLevel="1">
      <c r="A557" s="29" t="str">
        <f t="shared" si="344"/>
        <v>modesg_out_sfics_taxon_europeiasstnbl_indctr</v>
      </c>
      <c r="B557" s="67" t="s">
        <v>26</v>
      </c>
      <c r="C557" s="68" t="s">
        <v>310</v>
      </c>
      <c r="D557" s="64" t="s">
        <v>40</v>
      </c>
      <c r="E557" s="66" t="s">
        <v>2085</v>
      </c>
      <c r="F557" s="64" t="s">
        <v>418</v>
      </c>
      <c r="G557" s="64" t="str">
        <f>INDEX(Auxiliar!$B$16:$B$24,MATCH(Plano_V3!H557,Auxiliar!$C$16:$C$24,0),1)</f>
        <v>2.2 Em especificação</v>
      </c>
      <c r="H557" s="64">
        <f>VLOOKUP(A557,'Aux - pivots1'!$A:$B,2,0)</f>
        <v>3</v>
      </c>
      <c r="I557" s="183" t="e">
        <f>SUMIFS(Table1[Estimação (horas)],Table1[Tabela],Plano_V3!E557,Table1[Campo],Plano_V3!F557)</f>
        <v>#N/A</v>
      </c>
      <c r="J557" s="183" t="e">
        <f>I557/8</f>
        <v>#N/A</v>
      </c>
      <c r="K557" s="183" t="e">
        <f>SUMIFS(Table1[Horas efetivas],Table1[Tabela],Plano_V3!E557,Table1[Campo],Plano_V3!F557)</f>
        <v>#N/A</v>
      </c>
      <c r="L557" s="183" t="e">
        <f>K557/8</f>
        <v>#N/A</v>
      </c>
      <c r="M557" s="177"/>
      <c r="N557" s="177"/>
      <c r="O557" s="177"/>
      <c r="P557" s="87"/>
      <c r="Q557" s="90"/>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78"/>
      <c r="EJ557" s="78"/>
      <c r="EK557" s="78"/>
      <c r="EL557" s="78"/>
      <c r="EM557" s="78"/>
      <c r="EN557" s="91"/>
      <c r="EO557" s="91"/>
      <c r="EP557" s="91"/>
      <c r="EQ557" s="91"/>
      <c r="ER557" s="91"/>
      <c r="ES557" s="91"/>
    </row>
    <row r="558" spans="1:149" outlineLevel="1">
      <c r="A558" s="29" t="str">
        <f t="shared" si="344"/>
        <v>modesg_out_sfics_taxon_europeiaorigem</v>
      </c>
      <c r="B558" s="67" t="s">
        <v>26</v>
      </c>
      <c r="C558" s="68" t="s">
        <v>310</v>
      </c>
      <c r="D558" s="64" t="s">
        <v>40</v>
      </c>
      <c r="E558" s="66" t="s">
        <v>2085</v>
      </c>
      <c r="F558" s="64" t="s">
        <v>72</v>
      </c>
      <c r="G558" s="64" t="str">
        <f>INDEX(Auxiliar!$B$16:$B$24,MATCH(Plano_V3!H558,Auxiliar!$C$16:$C$24,0),1)</f>
        <v>0. Cancelado</v>
      </c>
      <c r="H558" s="64">
        <f>VLOOKUP(A558,'Aux - pivots1'!$A:$B,2,0)</f>
        <v>0</v>
      </c>
      <c r="I558" s="183">
        <f>SUMIFS(Table1[Estimação (horas)],Table1[Tabela],Plano_V3!E558,Table1[Campo],Plano_V3!F558)</f>
        <v>4.0999999999999996</v>
      </c>
      <c r="J558" s="183">
        <f t="shared" si="345"/>
        <v>0.51249999999999996</v>
      </c>
      <c r="K558" s="183">
        <f>SUMIFS(Table1[Horas efetivas],Table1[Tabela],Plano_V3!E558,Table1[Campo],Plano_V3!F558)</f>
        <v>0</v>
      </c>
      <c r="L558" s="183">
        <f t="shared" si="346"/>
        <v>0</v>
      </c>
      <c r="M558" s="177"/>
      <c r="N558" s="177">
        <f t="shared" si="347"/>
        <v>0</v>
      </c>
      <c r="O558" s="177">
        <f t="shared" si="340"/>
        <v>0</v>
      </c>
      <c r="P558" s="87" t="s">
        <v>334</v>
      </c>
      <c r="Q558" s="90">
        <f t="shared" si="341"/>
        <v>0.51249999999999996</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c r="A559" s="29" t="str">
        <f t="shared" si="344"/>
        <v>modesg_out_sfics_taxon_europeiaref_date</v>
      </c>
      <c r="B559" s="67" t="s">
        <v>26</v>
      </c>
      <c r="C559" s="68" t="s">
        <v>310</v>
      </c>
      <c r="D559" s="64" t="s">
        <v>40</v>
      </c>
      <c r="E559" s="66" t="s">
        <v>2085</v>
      </c>
      <c r="F559" s="64" t="s">
        <v>208</v>
      </c>
      <c r="G559" s="64" t="str">
        <f>INDEX(Auxiliar!$B$16:$B$24,MATCH(Plano_V3!H559,Auxiliar!$C$16:$C$24,0),1)</f>
        <v xml:space="preserve">6. Em implementação </v>
      </c>
      <c r="H559" s="64">
        <f>VLOOKUP(A559,'Aux - pivots1'!$A:$B,2,0)</f>
        <v>7</v>
      </c>
      <c r="I559" s="183">
        <f>SUMIFS(Table1[Estimação (horas)],Table1[Tabela],Plano_V3!E559,Table1[Campo],Plano_V3!F559)</f>
        <v>4.0999999999999996</v>
      </c>
      <c r="J559" s="183">
        <f t="shared" si="345"/>
        <v>0.51249999999999996</v>
      </c>
      <c r="K559" s="183">
        <f>SUMIFS(Table1[Horas efetivas],Table1[Tabela],Plano_V3!E559,Table1[Campo],Plano_V3!F559)</f>
        <v>1.0249999999999999</v>
      </c>
      <c r="L559" s="183">
        <f t="shared" si="346"/>
        <v>0.12812499999999999</v>
      </c>
      <c r="M559" s="177"/>
      <c r="N559" s="177">
        <f t="shared" si="347"/>
        <v>0.25</v>
      </c>
      <c r="O559" s="177">
        <f t="shared" si="340"/>
        <v>0.25</v>
      </c>
      <c r="P559" s="87" t="s">
        <v>334</v>
      </c>
      <c r="Q559" s="90">
        <f t="shared" si="341"/>
        <v>0.51249999999999996</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c r="A560" s="29" t="str">
        <f t="shared" si="344"/>
        <v>modesg_out_sfics_taxon_europeiazdeposit</v>
      </c>
      <c r="B560" s="67" t="s">
        <v>26</v>
      </c>
      <c r="C560" s="68" t="s">
        <v>310</v>
      </c>
      <c r="D560" s="64" t="s">
        <v>40</v>
      </c>
      <c r="E560" s="66" t="s">
        <v>2085</v>
      </c>
      <c r="F560" s="64" t="s">
        <v>210</v>
      </c>
      <c r="G560" s="64" t="str">
        <f>INDEX(Auxiliar!$B$16:$B$24,MATCH(Plano_V3!H560,Auxiliar!$C$16:$C$24,0),1)</f>
        <v xml:space="preserve">6. Em implementação </v>
      </c>
      <c r="H560" s="64">
        <f>VLOOKUP(A560,'Aux - pivots1'!$A:$B,2,0)</f>
        <v>7</v>
      </c>
      <c r="I560" s="183">
        <f>SUMIFS(Table1[Estimação (horas)],Table1[Tabela],Plano_V3!E560,Table1[Campo],Plano_V3!F560)</f>
        <v>8.1</v>
      </c>
      <c r="J560" s="183">
        <f t="shared" si="345"/>
        <v>1.0125</v>
      </c>
      <c r="K560" s="183">
        <f>SUMIFS(Table1[Horas efetivas],Table1[Tabela],Plano_V3!E560,Table1[Campo],Plano_V3!F560)</f>
        <v>2.0249999999999999</v>
      </c>
      <c r="L560" s="183">
        <f t="shared" si="346"/>
        <v>0.25312499999999999</v>
      </c>
      <c r="M560" s="177"/>
      <c r="N560" s="177">
        <f t="shared" si="347"/>
        <v>0.25</v>
      </c>
      <c r="O560" s="177">
        <f t="shared" si="340"/>
        <v>0.25</v>
      </c>
      <c r="P560" s="87" t="s">
        <v>334</v>
      </c>
      <c r="Q560" s="90">
        <f t="shared" si="341"/>
        <v>1.0125</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c r="A561" s="29" t="str">
        <f t="shared" si="344"/>
        <v>Re-testesn.a.</v>
      </c>
      <c r="B561" s="67" t="s">
        <v>26</v>
      </c>
      <c r="C561" s="68" t="s">
        <v>310</v>
      </c>
      <c r="D561" s="64" t="s">
        <v>40</v>
      </c>
      <c r="E561" s="66" t="s">
        <v>53</v>
      </c>
      <c r="F561" s="64" t="s">
        <v>38</v>
      </c>
      <c r="G561" s="64"/>
      <c r="H561" s="64"/>
      <c r="I561" s="183" t="e">
        <f>SUM(I453:I560)*$D$7</f>
        <v>#N/A</v>
      </c>
      <c r="J561" s="183" t="e">
        <f>I561/8</f>
        <v>#N/A</v>
      </c>
      <c r="K561" s="183" t="e">
        <f>SUM(K453:K560)*$D$7</f>
        <v>#N/A</v>
      </c>
      <c r="L561" s="183" t="e">
        <f>K561/8</f>
        <v>#N/A</v>
      </c>
      <c r="M561" s="177"/>
      <c r="N561" s="177" t="e">
        <f t="shared" si="347"/>
        <v>#N/A</v>
      </c>
      <c r="O561" s="177" t="e">
        <f t="shared" si="340"/>
        <v>#N/A</v>
      </c>
      <c r="P561" s="87"/>
      <c r="Q561" s="90" t="e">
        <f t="shared" si="341"/>
        <v>#N/A</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c r="A562" s="29" t="str">
        <f t="shared" ref="A562:A592" si="348">E562&amp;F562</f>
        <v/>
      </c>
      <c r="B562" s="101" t="s">
        <v>26</v>
      </c>
      <c r="C562" s="102" t="s">
        <v>30</v>
      </c>
      <c r="D562" s="96"/>
      <c r="E562" s="103"/>
      <c r="F562" s="96"/>
      <c r="G562" s="96"/>
      <c r="H562" s="96"/>
      <c r="I562" s="182" t="e">
        <f>SUM(I563:I769)</f>
        <v>#N/A</v>
      </c>
      <c r="J562" s="182" t="e">
        <f>ROUNDUP(I562/8,0)</f>
        <v>#N/A</v>
      </c>
      <c r="K562" s="182" t="e">
        <f>SUM(K563:K769)</f>
        <v>#N/A</v>
      </c>
      <c r="L562" s="182" t="e">
        <f>ROUNDUP(K562/8,0)</f>
        <v>#N/A</v>
      </c>
      <c r="M562" s="181" t="e">
        <f>SUMIFS(R562:ES562,$R$9:$ES$9,"S")/J562</f>
        <v>#N/A</v>
      </c>
      <c r="N562" s="181">
        <f>IFERROR(L562/J562,0)</f>
        <v>0</v>
      </c>
      <c r="O562" s="181" t="e">
        <f t="shared" si="340"/>
        <v>#N/A</v>
      </c>
      <c r="P562" s="189" t="s">
        <v>1851</v>
      </c>
      <c r="Q562" s="90" t="e">
        <f t="shared" si="341"/>
        <v>#N/A</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v>0.5</v>
      </c>
      <c r="CY562" s="78">
        <v>0.5</v>
      </c>
      <c r="CZ562" s="78">
        <v>1</v>
      </c>
      <c r="DA562" s="78">
        <v>1</v>
      </c>
      <c r="DB562" s="78">
        <v>1</v>
      </c>
      <c r="DC562" s="78">
        <v>1</v>
      </c>
      <c r="DD562" s="78">
        <v>0.5</v>
      </c>
      <c r="DE562" s="78">
        <v>1</v>
      </c>
      <c r="DF562" s="78">
        <v>1</v>
      </c>
      <c r="DG562" s="78">
        <v>1</v>
      </c>
      <c r="DH562" s="78">
        <v>1</v>
      </c>
      <c r="DI562" s="78">
        <v>1</v>
      </c>
      <c r="DJ562" s="78">
        <v>1</v>
      </c>
      <c r="DK562" s="78">
        <v>1</v>
      </c>
      <c r="DL562" s="78">
        <v>1</v>
      </c>
      <c r="DM562" s="78">
        <v>1</v>
      </c>
      <c r="DN562" s="78">
        <v>1</v>
      </c>
      <c r="DO562" s="78">
        <v>1</v>
      </c>
      <c r="DP562" s="78">
        <v>1</v>
      </c>
      <c r="DQ562" s="78">
        <v>1</v>
      </c>
      <c r="DR562" s="78">
        <v>1</v>
      </c>
      <c r="DS562" s="192"/>
      <c r="DT562" s="78">
        <v>1</v>
      </c>
      <c r="DU562" s="78">
        <v>1</v>
      </c>
      <c r="DV562" s="78">
        <v>1</v>
      </c>
      <c r="DW562" s="78">
        <v>1</v>
      </c>
      <c r="DX562" s="78">
        <v>1</v>
      </c>
      <c r="DY562" s="78">
        <v>1</v>
      </c>
      <c r="DZ562" s="78">
        <v>1</v>
      </c>
      <c r="EA562" s="78">
        <v>1</v>
      </c>
      <c r="EB562" s="78">
        <v>1</v>
      </c>
      <c r="EC562" s="78">
        <v>1</v>
      </c>
      <c r="ED562" s="78">
        <v>1</v>
      </c>
      <c r="EE562" s="78">
        <v>1</v>
      </c>
      <c r="EF562" s="78">
        <v>1</v>
      </c>
      <c r="EG562" s="78">
        <v>1</v>
      </c>
      <c r="EH562" s="78">
        <v>1</v>
      </c>
      <c r="EI562" s="78">
        <v>1.5</v>
      </c>
      <c r="EJ562" s="78">
        <v>3</v>
      </c>
      <c r="EK562" s="78">
        <v>3</v>
      </c>
      <c r="EL562" s="78">
        <v>3</v>
      </c>
      <c r="EM562" s="78">
        <v>3</v>
      </c>
      <c r="EN562" s="91"/>
      <c r="EO562" s="91"/>
      <c r="EP562" s="91"/>
      <c r="EQ562" s="91"/>
      <c r="ER562" s="91"/>
      <c r="ES562" s="91"/>
    </row>
    <row r="563" spans="1:149" outlineLevel="1">
      <c r="A563" s="29" t="str">
        <f t="shared" si="348"/>
        <v>lt003_entitynace_esg</v>
      </c>
      <c r="B563" s="67" t="s">
        <v>26</v>
      </c>
      <c r="C563" s="68" t="s">
        <v>26</v>
      </c>
      <c r="D563" s="64" t="s">
        <v>40</v>
      </c>
      <c r="E563" s="70" t="s">
        <v>335</v>
      </c>
      <c r="F563" s="71" t="s">
        <v>336</v>
      </c>
      <c r="G563" s="64" t="str">
        <f>INDEX(Auxiliar!$B$16:$B$24,MATCH(Plano_V3!H563,Auxiliar!$C$16:$C$24,0),1)</f>
        <v xml:space="preserve">6. Em implementação </v>
      </c>
      <c r="H563" s="64">
        <f>VLOOKUP(A563,'Aux - pivots1'!$A:$B,2,0)</f>
        <v>7</v>
      </c>
      <c r="I563" s="175">
        <f>SUMIFS(Table1[Estimação (horas)],Table1[Tabela],Plano_V3!E563,Table1[Campo],Plano_V3!F563)</f>
        <v>4.0999999999999996</v>
      </c>
      <c r="J563" s="175">
        <f t="shared" ref="J563:J594" si="349">I563/8</f>
        <v>0.51249999999999996</v>
      </c>
      <c r="K563" s="175">
        <f>SUMIFS(Table1[Horas efetivas],Table1[Tabela],Plano_V3!E563,Table1[Campo],Plano_V3!F563)</f>
        <v>1.0249999999999999</v>
      </c>
      <c r="L563" s="175">
        <f t="shared" ref="L563:L594" si="350">K563/8</f>
        <v>0.12812499999999999</v>
      </c>
      <c r="M563" s="177"/>
      <c r="N563" s="177">
        <f t="shared" ref="N563:N594" si="351">L563/J563</f>
        <v>0.25</v>
      </c>
      <c r="O563" s="177"/>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c r="A564" s="29" t="str">
        <f t="shared" si="348"/>
        <v>lt003_entitytxnmy_elgbl_capex_ccm</v>
      </c>
      <c r="B564" s="67" t="s">
        <v>26</v>
      </c>
      <c r="C564" s="68" t="s">
        <v>26</v>
      </c>
      <c r="D564" s="64" t="s">
        <v>40</v>
      </c>
      <c r="E564" s="70" t="s">
        <v>335</v>
      </c>
      <c r="F564" s="71" t="s">
        <v>338</v>
      </c>
      <c r="G564" s="64" t="str">
        <f>INDEX(Auxiliar!$B$16:$B$24,MATCH(Plano_V3!H564,Auxiliar!$C$16:$C$24,0),1)</f>
        <v>1. Concluído</v>
      </c>
      <c r="H564" s="64">
        <f>VLOOKUP(A564,'Aux - pivots1'!$A:$B,2,0)</f>
        <v>1</v>
      </c>
      <c r="I564" s="175">
        <f>SUMIFS(Table1[Estimação (horas)],Table1[Tabela],Plano_V3!E564,Table1[Campo],Plano_V3!F564)</f>
        <v>4.0999999999999996</v>
      </c>
      <c r="J564" s="175">
        <f t="shared" si="349"/>
        <v>0.51249999999999996</v>
      </c>
      <c r="K564" s="175">
        <f>SUMIFS(Table1[Horas efetivas],Table1[Tabela],Plano_V3!E564,Table1[Campo],Plano_V3!F564)</f>
        <v>4.0999999999999996</v>
      </c>
      <c r="L564" s="175">
        <f t="shared" si="350"/>
        <v>0.51249999999999996</v>
      </c>
      <c r="M564" s="177"/>
      <c r="N564" s="177">
        <f t="shared" si="351"/>
        <v>1</v>
      </c>
      <c r="O564" s="177"/>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c r="A565" s="29" t="str">
        <f t="shared" si="348"/>
        <v>lt003_entitytxnmy_elgbl_trnvr_ccm</v>
      </c>
      <c r="B565" s="67" t="s">
        <v>26</v>
      </c>
      <c r="C565" s="68" t="s">
        <v>26</v>
      </c>
      <c r="D565" s="64" t="s">
        <v>40</v>
      </c>
      <c r="E565" s="70" t="s">
        <v>335</v>
      </c>
      <c r="F565" s="71" t="s">
        <v>339</v>
      </c>
      <c r="G565" s="64" t="str">
        <f>INDEX(Auxiliar!$B$16:$B$24,MATCH(Plano_V3!H565,Auxiliar!$C$16:$C$24,0),1)</f>
        <v>1. Concluído</v>
      </c>
      <c r="H565" s="64">
        <f>VLOOKUP(A565,'Aux - pivots1'!$A:$B,2,0)</f>
        <v>1</v>
      </c>
      <c r="I565" s="175">
        <f>SUMIFS(Table1[Estimação (horas)],Table1[Tabela],Plano_V3!E565,Table1[Campo],Plano_V3!F565)</f>
        <v>4.0999999999999996</v>
      </c>
      <c r="J565" s="175">
        <f t="shared" si="349"/>
        <v>0.51249999999999996</v>
      </c>
      <c r="K565" s="175">
        <f>SUMIFS(Table1[Horas efetivas],Table1[Tabela],Plano_V3!E565,Table1[Campo],Plano_V3!F565)</f>
        <v>4.0999999999999996</v>
      </c>
      <c r="L565" s="175">
        <f t="shared" si="350"/>
        <v>0.51249999999999996</v>
      </c>
      <c r="M565" s="177"/>
      <c r="N565" s="177">
        <f t="shared" si="351"/>
        <v>1</v>
      </c>
      <c r="O565" s="177"/>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c r="A566" s="29" t="str">
        <f t="shared" si="348"/>
        <v>lt003_entitytxnmy_elgbl_capex_cca</v>
      </c>
      <c r="B566" s="67" t="s">
        <v>26</v>
      </c>
      <c r="C566" s="68" t="s">
        <v>26</v>
      </c>
      <c r="D566" s="64" t="s">
        <v>40</v>
      </c>
      <c r="E566" s="70" t="s">
        <v>335</v>
      </c>
      <c r="F566" s="71" t="s">
        <v>340</v>
      </c>
      <c r="G566" s="64" t="str">
        <f>INDEX(Auxiliar!$B$16:$B$24,MATCH(Plano_V3!H566,Auxiliar!$C$16:$C$24,0),1)</f>
        <v>1. Concluído</v>
      </c>
      <c r="H566" s="64">
        <f>VLOOKUP(A566,'Aux - pivots1'!$A:$B,2,0)</f>
        <v>1</v>
      </c>
      <c r="I566" s="175">
        <f>SUMIFS(Table1[Estimação (horas)],Table1[Tabela],Plano_V3!E566,Table1[Campo],Plano_V3!F566)</f>
        <v>4.0999999999999996</v>
      </c>
      <c r="J566" s="175">
        <f t="shared" si="349"/>
        <v>0.51249999999999996</v>
      </c>
      <c r="K566" s="175">
        <f>SUMIFS(Table1[Horas efetivas],Table1[Tabela],Plano_V3!E566,Table1[Campo],Plano_V3!F566)</f>
        <v>4.0999999999999996</v>
      </c>
      <c r="L566" s="175">
        <f t="shared" si="350"/>
        <v>0.51249999999999996</v>
      </c>
      <c r="M566" s="177"/>
      <c r="N566" s="177">
        <f t="shared" si="351"/>
        <v>1</v>
      </c>
      <c r="O566" s="177"/>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c r="A567" s="29" t="str">
        <f t="shared" si="348"/>
        <v>lt003_entitytxnmy_elgbl_trnvr_cca</v>
      </c>
      <c r="B567" s="67" t="s">
        <v>26</v>
      </c>
      <c r="C567" s="68" t="s">
        <v>26</v>
      </c>
      <c r="D567" s="64" t="s">
        <v>40</v>
      </c>
      <c r="E567" s="70" t="s">
        <v>335</v>
      </c>
      <c r="F567" s="71" t="s">
        <v>341</v>
      </c>
      <c r="G567" s="64" t="str">
        <f>INDEX(Auxiliar!$B$16:$B$24,MATCH(Plano_V3!H567,Auxiliar!$C$16:$C$24,0),1)</f>
        <v>1. Concluído</v>
      </c>
      <c r="H567" s="64">
        <f>VLOOKUP(A567,'Aux - pivots1'!$A:$B,2,0)</f>
        <v>1</v>
      </c>
      <c r="I567" s="175">
        <f>SUMIFS(Table1[Estimação (horas)],Table1[Tabela],Plano_V3!E567,Table1[Campo],Plano_V3!F567)</f>
        <v>4.0999999999999996</v>
      </c>
      <c r="J567" s="175">
        <f t="shared" si="349"/>
        <v>0.51249999999999996</v>
      </c>
      <c r="K567" s="175">
        <f>SUMIFS(Table1[Horas efetivas],Table1[Tabela],Plano_V3!E567,Table1[Campo],Plano_V3!F567)</f>
        <v>4.0999999999999996</v>
      </c>
      <c r="L567" s="175">
        <f t="shared" si="350"/>
        <v>0.51249999999999996</v>
      </c>
      <c r="M567" s="177"/>
      <c r="N567" s="177">
        <f t="shared" si="351"/>
        <v>1</v>
      </c>
      <c r="O567" s="177"/>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c r="A568" s="29" t="str">
        <f t="shared" si="348"/>
        <v>lt003_entityenblng_capex_ccm</v>
      </c>
      <c r="B568" s="67" t="s">
        <v>26</v>
      </c>
      <c r="C568" s="68" t="s">
        <v>26</v>
      </c>
      <c r="D568" s="64" t="s">
        <v>40</v>
      </c>
      <c r="E568" s="70" t="s">
        <v>335</v>
      </c>
      <c r="F568" s="71" t="s">
        <v>342</v>
      </c>
      <c r="G568" s="64" t="str">
        <f>INDEX(Auxiliar!$B$16:$B$24,MATCH(Plano_V3!H568,Auxiliar!$C$16:$C$24,0),1)</f>
        <v>1. Concluído</v>
      </c>
      <c r="H568" s="64">
        <f>VLOOKUP(A568,'Aux - pivots1'!$A:$B,2,0)</f>
        <v>1</v>
      </c>
      <c r="I568" s="175">
        <f>SUMIFS(Table1[Estimação (horas)],Table1[Tabela],Plano_V3!E568,Table1[Campo],Plano_V3!F568)</f>
        <v>4.0999999999999996</v>
      </c>
      <c r="J568" s="175">
        <f t="shared" si="349"/>
        <v>0.51249999999999996</v>
      </c>
      <c r="K568" s="175">
        <f>SUMIFS(Table1[Horas efetivas],Table1[Tabela],Plano_V3!E568,Table1[Campo],Plano_V3!F568)</f>
        <v>4.0999999999999996</v>
      </c>
      <c r="L568" s="175">
        <f t="shared" si="350"/>
        <v>0.51249999999999996</v>
      </c>
      <c r="M568" s="177"/>
      <c r="N568" s="177">
        <f t="shared" si="351"/>
        <v>1</v>
      </c>
      <c r="O568" s="177"/>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c r="A569" s="29" t="str">
        <f t="shared" si="348"/>
        <v>lt003_entityenblng_capex_cca</v>
      </c>
      <c r="B569" s="67" t="s">
        <v>26</v>
      </c>
      <c r="C569" s="68" t="s">
        <v>26</v>
      </c>
      <c r="D569" s="64" t="s">
        <v>40</v>
      </c>
      <c r="E569" s="70" t="s">
        <v>335</v>
      </c>
      <c r="F569" s="71" t="s">
        <v>343</v>
      </c>
      <c r="G569" s="64" t="str">
        <f>INDEX(Auxiliar!$B$16:$B$24,MATCH(Plano_V3!H569,Auxiliar!$C$16:$C$24,0),1)</f>
        <v>1. Concluído</v>
      </c>
      <c r="H569" s="64">
        <f>VLOOKUP(A569,'Aux - pivots1'!$A:$B,2,0)</f>
        <v>1</v>
      </c>
      <c r="I569" s="175">
        <f>SUMIFS(Table1[Estimação (horas)],Table1[Tabela],Plano_V3!E569,Table1[Campo],Plano_V3!F569)</f>
        <v>4.0999999999999996</v>
      </c>
      <c r="J569" s="175">
        <f t="shared" si="349"/>
        <v>0.51249999999999996</v>
      </c>
      <c r="K569" s="175">
        <f>SUMIFS(Table1[Horas efetivas],Table1[Tabela],Plano_V3!E569,Table1[Campo],Plano_V3!F569)</f>
        <v>4.0999999999999996</v>
      </c>
      <c r="L569" s="175">
        <f t="shared" si="350"/>
        <v>0.51249999999999996</v>
      </c>
      <c r="M569" s="177"/>
      <c r="N569" s="177">
        <f t="shared" si="351"/>
        <v>1</v>
      </c>
      <c r="O569" s="177"/>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c r="A570" s="29" t="str">
        <f t="shared" si="348"/>
        <v>lt003_entitytrnstnl_capex</v>
      </c>
      <c r="B570" s="67" t="s">
        <v>26</v>
      </c>
      <c r="C570" s="68" t="s">
        <v>26</v>
      </c>
      <c r="D570" s="64" t="s">
        <v>40</v>
      </c>
      <c r="E570" s="70" t="s">
        <v>335</v>
      </c>
      <c r="F570" s="71" t="s">
        <v>344</v>
      </c>
      <c r="G570" s="64" t="str">
        <f>INDEX(Auxiliar!$B$16:$B$24,MATCH(Plano_V3!H570,Auxiliar!$C$16:$C$24,0),1)</f>
        <v>1. Concluído</v>
      </c>
      <c r="H570" s="64">
        <f>VLOOKUP(A570,'Aux - pivots1'!$A:$B,2,0)</f>
        <v>1</v>
      </c>
      <c r="I570" s="175">
        <f>SUMIFS(Table1[Estimação (horas)],Table1[Tabela],Plano_V3!E570,Table1[Campo],Plano_V3!F570)</f>
        <v>4.0999999999999996</v>
      </c>
      <c r="J570" s="175">
        <f t="shared" si="349"/>
        <v>0.51249999999999996</v>
      </c>
      <c r="K570" s="175">
        <f>SUMIFS(Table1[Horas efetivas],Table1[Tabela],Plano_V3!E570,Table1[Campo],Plano_V3!F570)</f>
        <v>4.0999999999999996</v>
      </c>
      <c r="L570" s="175">
        <f t="shared" si="350"/>
        <v>0.51249999999999996</v>
      </c>
      <c r="M570" s="177"/>
      <c r="N570" s="177">
        <f t="shared" si="351"/>
        <v>1</v>
      </c>
      <c r="O570" s="177"/>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c r="A571" s="29" t="str">
        <f t="shared" si="348"/>
        <v>lt003_entitypure_capex_ccm</v>
      </c>
      <c r="B571" s="67" t="s">
        <v>26</v>
      </c>
      <c r="C571" s="68" t="s">
        <v>26</v>
      </c>
      <c r="D571" s="64" t="s">
        <v>40</v>
      </c>
      <c r="E571" s="70" t="s">
        <v>335</v>
      </c>
      <c r="F571" s="71" t="s">
        <v>345</v>
      </c>
      <c r="G571" s="64" t="str">
        <f>INDEX(Auxiliar!$B$16:$B$24,MATCH(Plano_V3!H571,Auxiliar!$C$16:$C$24,0),1)</f>
        <v>1. Concluído</v>
      </c>
      <c r="H571" s="64">
        <f>VLOOKUP(A571,'Aux - pivots1'!$A:$B,2,0)</f>
        <v>1</v>
      </c>
      <c r="I571" s="175">
        <f>SUMIFS(Table1[Estimação (horas)],Table1[Tabela],Plano_V3!E571,Table1[Campo],Plano_V3!F571)</f>
        <v>4.0999999999999996</v>
      </c>
      <c r="J571" s="175">
        <f t="shared" si="349"/>
        <v>0.51249999999999996</v>
      </c>
      <c r="K571" s="175">
        <f>SUMIFS(Table1[Horas efetivas],Table1[Tabela],Plano_V3!E571,Table1[Campo],Plano_V3!F571)</f>
        <v>4.0999999999999996</v>
      </c>
      <c r="L571" s="175">
        <f t="shared" si="350"/>
        <v>0.51249999999999996</v>
      </c>
      <c r="M571" s="177"/>
      <c r="N571" s="177">
        <f t="shared" si="351"/>
        <v>1</v>
      </c>
      <c r="O571" s="177"/>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c r="A572" s="29" t="str">
        <f t="shared" si="348"/>
        <v>lt003_entitypure_capex_cca</v>
      </c>
      <c r="B572" s="67" t="s">
        <v>26</v>
      </c>
      <c r="C572" s="68" t="s">
        <v>26</v>
      </c>
      <c r="D572" s="64" t="s">
        <v>40</v>
      </c>
      <c r="E572" s="70" t="s">
        <v>335</v>
      </c>
      <c r="F572" s="71" t="s">
        <v>346</v>
      </c>
      <c r="G572" s="64" t="str">
        <f>INDEX(Auxiliar!$B$16:$B$24,MATCH(Plano_V3!H572,Auxiliar!$C$16:$C$24,0),1)</f>
        <v>1. Concluído</v>
      </c>
      <c r="H572" s="64">
        <f>VLOOKUP(A572,'Aux - pivots1'!$A:$B,2,0)</f>
        <v>1</v>
      </c>
      <c r="I572" s="175">
        <f>SUMIFS(Table1[Estimação (horas)],Table1[Tabela],Plano_V3!E572,Table1[Campo],Plano_V3!F572)</f>
        <v>4.0999999999999996</v>
      </c>
      <c r="J572" s="175">
        <f t="shared" si="349"/>
        <v>0.51249999999999996</v>
      </c>
      <c r="K572" s="175">
        <f>SUMIFS(Table1[Horas efetivas],Table1[Tabela],Plano_V3!E572,Table1[Campo],Plano_V3!F572)</f>
        <v>4.0999999999999996</v>
      </c>
      <c r="L572" s="175">
        <f t="shared" si="350"/>
        <v>0.51249999999999996</v>
      </c>
      <c r="M572" s="177"/>
      <c r="N572" s="177">
        <f t="shared" si="351"/>
        <v>1</v>
      </c>
      <c r="O572" s="177"/>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c r="A573" s="29" t="str">
        <f t="shared" si="348"/>
        <v>lt003_entityenblng_trnvr_ccm</v>
      </c>
      <c r="B573" s="67" t="s">
        <v>26</v>
      </c>
      <c r="C573" s="68" t="s">
        <v>26</v>
      </c>
      <c r="D573" s="64" t="s">
        <v>40</v>
      </c>
      <c r="E573" s="70" t="s">
        <v>335</v>
      </c>
      <c r="F573" s="71" t="s">
        <v>347</v>
      </c>
      <c r="G573" s="64" t="str">
        <f>INDEX(Auxiliar!$B$16:$B$24,MATCH(Plano_V3!H573,Auxiliar!$C$16:$C$24,0),1)</f>
        <v>1. Concluído</v>
      </c>
      <c r="H573" s="64">
        <f>VLOOKUP(A573,'Aux - pivots1'!$A:$B,2,0)</f>
        <v>1</v>
      </c>
      <c r="I573" s="175">
        <f>SUMIFS(Table1[Estimação (horas)],Table1[Tabela],Plano_V3!E573,Table1[Campo],Plano_V3!F573)</f>
        <v>4.0999999999999996</v>
      </c>
      <c r="J573" s="175">
        <f t="shared" si="349"/>
        <v>0.51249999999999996</v>
      </c>
      <c r="K573" s="175">
        <f>SUMIFS(Table1[Horas efetivas],Table1[Tabela],Plano_V3!E573,Table1[Campo],Plano_V3!F573)</f>
        <v>4.0999999999999996</v>
      </c>
      <c r="L573" s="175">
        <f t="shared" si="350"/>
        <v>0.51249999999999996</v>
      </c>
      <c r="M573" s="177"/>
      <c r="N573" s="177">
        <f t="shared" si="351"/>
        <v>1</v>
      </c>
      <c r="O573" s="177"/>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c r="A574" s="29" t="str">
        <f t="shared" si="348"/>
        <v>lt003_entityenblng_trnvr_cca</v>
      </c>
      <c r="B574" s="67" t="s">
        <v>26</v>
      </c>
      <c r="C574" s="68" t="s">
        <v>26</v>
      </c>
      <c r="D574" s="64" t="s">
        <v>40</v>
      </c>
      <c r="E574" s="70" t="s">
        <v>335</v>
      </c>
      <c r="F574" s="71" t="s">
        <v>348</v>
      </c>
      <c r="G574" s="64" t="str">
        <f>INDEX(Auxiliar!$B$16:$B$24,MATCH(Plano_V3!H574,Auxiliar!$C$16:$C$24,0),1)</f>
        <v>1. Concluído</v>
      </c>
      <c r="H574" s="64">
        <f>VLOOKUP(A574,'Aux - pivots1'!$A:$B,2,0)</f>
        <v>1</v>
      </c>
      <c r="I574" s="175">
        <f>SUMIFS(Table1[Estimação (horas)],Table1[Tabela],Plano_V3!E574,Table1[Campo],Plano_V3!F574)</f>
        <v>4.0999999999999996</v>
      </c>
      <c r="J574" s="175">
        <f t="shared" si="349"/>
        <v>0.51249999999999996</v>
      </c>
      <c r="K574" s="175">
        <f>SUMIFS(Table1[Horas efetivas],Table1[Tabela],Plano_V3!E574,Table1[Campo],Plano_V3!F574)</f>
        <v>4.0999999999999996</v>
      </c>
      <c r="L574" s="175">
        <f t="shared" si="350"/>
        <v>0.51249999999999996</v>
      </c>
      <c r="M574" s="177"/>
      <c r="N574" s="177">
        <f t="shared" si="351"/>
        <v>1</v>
      </c>
      <c r="O574" s="177"/>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c r="A575" s="29" t="str">
        <f t="shared" si="348"/>
        <v>lt003_entitytrnstnl_trnvr</v>
      </c>
      <c r="B575" s="67" t="s">
        <v>26</v>
      </c>
      <c r="C575" s="68" t="s">
        <v>26</v>
      </c>
      <c r="D575" s="64" t="s">
        <v>40</v>
      </c>
      <c r="E575" s="70" t="s">
        <v>335</v>
      </c>
      <c r="F575" s="71" t="s">
        <v>349</v>
      </c>
      <c r="G575" s="64" t="str">
        <f>INDEX(Auxiliar!$B$16:$B$24,MATCH(Plano_V3!H575,Auxiliar!$C$16:$C$24,0),1)</f>
        <v>1. Concluído</v>
      </c>
      <c r="H575" s="64">
        <f>VLOOKUP(A575,'Aux - pivots1'!$A:$B,2,0)</f>
        <v>1</v>
      </c>
      <c r="I575" s="175">
        <f>SUMIFS(Table1[Estimação (horas)],Table1[Tabela],Plano_V3!E575,Table1[Campo],Plano_V3!F575)</f>
        <v>4.0999999999999996</v>
      </c>
      <c r="J575" s="175">
        <f t="shared" si="349"/>
        <v>0.51249999999999996</v>
      </c>
      <c r="K575" s="175">
        <f>SUMIFS(Table1[Horas efetivas],Table1[Tabela],Plano_V3!E575,Table1[Campo],Plano_V3!F575)</f>
        <v>4.0999999999999996</v>
      </c>
      <c r="L575" s="175">
        <f t="shared" si="350"/>
        <v>0.51249999999999996</v>
      </c>
      <c r="M575" s="177"/>
      <c r="N575" s="177">
        <f t="shared" si="351"/>
        <v>1</v>
      </c>
      <c r="O575" s="177"/>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c r="A576" s="29" t="str">
        <f t="shared" si="348"/>
        <v>lt003_entitypure_trnvr_ccm</v>
      </c>
      <c r="B576" s="67" t="s">
        <v>26</v>
      </c>
      <c r="C576" s="68" t="s">
        <v>26</v>
      </c>
      <c r="D576" s="64" t="s">
        <v>40</v>
      </c>
      <c r="E576" s="70" t="s">
        <v>335</v>
      </c>
      <c r="F576" s="71" t="s">
        <v>350</v>
      </c>
      <c r="G576" s="64" t="str">
        <f>INDEX(Auxiliar!$B$16:$B$24,MATCH(Plano_V3!H576,Auxiliar!$C$16:$C$24,0),1)</f>
        <v>1. Concluído</v>
      </c>
      <c r="H576" s="64">
        <f>VLOOKUP(A576,'Aux - pivots1'!$A:$B,2,0)</f>
        <v>1</v>
      </c>
      <c r="I576" s="175">
        <f>SUMIFS(Table1[Estimação (horas)],Table1[Tabela],Plano_V3!E576,Table1[Campo],Plano_V3!F576)</f>
        <v>4.0999999999999996</v>
      </c>
      <c r="J576" s="175">
        <f t="shared" si="349"/>
        <v>0.51249999999999996</v>
      </c>
      <c r="K576" s="175">
        <f>SUMIFS(Table1[Horas efetivas],Table1[Tabela],Plano_V3!E576,Table1[Campo],Plano_V3!F576)</f>
        <v>4.0999999999999996</v>
      </c>
      <c r="L576" s="175">
        <f t="shared" si="350"/>
        <v>0.51249999999999996</v>
      </c>
      <c r="M576" s="177"/>
      <c r="N576" s="177">
        <f t="shared" si="351"/>
        <v>1</v>
      </c>
      <c r="O576" s="177"/>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c r="A577" s="29" t="str">
        <f t="shared" si="348"/>
        <v>lt003_entitypure_trnvr_cca</v>
      </c>
      <c r="B577" s="67" t="s">
        <v>26</v>
      </c>
      <c r="C577" s="68" t="s">
        <v>26</v>
      </c>
      <c r="D577" s="64" t="s">
        <v>40</v>
      </c>
      <c r="E577" s="70" t="s">
        <v>335</v>
      </c>
      <c r="F577" s="71" t="s">
        <v>351</v>
      </c>
      <c r="G577" s="64" t="str">
        <f>INDEX(Auxiliar!$B$16:$B$24,MATCH(Plano_V3!H577,Auxiliar!$C$16:$C$24,0),1)</f>
        <v>1. Concluído</v>
      </c>
      <c r="H577" s="64">
        <f>VLOOKUP(A577,'Aux - pivots1'!$A:$B,2,0)</f>
        <v>1</v>
      </c>
      <c r="I577" s="175">
        <f>SUMIFS(Table1[Estimação (horas)],Table1[Tabela],Plano_V3!E577,Table1[Campo],Plano_V3!F577)</f>
        <v>4.0999999999999996</v>
      </c>
      <c r="J577" s="175">
        <f t="shared" si="349"/>
        <v>0.51249999999999996</v>
      </c>
      <c r="K577" s="175">
        <f>SUMIFS(Table1[Horas efetivas],Table1[Tabela],Plano_V3!E577,Table1[Campo],Plano_V3!F577)</f>
        <v>4.0999999999999996</v>
      </c>
      <c r="L577" s="175">
        <f t="shared" si="350"/>
        <v>0.51249999999999996</v>
      </c>
      <c r="M577" s="177"/>
      <c r="N577" s="177">
        <f t="shared" si="351"/>
        <v>1</v>
      </c>
      <c r="O577" s="177"/>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c r="A578" s="29" t="str">
        <f t="shared" si="348"/>
        <v>lt003_entityflg_nfrd_applcblty</v>
      </c>
      <c r="B578" s="67" t="s">
        <v>26</v>
      </c>
      <c r="C578" s="68" t="s">
        <v>26</v>
      </c>
      <c r="D578" s="64" t="s">
        <v>40</v>
      </c>
      <c r="E578" s="70" t="s">
        <v>335</v>
      </c>
      <c r="F578" s="71" t="s">
        <v>352</v>
      </c>
      <c r="G578" s="64" t="str">
        <f>INDEX(Auxiliar!$B$16:$B$24,MATCH(Plano_V3!H578,Auxiliar!$C$16:$C$24,0),1)</f>
        <v>1. Concluído</v>
      </c>
      <c r="H578" s="64">
        <f>VLOOKUP(A578,'Aux - pivots1'!$A:$B,2,0)</f>
        <v>1</v>
      </c>
      <c r="I578" s="175">
        <f>SUMIFS(Table1[Estimação (horas)],Table1[Tabela],Plano_V3!E578,Table1[Campo],Plano_V3!F578)</f>
        <v>4.0999999999999996</v>
      </c>
      <c r="J578" s="175">
        <f t="shared" si="349"/>
        <v>0.51249999999999996</v>
      </c>
      <c r="K578" s="175">
        <f>SUMIFS(Table1[Horas efetivas],Table1[Tabela],Plano_V3!E578,Table1[Campo],Plano_V3!F578)</f>
        <v>4.0999999999999996</v>
      </c>
      <c r="L578" s="175">
        <f t="shared" si="350"/>
        <v>0.51249999999999996</v>
      </c>
      <c r="M578" s="177"/>
      <c r="N578" s="177">
        <f t="shared" si="351"/>
        <v>1</v>
      </c>
      <c r="O578" s="177"/>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c r="A579" s="29" t="str">
        <f t="shared" si="348"/>
        <v>lt003_entitycntrprty_emssns_scp1</v>
      </c>
      <c r="B579" s="67" t="s">
        <v>26</v>
      </c>
      <c r="C579" s="68" t="s">
        <v>26</v>
      </c>
      <c r="D579" s="64" t="s">
        <v>40</v>
      </c>
      <c r="E579" s="70" t="s">
        <v>335</v>
      </c>
      <c r="F579" s="71" t="s">
        <v>353</v>
      </c>
      <c r="G579" s="64" t="str">
        <f>INDEX(Auxiliar!$B$16:$B$24,MATCH(Plano_V3!H579,Auxiliar!$C$16:$C$24,0),1)</f>
        <v>1. Concluído</v>
      </c>
      <c r="H579" s="64">
        <f>VLOOKUP(A579,'Aux - pivots1'!$A:$B,2,0)</f>
        <v>1</v>
      </c>
      <c r="I579" s="175">
        <f>SUMIFS(Table1[Estimação (horas)],Table1[Tabela],Plano_V3!E579,Table1[Campo],Plano_V3!F579)</f>
        <v>4.0999999999999996</v>
      </c>
      <c r="J579" s="175">
        <f t="shared" si="349"/>
        <v>0.51249999999999996</v>
      </c>
      <c r="K579" s="175">
        <f>SUMIFS(Table1[Horas efetivas],Table1[Tabela],Plano_V3!E579,Table1[Campo],Plano_V3!F579)</f>
        <v>4.0999999999999996</v>
      </c>
      <c r="L579" s="175">
        <f t="shared" si="350"/>
        <v>0.51249999999999996</v>
      </c>
      <c r="M579" s="177"/>
      <c r="N579" s="177">
        <f t="shared" si="351"/>
        <v>1</v>
      </c>
      <c r="O579" s="177"/>
      <c r="P579" s="87" t="s">
        <v>337</v>
      </c>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c r="A580" s="29" t="str">
        <f t="shared" si="348"/>
        <v>lt003_entitycntrprty_emssns_scp2</v>
      </c>
      <c r="B580" s="67" t="s">
        <v>26</v>
      </c>
      <c r="C580" s="68" t="s">
        <v>26</v>
      </c>
      <c r="D580" s="64" t="s">
        <v>40</v>
      </c>
      <c r="E580" s="70" t="s">
        <v>335</v>
      </c>
      <c r="F580" s="71" t="s">
        <v>354</v>
      </c>
      <c r="G580" s="64" t="str">
        <f>INDEX(Auxiliar!$B$16:$B$24,MATCH(Plano_V3!H580,Auxiliar!$C$16:$C$24,0),1)</f>
        <v>1. Concluído</v>
      </c>
      <c r="H580" s="64">
        <f>VLOOKUP(A580,'Aux - pivots1'!$A:$B,2,0)</f>
        <v>1</v>
      </c>
      <c r="I580" s="175">
        <f>SUMIFS(Table1[Estimação (horas)],Table1[Tabela],Plano_V3!E580,Table1[Campo],Plano_V3!F580)</f>
        <v>4.0999999999999996</v>
      </c>
      <c r="J580" s="175">
        <f t="shared" si="349"/>
        <v>0.51249999999999996</v>
      </c>
      <c r="K580" s="175">
        <f>SUMIFS(Table1[Horas efetivas],Table1[Tabela],Plano_V3!E580,Table1[Campo],Plano_V3!F580)</f>
        <v>4.0999999999999996</v>
      </c>
      <c r="L580" s="175">
        <f t="shared" si="350"/>
        <v>0.51249999999999996</v>
      </c>
      <c r="M580" s="177"/>
      <c r="N580" s="177">
        <f t="shared" si="351"/>
        <v>1</v>
      </c>
      <c r="O580" s="177"/>
      <c r="P580" s="87" t="s">
        <v>337</v>
      </c>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c r="A581" s="29" t="str">
        <f t="shared" si="348"/>
        <v>lt003_entitycntrprty_emssns_scp3</v>
      </c>
      <c r="B581" s="67" t="s">
        <v>26</v>
      </c>
      <c r="C581" s="68" t="s">
        <v>26</v>
      </c>
      <c r="D581" s="64" t="s">
        <v>40</v>
      </c>
      <c r="E581" s="70" t="s">
        <v>335</v>
      </c>
      <c r="F581" s="71" t="s">
        <v>355</v>
      </c>
      <c r="G581" s="64" t="str">
        <f>INDEX(Auxiliar!$B$16:$B$24,MATCH(Plano_V3!H581,Auxiliar!$C$16:$C$24,0),1)</f>
        <v>1. Concluído</v>
      </c>
      <c r="H581" s="64">
        <f>VLOOKUP(A581,'Aux - pivots1'!$A:$B,2,0)</f>
        <v>1</v>
      </c>
      <c r="I581" s="175">
        <f>SUMIFS(Table1[Estimação (horas)],Table1[Tabela],Plano_V3!E581,Table1[Campo],Plano_V3!F581)</f>
        <v>4.0999999999999996</v>
      </c>
      <c r="J581" s="175">
        <f t="shared" si="349"/>
        <v>0.51249999999999996</v>
      </c>
      <c r="K581" s="175">
        <f>SUMIFS(Table1[Horas efetivas],Table1[Tabela],Plano_V3!E581,Table1[Campo],Plano_V3!F581)</f>
        <v>4.0999999999999996</v>
      </c>
      <c r="L581" s="175">
        <f t="shared" si="350"/>
        <v>0.51249999999999996</v>
      </c>
      <c r="M581" s="177"/>
      <c r="N581" s="177">
        <f t="shared" si="351"/>
        <v>1</v>
      </c>
      <c r="O581" s="177"/>
      <c r="P581" s="87" t="s">
        <v>337</v>
      </c>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c r="A582" s="29" t="str">
        <f t="shared" si="348"/>
        <v>lt003_entityflg_excldd_eu_prs_algnd_bnchmrk</v>
      </c>
      <c r="B582" s="67" t="s">
        <v>26</v>
      </c>
      <c r="C582" s="68" t="s">
        <v>26</v>
      </c>
      <c r="D582" s="64" t="s">
        <v>40</v>
      </c>
      <c r="E582" s="70" t="s">
        <v>335</v>
      </c>
      <c r="F582" s="71" t="s">
        <v>356</v>
      </c>
      <c r="G582" s="64" t="str">
        <f>INDEX(Auxiliar!$B$16:$B$24,MATCH(Plano_V3!H582,Auxiliar!$C$16:$C$24,0),1)</f>
        <v>1. Concluído</v>
      </c>
      <c r="H582" s="64">
        <f>VLOOKUP(A582,'Aux - pivots1'!$A:$B,2,0)</f>
        <v>1</v>
      </c>
      <c r="I582" s="175">
        <f>SUMIFS(Table1[Estimação (horas)],Table1[Tabela],Plano_V3!E582,Table1[Campo],Plano_V3!F582)</f>
        <v>4.0999999999999996</v>
      </c>
      <c r="J582" s="175">
        <f t="shared" si="349"/>
        <v>0.51249999999999996</v>
      </c>
      <c r="K582" s="175">
        <f>SUMIFS(Table1[Horas efetivas],Table1[Tabela],Plano_V3!E582,Table1[Campo],Plano_V3!F582)</f>
        <v>4.0999999999999996</v>
      </c>
      <c r="L582" s="175">
        <f t="shared" si="350"/>
        <v>0.51249999999999996</v>
      </c>
      <c r="M582" s="177"/>
      <c r="N582" s="177">
        <f t="shared" si="351"/>
        <v>1</v>
      </c>
      <c r="O582" s="177"/>
      <c r="P582" s="87" t="s">
        <v>337</v>
      </c>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c r="A583" s="29" t="str">
        <f t="shared" si="348"/>
        <v>lt003_entityflg_act_physcl_rsk</v>
      </c>
      <c r="B583" s="67" t="s">
        <v>26</v>
      </c>
      <c r="C583" s="68" t="s">
        <v>26</v>
      </c>
      <c r="D583" s="64" t="s">
        <v>40</v>
      </c>
      <c r="E583" s="70" t="s">
        <v>335</v>
      </c>
      <c r="F583" s="71" t="s">
        <v>357</v>
      </c>
      <c r="G583" s="64" t="str">
        <f>INDEX(Auxiliar!$B$16:$B$24,MATCH(Plano_V3!H583,Auxiliar!$C$16:$C$24,0),1)</f>
        <v xml:space="preserve">6. Em implementação </v>
      </c>
      <c r="H583" s="64">
        <f>VLOOKUP(A583,'Aux - pivots1'!$A:$B,2,0)</f>
        <v>7</v>
      </c>
      <c r="I583" s="175">
        <f>SUMIFS(Table1[Estimação (horas)],Table1[Tabela],Plano_V3!E583,Table1[Campo],Plano_V3!F583)</f>
        <v>4.0999999999999996</v>
      </c>
      <c r="J583" s="175">
        <f t="shared" si="349"/>
        <v>0.51249999999999996</v>
      </c>
      <c r="K583" s="175">
        <f>SUMIFS(Table1[Horas efetivas],Table1[Tabela],Plano_V3!E583,Table1[Campo],Plano_V3!F583)</f>
        <v>1.0249999999999999</v>
      </c>
      <c r="L583" s="175">
        <f t="shared" si="350"/>
        <v>0.12812499999999999</v>
      </c>
      <c r="M583" s="177"/>
      <c r="N583" s="177">
        <f t="shared" si="351"/>
        <v>0.25</v>
      </c>
      <c r="O583" s="177"/>
      <c r="P583" s="87" t="s">
        <v>337</v>
      </c>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c r="A584" s="29" t="str">
        <f t="shared" si="348"/>
        <v>lt003_entityflg_chrnc_physcl_rsk</v>
      </c>
      <c r="B584" s="67" t="s">
        <v>26</v>
      </c>
      <c r="C584" s="68" t="s">
        <v>26</v>
      </c>
      <c r="D584" s="64" t="s">
        <v>40</v>
      </c>
      <c r="E584" s="70" t="s">
        <v>335</v>
      </c>
      <c r="F584" s="71" t="s">
        <v>358</v>
      </c>
      <c r="G584" s="64" t="str">
        <f>INDEX(Auxiliar!$B$16:$B$24,MATCH(Plano_V3!H584,Auxiliar!$C$16:$C$24,0),1)</f>
        <v xml:space="preserve">6. Em implementação </v>
      </c>
      <c r="H584" s="64">
        <f>VLOOKUP(A584,'Aux - pivots1'!$A:$B,2,0)</f>
        <v>7</v>
      </c>
      <c r="I584" s="175">
        <f>SUMIFS(Table1[Estimação (horas)],Table1[Tabela],Plano_V3!E584,Table1[Campo],Plano_V3!F584)</f>
        <v>4.0999999999999996</v>
      </c>
      <c r="J584" s="175">
        <f t="shared" si="349"/>
        <v>0.51249999999999996</v>
      </c>
      <c r="K584" s="175">
        <f>SUMIFS(Table1[Horas efetivas],Table1[Tabela],Plano_V3!E584,Table1[Campo],Plano_V3!F584)</f>
        <v>1.0249999999999999</v>
      </c>
      <c r="L584" s="175">
        <f t="shared" si="350"/>
        <v>0.12812499999999999</v>
      </c>
      <c r="M584" s="177"/>
      <c r="N584" s="177">
        <f t="shared" si="351"/>
        <v>0.25</v>
      </c>
      <c r="O584" s="177"/>
      <c r="P584" s="87" t="s">
        <v>337</v>
      </c>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c r="A585" s="29" t="str">
        <f t="shared" si="348"/>
        <v>lt003_entitypst_cd</v>
      </c>
      <c r="B585" s="67" t="s">
        <v>26</v>
      </c>
      <c r="C585" s="68" t="s">
        <v>26</v>
      </c>
      <c r="D585" s="64" t="s">
        <v>40</v>
      </c>
      <c r="E585" s="70" t="s">
        <v>335</v>
      </c>
      <c r="F585" s="71" t="s">
        <v>359</v>
      </c>
      <c r="G585" s="64" t="str">
        <f>INDEX(Auxiliar!$B$16:$B$24,MATCH(Plano_V3!H585,Auxiliar!$C$16:$C$24,0),1)</f>
        <v>1. Concluído</v>
      </c>
      <c r="H585" s="64">
        <f>VLOOKUP(A585,'Aux - pivots1'!$A:$B,2,0)</f>
        <v>1</v>
      </c>
      <c r="I585" s="175">
        <f>SUMIFS(Table1[Estimação (horas)],Table1[Tabela],Plano_V3!E585,Table1[Campo],Plano_V3!F585)</f>
        <v>4.0999999999999996</v>
      </c>
      <c r="J585" s="175">
        <f t="shared" si="349"/>
        <v>0.51249999999999996</v>
      </c>
      <c r="K585" s="175">
        <f>SUMIFS(Table1[Horas efetivas],Table1[Tabela],Plano_V3!E585,Table1[Campo],Plano_V3!F585)</f>
        <v>4.0999999999999996</v>
      </c>
      <c r="L585" s="175">
        <f t="shared" si="350"/>
        <v>0.51249999999999996</v>
      </c>
      <c r="M585" s="177"/>
      <c r="N585" s="177">
        <f t="shared" si="351"/>
        <v>1</v>
      </c>
      <c r="O585" s="177"/>
      <c r="P585" s="87" t="s">
        <v>337</v>
      </c>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c r="A586" s="29" t="str">
        <f t="shared" si="348"/>
        <v>lt003_entityesg_sbsctr</v>
      </c>
      <c r="B586" s="67" t="s">
        <v>26</v>
      </c>
      <c r="C586" s="68" t="s">
        <v>26</v>
      </c>
      <c r="D586" s="64" t="s">
        <v>40</v>
      </c>
      <c r="E586" s="70" t="s">
        <v>335</v>
      </c>
      <c r="F586" s="71" t="s">
        <v>360</v>
      </c>
      <c r="G586" s="64" t="str">
        <f>INDEX(Auxiliar!$B$16:$B$24,MATCH(Plano_V3!H586,Auxiliar!$C$16:$C$24,0),1)</f>
        <v xml:space="preserve">6. Em implementação </v>
      </c>
      <c r="H586" s="64">
        <f>VLOOKUP(A586,'Aux - pivots1'!$A:$B,2,0)</f>
        <v>7</v>
      </c>
      <c r="I586" s="175">
        <f>SUMIFS(Table1[Estimação (horas)],Table1[Tabela],Plano_V3!E586,Table1[Campo],Plano_V3!F586)</f>
        <v>4.0999999999999996</v>
      </c>
      <c r="J586" s="175">
        <f t="shared" si="349"/>
        <v>0.51249999999999996</v>
      </c>
      <c r="K586" s="175">
        <f>SUMIFS(Table1[Horas efetivas],Table1[Tabela],Plano_V3!E586,Table1[Campo],Plano_V3!F586)</f>
        <v>1.0249999999999999</v>
      </c>
      <c r="L586" s="175">
        <f t="shared" si="350"/>
        <v>0.12812499999999999</v>
      </c>
      <c r="M586" s="177"/>
      <c r="N586" s="177">
        <f t="shared" si="351"/>
        <v>0.25</v>
      </c>
      <c r="O586" s="177"/>
      <c r="P586" s="87" t="s">
        <v>337</v>
      </c>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c r="A587" s="29" t="str">
        <f t="shared" si="348"/>
        <v>lt003_entityttl_lblty</v>
      </c>
      <c r="B587" s="67" t="s">
        <v>26</v>
      </c>
      <c r="C587" s="68" t="s">
        <v>26</v>
      </c>
      <c r="D587" s="64" t="s">
        <v>40</v>
      </c>
      <c r="E587" s="70" t="s">
        <v>335</v>
      </c>
      <c r="F587" s="71" t="s">
        <v>361</v>
      </c>
      <c r="G587" s="64" t="str">
        <f>INDEX(Auxiliar!$B$16:$B$24,MATCH(Plano_V3!H587,Auxiliar!$C$16:$C$24,0),1)</f>
        <v>1. Concluído</v>
      </c>
      <c r="H587" s="64">
        <f>VLOOKUP(A587,'Aux - pivots1'!$A:$B,2,0)</f>
        <v>1</v>
      </c>
      <c r="I587" s="175">
        <f>SUMIFS(Table1[Estimação (horas)],Table1[Tabela],Plano_V3!E587,Table1[Campo],Plano_V3!F587)</f>
        <v>4.0999999999999996</v>
      </c>
      <c r="J587" s="175">
        <f t="shared" si="349"/>
        <v>0.51249999999999996</v>
      </c>
      <c r="K587" s="175">
        <f>SUMIFS(Table1[Horas efetivas],Table1[Tabela],Plano_V3!E587,Table1[Campo],Plano_V3!F587)</f>
        <v>4.0999999999999996</v>
      </c>
      <c r="L587" s="175">
        <f t="shared" si="350"/>
        <v>0.51249999999999996</v>
      </c>
      <c r="M587" s="177"/>
      <c r="N587" s="177">
        <f t="shared" si="351"/>
        <v>1</v>
      </c>
      <c r="O587" s="177"/>
      <c r="P587" s="87" t="s">
        <v>337</v>
      </c>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c r="A588" s="29" t="str">
        <f t="shared" si="348"/>
        <v>lt003_entityisin</v>
      </c>
      <c r="B588" s="67" t="s">
        <v>26</v>
      </c>
      <c r="C588" s="68" t="s">
        <v>26</v>
      </c>
      <c r="D588" s="64" t="s">
        <v>40</v>
      </c>
      <c r="E588" s="70" t="s">
        <v>335</v>
      </c>
      <c r="F588" s="71" t="s">
        <v>238</v>
      </c>
      <c r="G588" s="64" t="str">
        <f>INDEX(Auxiliar!$B$16:$B$24,MATCH(Plano_V3!H588,Auxiliar!$C$16:$C$24,0),1)</f>
        <v>1. Concluído</v>
      </c>
      <c r="H588" s="64">
        <f>VLOOKUP(A588,'Aux - pivots1'!$A:$B,2,0)</f>
        <v>1</v>
      </c>
      <c r="I588" s="175">
        <f>SUMIFS(Table1[Estimação (horas)],Table1[Tabela],Plano_V3!E588,Table1[Campo],Plano_V3!F588)</f>
        <v>4.0999999999999996</v>
      </c>
      <c r="J588" s="175">
        <f t="shared" si="349"/>
        <v>0.51249999999999996</v>
      </c>
      <c r="K588" s="175">
        <f>SUMIFS(Table1[Horas efetivas],Table1[Tabela],Plano_V3!E588,Table1[Campo],Plano_V3!F588)</f>
        <v>4.0999999999999996</v>
      </c>
      <c r="L588" s="175">
        <f t="shared" si="350"/>
        <v>0.51249999999999996</v>
      </c>
      <c r="M588" s="177"/>
      <c r="N588" s="177">
        <f t="shared" si="351"/>
        <v>1</v>
      </c>
      <c r="O588" s="177"/>
      <c r="P588" s="87" t="s">
        <v>337</v>
      </c>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c r="A589" s="29" t="str">
        <f t="shared" si="348"/>
        <v>lt003_entitygrp_annl_trnvr_le</v>
      </c>
      <c r="B589" s="67" t="s">
        <v>26</v>
      </c>
      <c r="C589" s="68" t="s">
        <v>26</v>
      </c>
      <c r="D589" s="64" t="s">
        <v>40</v>
      </c>
      <c r="E589" s="70" t="s">
        <v>335</v>
      </c>
      <c r="F589" s="71" t="s">
        <v>362</v>
      </c>
      <c r="G589" s="64" t="str">
        <f>INDEX(Auxiliar!$B$16:$B$24,MATCH(Plano_V3!H589,Auxiliar!$C$16:$C$24,0),1)</f>
        <v>1. Concluído</v>
      </c>
      <c r="H589" s="64">
        <f>VLOOKUP(A589,'Aux - pivots1'!$A:$B,2,0)</f>
        <v>1</v>
      </c>
      <c r="I589" s="175">
        <f>SUMIFS(Table1[Estimação (horas)],Table1[Tabela],Plano_V3!E589,Table1[Campo],Plano_V3!F589)</f>
        <v>4.0999999999999996</v>
      </c>
      <c r="J589" s="175">
        <f t="shared" si="349"/>
        <v>0.51249999999999996</v>
      </c>
      <c r="K589" s="175">
        <f>SUMIFS(Table1[Horas efetivas],Table1[Tabela],Plano_V3!E589,Table1[Campo],Plano_V3!F589)</f>
        <v>4.0999999999999996</v>
      </c>
      <c r="L589" s="175">
        <f t="shared" si="350"/>
        <v>0.51249999999999996</v>
      </c>
      <c r="M589" s="177"/>
      <c r="N589" s="177">
        <f t="shared" si="351"/>
        <v>1</v>
      </c>
      <c r="O589" s="177"/>
      <c r="P589" s="87" t="s">
        <v>337</v>
      </c>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c r="A590" s="29" t="str">
        <f t="shared" si="348"/>
        <v>lt003_entitygrp_ttl_lblty</v>
      </c>
      <c r="B590" s="67" t="s">
        <v>26</v>
      </c>
      <c r="C590" s="68" t="s">
        <v>26</v>
      </c>
      <c r="D590" s="64" t="s">
        <v>40</v>
      </c>
      <c r="E590" s="70" t="s">
        <v>335</v>
      </c>
      <c r="F590" s="71" t="s">
        <v>363</v>
      </c>
      <c r="G590" s="64" t="str">
        <f>INDEX(Auxiliar!$B$16:$B$24,MATCH(Plano_V3!H590,Auxiliar!$C$16:$C$24,0),1)</f>
        <v>1. Concluído</v>
      </c>
      <c r="H590" s="64">
        <f>VLOOKUP(A590,'Aux - pivots1'!$A:$B,2,0)</f>
        <v>1</v>
      </c>
      <c r="I590" s="175">
        <f>SUMIFS(Table1[Estimação (horas)],Table1[Tabela],Plano_V3!E590,Table1[Campo],Plano_V3!F590)</f>
        <v>4.0999999999999996</v>
      </c>
      <c r="J590" s="175">
        <f t="shared" si="349"/>
        <v>0.51249999999999996</v>
      </c>
      <c r="K590" s="175">
        <f>SUMIFS(Table1[Horas efetivas],Table1[Tabela],Plano_V3!E590,Table1[Campo],Plano_V3!F590)</f>
        <v>4.0999999999999996</v>
      </c>
      <c r="L590" s="175">
        <f t="shared" si="350"/>
        <v>0.51249999999999996</v>
      </c>
      <c r="M590" s="177"/>
      <c r="N590" s="177">
        <f t="shared" si="351"/>
        <v>1</v>
      </c>
      <c r="O590" s="177"/>
      <c r="P590" s="87" t="s">
        <v>337</v>
      </c>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c r="A591" s="29" t="str">
        <f t="shared" si="348"/>
        <v>lt003_entityflg_grp_nfrd_applcblty</v>
      </c>
      <c r="B591" s="67" t="s">
        <v>26</v>
      </c>
      <c r="C591" s="68" t="s">
        <v>26</v>
      </c>
      <c r="D591" s="64" t="s">
        <v>40</v>
      </c>
      <c r="E591" s="70" t="s">
        <v>335</v>
      </c>
      <c r="F591" s="71" t="s">
        <v>364</v>
      </c>
      <c r="G591" s="64" t="str">
        <f>INDEX(Auxiliar!$B$16:$B$24,MATCH(Plano_V3!H591,Auxiliar!$C$16:$C$24,0),1)</f>
        <v>1. Concluído</v>
      </c>
      <c r="H591" s="64">
        <f>VLOOKUP(A591,'Aux - pivots1'!$A:$B,2,0)</f>
        <v>1</v>
      </c>
      <c r="I591" s="175">
        <f>SUMIFS(Table1[Estimação (horas)],Table1[Tabela],Plano_V3!E591,Table1[Campo],Plano_V3!F591)</f>
        <v>4.0999999999999996</v>
      </c>
      <c r="J591" s="175">
        <f t="shared" si="349"/>
        <v>0.51249999999999996</v>
      </c>
      <c r="K591" s="175">
        <f>SUMIFS(Table1[Horas efetivas],Table1[Tabela],Plano_V3!E591,Table1[Campo],Plano_V3!F591)</f>
        <v>4.0999999999999996</v>
      </c>
      <c r="L591" s="175">
        <f t="shared" si="350"/>
        <v>0.51249999999999996</v>
      </c>
      <c r="M591" s="177"/>
      <c r="N591" s="177">
        <f t="shared" si="351"/>
        <v>1</v>
      </c>
      <c r="O591" s="177"/>
      <c r="P591" s="87" t="s">
        <v>337</v>
      </c>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c r="A592" s="29" t="str">
        <f t="shared" si="348"/>
        <v>lt003_entitygrp_emssns_scp1</v>
      </c>
      <c r="B592" s="67" t="s">
        <v>26</v>
      </c>
      <c r="C592" s="68" t="s">
        <v>26</v>
      </c>
      <c r="D592" s="64" t="s">
        <v>40</v>
      </c>
      <c r="E592" s="70" t="s">
        <v>335</v>
      </c>
      <c r="F592" s="71" t="s">
        <v>365</v>
      </c>
      <c r="G592" s="64" t="str">
        <f>INDEX(Auxiliar!$B$16:$B$24,MATCH(Plano_V3!H592,Auxiliar!$C$16:$C$24,0),1)</f>
        <v>1. Concluído</v>
      </c>
      <c r="H592" s="64">
        <f>VLOOKUP(A592,'Aux - pivots1'!$A:$B,2,0)</f>
        <v>1</v>
      </c>
      <c r="I592" s="175">
        <f>SUMIFS(Table1[Estimação (horas)],Table1[Tabela],Plano_V3!E592,Table1[Campo],Plano_V3!F592)</f>
        <v>4.0999999999999996</v>
      </c>
      <c r="J592" s="175">
        <f t="shared" si="349"/>
        <v>0.51249999999999996</v>
      </c>
      <c r="K592" s="175">
        <f>SUMIFS(Table1[Horas efetivas],Table1[Tabela],Plano_V3!E592,Table1[Campo],Plano_V3!F592)</f>
        <v>4.0999999999999996</v>
      </c>
      <c r="L592" s="175">
        <f t="shared" si="350"/>
        <v>0.51249999999999996</v>
      </c>
      <c r="M592" s="177"/>
      <c r="N592" s="177">
        <f t="shared" si="351"/>
        <v>1</v>
      </c>
      <c r="O592" s="177"/>
      <c r="P592" s="87" t="s">
        <v>337</v>
      </c>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c r="A593" s="29" t="str">
        <f t="shared" ref="A593:A719" si="352">E593&amp;F593</f>
        <v>lt003_entitygrp_emssns_scp2</v>
      </c>
      <c r="B593" s="67" t="s">
        <v>26</v>
      </c>
      <c r="C593" s="68" t="s">
        <v>26</v>
      </c>
      <c r="D593" s="64" t="s">
        <v>40</v>
      </c>
      <c r="E593" s="70" t="s">
        <v>335</v>
      </c>
      <c r="F593" s="71" t="s">
        <v>366</v>
      </c>
      <c r="G593" s="64" t="str">
        <f>INDEX(Auxiliar!$B$16:$B$24,MATCH(Plano_V3!H593,Auxiliar!$C$16:$C$24,0),1)</f>
        <v>1. Concluído</v>
      </c>
      <c r="H593" s="64">
        <f>VLOOKUP(A593,'Aux - pivots1'!$A:$B,2,0)</f>
        <v>1</v>
      </c>
      <c r="I593" s="175">
        <f>SUMIFS(Table1[Estimação (horas)],Table1[Tabela],Plano_V3!E593,Table1[Campo],Plano_V3!F593)</f>
        <v>4.0999999999999996</v>
      </c>
      <c r="J593" s="175">
        <f t="shared" si="349"/>
        <v>0.51249999999999996</v>
      </c>
      <c r="K593" s="175">
        <f>SUMIFS(Table1[Horas efetivas],Table1[Tabela],Plano_V3!E593,Table1[Campo],Plano_V3!F593)</f>
        <v>4.0999999999999996</v>
      </c>
      <c r="L593" s="175">
        <f t="shared" si="350"/>
        <v>0.51249999999999996</v>
      </c>
      <c r="M593" s="177"/>
      <c r="N593" s="177">
        <f t="shared" si="351"/>
        <v>1</v>
      </c>
      <c r="O593" s="177"/>
      <c r="P593" s="87" t="s">
        <v>337</v>
      </c>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c r="A594" s="29" t="str">
        <f t="shared" si="352"/>
        <v>lt003_entitygrp_emssns_scp3</v>
      </c>
      <c r="B594" s="67" t="s">
        <v>26</v>
      </c>
      <c r="C594" s="68" t="s">
        <v>26</v>
      </c>
      <c r="D594" s="64" t="s">
        <v>40</v>
      </c>
      <c r="E594" s="70" t="s">
        <v>335</v>
      </c>
      <c r="F594" s="71" t="s">
        <v>367</v>
      </c>
      <c r="G594" s="64" t="str">
        <f>INDEX(Auxiliar!$B$16:$B$24,MATCH(Plano_V3!H594,Auxiliar!$C$16:$C$24,0),1)</f>
        <v>1. Concluído</v>
      </c>
      <c r="H594" s="64">
        <f>VLOOKUP(A594,'Aux - pivots1'!$A:$B,2,0)</f>
        <v>1</v>
      </c>
      <c r="I594" s="175">
        <f>SUMIFS(Table1[Estimação (horas)],Table1[Tabela],Plano_V3!E594,Table1[Campo],Plano_V3!F594)</f>
        <v>4.0999999999999996</v>
      </c>
      <c r="J594" s="175">
        <f t="shared" si="349"/>
        <v>0.51249999999999996</v>
      </c>
      <c r="K594" s="175">
        <f>SUMIFS(Table1[Horas efetivas],Table1[Tabela],Plano_V3!E594,Table1[Campo],Plano_V3!F594)</f>
        <v>4.0999999999999996</v>
      </c>
      <c r="L594" s="175">
        <f t="shared" si="350"/>
        <v>0.51249999999999996</v>
      </c>
      <c r="M594" s="177"/>
      <c r="N594" s="177">
        <f t="shared" si="351"/>
        <v>1</v>
      </c>
      <c r="O594" s="177"/>
      <c r="P594" s="87" t="s">
        <v>337</v>
      </c>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c r="A595" s="29" t="str">
        <f t="shared" si="352"/>
        <v>lt003_entityentty_nm</v>
      </c>
      <c r="B595" s="67" t="s">
        <v>26</v>
      </c>
      <c r="C595" s="68" t="s">
        <v>26</v>
      </c>
      <c r="D595" s="64" t="s">
        <v>40</v>
      </c>
      <c r="E595" s="70" t="s">
        <v>335</v>
      </c>
      <c r="F595" s="357" t="s">
        <v>2197</v>
      </c>
      <c r="G595" s="64" t="str">
        <f>INDEX(Auxiliar!$B$16:$B$24,MATCH(Plano_V3!H595,Auxiliar!$C$16:$C$24,0),1)</f>
        <v xml:space="preserve">6. Em implementação </v>
      </c>
      <c r="H595" s="64">
        <f>VLOOKUP(A595,'Aux - pivots1'!$A:$B,2,0)</f>
        <v>7</v>
      </c>
      <c r="I595" s="175">
        <f>SUMIFS(Table1[Estimação (horas)],Table1[Tabela],Plano_V3!E595,Table1[Campo],Plano_V3!F595)</f>
        <v>1</v>
      </c>
      <c r="J595" s="175">
        <f t="shared" ref="J595:J618" si="353">I595/8</f>
        <v>0.125</v>
      </c>
      <c r="K595" s="175">
        <f>SUMIFS(Table1[Horas efetivas],Table1[Tabela],Plano_V3!E595,Table1[Campo],Plano_V3!F595)</f>
        <v>0.25</v>
      </c>
      <c r="L595" s="175">
        <f t="shared" ref="L595:L618" si="354">K595/8</f>
        <v>3.125E-2</v>
      </c>
      <c r="M595" s="177"/>
      <c r="N595" s="177">
        <f t="shared" ref="N595:N618" si="355">L595/J595</f>
        <v>0.25</v>
      </c>
      <c r="O595" s="177"/>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c r="A596" s="29" t="str">
        <f t="shared" si="352"/>
        <v>lt003_entityec_grp_id</v>
      </c>
      <c r="B596" s="67" t="s">
        <v>26</v>
      </c>
      <c r="C596" s="68" t="s">
        <v>26</v>
      </c>
      <c r="D596" s="64" t="s">
        <v>40</v>
      </c>
      <c r="E596" s="70" t="s">
        <v>335</v>
      </c>
      <c r="F596" s="357" t="s">
        <v>2198</v>
      </c>
      <c r="G596" s="64" t="str">
        <f>INDEX(Auxiliar!$B$16:$B$24,MATCH(Plano_V3!H596,Auxiliar!$C$16:$C$24,0),1)</f>
        <v xml:space="preserve">6. Em implementação </v>
      </c>
      <c r="H596" s="64">
        <f>VLOOKUP(A596,'Aux - pivots1'!$A:$B,2,0)</f>
        <v>7</v>
      </c>
      <c r="I596" s="175">
        <f>SUMIFS(Table1[Estimação (horas)],Table1[Tabela],Plano_V3!E596,Table1[Campo],Plano_V3!F596)</f>
        <v>1</v>
      </c>
      <c r="J596" s="175">
        <f t="shared" si="353"/>
        <v>0.125</v>
      </c>
      <c r="K596" s="175">
        <f>SUMIFS(Table1[Horas efetivas],Table1[Tabela],Plano_V3!E596,Table1[Campo],Plano_V3!F596)</f>
        <v>0.25</v>
      </c>
      <c r="L596" s="175">
        <f t="shared" si="354"/>
        <v>3.125E-2</v>
      </c>
      <c r="M596" s="177"/>
      <c r="N596" s="177">
        <f t="shared" si="355"/>
        <v>0.25</v>
      </c>
      <c r="O596" s="177"/>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c r="A597" s="29" t="str">
        <f t="shared" si="352"/>
        <v>lt003_entityec_grp_nm</v>
      </c>
      <c r="B597" s="67" t="s">
        <v>26</v>
      </c>
      <c r="C597" s="68" t="s">
        <v>26</v>
      </c>
      <c r="D597" s="64" t="s">
        <v>40</v>
      </c>
      <c r="E597" s="70" t="s">
        <v>335</v>
      </c>
      <c r="F597" s="357" t="s">
        <v>2199</v>
      </c>
      <c r="G597" s="64" t="str">
        <f>INDEX(Auxiliar!$B$16:$B$24,MATCH(Plano_V3!H597,Auxiliar!$C$16:$C$24,0),1)</f>
        <v xml:space="preserve">6. Em implementação </v>
      </c>
      <c r="H597" s="64">
        <f>VLOOKUP(A597,'Aux - pivots1'!$A:$B,2,0)</f>
        <v>7</v>
      </c>
      <c r="I597" s="175">
        <f>SUMIFS(Table1[Estimação (horas)],Table1[Tabela],Plano_V3!E597,Table1[Campo],Plano_V3!F597)</f>
        <v>1</v>
      </c>
      <c r="J597" s="175">
        <f t="shared" si="353"/>
        <v>0.125</v>
      </c>
      <c r="K597" s="175">
        <f>SUMIFS(Table1[Horas efetivas],Table1[Tabela],Plano_V3!E597,Table1[Campo],Plano_V3!F597)</f>
        <v>0.25</v>
      </c>
      <c r="L597" s="175">
        <f t="shared" si="354"/>
        <v>3.125E-2</v>
      </c>
      <c r="M597" s="177"/>
      <c r="N597" s="177">
        <f t="shared" si="355"/>
        <v>0.25</v>
      </c>
      <c r="O597" s="177"/>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c r="A598" s="29" t="str">
        <f t="shared" si="352"/>
        <v>lt003_entitygrp_ecnmc_actvty</v>
      </c>
      <c r="B598" s="67" t="s">
        <v>26</v>
      </c>
      <c r="C598" s="68" t="s">
        <v>26</v>
      </c>
      <c r="D598" s="64" t="s">
        <v>40</v>
      </c>
      <c r="E598" s="70" t="s">
        <v>335</v>
      </c>
      <c r="F598" s="357" t="s">
        <v>2200</v>
      </c>
      <c r="G598" s="64" t="s">
        <v>2325</v>
      </c>
      <c r="H598" s="64">
        <f>VLOOKUP(A598,'Aux - pivots1'!$A:$B,2,0)</f>
        <v>7</v>
      </c>
      <c r="I598" s="175">
        <f>SUMIFS(Table1[Estimação (horas)],Table1[Tabela],Plano_V3!E598,Table1[Campo],Plano_V3!F598)</f>
        <v>1</v>
      </c>
      <c r="J598" s="175">
        <f t="shared" si="353"/>
        <v>0.125</v>
      </c>
      <c r="K598" s="175">
        <f>SUMIFS(Table1[Horas efetivas],Table1[Tabela],Plano_V3!E598,Table1[Campo],Plano_V3!F598)</f>
        <v>0.25</v>
      </c>
      <c r="L598" s="175">
        <f t="shared" si="354"/>
        <v>3.125E-2</v>
      </c>
      <c r="M598" s="177"/>
      <c r="N598" s="177">
        <f t="shared" si="355"/>
        <v>0.25</v>
      </c>
      <c r="O598" s="177"/>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c r="A599" s="29" t="str">
        <f t="shared" si="352"/>
        <v>lt003_entitytxnmy_elgbl_capex_w</v>
      </c>
      <c r="B599" s="67" t="s">
        <v>26</v>
      </c>
      <c r="C599" s="68" t="s">
        <v>26</v>
      </c>
      <c r="D599" s="64" t="s">
        <v>40</v>
      </c>
      <c r="E599" s="70" t="s">
        <v>335</v>
      </c>
      <c r="F599" s="357" t="s">
        <v>2201</v>
      </c>
      <c r="G599" s="64" t="str">
        <f>INDEX(Auxiliar!$B$16:$B$24,MATCH(Plano_V3!H599,Auxiliar!$C$16:$C$24,0),1)</f>
        <v xml:space="preserve">6. Em implementação </v>
      </c>
      <c r="H599" s="64">
        <f>VLOOKUP(A599,'Aux - pivots1'!$A:$B,2,0)</f>
        <v>7</v>
      </c>
      <c r="I599" s="175">
        <f>SUMIFS(Table1[Estimação (horas)],Table1[Tabela],Plano_V3!E599,Table1[Campo],Plano_V3!F599)</f>
        <v>1</v>
      </c>
      <c r="J599" s="175">
        <f t="shared" si="353"/>
        <v>0.125</v>
      </c>
      <c r="K599" s="175">
        <f>SUMIFS(Table1[Horas efetivas],Table1[Tabela],Plano_V3!E599,Table1[Campo],Plano_V3!F599)</f>
        <v>0.25</v>
      </c>
      <c r="L599" s="175">
        <f t="shared" si="354"/>
        <v>3.125E-2</v>
      </c>
      <c r="M599" s="177"/>
      <c r="N599" s="177">
        <f t="shared" si="355"/>
        <v>0.25</v>
      </c>
      <c r="O599" s="177"/>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c r="A600" s="29" t="str">
        <f t="shared" si="352"/>
        <v>lt003_entitytxnmy_elgbl_trnvr_w</v>
      </c>
      <c r="B600" s="67" t="s">
        <v>26</v>
      </c>
      <c r="C600" s="68" t="s">
        <v>26</v>
      </c>
      <c r="D600" s="64" t="s">
        <v>40</v>
      </c>
      <c r="E600" s="70" t="s">
        <v>335</v>
      </c>
      <c r="F600" s="357" t="s">
        <v>2202</v>
      </c>
      <c r="G600" s="64" t="str">
        <f>INDEX(Auxiliar!$B$16:$B$24,MATCH(Plano_V3!H600,Auxiliar!$C$16:$C$24,0),1)</f>
        <v xml:space="preserve">6. Em implementação </v>
      </c>
      <c r="H600" s="64">
        <f>VLOOKUP(A600,'Aux - pivots1'!$A:$B,2,0)</f>
        <v>7</v>
      </c>
      <c r="I600" s="175">
        <f>SUMIFS(Table1[Estimação (horas)],Table1[Tabela],Plano_V3!E600,Table1[Campo],Plano_V3!F600)</f>
        <v>1</v>
      </c>
      <c r="J600" s="175">
        <f t="shared" si="353"/>
        <v>0.125</v>
      </c>
      <c r="K600" s="175">
        <f>SUMIFS(Table1[Horas efetivas],Table1[Tabela],Plano_V3!E600,Table1[Campo],Plano_V3!F600)</f>
        <v>0.25</v>
      </c>
      <c r="L600" s="175">
        <f t="shared" si="354"/>
        <v>3.125E-2</v>
      </c>
      <c r="M600" s="177"/>
      <c r="N600" s="177">
        <f t="shared" si="355"/>
        <v>0.25</v>
      </c>
      <c r="O600" s="177"/>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c r="A601" s="29" t="str">
        <f t="shared" si="352"/>
        <v>lt003_entitytxnmy_elgbl_capex_p</v>
      </c>
      <c r="B601" s="67" t="s">
        <v>26</v>
      </c>
      <c r="C601" s="68" t="s">
        <v>26</v>
      </c>
      <c r="D601" s="64" t="s">
        <v>40</v>
      </c>
      <c r="E601" s="70" t="s">
        <v>335</v>
      </c>
      <c r="F601" s="357" t="s">
        <v>2203</v>
      </c>
      <c r="G601" s="64" t="str">
        <f>INDEX(Auxiliar!$B$16:$B$24,MATCH(Plano_V3!H601,Auxiliar!$C$16:$C$24,0),1)</f>
        <v xml:space="preserve">6. Em implementação </v>
      </c>
      <c r="H601" s="64">
        <f>VLOOKUP(A601,'Aux - pivots1'!$A:$B,2,0)</f>
        <v>7</v>
      </c>
      <c r="I601" s="175">
        <f>SUMIFS(Table1[Estimação (horas)],Table1[Tabela],Plano_V3!E601,Table1[Campo],Plano_V3!F601)</f>
        <v>1</v>
      </c>
      <c r="J601" s="175">
        <f t="shared" si="353"/>
        <v>0.125</v>
      </c>
      <c r="K601" s="175">
        <f>SUMIFS(Table1[Horas efetivas],Table1[Tabela],Plano_V3!E601,Table1[Campo],Plano_V3!F601)</f>
        <v>0.25</v>
      </c>
      <c r="L601" s="175">
        <f t="shared" si="354"/>
        <v>3.125E-2</v>
      </c>
      <c r="M601" s="177"/>
      <c r="N601" s="177">
        <f t="shared" si="355"/>
        <v>0.25</v>
      </c>
      <c r="O601" s="177"/>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c r="A602" s="29" t="str">
        <f t="shared" si="352"/>
        <v>lt003_entitytxnmy_elgbl_trnvr_p</v>
      </c>
      <c r="B602" s="67" t="s">
        <v>26</v>
      </c>
      <c r="C602" s="68" t="s">
        <v>26</v>
      </c>
      <c r="D602" s="64" t="s">
        <v>40</v>
      </c>
      <c r="E602" s="70" t="s">
        <v>335</v>
      </c>
      <c r="F602" s="357" t="s">
        <v>2204</v>
      </c>
      <c r="G602" s="64" t="str">
        <f>INDEX(Auxiliar!$B$16:$B$24,MATCH(Plano_V3!H602,Auxiliar!$C$16:$C$24,0),1)</f>
        <v xml:space="preserve">6. Em implementação </v>
      </c>
      <c r="H602" s="64">
        <f>VLOOKUP(A602,'Aux - pivots1'!$A:$B,2,0)</f>
        <v>7</v>
      </c>
      <c r="I602" s="175">
        <f>SUMIFS(Table1[Estimação (horas)],Table1[Tabela],Plano_V3!E602,Table1[Campo],Plano_V3!F602)</f>
        <v>1</v>
      </c>
      <c r="J602" s="175">
        <f t="shared" si="353"/>
        <v>0.125</v>
      </c>
      <c r="K602" s="175">
        <f>SUMIFS(Table1[Horas efetivas],Table1[Tabela],Plano_V3!E602,Table1[Campo],Plano_V3!F602)</f>
        <v>0.25</v>
      </c>
      <c r="L602" s="175">
        <f t="shared" si="354"/>
        <v>3.125E-2</v>
      </c>
      <c r="M602" s="177"/>
      <c r="N602" s="177">
        <f t="shared" si="355"/>
        <v>0.25</v>
      </c>
      <c r="O602" s="177"/>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c r="A603" s="29" t="str">
        <f t="shared" si="352"/>
        <v>lt003_entitytxnmy_elgbl_capex_b</v>
      </c>
      <c r="B603" s="67" t="s">
        <v>26</v>
      </c>
      <c r="C603" s="68" t="s">
        <v>26</v>
      </c>
      <c r="D603" s="64" t="s">
        <v>40</v>
      </c>
      <c r="E603" s="70" t="s">
        <v>335</v>
      </c>
      <c r="F603" s="357" t="s">
        <v>2205</v>
      </c>
      <c r="G603" s="64" t="str">
        <f>INDEX(Auxiliar!$B$16:$B$24,MATCH(Plano_V3!H603,Auxiliar!$C$16:$C$24,0),1)</f>
        <v xml:space="preserve">6. Em implementação </v>
      </c>
      <c r="H603" s="64">
        <f>VLOOKUP(A603,'Aux - pivots1'!$A:$B,2,0)</f>
        <v>7</v>
      </c>
      <c r="I603" s="175">
        <f>SUMIFS(Table1[Estimação (horas)],Table1[Tabela],Plano_V3!E603,Table1[Campo],Plano_V3!F603)</f>
        <v>1</v>
      </c>
      <c r="J603" s="175">
        <f t="shared" si="353"/>
        <v>0.125</v>
      </c>
      <c r="K603" s="175">
        <f>SUMIFS(Table1[Horas efetivas],Table1[Tabela],Plano_V3!E603,Table1[Campo],Plano_V3!F603)</f>
        <v>0.25</v>
      </c>
      <c r="L603" s="175">
        <f t="shared" si="354"/>
        <v>3.125E-2</v>
      </c>
      <c r="M603" s="177"/>
      <c r="N603" s="177">
        <f t="shared" si="355"/>
        <v>0.25</v>
      </c>
      <c r="O603" s="177"/>
      <c r="P603" s="87"/>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c r="A604" s="29" t="str">
        <f t="shared" si="352"/>
        <v>lt003_entitytxnmy_elgbl_trnvr_b</v>
      </c>
      <c r="B604" s="67" t="s">
        <v>26</v>
      </c>
      <c r="C604" s="68" t="s">
        <v>26</v>
      </c>
      <c r="D604" s="64" t="s">
        <v>40</v>
      </c>
      <c r="E604" s="70" t="s">
        <v>335</v>
      </c>
      <c r="F604" s="357" t="s">
        <v>2206</v>
      </c>
      <c r="G604" s="64" t="str">
        <f>INDEX(Auxiliar!$B$16:$B$24,MATCH(Plano_V3!H604,Auxiliar!$C$16:$C$24,0),1)</f>
        <v xml:space="preserve">6. Em implementação </v>
      </c>
      <c r="H604" s="64">
        <f>VLOOKUP(A604,'Aux - pivots1'!$A:$B,2,0)</f>
        <v>7</v>
      </c>
      <c r="I604" s="175">
        <f>SUMIFS(Table1[Estimação (horas)],Table1[Tabela],Plano_V3!E604,Table1[Campo],Plano_V3!F604)</f>
        <v>1</v>
      </c>
      <c r="J604" s="175">
        <f t="shared" si="353"/>
        <v>0.125</v>
      </c>
      <c r="K604" s="175">
        <f>SUMIFS(Table1[Horas efetivas],Table1[Tabela],Plano_V3!E604,Table1[Campo],Plano_V3!F604)</f>
        <v>0.25</v>
      </c>
      <c r="L604" s="175">
        <f t="shared" si="354"/>
        <v>3.125E-2</v>
      </c>
      <c r="M604" s="177"/>
      <c r="N604" s="177">
        <f t="shared" si="355"/>
        <v>0.25</v>
      </c>
      <c r="O604" s="177"/>
      <c r="P604" s="87"/>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c r="A605" s="29" t="str">
        <f t="shared" si="352"/>
        <v>lt003_entitytxnmy_elgbl_capex_ce</v>
      </c>
      <c r="B605" s="67" t="s">
        <v>26</v>
      </c>
      <c r="C605" s="68" t="s">
        <v>26</v>
      </c>
      <c r="D605" s="64" t="s">
        <v>40</v>
      </c>
      <c r="E605" s="70" t="s">
        <v>335</v>
      </c>
      <c r="F605" s="357" t="s">
        <v>2207</v>
      </c>
      <c r="G605" s="64" t="str">
        <f>INDEX(Auxiliar!$B$16:$B$24,MATCH(Plano_V3!H605,Auxiliar!$C$16:$C$24,0),1)</f>
        <v xml:space="preserve">6. Em implementação </v>
      </c>
      <c r="H605" s="64">
        <f>VLOOKUP(A605,'Aux - pivots1'!$A:$B,2,0)</f>
        <v>7</v>
      </c>
      <c r="I605" s="175">
        <f>SUMIFS(Table1[Estimação (horas)],Table1[Tabela],Plano_V3!E605,Table1[Campo],Plano_V3!F605)</f>
        <v>1</v>
      </c>
      <c r="J605" s="175">
        <f t="shared" si="353"/>
        <v>0.125</v>
      </c>
      <c r="K605" s="175">
        <f>SUMIFS(Table1[Horas efetivas],Table1[Tabela],Plano_V3!E605,Table1[Campo],Plano_V3!F605)</f>
        <v>0.25</v>
      </c>
      <c r="L605" s="175">
        <f t="shared" si="354"/>
        <v>3.125E-2</v>
      </c>
      <c r="M605" s="177"/>
      <c r="N605" s="177">
        <f t="shared" si="355"/>
        <v>0.25</v>
      </c>
      <c r="O605" s="177"/>
      <c r="P605" s="87"/>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c r="A606" s="29" t="str">
        <f t="shared" si="352"/>
        <v>lt003_entitytxnmy_elgbl_trnvr_ce</v>
      </c>
      <c r="B606" s="67" t="s">
        <v>26</v>
      </c>
      <c r="C606" s="68" t="s">
        <v>26</v>
      </c>
      <c r="D606" s="64" t="s">
        <v>40</v>
      </c>
      <c r="E606" s="70" t="s">
        <v>335</v>
      </c>
      <c r="F606" s="357" t="s">
        <v>2208</v>
      </c>
      <c r="G606" s="64" t="str">
        <f>INDEX(Auxiliar!$B$16:$B$24,MATCH(Plano_V3!H606,Auxiliar!$C$16:$C$24,0),1)</f>
        <v xml:space="preserve">6. Em implementação </v>
      </c>
      <c r="H606" s="64">
        <f>VLOOKUP(A606,'Aux - pivots1'!$A:$B,2,0)</f>
        <v>7</v>
      </c>
      <c r="I606" s="175">
        <f>SUMIFS(Table1[Estimação (horas)],Table1[Tabela],Plano_V3!E606,Table1[Campo],Plano_V3!F606)</f>
        <v>1</v>
      </c>
      <c r="J606" s="175">
        <f t="shared" si="353"/>
        <v>0.125</v>
      </c>
      <c r="K606" s="175">
        <f>SUMIFS(Table1[Horas efetivas],Table1[Tabela],Plano_V3!E606,Table1[Campo],Plano_V3!F606)</f>
        <v>0.25</v>
      </c>
      <c r="L606" s="175">
        <f t="shared" si="354"/>
        <v>3.125E-2</v>
      </c>
      <c r="M606" s="177"/>
      <c r="N606" s="177">
        <f t="shared" si="355"/>
        <v>0.25</v>
      </c>
      <c r="O606" s="177"/>
      <c r="P606" s="87"/>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c r="A607" s="29" t="str">
        <f t="shared" si="352"/>
        <v>lt003_entitypure_capex_p</v>
      </c>
      <c r="B607" s="67" t="s">
        <v>26</v>
      </c>
      <c r="C607" s="68" t="s">
        <v>26</v>
      </c>
      <c r="D607" s="64" t="s">
        <v>40</v>
      </c>
      <c r="E607" s="70" t="s">
        <v>335</v>
      </c>
      <c r="F607" s="357" t="s">
        <v>2209</v>
      </c>
      <c r="G607" s="64" t="str">
        <f>INDEX(Auxiliar!$B$16:$B$24,MATCH(Plano_V3!H607,Auxiliar!$C$16:$C$24,0),1)</f>
        <v xml:space="preserve">6. Em implementação </v>
      </c>
      <c r="H607" s="64">
        <f>VLOOKUP(A607,'Aux - pivots1'!$A:$B,2,0)</f>
        <v>7</v>
      </c>
      <c r="I607" s="175">
        <f>SUMIFS(Table1[Estimação (horas)],Table1[Tabela],Plano_V3!E607,Table1[Campo],Plano_V3!F607)</f>
        <v>1</v>
      </c>
      <c r="J607" s="175">
        <f t="shared" si="353"/>
        <v>0.125</v>
      </c>
      <c r="K607" s="175">
        <f>SUMIFS(Table1[Horas efetivas],Table1[Tabela],Plano_V3!E607,Table1[Campo],Plano_V3!F607)</f>
        <v>0.25</v>
      </c>
      <c r="L607" s="175">
        <f t="shared" si="354"/>
        <v>3.125E-2</v>
      </c>
      <c r="M607" s="177"/>
      <c r="N607" s="177">
        <f t="shared" si="355"/>
        <v>0.25</v>
      </c>
      <c r="O607" s="177"/>
      <c r="P607" s="87"/>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c r="A608" s="29" t="str">
        <f t="shared" si="352"/>
        <v>lt003_entitypure_trnvr_p</v>
      </c>
      <c r="B608" s="67" t="s">
        <v>26</v>
      </c>
      <c r="C608" s="68" t="s">
        <v>26</v>
      </c>
      <c r="D608" s="64" t="s">
        <v>40</v>
      </c>
      <c r="E608" s="70" t="s">
        <v>335</v>
      </c>
      <c r="F608" s="357" t="s">
        <v>2210</v>
      </c>
      <c r="G608" s="64" t="str">
        <f>INDEX(Auxiliar!$B$16:$B$24,MATCH(Plano_V3!H608,Auxiliar!$C$16:$C$24,0),1)</f>
        <v xml:space="preserve">6. Em implementação </v>
      </c>
      <c r="H608" s="64">
        <f>VLOOKUP(A608,'Aux - pivots1'!$A:$B,2,0)</f>
        <v>7</v>
      </c>
      <c r="I608" s="175">
        <f>SUMIFS(Table1[Estimação (horas)],Table1[Tabela],Plano_V3!E608,Table1[Campo],Plano_V3!F608)</f>
        <v>1</v>
      </c>
      <c r="J608" s="175">
        <f t="shared" si="353"/>
        <v>0.125</v>
      </c>
      <c r="K608" s="175">
        <f>SUMIFS(Table1[Horas efetivas],Table1[Tabela],Plano_V3!E608,Table1[Campo],Plano_V3!F608)</f>
        <v>0.25</v>
      </c>
      <c r="L608" s="175">
        <f t="shared" si="354"/>
        <v>3.125E-2</v>
      </c>
      <c r="M608" s="177"/>
      <c r="N608" s="177">
        <f t="shared" si="355"/>
        <v>0.25</v>
      </c>
      <c r="O608" s="177"/>
      <c r="P608" s="87"/>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c r="A609" s="29" t="str">
        <f t="shared" si="352"/>
        <v>lt003_entitypure_capex_b</v>
      </c>
      <c r="B609" s="67" t="s">
        <v>26</v>
      </c>
      <c r="C609" s="68" t="s">
        <v>26</v>
      </c>
      <c r="D609" s="64" t="s">
        <v>40</v>
      </c>
      <c r="E609" s="70" t="s">
        <v>335</v>
      </c>
      <c r="F609" s="357" t="s">
        <v>2211</v>
      </c>
      <c r="G609" s="64" t="str">
        <f>INDEX(Auxiliar!$B$16:$B$24,MATCH(Plano_V3!H609,Auxiliar!$C$16:$C$24,0),1)</f>
        <v xml:space="preserve">6. Em implementação </v>
      </c>
      <c r="H609" s="64">
        <f>VLOOKUP(A609,'Aux - pivots1'!$A:$B,2,0)</f>
        <v>7</v>
      </c>
      <c r="I609" s="175">
        <f>SUMIFS(Table1[Estimação (horas)],Table1[Tabela],Plano_V3!E609,Table1[Campo],Plano_V3!F609)</f>
        <v>1</v>
      </c>
      <c r="J609" s="175">
        <f t="shared" si="353"/>
        <v>0.125</v>
      </c>
      <c r="K609" s="175">
        <f>SUMIFS(Table1[Horas efetivas],Table1[Tabela],Plano_V3!E609,Table1[Campo],Plano_V3!F609)</f>
        <v>0.25</v>
      </c>
      <c r="L609" s="175">
        <f t="shared" si="354"/>
        <v>3.125E-2</v>
      </c>
      <c r="M609" s="177"/>
      <c r="N609" s="177">
        <f t="shared" si="355"/>
        <v>0.25</v>
      </c>
      <c r="O609" s="177"/>
      <c r="P609" s="87"/>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c r="A610" s="29" t="str">
        <f t="shared" si="352"/>
        <v>lt003_entitypure_trnvr_b</v>
      </c>
      <c r="B610" s="67" t="s">
        <v>26</v>
      </c>
      <c r="C610" s="68" t="s">
        <v>26</v>
      </c>
      <c r="D610" s="64" t="s">
        <v>40</v>
      </c>
      <c r="E610" s="70" t="s">
        <v>335</v>
      </c>
      <c r="F610" s="357" t="s">
        <v>2212</v>
      </c>
      <c r="G610" s="64" t="str">
        <f>INDEX(Auxiliar!$B$16:$B$24,MATCH(Plano_V3!H610,Auxiliar!$C$16:$C$24,0),1)</f>
        <v xml:space="preserve">6. Em implementação </v>
      </c>
      <c r="H610" s="64">
        <f>VLOOKUP(A610,'Aux - pivots1'!$A:$B,2,0)</f>
        <v>7</v>
      </c>
      <c r="I610" s="175">
        <f>SUMIFS(Table1[Estimação (horas)],Table1[Tabela],Plano_V3!E610,Table1[Campo],Plano_V3!F610)</f>
        <v>1</v>
      </c>
      <c r="J610" s="175">
        <f t="shared" si="353"/>
        <v>0.125</v>
      </c>
      <c r="K610" s="175">
        <f>SUMIFS(Table1[Horas efetivas],Table1[Tabela],Plano_V3!E610,Table1[Campo],Plano_V3!F610)</f>
        <v>0.25</v>
      </c>
      <c r="L610" s="175">
        <f t="shared" si="354"/>
        <v>3.125E-2</v>
      </c>
      <c r="M610" s="177"/>
      <c r="N610" s="177">
        <f t="shared" si="355"/>
        <v>0.25</v>
      </c>
      <c r="O610" s="177"/>
      <c r="P610" s="87"/>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c r="A611" s="29" t="str">
        <f t="shared" si="352"/>
        <v>lt003_entitypure_capex_w</v>
      </c>
      <c r="B611" s="67" t="s">
        <v>26</v>
      </c>
      <c r="C611" s="68" t="s">
        <v>26</v>
      </c>
      <c r="D611" s="64" t="s">
        <v>40</v>
      </c>
      <c r="E611" s="70" t="s">
        <v>335</v>
      </c>
      <c r="F611" s="357" t="s">
        <v>2213</v>
      </c>
      <c r="G611" s="64" t="str">
        <f>INDEX(Auxiliar!$B$16:$B$24,MATCH(Plano_V3!H611,Auxiliar!$C$16:$C$24,0),1)</f>
        <v xml:space="preserve">6. Em implementação </v>
      </c>
      <c r="H611" s="64">
        <f>VLOOKUP(A611,'Aux - pivots1'!$A:$B,2,0)</f>
        <v>7</v>
      </c>
      <c r="I611" s="175">
        <f>SUMIFS(Table1[Estimação (horas)],Table1[Tabela],Plano_V3!E611,Table1[Campo],Plano_V3!F611)</f>
        <v>1</v>
      </c>
      <c r="J611" s="175">
        <f t="shared" si="353"/>
        <v>0.125</v>
      </c>
      <c r="K611" s="175">
        <f>SUMIFS(Table1[Horas efetivas],Table1[Tabela],Plano_V3!E611,Table1[Campo],Plano_V3!F611)</f>
        <v>0.25</v>
      </c>
      <c r="L611" s="175">
        <f t="shared" si="354"/>
        <v>3.125E-2</v>
      </c>
      <c r="M611" s="177"/>
      <c r="N611" s="177">
        <f t="shared" si="355"/>
        <v>0.25</v>
      </c>
      <c r="O611" s="177"/>
      <c r="P611" s="87"/>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c r="A612" s="29" t="str">
        <f t="shared" si="352"/>
        <v>lt003_entitypure_trnvr_w</v>
      </c>
      <c r="B612" s="67" t="s">
        <v>26</v>
      </c>
      <c r="C612" s="68" t="s">
        <v>26</v>
      </c>
      <c r="D612" s="64" t="s">
        <v>40</v>
      </c>
      <c r="E612" s="70" t="s">
        <v>335</v>
      </c>
      <c r="F612" s="357" t="s">
        <v>2214</v>
      </c>
      <c r="G612" s="64" t="str">
        <f>INDEX(Auxiliar!$B$16:$B$24,MATCH(Plano_V3!H612,Auxiliar!$C$16:$C$24,0),1)</f>
        <v xml:space="preserve">6. Em implementação </v>
      </c>
      <c r="H612" s="64">
        <f>VLOOKUP(A612,'Aux - pivots1'!$A:$B,2,0)</f>
        <v>7</v>
      </c>
      <c r="I612" s="175">
        <f>SUMIFS(Table1[Estimação (horas)],Table1[Tabela],Plano_V3!E612,Table1[Campo],Plano_V3!F612)</f>
        <v>1</v>
      </c>
      <c r="J612" s="175">
        <f t="shared" si="353"/>
        <v>0.125</v>
      </c>
      <c r="K612" s="175">
        <f>SUMIFS(Table1[Horas efetivas],Table1[Tabela],Plano_V3!E612,Table1[Campo],Plano_V3!F612)</f>
        <v>0.25</v>
      </c>
      <c r="L612" s="175">
        <f t="shared" si="354"/>
        <v>3.125E-2</v>
      </c>
      <c r="M612" s="177"/>
      <c r="N612" s="177">
        <f t="shared" si="355"/>
        <v>0.25</v>
      </c>
      <c r="O612" s="177"/>
      <c r="P612" s="87"/>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c r="A613" s="29" t="str">
        <f t="shared" si="352"/>
        <v>lt003_entitypure_capex_ce</v>
      </c>
      <c r="B613" s="67" t="s">
        <v>26</v>
      </c>
      <c r="C613" s="68" t="s">
        <v>26</v>
      </c>
      <c r="D613" s="64" t="s">
        <v>40</v>
      </c>
      <c r="E613" s="70" t="s">
        <v>335</v>
      </c>
      <c r="F613" s="357" t="s">
        <v>2215</v>
      </c>
      <c r="G613" s="64" t="str">
        <f>INDEX(Auxiliar!$B$16:$B$24,MATCH(Plano_V3!H613,Auxiliar!$C$16:$C$24,0),1)</f>
        <v xml:space="preserve">6. Em implementação </v>
      </c>
      <c r="H613" s="64">
        <f>VLOOKUP(A613,'Aux - pivots1'!$A:$B,2,0)</f>
        <v>7</v>
      </c>
      <c r="I613" s="175">
        <f>SUMIFS(Table1[Estimação (horas)],Table1[Tabela],Plano_V3!E613,Table1[Campo],Plano_V3!F613)</f>
        <v>1</v>
      </c>
      <c r="J613" s="175">
        <f t="shared" si="353"/>
        <v>0.125</v>
      </c>
      <c r="K613" s="175">
        <f>SUMIFS(Table1[Horas efetivas],Table1[Tabela],Plano_V3!E613,Table1[Campo],Plano_V3!F613)</f>
        <v>0.25</v>
      </c>
      <c r="L613" s="175">
        <f t="shared" si="354"/>
        <v>3.125E-2</v>
      </c>
      <c r="M613" s="177"/>
      <c r="N613" s="177">
        <f t="shared" si="355"/>
        <v>0.25</v>
      </c>
      <c r="O613" s="177"/>
      <c r="P613" s="87"/>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c r="A614" s="29" t="str">
        <f t="shared" si="352"/>
        <v>lt003_entitypure_trnvr_ce</v>
      </c>
      <c r="B614" s="67" t="s">
        <v>26</v>
      </c>
      <c r="C614" s="68" t="s">
        <v>26</v>
      </c>
      <c r="D614" s="64" t="s">
        <v>40</v>
      </c>
      <c r="E614" s="70" t="s">
        <v>335</v>
      </c>
      <c r="F614" s="357" t="s">
        <v>2216</v>
      </c>
      <c r="G614" s="64" t="str">
        <f>INDEX(Auxiliar!$B$16:$B$24,MATCH(Plano_V3!H614,Auxiliar!$C$16:$C$24,0),1)</f>
        <v xml:space="preserve">6. Em implementação </v>
      </c>
      <c r="H614" s="64">
        <f>VLOOKUP(A614,'Aux - pivots1'!$A:$B,2,0)</f>
        <v>7</v>
      </c>
      <c r="I614" s="175">
        <f>SUMIFS(Table1[Estimação (horas)],Table1[Tabela],Plano_V3!E614,Table1[Campo],Plano_V3!F614)</f>
        <v>1</v>
      </c>
      <c r="J614" s="175">
        <f t="shared" si="353"/>
        <v>0.125</v>
      </c>
      <c r="K614" s="175">
        <f>SUMIFS(Table1[Horas efetivas],Table1[Tabela],Plano_V3!E614,Table1[Campo],Plano_V3!F614)</f>
        <v>0.25</v>
      </c>
      <c r="L614" s="175">
        <f t="shared" si="354"/>
        <v>3.125E-2</v>
      </c>
      <c r="M614" s="177"/>
      <c r="N614" s="177">
        <f t="shared" si="355"/>
        <v>0.25</v>
      </c>
      <c r="O614" s="177"/>
      <c r="P614" s="87"/>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c r="A615" s="29" t="str">
        <f t="shared" si="352"/>
        <v>lt003_entityenblng_capex_w</v>
      </c>
      <c r="B615" s="67" t="s">
        <v>26</v>
      </c>
      <c r="C615" s="68" t="s">
        <v>26</v>
      </c>
      <c r="D615" s="64" t="s">
        <v>40</v>
      </c>
      <c r="E615" s="70" t="s">
        <v>335</v>
      </c>
      <c r="F615" s="357" t="s">
        <v>2217</v>
      </c>
      <c r="G615" s="64" t="str">
        <f>INDEX(Auxiliar!$B$16:$B$24,MATCH(Plano_V3!H615,Auxiliar!$C$16:$C$24,0),1)</f>
        <v xml:space="preserve">6. Em implementação </v>
      </c>
      <c r="H615" s="64">
        <f>VLOOKUP(A615,'Aux - pivots1'!$A:$B,2,0)</f>
        <v>7</v>
      </c>
      <c r="I615" s="175">
        <f>SUMIFS(Table1[Estimação (horas)],Table1[Tabela],Plano_V3!E615,Table1[Campo],Plano_V3!F615)</f>
        <v>1</v>
      </c>
      <c r="J615" s="175">
        <f t="shared" si="353"/>
        <v>0.125</v>
      </c>
      <c r="K615" s="175">
        <f>SUMIFS(Table1[Horas efetivas],Table1[Tabela],Plano_V3!E615,Table1[Campo],Plano_V3!F615)</f>
        <v>0.25</v>
      </c>
      <c r="L615" s="175">
        <f t="shared" si="354"/>
        <v>3.125E-2</v>
      </c>
      <c r="M615" s="177"/>
      <c r="N615" s="177">
        <f t="shared" si="355"/>
        <v>0.25</v>
      </c>
      <c r="O615" s="177"/>
      <c r="P615" s="87"/>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c r="A616" s="29" t="str">
        <f t="shared" si="352"/>
        <v>lt003_entityenblng_trnvr_w</v>
      </c>
      <c r="B616" s="67" t="s">
        <v>26</v>
      </c>
      <c r="C616" s="68" t="s">
        <v>26</v>
      </c>
      <c r="D616" s="64" t="s">
        <v>40</v>
      </c>
      <c r="E616" s="70" t="s">
        <v>335</v>
      </c>
      <c r="F616" s="357" t="s">
        <v>2218</v>
      </c>
      <c r="G616" s="64" t="str">
        <f>INDEX(Auxiliar!$B$16:$B$24,MATCH(Plano_V3!H616,Auxiliar!$C$16:$C$24,0),1)</f>
        <v xml:space="preserve">6. Em implementação </v>
      </c>
      <c r="H616" s="64">
        <f>VLOOKUP(A616,'Aux - pivots1'!$A:$B,2,0)</f>
        <v>7</v>
      </c>
      <c r="I616" s="175">
        <f>SUMIFS(Table1[Estimação (horas)],Table1[Tabela],Plano_V3!E616,Table1[Campo],Plano_V3!F616)</f>
        <v>1</v>
      </c>
      <c r="J616" s="175">
        <f t="shared" si="353"/>
        <v>0.125</v>
      </c>
      <c r="K616" s="175">
        <f>SUMIFS(Table1[Horas efetivas],Table1[Tabela],Plano_V3!E616,Table1[Campo],Plano_V3!F616)</f>
        <v>0.25</v>
      </c>
      <c r="L616" s="175">
        <f t="shared" si="354"/>
        <v>3.125E-2</v>
      </c>
      <c r="M616" s="177"/>
      <c r="N616" s="177">
        <f t="shared" si="355"/>
        <v>0.25</v>
      </c>
      <c r="O616" s="177"/>
      <c r="P616" s="87"/>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c r="A617" s="29" t="str">
        <f t="shared" si="352"/>
        <v>lt003_entityenblng_capex_ce</v>
      </c>
      <c r="B617" s="67" t="s">
        <v>26</v>
      </c>
      <c r="C617" s="68" t="s">
        <v>26</v>
      </c>
      <c r="D617" s="64" t="s">
        <v>40</v>
      </c>
      <c r="E617" s="70" t="s">
        <v>335</v>
      </c>
      <c r="F617" s="357" t="s">
        <v>2219</v>
      </c>
      <c r="G617" s="64" t="str">
        <f>INDEX(Auxiliar!$B$16:$B$24,MATCH(Plano_V3!H617,Auxiliar!$C$16:$C$24,0),1)</f>
        <v xml:space="preserve">6. Em implementação </v>
      </c>
      <c r="H617" s="64">
        <f>VLOOKUP(A617,'Aux - pivots1'!$A:$B,2,0)</f>
        <v>7</v>
      </c>
      <c r="I617" s="175">
        <f>SUMIFS(Table1[Estimação (horas)],Table1[Tabela],Plano_V3!E617,Table1[Campo],Plano_V3!F617)</f>
        <v>1</v>
      </c>
      <c r="J617" s="175">
        <f t="shared" si="353"/>
        <v>0.125</v>
      </c>
      <c r="K617" s="175">
        <f>SUMIFS(Table1[Horas efetivas],Table1[Tabela],Plano_V3!E617,Table1[Campo],Plano_V3!F617)</f>
        <v>0.25</v>
      </c>
      <c r="L617" s="175">
        <f t="shared" si="354"/>
        <v>3.125E-2</v>
      </c>
      <c r="M617" s="177"/>
      <c r="N617" s="177">
        <f t="shared" si="355"/>
        <v>0.25</v>
      </c>
      <c r="O617" s="177"/>
      <c r="P617" s="87"/>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c r="A618" s="29" t="str">
        <f t="shared" si="352"/>
        <v>lt003_entityenblng_trnvr_ce</v>
      </c>
      <c r="B618" s="67" t="s">
        <v>26</v>
      </c>
      <c r="C618" s="68" t="s">
        <v>26</v>
      </c>
      <c r="D618" s="64" t="s">
        <v>40</v>
      </c>
      <c r="E618" s="70" t="s">
        <v>335</v>
      </c>
      <c r="F618" s="357" t="s">
        <v>2220</v>
      </c>
      <c r="G618" s="64" t="str">
        <f>INDEX(Auxiliar!$B$16:$B$24,MATCH(Plano_V3!H618,Auxiliar!$C$16:$C$24,0),1)</f>
        <v xml:space="preserve">6. Em implementação </v>
      </c>
      <c r="H618" s="64">
        <f>VLOOKUP(A618,'Aux - pivots1'!$A:$B,2,0)</f>
        <v>7</v>
      </c>
      <c r="I618" s="175">
        <f>SUMIFS(Table1[Estimação (horas)],Table1[Tabela],Plano_V3!E618,Table1[Campo],Plano_V3!F618)</f>
        <v>1</v>
      </c>
      <c r="J618" s="175">
        <f t="shared" si="353"/>
        <v>0.125</v>
      </c>
      <c r="K618" s="175">
        <f>SUMIFS(Table1[Horas efetivas],Table1[Tabela],Plano_V3!E618,Table1[Campo],Plano_V3!F618)</f>
        <v>0.25</v>
      </c>
      <c r="L618" s="175">
        <f t="shared" si="354"/>
        <v>3.125E-2</v>
      </c>
      <c r="M618" s="177"/>
      <c r="N618" s="177">
        <f t="shared" si="355"/>
        <v>0.25</v>
      </c>
      <c r="O618" s="177"/>
      <c r="P618" s="87"/>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c r="A619" s="29" t="str">
        <f t="shared" si="352"/>
        <v>lt004_protectiontyp_ep_scr</v>
      </c>
      <c r="B619" s="67" t="s">
        <v>26</v>
      </c>
      <c r="C619" s="68" t="s">
        <v>26</v>
      </c>
      <c r="D619" s="64" t="s">
        <v>40</v>
      </c>
      <c r="E619" s="70" t="s">
        <v>368</v>
      </c>
      <c r="F619" s="71" t="s">
        <v>369</v>
      </c>
      <c r="G619" s="64" t="str">
        <f>INDEX(Auxiliar!$B$16:$B$24,MATCH(Plano_V3!H619,Auxiliar!$C$16:$C$24,0),1)</f>
        <v>4. Validação EF</v>
      </c>
      <c r="H619" s="64">
        <f>VLOOKUP(A619,'Aux - pivots1'!$A:$B,2,0)</f>
        <v>5</v>
      </c>
      <c r="I619" s="175">
        <f>SUMIFS(Table1[Estimação (horas)],Table1[Tabela],Plano_V3!E619,Table1[Campo],Plano_V3!F619)</f>
        <v>4.0999999999999996</v>
      </c>
      <c r="J619" s="175">
        <f t="shared" ref="J619:J630" si="356">I619/8</f>
        <v>0.51249999999999996</v>
      </c>
      <c r="K619" s="175">
        <f>SUMIFS(Table1[Horas efetivas],Table1[Tabela],Plano_V3!E619,Table1[Campo],Plano_V3!F619)</f>
        <v>1.0249999999999999</v>
      </c>
      <c r="L619" s="175">
        <f t="shared" ref="L619:L630" si="357">K619/8</f>
        <v>0.12812499999999999</v>
      </c>
      <c r="M619" s="177"/>
      <c r="N619" s="177">
        <f t="shared" ref="N619:N630" si="358">L619/J619</f>
        <v>0.25</v>
      </c>
      <c r="O619" s="177"/>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c r="A620" s="29" t="str">
        <f t="shared" si="352"/>
        <v>lt004_protectionep_scr</v>
      </c>
      <c r="B620" s="67" t="s">
        <v>26</v>
      </c>
      <c r="C620" s="68" t="s">
        <v>26</v>
      </c>
      <c r="D620" s="64" t="s">
        <v>40</v>
      </c>
      <c r="E620" s="70" t="s">
        <v>368</v>
      </c>
      <c r="F620" s="71" t="s">
        <v>370</v>
      </c>
      <c r="G620" s="64" t="str">
        <f>INDEX(Auxiliar!$B$16:$B$24,MATCH(Plano_V3!H620,Auxiliar!$C$16:$C$24,0),1)</f>
        <v>4. Validação EF</v>
      </c>
      <c r="H620" s="64">
        <f>VLOOKUP(A620,'Aux - pivots1'!$A:$B,2,0)</f>
        <v>5</v>
      </c>
      <c r="I620" s="175">
        <f>SUMIFS(Table1[Estimação (horas)],Table1[Tabela],Plano_V3!E620,Table1[Campo],Plano_V3!F620)</f>
        <v>4.0999999999999996</v>
      </c>
      <c r="J620" s="175">
        <f t="shared" si="356"/>
        <v>0.51249999999999996</v>
      </c>
      <c r="K620" s="175">
        <f>SUMIFS(Table1[Horas efetivas],Table1[Tabela],Plano_V3!E620,Table1[Campo],Plano_V3!F620)</f>
        <v>1.0249999999999999</v>
      </c>
      <c r="L620" s="175">
        <f t="shared" si="357"/>
        <v>0.12812499999999999</v>
      </c>
      <c r="M620" s="177"/>
      <c r="N620" s="177">
        <f t="shared" si="358"/>
        <v>0.25</v>
      </c>
      <c r="O620" s="177"/>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c r="A621" s="29" t="str">
        <f t="shared" si="352"/>
        <v>lt004_protectiontyp_epc_lbl</v>
      </c>
      <c r="B621" s="67" t="s">
        <v>26</v>
      </c>
      <c r="C621" s="68" t="s">
        <v>26</v>
      </c>
      <c r="D621" s="64" t="s">
        <v>40</v>
      </c>
      <c r="E621" s="70" t="s">
        <v>368</v>
      </c>
      <c r="F621" s="71" t="s">
        <v>371</v>
      </c>
      <c r="G621" s="64" t="str">
        <f>INDEX(Auxiliar!$B$16:$B$24,MATCH(Plano_V3!H621,Auxiliar!$C$16:$C$24,0),1)</f>
        <v>1. Concluído</v>
      </c>
      <c r="H621" s="64">
        <f>VLOOKUP(A621,'Aux - pivots1'!$A:$B,2,0)</f>
        <v>1</v>
      </c>
      <c r="I621" s="175">
        <f>SUMIFS(Table1[Estimação (horas)],Table1[Tabela],Plano_V3!E621,Table1[Campo],Plano_V3!F621)</f>
        <v>4.0999999999999996</v>
      </c>
      <c r="J621" s="175">
        <f t="shared" si="356"/>
        <v>0.51249999999999996</v>
      </c>
      <c r="K621" s="175">
        <f>SUMIFS(Table1[Horas efetivas],Table1[Tabela],Plano_V3!E621,Table1[Campo],Plano_V3!F621)</f>
        <v>4.0999999999999996</v>
      </c>
      <c r="L621" s="175">
        <f t="shared" si="357"/>
        <v>0.51249999999999996</v>
      </c>
      <c r="M621" s="177"/>
      <c r="N621" s="177">
        <f t="shared" si="358"/>
        <v>1</v>
      </c>
      <c r="O621" s="177"/>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c r="A622" s="29" t="str">
        <f t="shared" si="352"/>
        <v>lt004_protectionepc_lbl</v>
      </c>
      <c r="B622" s="67" t="s">
        <v>26</v>
      </c>
      <c r="C622" s="68" t="s">
        <v>26</v>
      </c>
      <c r="D622" s="64" t="s">
        <v>40</v>
      </c>
      <c r="E622" s="70" t="s">
        <v>368</v>
      </c>
      <c r="F622" s="71" t="s">
        <v>372</v>
      </c>
      <c r="G622" s="64" t="str">
        <f>INDEX(Auxiliar!$B$16:$B$24,MATCH(Plano_V3!H622,Auxiliar!$C$16:$C$24,0),1)</f>
        <v>1. Concluído</v>
      </c>
      <c r="H622" s="64">
        <f>VLOOKUP(A622,'Aux - pivots1'!$A:$B,2,0)</f>
        <v>1</v>
      </c>
      <c r="I622" s="175">
        <f>SUMIFS(Table1[Estimação (horas)],Table1[Tabela],Plano_V3!E622,Table1[Campo],Plano_V3!F622)</f>
        <v>4.0999999999999996</v>
      </c>
      <c r="J622" s="175">
        <f t="shared" si="356"/>
        <v>0.51249999999999996</v>
      </c>
      <c r="K622" s="175">
        <f>SUMIFS(Table1[Horas efetivas],Table1[Tabela],Plano_V3!E622,Table1[Campo],Plano_V3!F622)</f>
        <v>4.0999999999999996</v>
      </c>
      <c r="L622" s="175">
        <f t="shared" si="357"/>
        <v>0.51249999999999996</v>
      </c>
      <c r="M622" s="177"/>
      <c r="N622" s="177">
        <f t="shared" si="358"/>
        <v>1</v>
      </c>
      <c r="O622" s="177"/>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c r="A623" s="29" t="str">
        <f t="shared" si="352"/>
        <v>lt004_protectionemssns_scp1_prtctn</v>
      </c>
      <c r="B623" s="67" t="s">
        <v>26</v>
      </c>
      <c r="C623" s="68" t="s">
        <v>26</v>
      </c>
      <c r="D623" s="64" t="s">
        <v>40</v>
      </c>
      <c r="E623" s="70" t="s">
        <v>368</v>
      </c>
      <c r="F623" s="71" t="s">
        <v>373</v>
      </c>
      <c r="G623" s="64" t="str">
        <f>INDEX(Auxiliar!$B$16:$B$24,MATCH(Plano_V3!H623,Auxiliar!$C$16:$C$24,0),1)</f>
        <v>1. Concluído</v>
      </c>
      <c r="H623" s="64">
        <f>VLOOKUP(A623,'Aux - pivots1'!$A:$B,2,0)</f>
        <v>1</v>
      </c>
      <c r="I623" s="175">
        <f>SUMIFS(Table1[Estimação (horas)],Table1[Tabela],Plano_V3!E623,Table1[Campo],Plano_V3!F623)</f>
        <v>4.0999999999999996</v>
      </c>
      <c r="J623" s="175">
        <f t="shared" si="356"/>
        <v>0.51249999999999996</v>
      </c>
      <c r="K623" s="175">
        <f>SUMIFS(Table1[Horas efetivas],Table1[Tabela],Plano_V3!E623,Table1[Campo],Plano_V3!F623)</f>
        <v>4.0999999999999996</v>
      </c>
      <c r="L623" s="175">
        <f t="shared" si="357"/>
        <v>0.51249999999999996</v>
      </c>
      <c r="M623" s="177"/>
      <c r="N623" s="177">
        <f t="shared" si="358"/>
        <v>1</v>
      </c>
      <c r="O623" s="177"/>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c r="A624" s="29" t="str">
        <f t="shared" si="352"/>
        <v>lt004_protectionemssns_scp2_prtctn</v>
      </c>
      <c r="B624" s="67" t="s">
        <v>26</v>
      </c>
      <c r="C624" s="68" t="s">
        <v>26</v>
      </c>
      <c r="D624" s="64" t="s">
        <v>40</v>
      </c>
      <c r="E624" s="70" t="s">
        <v>368</v>
      </c>
      <c r="F624" s="71" t="s">
        <v>374</v>
      </c>
      <c r="G624" s="64" t="str">
        <f>INDEX(Auxiliar!$B$16:$B$24,MATCH(Plano_V3!H624,Auxiliar!$C$16:$C$24,0),1)</f>
        <v>1. Concluído</v>
      </c>
      <c r="H624" s="64">
        <f>VLOOKUP(A624,'Aux - pivots1'!$A:$B,2,0)</f>
        <v>1</v>
      </c>
      <c r="I624" s="175">
        <f>SUMIFS(Table1[Estimação (horas)],Table1[Tabela],Plano_V3!E624,Table1[Campo],Plano_V3!F624)</f>
        <v>4.0999999999999996</v>
      </c>
      <c r="J624" s="175">
        <f t="shared" si="356"/>
        <v>0.51249999999999996</v>
      </c>
      <c r="K624" s="175">
        <f>SUMIFS(Table1[Horas efetivas],Table1[Tabela],Plano_V3!E624,Table1[Campo],Plano_V3!F624)</f>
        <v>4.0999999999999996</v>
      </c>
      <c r="L624" s="175">
        <f t="shared" si="357"/>
        <v>0.51249999999999996</v>
      </c>
      <c r="M624" s="177"/>
      <c r="N624" s="177">
        <f t="shared" si="358"/>
        <v>1</v>
      </c>
      <c r="O624" s="177"/>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c r="A625" s="29" t="str">
        <f t="shared" si="352"/>
        <v>lt004_protectionemssns_scp3_prtctn</v>
      </c>
      <c r="B625" s="67" t="s">
        <v>26</v>
      </c>
      <c r="C625" s="68" t="s">
        <v>26</v>
      </c>
      <c r="D625" s="64" t="s">
        <v>40</v>
      </c>
      <c r="E625" s="70" t="s">
        <v>368</v>
      </c>
      <c r="F625" s="71" t="s">
        <v>375</v>
      </c>
      <c r="G625" s="64" t="str">
        <f>INDEX(Auxiliar!$B$16:$B$24,MATCH(Plano_V3!H625,Auxiliar!$C$16:$C$24,0),1)</f>
        <v>1. Concluído</v>
      </c>
      <c r="H625" s="64">
        <f>VLOOKUP(A625,'Aux - pivots1'!$A:$B,2,0)</f>
        <v>1</v>
      </c>
      <c r="I625" s="175">
        <f>SUMIFS(Table1[Estimação (horas)],Table1[Tabela],Plano_V3!E625,Table1[Campo],Plano_V3!F625)</f>
        <v>4.0999999999999996</v>
      </c>
      <c r="J625" s="175">
        <f t="shared" si="356"/>
        <v>0.51249999999999996</v>
      </c>
      <c r="K625" s="175">
        <f>SUMIFS(Table1[Horas efetivas],Table1[Tabela],Plano_V3!E625,Table1[Campo],Plano_V3!F625)</f>
        <v>4.0999999999999996</v>
      </c>
      <c r="L625" s="175">
        <f t="shared" si="357"/>
        <v>0.51249999999999996</v>
      </c>
      <c r="M625" s="177"/>
      <c r="N625" s="177">
        <f t="shared" si="358"/>
        <v>1</v>
      </c>
      <c r="O625" s="177"/>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c r="A626" s="29" t="str">
        <f t="shared" si="352"/>
        <v>lt004_protectionmthd_usd_prtctn_scp_1</v>
      </c>
      <c r="B626" s="67" t="s">
        <v>26</v>
      </c>
      <c r="C626" s="68" t="s">
        <v>26</v>
      </c>
      <c r="D626" s="64" t="s">
        <v>40</v>
      </c>
      <c r="E626" s="70" t="s">
        <v>368</v>
      </c>
      <c r="F626" s="71" t="s">
        <v>376</v>
      </c>
      <c r="G626" s="64" t="str">
        <f>INDEX(Auxiliar!$B$16:$B$24,MATCH(Plano_V3!H626,Auxiliar!$C$16:$C$24,0),1)</f>
        <v>1. Concluído</v>
      </c>
      <c r="H626" s="64">
        <f>VLOOKUP(A626,'Aux - pivots1'!$A:$B,2,0)</f>
        <v>1</v>
      </c>
      <c r="I626" s="175">
        <f>SUMIFS(Table1[Estimação (horas)],Table1[Tabela],Plano_V3!E626,Table1[Campo],Plano_V3!F626)</f>
        <v>4.0999999999999996</v>
      </c>
      <c r="J626" s="175">
        <f t="shared" si="356"/>
        <v>0.51249999999999996</v>
      </c>
      <c r="K626" s="175">
        <f>SUMIFS(Table1[Horas efetivas],Table1[Tabela],Plano_V3!E626,Table1[Campo],Plano_V3!F626)</f>
        <v>4.0999999999999996</v>
      </c>
      <c r="L626" s="175">
        <f t="shared" si="357"/>
        <v>0.51249999999999996</v>
      </c>
      <c r="M626" s="177"/>
      <c r="N626" s="177">
        <f t="shared" si="358"/>
        <v>1</v>
      </c>
      <c r="O626" s="177"/>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c r="A627" s="29" t="str">
        <f t="shared" si="352"/>
        <v>lt004_protectionmthd_usd_prtctn_scp_2</v>
      </c>
      <c r="B627" s="67" t="s">
        <v>26</v>
      </c>
      <c r="C627" s="68" t="s">
        <v>26</v>
      </c>
      <c r="D627" s="64" t="s">
        <v>40</v>
      </c>
      <c r="E627" s="70" t="s">
        <v>368</v>
      </c>
      <c r="F627" s="71" t="s">
        <v>377</v>
      </c>
      <c r="G627" s="64" t="str">
        <f>INDEX(Auxiliar!$B$16:$B$24,MATCH(Plano_V3!H627,Auxiliar!$C$16:$C$24,0),1)</f>
        <v>1. Concluído</v>
      </c>
      <c r="H627" s="64">
        <f>VLOOKUP(A627,'Aux - pivots1'!$A:$B,2,0)</f>
        <v>1</v>
      </c>
      <c r="I627" s="175">
        <f>SUMIFS(Table1[Estimação (horas)],Table1[Tabela],Plano_V3!E627,Table1[Campo],Plano_V3!F627)</f>
        <v>4.0999999999999996</v>
      </c>
      <c r="J627" s="175">
        <f t="shared" si="356"/>
        <v>0.51249999999999996</v>
      </c>
      <c r="K627" s="175">
        <f>SUMIFS(Table1[Horas efetivas],Table1[Tabela],Plano_V3!E627,Table1[Campo],Plano_V3!F627)</f>
        <v>4.0999999999999996</v>
      </c>
      <c r="L627" s="175">
        <f t="shared" si="357"/>
        <v>0.51249999999999996</v>
      </c>
      <c r="M627" s="177"/>
      <c r="N627" s="177">
        <f t="shared" si="358"/>
        <v>1</v>
      </c>
      <c r="O627" s="177"/>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c r="A628" s="29" t="str">
        <f t="shared" si="352"/>
        <v>lt004_protectionmthd_usd_prtctn_scp_3</v>
      </c>
      <c r="B628" s="67" t="s">
        <v>26</v>
      </c>
      <c r="C628" s="68" t="s">
        <v>26</v>
      </c>
      <c r="D628" s="64" t="s">
        <v>40</v>
      </c>
      <c r="E628" s="70" t="s">
        <v>368</v>
      </c>
      <c r="F628" s="71" t="s">
        <v>378</v>
      </c>
      <c r="G628" s="64" t="str">
        <f>INDEX(Auxiliar!$B$16:$B$24,MATCH(Plano_V3!H628,Auxiliar!$C$16:$C$24,0),1)</f>
        <v>1. Concluído</v>
      </c>
      <c r="H628" s="64">
        <f>VLOOKUP(A628,'Aux - pivots1'!$A:$B,2,0)</f>
        <v>1</v>
      </c>
      <c r="I628" s="175">
        <f>SUMIFS(Table1[Estimação (horas)],Table1[Tabela],Plano_V3!E628,Table1[Campo],Plano_V3!F628)</f>
        <v>4.0999999999999996</v>
      </c>
      <c r="J628" s="175">
        <f t="shared" si="356"/>
        <v>0.51249999999999996</v>
      </c>
      <c r="K628" s="175">
        <f>SUMIFS(Table1[Horas efetivas],Table1[Tabela],Plano_V3!E628,Table1[Campo],Plano_V3!F628)</f>
        <v>4.0999999999999996</v>
      </c>
      <c r="L628" s="175">
        <f t="shared" si="357"/>
        <v>0.51249999999999996</v>
      </c>
      <c r="M628" s="177"/>
      <c r="N628" s="177">
        <f t="shared" si="358"/>
        <v>1</v>
      </c>
      <c r="O628" s="177"/>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c r="A629" s="29" t="str">
        <f t="shared" si="352"/>
        <v>lt004_protectionflg_act_physcl_rsk</v>
      </c>
      <c r="B629" s="67" t="s">
        <v>26</v>
      </c>
      <c r="C629" s="68" t="s">
        <v>26</v>
      </c>
      <c r="D629" s="64" t="s">
        <v>40</v>
      </c>
      <c r="E629" s="70" t="s">
        <v>368</v>
      </c>
      <c r="F629" s="71" t="s">
        <v>357</v>
      </c>
      <c r="G629" s="64" t="str">
        <f>INDEX(Auxiliar!$B$16:$B$24,MATCH(Plano_V3!H629,Auxiliar!$C$16:$C$24,0),1)</f>
        <v>2.1 Em Teste</v>
      </c>
      <c r="H629" s="64">
        <f>VLOOKUP(A629,'Aux - pivots1'!$A:$B,2,0)</f>
        <v>2</v>
      </c>
      <c r="I629" s="175">
        <f>SUMIFS(Table1[Estimação (horas)],Table1[Tabela],Plano_V3!E629,Table1[Campo],Plano_V3!F629)</f>
        <v>4.0999999999999996</v>
      </c>
      <c r="J629" s="175">
        <f t="shared" si="356"/>
        <v>0.51249999999999996</v>
      </c>
      <c r="K629" s="175">
        <f>SUMIFS(Table1[Horas efetivas],Table1[Tabela],Plano_V3!E629,Table1[Campo],Plano_V3!F629)</f>
        <v>2.0499999999999998</v>
      </c>
      <c r="L629" s="175">
        <f t="shared" si="357"/>
        <v>0.25624999999999998</v>
      </c>
      <c r="M629" s="177"/>
      <c r="N629" s="177">
        <f t="shared" si="358"/>
        <v>0.5</v>
      </c>
      <c r="O629" s="177"/>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c r="A630" s="29" t="str">
        <f t="shared" si="352"/>
        <v>lt004_protectionflg_chrnc_physcl_rsk</v>
      </c>
      <c r="B630" s="67" t="s">
        <v>26</v>
      </c>
      <c r="C630" s="68" t="s">
        <v>26</v>
      </c>
      <c r="D630" s="64" t="s">
        <v>40</v>
      </c>
      <c r="E630" s="70" t="s">
        <v>368</v>
      </c>
      <c r="F630" s="71" t="s">
        <v>358</v>
      </c>
      <c r="G630" s="64" t="str">
        <f>INDEX(Auxiliar!$B$16:$B$24,MATCH(Plano_V3!H630,Auxiliar!$C$16:$C$24,0),1)</f>
        <v>2.1 Em Teste</v>
      </c>
      <c r="H630" s="64">
        <f>VLOOKUP(A630,'Aux - pivots1'!$A:$B,2,0)</f>
        <v>2</v>
      </c>
      <c r="I630" s="175">
        <f>SUMIFS(Table1[Estimação (horas)],Table1[Tabela],Plano_V3!E630,Table1[Campo],Plano_V3!F630)</f>
        <v>4.0999999999999996</v>
      </c>
      <c r="J630" s="175">
        <f t="shared" si="356"/>
        <v>0.51249999999999996</v>
      </c>
      <c r="K630" s="175">
        <f>SUMIFS(Table1[Horas efetivas],Table1[Tabela],Plano_V3!E630,Table1[Campo],Plano_V3!F630)</f>
        <v>2.0499999999999998</v>
      </c>
      <c r="L630" s="175">
        <f t="shared" si="357"/>
        <v>0.25624999999999998</v>
      </c>
      <c r="M630" s="177"/>
      <c r="N630" s="177">
        <f t="shared" si="358"/>
        <v>0.5</v>
      </c>
      <c r="O630" s="177"/>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c r="A631" s="29" t="str">
        <f t="shared" ref="A631:A653" si="359">E631&amp;F631</f>
        <v>lt004_protectionRL_ESTT_ADDRSS</v>
      </c>
      <c r="B631" s="67" t="s">
        <v>26</v>
      </c>
      <c r="C631" s="68" t="s">
        <v>26</v>
      </c>
      <c r="D631" s="64" t="s">
        <v>40</v>
      </c>
      <c r="E631" s="70" t="s">
        <v>368</v>
      </c>
      <c r="F631" s="357" t="s">
        <v>2249</v>
      </c>
      <c r="G631" s="64" t="str">
        <f>INDEX(Auxiliar!$B$16:$B$24,MATCH(Plano_V3!H631,Auxiliar!$C$16:$C$24,0),1)</f>
        <v xml:space="preserve">6. Em implementação </v>
      </c>
      <c r="H631" s="64">
        <f>VLOOKUP(A631,'Aux - pivots1'!$A:$B,2,0)</f>
        <v>7</v>
      </c>
      <c r="I631" s="175" t="e">
        <f>SUMIFS(Table1[Estimação (horas)],Table1[Tabela],Plano_V3!E631,Table1[Campo],Plano_V3!F631)</f>
        <v>#N/A</v>
      </c>
      <c r="J631" s="175" t="e">
        <f t="shared" ref="J631:J653" si="360">I631/8</f>
        <v>#N/A</v>
      </c>
      <c r="K631" s="175" t="e">
        <f>SUMIFS(Table1[Horas efetivas],Table1[Tabela],Plano_V3!E631,Table1[Campo],Plano_V3!F631)</f>
        <v>#N/A</v>
      </c>
      <c r="L631" s="175" t="e">
        <f t="shared" ref="L631:L653" si="361">K631/8</f>
        <v>#N/A</v>
      </c>
      <c r="M631" s="177"/>
      <c r="N631" s="177" t="e">
        <f t="shared" ref="N631:N653" si="362">L631/J631</f>
        <v>#N/A</v>
      </c>
      <c r="O631" s="177"/>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c r="A632" s="29" t="str">
        <f t="shared" si="359"/>
        <v>lt004_protectionRL_ESTT_CLLTRL_LCTN_INT</v>
      </c>
      <c r="B632" s="67" t="s">
        <v>26</v>
      </c>
      <c r="C632" s="68" t="s">
        <v>26</v>
      </c>
      <c r="D632" s="64" t="s">
        <v>40</v>
      </c>
      <c r="E632" s="70" t="s">
        <v>368</v>
      </c>
      <c r="F632" s="357" t="s">
        <v>2250</v>
      </c>
      <c r="G632" s="64" t="str">
        <f>INDEX(Auxiliar!$B$16:$B$24,MATCH(Plano_V3!H632,Auxiliar!$C$16:$C$24,0),1)</f>
        <v xml:space="preserve">6. Em implementação </v>
      </c>
      <c r="H632" s="64">
        <f>VLOOKUP(A632,'Aux - pivots1'!$A:$B,2,0)</f>
        <v>7</v>
      </c>
      <c r="I632" s="175" t="e">
        <f>SUMIFS(Table1[Estimação (horas)],Table1[Tabela],Plano_V3!E632,Table1[Campo],Plano_V3!F632)</f>
        <v>#N/A</v>
      </c>
      <c r="J632" s="175" t="e">
        <f t="shared" si="360"/>
        <v>#N/A</v>
      </c>
      <c r="K632" s="175" t="e">
        <f>SUMIFS(Table1[Horas efetivas],Table1[Tabela],Plano_V3!E632,Table1[Campo],Plano_V3!F632)</f>
        <v>#N/A</v>
      </c>
      <c r="L632" s="175" t="e">
        <f t="shared" si="361"/>
        <v>#N/A</v>
      </c>
      <c r="M632" s="177"/>
      <c r="N632" s="177" t="e">
        <f t="shared" si="362"/>
        <v>#N/A</v>
      </c>
      <c r="O632" s="177"/>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c r="A633" s="29" t="str">
        <f t="shared" si="359"/>
        <v>lt004_protectionRL_ESTT_CTY</v>
      </c>
      <c r="B633" s="67" t="s">
        <v>26</v>
      </c>
      <c r="C633" s="68" t="s">
        <v>26</v>
      </c>
      <c r="D633" s="64" t="s">
        <v>40</v>
      </c>
      <c r="E633" s="70" t="s">
        <v>368</v>
      </c>
      <c r="F633" s="357" t="s">
        <v>2251</v>
      </c>
      <c r="G633" s="64" t="str">
        <f>INDEX(Auxiliar!$B$16:$B$24,MATCH(Plano_V3!H633,Auxiliar!$C$16:$C$24,0),1)</f>
        <v xml:space="preserve">6. Em implementação </v>
      </c>
      <c r="H633" s="64">
        <f>VLOOKUP(A633,'Aux - pivots1'!$A:$B,2,0)</f>
        <v>7</v>
      </c>
      <c r="I633" s="175" t="e">
        <f>SUMIFS(Table1[Estimação (horas)],Table1[Tabela],Plano_V3!E633,Table1[Campo],Plano_V3!F633)</f>
        <v>#N/A</v>
      </c>
      <c r="J633" s="175" t="e">
        <f t="shared" si="360"/>
        <v>#N/A</v>
      </c>
      <c r="K633" s="175" t="e">
        <f>SUMIFS(Table1[Horas efetivas],Table1[Tabela],Plano_V3!E633,Table1[Campo],Plano_V3!F633)</f>
        <v>#N/A</v>
      </c>
      <c r="L633" s="175" t="e">
        <f t="shared" si="361"/>
        <v>#N/A</v>
      </c>
      <c r="M633" s="177"/>
      <c r="N633" s="177" t="e">
        <f t="shared" si="362"/>
        <v>#N/A</v>
      </c>
      <c r="O633" s="177"/>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c r="A634" s="29" t="str">
        <f t="shared" si="359"/>
        <v>lt004_protectionTYP_EMSSNS_LBL</v>
      </c>
      <c r="B634" s="67" t="s">
        <v>26</v>
      </c>
      <c r="C634" s="68" t="s">
        <v>26</v>
      </c>
      <c r="D634" s="64" t="s">
        <v>40</v>
      </c>
      <c r="E634" s="70" t="s">
        <v>368</v>
      </c>
      <c r="F634" s="357" t="s">
        <v>2252</v>
      </c>
      <c r="G634" s="64" t="str">
        <f>INDEX(Auxiliar!$B$16:$B$24,MATCH(Plano_V3!H634,Auxiliar!$C$16:$C$24,0),1)</f>
        <v xml:space="preserve">6. Em implementação </v>
      </c>
      <c r="H634" s="64">
        <f>VLOOKUP(A634,'Aux - pivots1'!$A:$B,2,0)</f>
        <v>7</v>
      </c>
      <c r="I634" s="175" t="e">
        <f>SUMIFS(Table1[Estimação (horas)],Table1[Tabela],Plano_V3!E634,Table1[Campo],Plano_V3!F634)</f>
        <v>#N/A</v>
      </c>
      <c r="J634" s="175" t="e">
        <f t="shared" si="360"/>
        <v>#N/A</v>
      </c>
      <c r="K634" s="175" t="e">
        <f>SUMIFS(Table1[Horas efetivas],Table1[Tabela],Plano_V3!E634,Table1[Campo],Plano_V3!F634)</f>
        <v>#N/A</v>
      </c>
      <c r="L634" s="175" t="e">
        <f t="shared" si="361"/>
        <v>#N/A</v>
      </c>
      <c r="M634" s="177"/>
      <c r="N634" s="177" t="e">
        <f t="shared" si="362"/>
        <v>#N/A</v>
      </c>
      <c r="O634" s="177"/>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c r="A635" s="29" t="str">
        <f t="shared" si="359"/>
        <v>lt004_protectionEPC_EMSSNS_LBL</v>
      </c>
      <c r="B635" s="67" t="s">
        <v>26</v>
      </c>
      <c r="C635" s="68" t="s">
        <v>26</v>
      </c>
      <c r="D635" s="64" t="s">
        <v>40</v>
      </c>
      <c r="E635" s="70" t="s">
        <v>368</v>
      </c>
      <c r="F635" s="357" t="s">
        <v>2253</v>
      </c>
      <c r="G635" s="64" t="str">
        <f>INDEX(Auxiliar!$B$16:$B$24,MATCH(Plano_V3!H635,Auxiliar!$C$16:$C$24,0),1)</f>
        <v>4. Validação EF</v>
      </c>
      <c r="H635" s="64">
        <f>VLOOKUP(A635,'Aux - pivots1'!$A:$B,2,0)</f>
        <v>5</v>
      </c>
      <c r="I635" s="175" t="e">
        <f>SUMIFS(Table1[Estimação (horas)],Table1[Tabela],Plano_V3!E635,Table1[Campo],Plano_V3!F635)</f>
        <v>#N/A</v>
      </c>
      <c r="J635" s="175" t="e">
        <f t="shared" si="360"/>
        <v>#N/A</v>
      </c>
      <c r="K635" s="175" t="e">
        <f>SUMIFS(Table1[Horas efetivas],Table1[Tabela],Plano_V3!E635,Table1[Campo],Plano_V3!F635)</f>
        <v>#N/A</v>
      </c>
      <c r="L635" s="175" t="e">
        <f t="shared" si="361"/>
        <v>#N/A</v>
      </c>
      <c r="M635" s="177"/>
      <c r="N635" s="177" t="e">
        <f t="shared" si="362"/>
        <v>#N/A</v>
      </c>
      <c r="O635" s="177"/>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c r="A636" s="29" t="str">
        <f t="shared" si="359"/>
        <v>lt004_protectionVHCL_EMSSNS_LBL</v>
      </c>
      <c r="B636" s="67" t="s">
        <v>26</v>
      </c>
      <c r="C636" s="68" t="s">
        <v>26</v>
      </c>
      <c r="D636" s="64" t="s">
        <v>40</v>
      </c>
      <c r="E636" s="70" t="s">
        <v>368</v>
      </c>
      <c r="F636" s="357" t="s">
        <v>2254</v>
      </c>
      <c r="G636" s="64" t="str">
        <f>INDEX(Auxiliar!$B$16:$B$24,MATCH(Plano_V3!H636,Auxiliar!$C$16:$C$24,0),1)</f>
        <v xml:space="preserve">6. Em implementação </v>
      </c>
      <c r="H636" s="64">
        <f>VLOOKUP(A636,'Aux - pivots1'!$A:$B,2,0)</f>
        <v>7</v>
      </c>
      <c r="I636" s="175" t="e">
        <f>SUMIFS(Table1[Estimação (horas)],Table1[Tabela],Plano_V3!E636,Table1[Campo],Plano_V3!F636)</f>
        <v>#N/A</v>
      </c>
      <c r="J636" s="175" t="e">
        <f t="shared" si="360"/>
        <v>#N/A</v>
      </c>
      <c r="K636" s="175" t="e">
        <f>SUMIFS(Table1[Horas efetivas],Table1[Tabela],Plano_V3!E636,Table1[Campo],Plano_V3!F636)</f>
        <v>#N/A</v>
      </c>
      <c r="L636" s="175" t="e">
        <f t="shared" si="361"/>
        <v>#N/A</v>
      </c>
      <c r="M636" s="177"/>
      <c r="N636" s="177" t="e">
        <f t="shared" si="362"/>
        <v>#N/A</v>
      </c>
      <c r="O636" s="177"/>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c r="A637" s="29" t="str">
        <f t="shared" si="359"/>
        <v>lt004_protectionTYP_EMSSNS_SCR</v>
      </c>
      <c r="B637" s="67" t="s">
        <v>26</v>
      </c>
      <c r="C637" s="68" t="s">
        <v>26</v>
      </c>
      <c r="D637" s="64" t="s">
        <v>40</v>
      </c>
      <c r="E637" s="70" t="s">
        <v>368</v>
      </c>
      <c r="F637" s="357" t="s">
        <v>2255</v>
      </c>
      <c r="G637" s="64" t="str">
        <f>INDEX(Auxiliar!$B$16:$B$24,MATCH(Plano_V3!H637,Auxiliar!$C$16:$C$24,0),1)</f>
        <v>4. Validação EF</v>
      </c>
      <c r="H637" s="64">
        <f>VLOOKUP(A637,'Aux - pivots1'!$A:$B,2,0)</f>
        <v>5</v>
      </c>
      <c r="I637" s="175" t="e">
        <f>SUMIFS(Table1[Estimação (horas)],Table1[Tabela],Plano_V3!E637,Table1[Campo],Plano_V3!F637)</f>
        <v>#N/A</v>
      </c>
      <c r="J637" s="175" t="e">
        <f t="shared" si="360"/>
        <v>#N/A</v>
      </c>
      <c r="K637" s="175" t="e">
        <f>SUMIFS(Table1[Horas efetivas],Table1[Tabela],Plano_V3!E637,Table1[Campo],Plano_V3!F637)</f>
        <v>#N/A</v>
      </c>
      <c r="L637" s="175" t="e">
        <f t="shared" si="361"/>
        <v>#N/A</v>
      </c>
      <c r="M637" s="177"/>
      <c r="N637" s="177" t="e">
        <f t="shared" si="362"/>
        <v>#N/A</v>
      </c>
      <c r="O637" s="177"/>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c r="A638" s="29" t="str">
        <f t="shared" si="359"/>
        <v>lt004_protectionEPC_EMSSNS_SCR</v>
      </c>
      <c r="B638" s="67" t="s">
        <v>26</v>
      </c>
      <c r="C638" s="68" t="s">
        <v>26</v>
      </c>
      <c r="D638" s="64" t="s">
        <v>40</v>
      </c>
      <c r="E638" s="70" t="s">
        <v>368</v>
      </c>
      <c r="F638" s="357" t="s">
        <v>2256</v>
      </c>
      <c r="G638" s="64" t="str">
        <f>INDEX(Auxiliar!$B$16:$B$24,MATCH(Plano_V3!H638,Auxiliar!$C$16:$C$24,0),1)</f>
        <v>4. Validação EF</v>
      </c>
      <c r="H638" s="64">
        <f>VLOOKUP(A638,'Aux - pivots1'!$A:$B,2,0)</f>
        <v>5</v>
      </c>
      <c r="I638" s="175" t="e">
        <f>SUMIFS(Table1[Estimação (horas)],Table1[Tabela],Plano_V3!E638,Table1[Campo],Plano_V3!F638)</f>
        <v>#N/A</v>
      </c>
      <c r="J638" s="175" t="e">
        <f t="shared" si="360"/>
        <v>#N/A</v>
      </c>
      <c r="K638" s="175" t="e">
        <f>SUMIFS(Table1[Horas efetivas],Table1[Tabela],Plano_V3!E638,Table1[Campo],Plano_V3!F638)</f>
        <v>#N/A</v>
      </c>
      <c r="L638" s="175" t="e">
        <f t="shared" si="361"/>
        <v>#N/A</v>
      </c>
      <c r="M638" s="177"/>
      <c r="N638" s="177" t="e">
        <f t="shared" si="362"/>
        <v>#N/A</v>
      </c>
      <c r="O638" s="177"/>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c r="A639" s="29" t="str">
        <f t="shared" si="359"/>
        <v>lt004_protectionVHCL_EMSSNS_SCR</v>
      </c>
      <c r="B639" s="67" t="s">
        <v>26</v>
      </c>
      <c r="C639" s="68" t="s">
        <v>26</v>
      </c>
      <c r="D639" s="64" t="s">
        <v>40</v>
      </c>
      <c r="E639" s="70" t="s">
        <v>368</v>
      </c>
      <c r="F639" s="357" t="s">
        <v>2257</v>
      </c>
      <c r="G639" s="64" t="str">
        <f>INDEX(Auxiliar!$B$16:$B$24,MATCH(Plano_V3!H639,Auxiliar!$C$16:$C$24,0),1)</f>
        <v xml:space="preserve">6. Em implementação </v>
      </c>
      <c r="H639" s="64">
        <f>VLOOKUP(A639,'Aux - pivots1'!$A:$B,2,0)</f>
        <v>7</v>
      </c>
      <c r="I639" s="175" t="e">
        <f>SUMIFS(Table1[Estimação (horas)],Table1[Tabela],Plano_V3!E639,Table1[Campo],Plano_V3!F639)</f>
        <v>#N/A</v>
      </c>
      <c r="J639" s="175" t="e">
        <f t="shared" si="360"/>
        <v>#N/A</v>
      </c>
      <c r="K639" s="175" t="e">
        <f>SUMIFS(Table1[Horas efetivas],Table1[Tabela],Plano_V3!E639,Table1[Campo],Plano_V3!F639)</f>
        <v>#N/A</v>
      </c>
      <c r="L639" s="175" t="e">
        <f t="shared" si="361"/>
        <v>#N/A</v>
      </c>
      <c r="M639" s="177"/>
      <c r="N639" s="177" t="e">
        <f t="shared" si="362"/>
        <v>#N/A</v>
      </c>
      <c r="O639" s="177"/>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c r="A640" s="29" t="str">
        <f t="shared" si="359"/>
        <v>lt004_protectionINSRNC_ID</v>
      </c>
      <c r="B640" s="67" t="s">
        <v>26</v>
      </c>
      <c r="C640" s="68" t="s">
        <v>26</v>
      </c>
      <c r="D640" s="64" t="s">
        <v>40</v>
      </c>
      <c r="E640" s="70" t="s">
        <v>368</v>
      </c>
      <c r="F640" s="357" t="s">
        <v>2258</v>
      </c>
      <c r="G640" s="64" t="str">
        <f>INDEX(Auxiliar!$B$16:$B$24,MATCH(Plano_V3!H640,Auxiliar!$C$16:$C$24,0),1)</f>
        <v xml:space="preserve">6. Em implementação </v>
      </c>
      <c r="H640" s="64">
        <f>VLOOKUP(A640,'Aux - pivots1'!$A:$B,2,0)</f>
        <v>7</v>
      </c>
      <c r="I640" s="175" t="e">
        <f>SUMIFS(Table1[Estimação (horas)],Table1[Tabela],Plano_V3!E640,Table1[Campo],Plano_V3!F640)</f>
        <v>#N/A</v>
      </c>
      <c r="J640" s="175" t="e">
        <f t="shared" si="360"/>
        <v>#N/A</v>
      </c>
      <c r="K640" s="175" t="e">
        <f>SUMIFS(Table1[Horas efetivas],Table1[Tabela],Plano_V3!E640,Table1[Campo],Plano_V3!F640)</f>
        <v>#N/A</v>
      </c>
      <c r="L640" s="175" t="e">
        <f t="shared" si="361"/>
        <v>#N/A</v>
      </c>
      <c r="M640" s="177"/>
      <c r="N640" s="177" t="e">
        <f t="shared" si="362"/>
        <v>#N/A</v>
      </c>
      <c r="O640" s="177"/>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c r="A641" s="29" t="str">
        <f t="shared" si="359"/>
        <v>lt004_protectionTYP_HZRDS_INSRD</v>
      </c>
      <c r="B641" s="67" t="s">
        <v>26</v>
      </c>
      <c r="C641" s="68" t="s">
        <v>26</v>
      </c>
      <c r="D641" s="64" t="s">
        <v>40</v>
      </c>
      <c r="E641" s="70" t="s">
        <v>368</v>
      </c>
      <c r="F641" s="357" t="s">
        <v>2259</v>
      </c>
      <c r="G641" s="64" t="str">
        <f>INDEX(Auxiliar!$B$16:$B$24,MATCH(Plano_V3!H641,Auxiliar!$C$16:$C$24,0),1)</f>
        <v xml:space="preserve">6. Em implementação </v>
      </c>
      <c r="H641" s="64">
        <f>VLOOKUP(A641,'Aux - pivots1'!$A:$B,2,0)</f>
        <v>7</v>
      </c>
      <c r="I641" s="175" t="e">
        <f>SUMIFS(Table1[Estimação (horas)],Table1[Tabela],Plano_V3!E641,Table1[Campo],Plano_V3!F641)</f>
        <v>#N/A</v>
      </c>
      <c r="J641" s="175" t="e">
        <f t="shared" si="360"/>
        <v>#N/A</v>
      </c>
      <c r="K641" s="175" t="e">
        <f>SUMIFS(Table1[Horas efetivas],Table1[Tabela],Plano_V3!E641,Table1[Campo],Plano_V3!F641)</f>
        <v>#N/A</v>
      </c>
      <c r="L641" s="175" t="e">
        <f t="shared" si="361"/>
        <v>#N/A</v>
      </c>
      <c r="M641" s="177"/>
      <c r="N641" s="177" t="e">
        <f t="shared" si="362"/>
        <v>#N/A</v>
      </c>
      <c r="O641" s="177"/>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c r="A642" s="29" t="str">
        <f t="shared" si="359"/>
        <v>lt004_protectionAMNT_CVRD_INSRNC</v>
      </c>
      <c r="B642" s="67" t="s">
        <v>26</v>
      </c>
      <c r="C642" s="68" t="s">
        <v>26</v>
      </c>
      <c r="D642" s="64" t="s">
        <v>40</v>
      </c>
      <c r="E642" s="70" t="s">
        <v>368</v>
      </c>
      <c r="F642" s="357" t="s">
        <v>2260</v>
      </c>
      <c r="G642" s="64" t="str">
        <f>INDEX(Auxiliar!$B$16:$B$24,MATCH(Plano_V3!H642,Auxiliar!$C$16:$C$24,0),1)</f>
        <v xml:space="preserve">6. Em implementação </v>
      </c>
      <c r="H642" s="64">
        <f>VLOOKUP(A642,'Aux - pivots1'!$A:$B,2,0)</f>
        <v>7</v>
      </c>
      <c r="I642" s="175" t="e">
        <f>SUMIFS(Table1[Estimação (horas)],Table1[Tabela],Plano_V3!E642,Table1[Campo],Plano_V3!F642)</f>
        <v>#N/A</v>
      </c>
      <c r="J642" s="175" t="e">
        <f t="shared" si="360"/>
        <v>#N/A</v>
      </c>
      <c r="K642" s="175" t="e">
        <f>SUMIFS(Table1[Horas efetivas],Table1[Tabela],Plano_V3!E642,Table1[Campo],Plano_V3!F642)</f>
        <v>#N/A</v>
      </c>
      <c r="L642" s="175" t="e">
        <f t="shared" si="361"/>
        <v>#N/A</v>
      </c>
      <c r="M642" s="177"/>
      <c r="N642" s="177" t="e">
        <f t="shared" si="362"/>
        <v>#N/A</v>
      </c>
      <c r="O642" s="177"/>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c r="A643" s="29" t="str">
        <f t="shared" si="359"/>
        <v>lt004_protectionDT_MTRTY_INSRNC</v>
      </c>
      <c r="B643" s="67" t="s">
        <v>26</v>
      </c>
      <c r="C643" s="68" t="s">
        <v>26</v>
      </c>
      <c r="D643" s="64" t="s">
        <v>40</v>
      </c>
      <c r="E643" s="70" t="s">
        <v>368</v>
      </c>
      <c r="F643" s="357" t="s">
        <v>2261</v>
      </c>
      <c r="G643" s="64" t="str">
        <f>INDEX(Auxiliar!$B$16:$B$24,MATCH(Plano_V3!H643,Auxiliar!$C$16:$C$24,0),1)</f>
        <v xml:space="preserve">6. Em implementação </v>
      </c>
      <c r="H643" s="64">
        <f>VLOOKUP(A643,'Aux - pivots1'!$A:$B,2,0)</f>
        <v>7</v>
      </c>
      <c r="I643" s="175" t="e">
        <f>SUMIFS(Table1[Estimação (horas)],Table1[Tabela],Plano_V3!E643,Table1[Campo],Plano_V3!F643)</f>
        <v>#N/A</v>
      </c>
      <c r="J643" s="175" t="e">
        <f t="shared" si="360"/>
        <v>#N/A</v>
      </c>
      <c r="K643" s="175" t="e">
        <f>SUMIFS(Table1[Horas efetivas],Table1[Tabela],Plano_V3!E643,Table1[Campo],Plano_V3!F643)</f>
        <v>#N/A</v>
      </c>
      <c r="L643" s="175" t="e">
        <f t="shared" si="361"/>
        <v>#N/A</v>
      </c>
      <c r="M643" s="177"/>
      <c r="N643" s="177" t="e">
        <f t="shared" si="362"/>
        <v>#N/A</v>
      </c>
      <c r="O643" s="177"/>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c r="A644" s="29" t="str">
        <f t="shared" si="359"/>
        <v>lt004_protectionFLG_FRST_HM</v>
      </c>
      <c r="B644" s="67" t="s">
        <v>26</v>
      </c>
      <c r="C644" s="68" t="s">
        <v>26</v>
      </c>
      <c r="D644" s="64" t="s">
        <v>40</v>
      </c>
      <c r="E644" s="70" t="s">
        <v>368</v>
      </c>
      <c r="F644" s="357" t="s">
        <v>2262</v>
      </c>
      <c r="G644" s="64" t="str">
        <f>INDEX(Auxiliar!$B$16:$B$24,MATCH(Plano_V3!H644,Auxiliar!$C$16:$C$24,0),1)</f>
        <v xml:space="preserve">6. Em implementação </v>
      </c>
      <c r="H644" s="64">
        <f>VLOOKUP(A644,'Aux - pivots1'!$A:$B,2,0)</f>
        <v>7</v>
      </c>
      <c r="I644" s="175" t="e">
        <f>SUMIFS(Table1[Estimação (horas)],Table1[Tabela],Plano_V3!E644,Table1[Campo],Plano_V3!F644)</f>
        <v>#N/A</v>
      </c>
      <c r="J644" s="175" t="e">
        <f t="shared" si="360"/>
        <v>#N/A</v>
      </c>
      <c r="K644" s="175" t="e">
        <f>SUMIFS(Table1[Horas efetivas],Table1[Tabela],Plano_V3!E644,Table1[Campo],Plano_V3!F644)</f>
        <v>#N/A</v>
      </c>
      <c r="L644" s="175" t="e">
        <f t="shared" si="361"/>
        <v>#N/A</v>
      </c>
      <c r="M644" s="177"/>
      <c r="N644" s="177" t="e">
        <f t="shared" si="362"/>
        <v>#N/A</v>
      </c>
      <c r="O644" s="177"/>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c r="A645" s="29" t="str">
        <f t="shared" si="359"/>
        <v>lt004_protectionYR_CNSTRCTN</v>
      </c>
      <c r="B645" s="67" t="s">
        <v>26</v>
      </c>
      <c r="C645" s="68" t="s">
        <v>26</v>
      </c>
      <c r="D645" s="64" t="s">
        <v>40</v>
      </c>
      <c r="E645" s="70" t="s">
        <v>368</v>
      </c>
      <c r="F645" s="357" t="s">
        <v>2263</v>
      </c>
      <c r="G645" s="64" t="str">
        <f>INDEX(Auxiliar!$B$16:$B$24,MATCH(Plano_V3!H645,Auxiliar!$C$16:$C$24,0),1)</f>
        <v xml:space="preserve">6. Em implementação </v>
      </c>
      <c r="H645" s="64">
        <f>VLOOKUP(A645,'Aux - pivots1'!$A:$B,2,0)</f>
        <v>7</v>
      </c>
      <c r="I645" s="175" t="e">
        <f>SUMIFS(Table1[Estimação (horas)],Table1[Tabela],Plano_V3!E645,Table1[Campo],Plano_V3!F645)</f>
        <v>#N/A</v>
      </c>
      <c r="J645" s="175" t="e">
        <f t="shared" si="360"/>
        <v>#N/A</v>
      </c>
      <c r="K645" s="175" t="e">
        <f>SUMIFS(Table1[Horas efetivas],Table1[Tabela],Plano_V3!E645,Table1[Campo],Plano_V3!F645)</f>
        <v>#N/A</v>
      </c>
      <c r="L645" s="175" t="e">
        <f t="shared" si="361"/>
        <v>#N/A</v>
      </c>
      <c r="M645" s="177"/>
      <c r="N645" s="177" t="e">
        <f t="shared" si="362"/>
        <v>#N/A</v>
      </c>
      <c r="O645" s="177"/>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c r="A646" s="29" t="str">
        <f t="shared" si="359"/>
        <v>lt004_protectionBLDNG_AR</v>
      </c>
      <c r="B646" s="67" t="s">
        <v>26</v>
      </c>
      <c r="C646" s="68" t="s">
        <v>26</v>
      </c>
      <c r="D646" s="64" t="s">
        <v>40</v>
      </c>
      <c r="E646" s="70" t="s">
        <v>368</v>
      </c>
      <c r="F646" s="357" t="s">
        <v>2264</v>
      </c>
      <c r="G646" s="64" t="str">
        <f>INDEX(Auxiliar!$B$16:$B$24,MATCH(Plano_V3!H646,Auxiliar!$C$16:$C$24,0),1)</f>
        <v xml:space="preserve">6. Em implementação </v>
      </c>
      <c r="H646" s="64">
        <f>VLOOKUP(A646,'Aux - pivots1'!$A:$B,2,0)</f>
        <v>7</v>
      </c>
      <c r="I646" s="175" t="e">
        <f>SUMIFS(Table1[Estimação (horas)],Table1[Tabela],Plano_V3!E646,Table1[Campo],Plano_V3!F646)</f>
        <v>#N/A</v>
      </c>
      <c r="J646" s="175" t="e">
        <f t="shared" si="360"/>
        <v>#N/A</v>
      </c>
      <c r="K646" s="175" t="e">
        <f>SUMIFS(Table1[Horas efetivas],Table1[Tabela],Plano_V3!E646,Table1[Campo],Plano_V3!F646)</f>
        <v>#N/A</v>
      </c>
      <c r="L646" s="175" t="e">
        <f t="shared" si="361"/>
        <v>#N/A</v>
      </c>
      <c r="M646" s="177"/>
      <c r="N646" s="177" t="e">
        <f t="shared" si="362"/>
        <v>#N/A</v>
      </c>
      <c r="O646" s="177"/>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c r="A647" s="29" t="str">
        <f t="shared" si="359"/>
        <v>lt004_protectionRL_ESTT_CRTFCTN</v>
      </c>
      <c r="B647" s="67" t="s">
        <v>26</v>
      </c>
      <c r="C647" s="68" t="s">
        <v>26</v>
      </c>
      <c r="D647" s="64" t="s">
        <v>40</v>
      </c>
      <c r="E647" s="70" t="s">
        <v>368</v>
      </c>
      <c r="F647" s="357" t="s">
        <v>2265</v>
      </c>
      <c r="G647" s="64" t="str">
        <f>INDEX(Auxiliar!$B$16:$B$24,MATCH(Plano_V3!H647,Auxiliar!$C$16:$C$24,0),1)</f>
        <v xml:space="preserve">6. Em implementação </v>
      </c>
      <c r="H647" s="64">
        <f>VLOOKUP(A647,'Aux - pivots1'!$A:$B,2,0)</f>
        <v>7</v>
      </c>
      <c r="I647" s="175" t="e">
        <f>SUMIFS(Table1[Estimação (horas)],Table1[Tabela],Plano_V3!E647,Table1[Campo],Plano_V3!F647)</f>
        <v>#N/A</v>
      </c>
      <c r="J647" s="175" t="e">
        <f t="shared" si="360"/>
        <v>#N/A</v>
      </c>
      <c r="K647" s="175" t="e">
        <f>SUMIFS(Table1[Horas efetivas],Table1[Tabela],Plano_V3!E647,Table1[Campo],Plano_V3!F647)</f>
        <v>#N/A</v>
      </c>
      <c r="L647" s="175" t="e">
        <f t="shared" si="361"/>
        <v>#N/A</v>
      </c>
      <c r="M647" s="177"/>
      <c r="N647" s="177" t="e">
        <f t="shared" si="362"/>
        <v>#N/A</v>
      </c>
      <c r="O647" s="177"/>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c r="A648" s="29" t="str">
        <f t="shared" si="359"/>
        <v>lt004_protectionTYP_VHCL</v>
      </c>
      <c r="B648" s="67" t="s">
        <v>26</v>
      </c>
      <c r="C648" s="68" t="s">
        <v>26</v>
      </c>
      <c r="D648" s="64" t="s">
        <v>40</v>
      </c>
      <c r="E648" s="70" t="s">
        <v>368</v>
      </c>
      <c r="F648" s="357" t="s">
        <v>2266</v>
      </c>
      <c r="G648" s="64" t="str">
        <f>INDEX(Auxiliar!$B$16:$B$24,MATCH(Plano_V3!H648,Auxiliar!$C$16:$C$24,0),1)</f>
        <v xml:space="preserve">6. Em implementação </v>
      </c>
      <c r="H648" s="64">
        <f>VLOOKUP(A648,'Aux - pivots1'!$A:$B,2,0)</f>
        <v>7</v>
      </c>
      <c r="I648" s="175" t="e">
        <f>SUMIFS(Table1[Estimação (horas)],Table1[Tabela],Plano_V3!E648,Table1[Campo],Plano_V3!F648)</f>
        <v>#N/A</v>
      </c>
      <c r="J648" s="175" t="e">
        <f t="shared" si="360"/>
        <v>#N/A</v>
      </c>
      <c r="K648" s="175" t="e">
        <f>SUMIFS(Table1[Horas efetivas],Table1[Tabela],Plano_V3!E648,Table1[Campo],Plano_V3!F648)</f>
        <v>#N/A</v>
      </c>
      <c r="L648" s="175" t="e">
        <f t="shared" si="361"/>
        <v>#N/A</v>
      </c>
      <c r="M648" s="177"/>
      <c r="N648" s="177" t="e">
        <f t="shared" si="362"/>
        <v>#N/A</v>
      </c>
      <c r="O648" s="177"/>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c r="A649" s="29" t="str">
        <f t="shared" si="359"/>
        <v>lt004_protectionDT_RGSTRTN</v>
      </c>
      <c r="B649" s="67" t="s">
        <v>26</v>
      </c>
      <c r="C649" s="68" t="s">
        <v>26</v>
      </c>
      <c r="D649" s="64" t="s">
        <v>40</v>
      </c>
      <c r="E649" s="70" t="s">
        <v>368</v>
      </c>
      <c r="F649" s="357" t="s">
        <v>2267</v>
      </c>
      <c r="G649" s="64" t="str">
        <f>INDEX(Auxiliar!$B$16:$B$24,MATCH(Plano_V3!H649,Auxiliar!$C$16:$C$24,0),1)</f>
        <v xml:space="preserve">6. Em implementação </v>
      </c>
      <c r="H649" s="64">
        <f>VLOOKUP(A649,'Aux - pivots1'!$A:$B,2,0)</f>
        <v>7</v>
      </c>
      <c r="I649" s="175" t="e">
        <f>SUMIFS(Table1[Estimação (horas)],Table1[Tabela],Plano_V3!E649,Table1[Campo],Plano_V3!F649)</f>
        <v>#N/A</v>
      </c>
      <c r="J649" s="175" t="e">
        <f t="shared" si="360"/>
        <v>#N/A</v>
      </c>
      <c r="K649" s="175" t="e">
        <f>SUMIFS(Table1[Horas efetivas],Table1[Tabela],Plano_V3!E649,Table1[Campo],Plano_V3!F649)</f>
        <v>#N/A</v>
      </c>
      <c r="L649" s="175" t="e">
        <f t="shared" si="361"/>
        <v>#N/A</v>
      </c>
      <c r="M649" s="177"/>
      <c r="N649" s="177" t="e">
        <f t="shared" si="362"/>
        <v>#N/A</v>
      </c>
      <c r="O649" s="177"/>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c r="A650" s="29" t="str">
        <f t="shared" si="359"/>
        <v>lt004_protectionPRMRY_ENRGY_DMND_NN_RNWBL</v>
      </c>
      <c r="B650" s="67" t="s">
        <v>26</v>
      </c>
      <c r="C650" s="68" t="s">
        <v>26</v>
      </c>
      <c r="D650" s="64" t="s">
        <v>40</v>
      </c>
      <c r="E650" s="70" t="s">
        <v>368</v>
      </c>
      <c r="F650" s="357" t="s">
        <v>2268</v>
      </c>
      <c r="G650" s="64" t="str">
        <f>INDEX(Auxiliar!$B$16:$B$24,MATCH(Plano_V3!H650,Auxiliar!$C$16:$C$24,0),1)</f>
        <v xml:space="preserve">6. Em implementação </v>
      </c>
      <c r="H650" s="64">
        <f>VLOOKUP(A650,'Aux - pivots1'!$A:$B,2,0)</f>
        <v>7</v>
      </c>
      <c r="I650" s="175" t="e">
        <f>SUMIFS(Table1[Estimação (horas)],Table1[Tabela],Plano_V3!E650,Table1[Campo],Plano_V3!F650)</f>
        <v>#N/A</v>
      </c>
      <c r="J650" s="175" t="e">
        <f t="shared" si="360"/>
        <v>#N/A</v>
      </c>
      <c r="K650" s="175" t="e">
        <f>SUMIFS(Table1[Horas efetivas],Table1[Tabela],Plano_V3!E650,Table1[Campo],Plano_V3!F650)</f>
        <v>#N/A</v>
      </c>
      <c r="L650" s="175" t="e">
        <f t="shared" si="361"/>
        <v>#N/A</v>
      </c>
      <c r="M650" s="177"/>
      <c r="N650" s="177" t="e">
        <f t="shared" si="362"/>
        <v>#N/A</v>
      </c>
      <c r="O650" s="177"/>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c r="A651" s="29" t="str">
        <f t="shared" si="359"/>
        <v>lt004_protectionPRMRY_ENRGY_DMND_TTL</v>
      </c>
      <c r="B651" s="67" t="s">
        <v>26</v>
      </c>
      <c r="C651" s="68" t="s">
        <v>26</v>
      </c>
      <c r="D651" s="64" t="s">
        <v>40</v>
      </c>
      <c r="E651" s="70" t="s">
        <v>368</v>
      </c>
      <c r="F651" s="357" t="s">
        <v>2269</v>
      </c>
      <c r="G651" s="64" t="str">
        <f>INDEX(Auxiliar!$B$16:$B$24,MATCH(Plano_V3!H651,Auxiliar!$C$16:$C$24,0),1)</f>
        <v xml:space="preserve">6. Em implementação </v>
      </c>
      <c r="H651" s="64">
        <f>VLOOKUP(A651,'Aux - pivots1'!$A:$B,2,0)</f>
        <v>7</v>
      </c>
      <c r="I651" s="175" t="e">
        <f>SUMIFS(Table1[Estimação (horas)],Table1[Tabela],Plano_V3!E651,Table1[Campo],Plano_V3!F651)</f>
        <v>#N/A</v>
      </c>
      <c r="J651" s="175" t="e">
        <f t="shared" si="360"/>
        <v>#N/A</v>
      </c>
      <c r="K651" s="175" t="e">
        <f>SUMIFS(Table1[Horas efetivas],Table1[Tabela],Plano_V3!E651,Table1[Campo],Plano_V3!F651)</f>
        <v>#N/A</v>
      </c>
      <c r="L651" s="175" t="e">
        <f t="shared" si="361"/>
        <v>#N/A</v>
      </c>
      <c r="M651" s="177"/>
      <c r="N651" s="177" t="e">
        <f t="shared" si="362"/>
        <v>#N/A</v>
      </c>
      <c r="O651" s="177"/>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c r="A652" s="29" t="str">
        <f t="shared" si="359"/>
        <v>lt004_protectionPRMRY_ENRGY_DMND_RFRNC_VL</v>
      </c>
      <c r="B652" s="67" t="s">
        <v>26</v>
      </c>
      <c r="C652" s="68" t="s">
        <v>26</v>
      </c>
      <c r="D652" s="64" t="s">
        <v>40</v>
      </c>
      <c r="E652" s="70" t="s">
        <v>368</v>
      </c>
      <c r="F652" s="357" t="s">
        <v>2270</v>
      </c>
      <c r="G652" s="64" t="str">
        <f>INDEX(Auxiliar!$B$16:$B$24,MATCH(Plano_V3!H652,Auxiliar!$C$16:$C$24,0),1)</f>
        <v xml:space="preserve">6. Em implementação </v>
      </c>
      <c r="H652" s="64">
        <f>VLOOKUP(A652,'Aux - pivots1'!$A:$B,2,0)</f>
        <v>7</v>
      </c>
      <c r="I652" s="175" t="e">
        <f>SUMIFS(Table1[Estimação (horas)],Table1[Tabela],Plano_V3!E652,Table1[Campo],Plano_V3!F652)</f>
        <v>#N/A</v>
      </c>
      <c r="J652" s="175" t="e">
        <f t="shared" si="360"/>
        <v>#N/A</v>
      </c>
      <c r="K652" s="175" t="e">
        <f>SUMIFS(Table1[Horas efetivas],Table1[Tabela],Plano_V3!E652,Table1[Campo],Plano_V3!F652)</f>
        <v>#N/A</v>
      </c>
      <c r="L652" s="175" t="e">
        <f t="shared" si="361"/>
        <v>#N/A</v>
      </c>
      <c r="M652" s="177"/>
      <c r="N652" s="177" t="e">
        <f t="shared" si="362"/>
        <v>#N/A</v>
      </c>
      <c r="O652" s="177"/>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c r="A653" s="29" t="str">
        <f t="shared" si="359"/>
        <v>lt004_protectionRL_ESTT_CLMT_ZN</v>
      </c>
      <c r="B653" s="67" t="s">
        <v>26</v>
      </c>
      <c r="C653" s="68" t="s">
        <v>26</v>
      </c>
      <c r="D653" s="64" t="s">
        <v>40</v>
      </c>
      <c r="E653" s="70" t="s">
        <v>368</v>
      </c>
      <c r="F653" s="357" t="s">
        <v>2271</v>
      </c>
      <c r="G653" s="64" t="str">
        <f>INDEX(Auxiliar!$B$16:$B$24,MATCH(Plano_V3!H653,Auxiliar!$C$16:$C$24,0),1)</f>
        <v xml:space="preserve">6. Em implementação </v>
      </c>
      <c r="H653" s="64">
        <f>VLOOKUP(A653,'Aux - pivots1'!$A:$B,2,0)</f>
        <v>7</v>
      </c>
      <c r="I653" s="175" t="e">
        <f>SUMIFS(Table1[Estimação (horas)],Table1[Tabela],Plano_V3!E653,Table1[Campo],Plano_V3!F653)</f>
        <v>#N/A</v>
      </c>
      <c r="J653" s="175" t="e">
        <f t="shared" si="360"/>
        <v>#N/A</v>
      </c>
      <c r="K653" s="175" t="e">
        <f>SUMIFS(Table1[Horas efetivas],Table1[Tabela],Plano_V3!E653,Table1[Campo],Plano_V3!F653)</f>
        <v>#N/A</v>
      </c>
      <c r="L653" s="175" t="e">
        <f t="shared" si="361"/>
        <v>#N/A</v>
      </c>
      <c r="M653" s="177"/>
      <c r="N653" s="177" t="e">
        <f t="shared" si="362"/>
        <v>#N/A</v>
      </c>
      <c r="O653" s="177"/>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c r="A654" s="29" t="str">
        <f t="shared" si="352"/>
        <v>lt002_instrumentrsk_mtgtd_cct</v>
      </c>
      <c r="B654" s="67" t="s">
        <v>26</v>
      </c>
      <c r="C654" s="68" t="s">
        <v>26</v>
      </c>
      <c r="D654" s="64" t="s">
        <v>40</v>
      </c>
      <c r="E654" s="70" t="s">
        <v>379</v>
      </c>
      <c r="F654" s="71" t="s">
        <v>380</v>
      </c>
      <c r="G654" s="64" t="str">
        <f>INDEX(Auxiliar!$B$16:$B$24,MATCH(Plano_V3!H654,Auxiliar!$C$16:$C$24,0),1)</f>
        <v>1. Concluído</v>
      </c>
      <c r="H654" s="64">
        <f>VLOOKUP(A654,'Aux - pivots1'!$A:$B,2,0)</f>
        <v>1</v>
      </c>
      <c r="I654" s="175">
        <f>SUMIFS(Table1[Estimação (horas)],Table1[Tabela],Plano_V3!E654,Table1[Campo],Plano_V3!F654)</f>
        <v>4.0999999999999996</v>
      </c>
      <c r="J654" s="175">
        <f t="shared" ref="J654:J662" si="363">I654/8</f>
        <v>0.51249999999999996</v>
      </c>
      <c r="K654" s="175">
        <f>SUMIFS(Table1[Horas efetivas],Table1[Tabela],Plano_V3!E654,Table1[Campo],Plano_V3!F654)</f>
        <v>4.0999999999999996</v>
      </c>
      <c r="L654" s="175">
        <f t="shared" ref="L654:L662" si="364">K654/8</f>
        <v>0.51249999999999996</v>
      </c>
      <c r="M654" s="177"/>
      <c r="N654" s="177">
        <f t="shared" ref="N654:N662" si="365">L654/J654</f>
        <v>1</v>
      </c>
      <c r="O654" s="177"/>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c r="A655" s="29" t="str">
        <f t="shared" si="352"/>
        <v>lt002_instrumentrsk_mtgtd_ccp</v>
      </c>
      <c r="B655" s="67" t="s">
        <v>26</v>
      </c>
      <c r="C655" s="68" t="s">
        <v>26</v>
      </c>
      <c r="D655" s="64" t="s">
        <v>40</v>
      </c>
      <c r="E655" s="70" t="s">
        <v>379</v>
      </c>
      <c r="F655" s="71" t="s">
        <v>381</v>
      </c>
      <c r="G655" s="64" t="str">
        <f>INDEX(Auxiliar!$B$16:$B$24,MATCH(Plano_V3!H655,Auxiliar!$C$16:$C$24,0),1)</f>
        <v xml:space="preserve">6. Em implementação </v>
      </c>
      <c r="H655" s="64">
        <f>VLOOKUP(A655,'Aux - pivots1'!$A:$B,2,0)</f>
        <v>7</v>
      </c>
      <c r="I655" s="175">
        <f>SUMIFS(Table1[Estimação (horas)],Table1[Tabela],Plano_V3!E655,Table1[Campo],Plano_V3!F655)</f>
        <v>4.0999999999999996</v>
      </c>
      <c r="J655" s="175">
        <f t="shared" si="363"/>
        <v>0.51249999999999996</v>
      </c>
      <c r="K655" s="175">
        <f>SUMIFS(Table1[Horas efetivas],Table1[Tabela],Plano_V3!E655,Table1[Campo],Plano_V3!F655)</f>
        <v>1.0249999999999999</v>
      </c>
      <c r="L655" s="175">
        <f t="shared" si="364"/>
        <v>0.12812499999999999</v>
      </c>
      <c r="M655" s="177"/>
      <c r="N655" s="177">
        <f t="shared" si="365"/>
        <v>0.25</v>
      </c>
      <c r="O655" s="177"/>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c r="A656" s="29" t="str">
        <f t="shared" si="352"/>
        <v>lt007_instr_activityenvrnmntl_objctv</v>
      </c>
      <c r="B656" s="67" t="s">
        <v>26</v>
      </c>
      <c r="C656" s="68" t="s">
        <v>26</v>
      </c>
      <c r="D656" s="64" t="s">
        <v>40</v>
      </c>
      <c r="E656" s="70" t="s">
        <v>1865</v>
      </c>
      <c r="F656" s="71" t="s">
        <v>382</v>
      </c>
      <c r="G656" s="64" t="str">
        <f>INDEX(Auxiliar!$B$16:$B$24,MATCH(Plano_V3!H656,Auxiliar!$C$16:$C$24,0),1)</f>
        <v>1. Concluído</v>
      </c>
      <c r="H656" s="64">
        <f>VLOOKUP(A656,'Aux - pivots1'!$A:$B,2,0)</f>
        <v>1</v>
      </c>
      <c r="I656" s="175">
        <f>SUMIFS(Table1[Estimação (horas)],Table1[Tabela],Plano_V3!E656,Table1[Campo],Plano_V3!F656)</f>
        <v>4.0999999999999996</v>
      </c>
      <c r="J656" s="175">
        <f t="shared" si="363"/>
        <v>0.51249999999999996</v>
      </c>
      <c r="K656" s="175">
        <f>SUMIFS(Table1[Horas efetivas],Table1[Tabela],Plano_V3!E656,Table1[Campo],Plano_V3!F656)</f>
        <v>4.0999999999999996</v>
      </c>
      <c r="L656" s="175">
        <f t="shared" si="364"/>
        <v>0.51249999999999996</v>
      </c>
      <c r="M656" s="177"/>
      <c r="N656" s="177">
        <f t="shared" si="365"/>
        <v>1</v>
      </c>
      <c r="O656" s="177"/>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c r="A657" s="29" t="str">
        <f t="shared" si="352"/>
        <v>lt007_instr_activitytyp_actvty</v>
      </c>
      <c r="B657" s="67" t="s">
        <v>26</v>
      </c>
      <c r="C657" s="68" t="s">
        <v>26</v>
      </c>
      <c r="D657" s="64" t="s">
        <v>40</v>
      </c>
      <c r="E657" s="70" t="s">
        <v>1865</v>
      </c>
      <c r="F657" s="71" t="s">
        <v>383</v>
      </c>
      <c r="G657" s="64" t="str">
        <f>INDEX(Auxiliar!$B$16:$B$24,MATCH(Plano_V3!H657,Auxiliar!$C$16:$C$24,0),1)</f>
        <v>1. Concluído</v>
      </c>
      <c r="H657" s="64">
        <f>VLOOKUP(A657,'Aux - pivots1'!$A:$B,2,0)</f>
        <v>1</v>
      </c>
      <c r="I657" s="175">
        <f>SUMIFS(Table1[Estimação (horas)],Table1[Tabela],Plano_V3!E657,Table1[Campo],Plano_V3!F657)</f>
        <v>4.0999999999999996</v>
      </c>
      <c r="J657" s="175">
        <f t="shared" si="363"/>
        <v>0.51249999999999996</v>
      </c>
      <c r="K657" s="175">
        <f>SUMIFS(Table1[Horas efetivas],Table1[Tabela],Plano_V3!E657,Table1[Campo],Plano_V3!F657)</f>
        <v>4.0999999999999996</v>
      </c>
      <c r="L657" s="175">
        <f t="shared" si="364"/>
        <v>0.51249999999999996</v>
      </c>
      <c r="M657" s="177"/>
      <c r="N657" s="177">
        <f t="shared" si="365"/>
        <v>1</v>
      </c>
      <c r="O657" s="177"/>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c r="A658" s="29" t="str">
        <f t="shared" si="352"/>
        <v>lt002_instrumentlns_clltrlzd_clssfctn</v>
      </c>
      <c r="B658" s="67" t="s">
        <v>26</v>
      </c>
      <c r="C658" s="68" t="s">
        <v>26</v>
      </c>
      <c r="D658" s="64" t="s">
        <v>40</v>
      </c>
      <c r="E658" s="70" t="s">
        <v>379</v>
      </c>
      <c r="F658" s="71" t="s">
        <v>384</v>
      </c>
      <c r="G658" s="64" t="str">
        <f>INDEX(Auxiliar!$B$16:$B$24,MATCH(Plano_V3!H658,Auxiliar!$C$16:$C$24,0),1)</f>
        <v>1. Concluído</v>
      </c>
      <c r="H658" s="64">
        <f>VLOOKUP(A658,'Aux - pivots1'!$A:$B,2,0)</f>
        <v>1</v>
      </c>
      <c r="I658" s="175">
        <f>SUMIFS(Table1[Estimação (horas)],Table1[Tabela],Plano_V3!E658,Table1[Campo],Plano_V3!F658)</f>
        <v>4.0999999999999996</v>
      </c>
      <c r="J658" s="175">
        <f t="shared" si="363"/>
        <v>0.51249999999999996</v>
      </c>
      <c r="K658" s="175">
        <f>SUMIFS(Table1[Horas efetivas],Table1[Tabela],Plano_V3!E658,Table1[Campo],Plano_V3!F658)</f>
        <v>4.0999999999999996</v>
      </c>
      <c r="L658" s="175">
        <f t="shared" si="364"/>
        <v>0.51249999999999996</v>
      </c>
      <c r="M658" s="177"/>
      <c r="N658" s="177">
        <f t="shared" si="365"/>
        <v>1</v>
      </c>
      <c r="O658" s="177"/>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c r="A659" s="29" t="str">
        <f t="shared" si="352"/>
        <v>lt002_instrumentmthd_usd_instrmnt_scp_1</v>
      </c>
      <c r="B659" s="67" t="s">
        <v>26</v>
      </c>
      <c r="C659" s="68" t="s">
        <v>26</v>
      </c>
      <c r="D659" s="64" t="s">
        <v>40</v>
      </c>
      <c r="E659" s="70" t="s">
        <v>379</v>
      </c>
      <c r="F659" s="71" t="s">
        <v>385</v>
      </c>
      <c r="G659" s="64" t="str">
        <f>INDEX(Auxiliar!$B$16:$B$24,MATCH(Plano_V3!H659,Auxiliar!$C$16:$C$24,0),1)</f>
        <v>2.2 Em especificação</v>
      </c>
      <c r="H659" s="64">
        <f>VLOOKUP(A659,'Aux - pivots1'!$A:$B,2,0)</f>
        <v>3</v>
      </c>
      <c r="I659" s="175">
        <f>SUMIFS(Table1[Estimação (horas)],Table1[Tabela],Plano_V3!E659,Table1[Campo],Plano_V3!F659)</f>
        <v>4.0999999999999996</v>
      </c>
      <c r="J659" s="175">
        <f t="shared" si="363"/>
        <v>0.51249999999999996</v>
      </c>
      <c r="K659" s="175">
        <f>SUMIFS(Table1[Horas efetivas],Table1[Tabela],Plano_V3!E659,Table1[Campo],Plano_V3!F659)</f>
        <v>2.0499999999999998</v>
      </c>
      <c r="L659" s="175">
        <f t="shared" si="364"/>
        <v>0.25624999999999998</v>
      </c>
      <c r="M659" s="177"/>
      <c r="N659" s="177">
        <f t="shared" si="365"/>
        <v>0.5</v>
      </c>
      <c r="O659" s="177"/>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c r="A660" s="29" t="str">
        <f t="shared" si="352"/>
        <v>lt002_instrumentmthd_usd_instrmnt_scp_2</v>
      </c>
      <c r="B660" s="67" t="s">
        <v>26</v>
      </c>
      <c r="C660" s="68" t="s">
        <v>26</v>
      </c>
      <c r="D660" s="64" t="s">
        <v>40</v>
      </c>
      <c r="E660" s="70" t="s">
        <v>379</v>
      </c>
      <c r="F660" s="71" t="s">
        <v>386</v>
      </c>
      <c r="G660" s="64" t="str">
        <f>INDEX(Auxiliar!$B$16:$B$24,MATCH(Plano_V3!H660,Auxiliar!$C$16:$C$24,0),1)</f>
        <v>2.2 Em especificação</v>
      </c>
      <c r="H660" s="64">
        <f>VLOOKUP(A660,'Aux - pivots1'!$A:$B,2,0)</f>
        <v>3</v>
      </c>
      <c r="I660" s="175">
        <f>SUMIFS(Table1[Estimação (horas)],Table1[Tabela],Plano_V3!E660,Table1[Campo],Plano_V3!F660)</f>
        <v>4.0999999999999996</v>
      </c>
      <c r="J660" s="175">
        <f t="shared" si="363"/>
        <v>0.51249999999999996</v>
      </c>
      <c r="K660" s="175">
        <f>SUMIFS(Table1[Horas efetivas],Table1[Tabela],Plano_V3!E660,Table1[Campo],Plano_V3!F660)</f>
        <v>2.0499999999999998</v>
      </c>
      <c r="L660" s="175">
        <f t="shared" si="364"/>
        <v>0.25624999999999998</v>
      </c>
      <c r="M660" s="177"/>
      <c r="N660" s="177">
        <f t="shared" si="365"/>
        <v>0.5</v>
      </c>
      <c r="O660" s="177"/>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c r="A661" s="29" t="str">
        <f t="shared" si="352"/>
        <v>lt002_instrumentmthd_usd_instrmnt_scp_3</v>
      </c>
      <c r="B661" s="67" t="s">
        <v>26</v>
      </c>
      <c r="C661" s="68" t="s">
        <v>26</v>
      </c>
      <c r="D661" s="64" t="s">
        <v>40</v>
      </c>
      <c r="E661" s="70" t="s">
        <v>379</v>
      </c>
      <c r="F661" s="71" t="s">
        <v>387</v>
      </c>
      <c r="G661" s="64" t="str">
        <f>INDEX(Auxiliar!$B$16:$B$24,MATCH(Plano_V3!H661,Auxiliar!$C$16:$C$24,0),1)</f>
        <v>2.2 Em especificação</v>
      </c>
      <c r="H661" s="64">
        <f>VLOOKUP(A661,'Aux - pivots1'!$A:$B,2,0)</f>
        <v>3</v>
      </c>
      <c r="I661" s="175">
        <f>SUMIFS(Table1[Estimação (horas)],Table1[Tabela],Plano_V3!E661,Table1[Campo],Plano_V3!F661)</f>
        <v>4.0999999999999996</v>
      </c>
      <c r="J661" s="175">
        <f t="shared" si="363"/>
        <v>0.51249999999999996</v>
      </c>
      <c r="K661" s="175">
        <f>SUMIFS(Table1[Horas efetivas],Table1[Tabela],Plano_V3!E661,Table1[Campo],Plano_V3!F661)</f>
        <v>2.0499999999999998</v>
      </c>
      <c r="L661" s="175">
        <f t="shared" si="364"/>
        <v>0.25624999999999998</v>
      </c>
      <c r="M661" s="177"/>
      <c r="N661" s="177">
        <f t="shared" si="365"/>
        <v>0.5</v>
      </c>
      <c r="O661" s="177"/>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c r="A662" s="29" t="str">
        <f t="shared" si="352"/>
        <v>lt002_instrumentsstnbl_ctgry_txnmy</v>
      </c>
      <c r="B662" s="67" t="s">
        <v>26</v>
      </c>
      <c r="C662" s="68" t="s">
        <v>26</v>
      </c>
      <c r="D662" s="64" t="s">
        <v>40</v>
      </c>
      <c r="E662" s="70" t="s">
        <v>379</v>
      </c>
      <c r="F662" s="71" t="s">
        <v>388</v>
      </c>
      <c r="G662" s="64" t="str">
        <f>INDEX(Auxiliar!$B$16:$B$24,MATCH(Plano_V3!H662,Auxiliar!$C$16:$C$24,0),1)</f>
        <v>1. Concluído</v>
      </c>
      <c r="H662" s="64">
        <f>VLOOKUP(A662,'Aux - pivots1'!$A:$B,2,0)</f>
        <v>1</v>
      </c>
      <c r="I662" s="175">
        <f>SUMIFS(Table1[Estimação (horas)],Table1[Tabela],Plano_V3!E662,Table1[Campo],Plano_V3!F662)</f>
        <v>4.0999999999999996</v>
      </c>
      <c r="J662" s="175">
        <f t="shared" si="363"/>
        <v>0.51249999999999996</v>
      </c>
      <c r="K662" s="175">
        <f>SUMIFS(Table1[Horas efetivas],Table1[Tabela],Plano_V3!E662,Table1[Campo],Plano_V3!F662)</f>
        <v>4.0999999999999996</v>
      </c>
      <c r="L662" s="175">
        <f t="shared" si="364"/>
        <v>0.51249999999999996</v>
      </c>
      <c r="M662" s="177"/>
      <c r="N662" s="177">
        <f t="shared" si="365"/>
        <v>1</v>
      </c>
      <c r="O662" s="177"/>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c r="A663" s="29" t="str">
        <f t="shared" ref="A663:A678" si="366">E663&amp;F663</f>
        <v>lt002_instrumentFRBRNC_STTS_INSTRMNT</v>
      </c>
      <c r="B663" s="67" t="s">
        <v>26</v>
      </c>
      <c r="C663" s="68" t="s">
        <v>26</v>
      </c>
      <c r="D663" s="64" t="s">
        <v>40</v>
      </c>
      <c r="E663" s="70" t="s">
        <v>379</v>
      </c>
      <c r="F663" s="71" t="s">
        <v>2169</v>
      </c>
      <c r="G663" s="64" t="str">
        <f>INDEX(Auxiliar!$B$16:$B$24,MATCH(Plano_V3!H663,Auxiliar!$C$16:$C$24,0),1)</f>
        <v xml:space="preserve">6. Em implementação </v>
      </c>
      <c r="H663" s="64">
        <f>VLOOKUP(A663,'Aux - pivots1'!$A:$B,2,0)</f>
        <v>7</v>
      </c>
      <c r="I663" s="175">
        <f>SUMIFS(Table1[Estimação (horas)],Table1[Tabela],Plano_V3!E663,Table1[Campo],Plano_V3!F663)</f>
        <v>2</v>
      </c>
      <c r="J663" s="175">
        <f t="shared" ref="J663:J678" si="367">I663/8</f>
        <v>0.25</v>
      </c>
      <c r="K663" s="175">
        <f>SUMIFS(Table1[Horas efetivas],Table1[Tabela],Plano_V3!E663,Table1[Campo],Plano_V3!F663)</f>
        <v>0.5</v>
      </c>
      <c r="L663" s="175">
        <f t="shared" ref="L663:L678" si="368">K663/8</f>
        <v>6.25E-2</v>
      </c>
      <c r="M663" s="177"/>
      <c r="N663" s="177">
        <f t="shared" ref="N663:N678" si="369">L663/J663</f>
        <v>0.25</v>
      </c>
      <c r="O663" s="177"/>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c r="A664" s="29" t="str">
        <f t="shared" si="366"/>
        <v>lt002_instrumentINTRNL_SGMNT</v>
      </c>
      <c r="B664" s="67" t="s">
        <v>26</v>
      </c>
      <c r="C664" s="68" t="s">
        <v>26</v>
      </c>
      <c r="D664" s="64" t="s">
        <v>40</v>
      </c>
      <c r="E664" s="70" t="s">
        <v>379</v>
      </c>
      <c r="F664" s="71" t="s">
        <v>2170</v>
      </c>
      <c r="G664" s="64" t="str">
        <f>INDEX(Auxiliar!$B$16:$B$24,MATCH(Plano_V3!H664,Auxiliar!$C$16:$C$24,0),1)</f>
        <v xml:space="preserve">6. Em implementação </v>
      </c>
      <c r="H664" s="64">
        <f>VLOOKUP(A664,'Aux - pivots1'!$A:$B,2,0)</f>
        <v>7</v>
      </c>
      <c r="I664" s="175">
        <f>SUMIFS(Table1[Estimação (horas)],Table1[Tabela],Plano_V3!E664,Table1[Campo],Plano_V3!F664)</f>
        <v>2</v>
      </c>
      <c r="J664" s="175">
        <f t="shared" si="367"/>
        <v>0.25</v>
      </c>
      <c r="K664" s="175">
        <f>SUMIFS(Table1[Horas efetivas],Table1[Tabela],Plano_V3!E664,Table1[Campo],Plano_V3!F664)</f>
        <v>0.5</v>
      </c>
      <c r="L664" s="175">
        <f t="shared" si="368"/>
        <v>6.25E-2</v>
      </c>
      <c r="M664" s="177"/>
      <c r="N664" s="177">
        <f t="shared" si="369"/>
        <v>0.25</v>
      </c>
      <c r="O664" s="177"/>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c r="A665" s="29" t="str">
        <f t="shared" si="366"/>
        <v>lt002_instrumentDT_ORGNL_MTRTY</v>
      </c>
      <c r="B665" s="67" t="s">
        <v>26</v>
      </c>
      <c r="C665" s="68" t="s">
        <v>26</v>
      </c>
      <c r="D665" s="64" t="s">
        <v>40</v>
      </c>
      <c r="E665" s="70" t="s">
        <v>379</v>
      </c>
      <c r="F665" s="71" t="s">
        <v>2171</v>
      </c>
      <c r="G665" s="64" t="str">
        <f>INDEX(Auxiliar!$B$16:$B$24,MATCH(Plano_V3!H665,Auxiliar!$C$16:$C$24,0),1)</f>
        <v xml:space="preserve">6. Em implementação </v>
      </c>
      <c r="H665" s="64">
        <f>VLOOKUP(A665,'Aux - pivots1'!$A:$B,2,0)</f>
        <v>7</v>
      </c>
      <c r="I665" s="175">
        <f>SUMIFS(Table1[Estimação (horas)],Table1[Tabela],Plano_V3!E665,Table1[Campo],Plano_V3!F665)</f>
        <v>2</v>
      </c>
      <c r="J665" s="175">
        <f t="shared" si="367"/>
        <v>0.25</v>
      </c>
      <c r="K665" s="175">
        <f>SUMIFS(Table1[Horas efetivas],Table1[Tabela],Plano_V3!E665,Table1[Campo],Plano_V3!F665)</f>
        <v>0.5</v>
      </c>
      <c r="L665" s="175">
        <f t="shared" si="368"/>
        <v>6.25E-2</v>
      </c>
      <c r="M665" s="177"/>
      <c r="N665" s="177">
        <f t="shared" si="369"/>
        <v>0.25</v>
      </c>
      <c r="O665" s="177"/>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c r="A666" s="29" t="str">
        <f t="shared" si="366"/>
        <v>lt002_instrumentEAD</v>
      </c>
      <c r="B666" s="67" t="s">
        <v>26</v>
      </c>
      <c r="C666" s="68" t="s">
        <v>26</v>
      </c>
      <c r="D666" s="64" t="s">
        <v>40</v>
      </c>
      <c r="E666" s="70" t="s">
        <v>379</v>
      </c>
      <c r="F666" s="71" t="s">
        <v>2172</v>
      </c>
      <c r="G666" s="64" t="str">
        <f>INDEX(Auxiliar!$B$16:$B$24,MATCH(Plano_V3!H666,Auxiliar!$C$16:$C$24,0),1)</f>
        <v xml:space="preserve">6. Em implementação </v>
      </c>
      <c r="H666" s="64">
        <f>VLOOKUP(A666,'Aux - pivots1'!$A:$B,2,0)</f>
        <v>7</v>
      </c>
      <c r="I666" s="175">
        <f>SUMIFS(Table1[Estimação (horas)],Table1[Tabela],Plano_V3!E666,Table1[Campo],Plano_V3!F666)</f>
        <v>2</v>
      </c>
      <c r="J666" s="175">
        <f t="shared" si="367"/>
        <v>0.25</v>
      </c>
      <c r="K666" s="175">
        <f>SUMIFS(Table1[Horas efetivas],Table1[Tabela],Plano_V3!E666,Table1[Campo],Plano_V3!F666)</f>
        <v>0.5</v>
      </c>
      <c r="L666" s="175">
        <f t="shared" si="368"/>
        <v>6.25E-2</v>
      </c>
      <c r="M666" s="177"/>
      <c r="N666" s="177">
        <f t="shared" si="369"/>
        <v>0.25</v>
      </c>
      <c r="O666" s="177"/>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c r="A667" s="29" t="str">
        <f t="shared" si="366"/>
        <v>lt002_instrumentOFF_BLNC_SHT_AMNT_INSTRMNT</v>
      </c>
      <c r="B667" s="67" t="s">
        <v>26</v>
      </c>
      <c r="C667" s="68" t="s">
        <v>26</v>
      </c>
      <c r="D667" s="64" t="s">
        <v>40</v>
      </c>
      <c r="E667" s="70" t="s">
        <v>379</v>
      </c>
      <c r="F667" s="71" t="s">
        <v>1417</v>
      </c>
      <c r="G667" s="64" t="str">
        <f>INDEX(Auxiliar!$B$16:$B$24,MATCH(Plano_V3!H667,Auxiliar!$C$16:$C$24,0),1)</f>
        <v xml:space="preserve">6. Em implementação </v>
      </c>
      <c r="H667" s="64">
        <f>VLOOKUP(A667,'Aux - pivots1'!$A:$B,2,0)</f>
        <v>7</v>
      </c>
      <c r="I667" s="175">
        <f>SUMIFS(Table1[Estimação (horas)],Table1[Tabela],Plano_V3!E667,Table1[Campo],Plano_V3!F667)</f>
        <v>2</v>
      </c>
      <c r="J667" s="175">
        <f t="shared" si="367"/>
        <v>0.25</v>
      </c>
      <c r="K667" s="175">
        <f>SUMIFS(Table1[Horas efetivas],Table1[Tabela],Plano_V3!E667,Table1[Campo],Plano_V3!F667)</f>
        <v>0.5</v>
      </c>
      <c r="L667" s="175">
        <f t="shared" si="368"/>
        <v>6.25E-2</v>
      </c>
      <c r="M667" s="177"/>
      <c r="N667" s="177">
        <f t="shared" si="369"/>
        <v>0.25</v>
      </c>
      <c r="O667" s="177"/>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c r="A668" s="29" t="str">
        <f t="shared" si="366"/>
        <v>lt002_instrumentRWA</v>
      </c>
      <c r="B668" s="67" t="s">
        <v>26</v>
      </c>
      <c r="C668" s="68" t="s">
        <v>26</v>
      </c>
      <c r="D668" s="64" t="s">
        <v>40</v>
      </c>
      <c r="E668" s="70" t="s">
        <v>379</v>
      </c>
      <c r="F668" s="71" t="s">
        <v>1423</v>
      </c>
      <c r="G668" s="64" t="str">
        <f>INDEX(Auxiliar!$B$16:$B$24,MATCH(Plano_V3!H668,Auxiliar!$C$16:$C$24,0),1)</f>
        <v xml:space="preserve">6. Em implementação </v>
      </c>
      <c r="H668" s="64">
        <f>VLOOKUP(A668,'Aux - pivots1'!$A:$B,2,0)</f>
        <v>7</v>
      </c>
      <c r="I668" s="175">
        <f>SUMIFS(Table1[Estimação (horas)],Table1[Tabela],Plano_V3!E668,Table1[Campo],Plano_V3!F668)</f>
        <v>2</v>
      </c>
      <c r="J668" s="175">
        <f t="shared" si="367"/>
        <v>0.25</v>
      </c>
      <c r="K668" s="175">
        <f>SUMIFS(Table1[Horas efetivas],Table1[Tabela],Plano_V3!E668,Table1[Campo],Plano_V3!F668)</f>
        <v>0.5</v>
      </c>
      <c r="L668" s="175">
        <f t="shared" si="368"/>
        <v>6.25E-2</v>
      </c>
      <c r="M668" s="177"/>
      <c r="N668" s="177">
        <f t="shared" si="369"/>
        <v>0.25</v>
      </c>
      <c r="O668" s="177"/>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c r="A669" s="29" t="str">
        <f t="shared" si="366"/>
        <v>lt002_instrumentLTV</v>
      </c>
      <c r="B669" s="67" t="s">
        <v>26</v>
      </c>
      <c r="C669" s="68" t="s">
        <v>26</v>
      </c>
      <c r="D669" s="64" t="s">
        <v>40</v>
      </c>
      <c r="E669" s="70" t="s">
        <v>379</v>
      </c>
      <c r="F669" s="71" t="s">
        <v>2173</v>
      </c>
      <c r="G669" s="64" t="str">
        <f>INDEX(Auxiliar!$B$16:$B$24,MATCH(Plano_V3!H669,Auxiliar!$C$16:$C$24,0),1)</f>
        <v xml:space="preserve">6. Em implementação </v>
      </c>
      <c r="H669" s="64">
        <f>VLOOKUP(A669,'Aux - pivots1'!$A:$B,2,0)</f>
        <v>7</v>
      </c>
      <c r="I669" s="175">
        <f>SUMIFS(Table1[Estimação (horas)],Table1[Tabela],Plano_V3!E669,Table1[Campo],Plano_V3!F669)</f>
        <v>2</v>
      </c>
      <c r="J669" s="175">
        <f t="shared" si="367"/>
        <v>0.25</v>
      </c>
      <c r="K669" s="175">
        <f>SUMIFS(Table1[Horas efetivas],Table1[Tabela],Plano_V3!E669,Table1[Campo],Plano_V3!F669)</f>
        <v>0.5</v>
      </c>
      <c r="L669" s="175">
        <f t="shared" si="368"/>
        <v>6.25E-2</v>
      </c>
      <c r="M669" s="177"/>
      <c r="N669" s="177">
        <f t="shared" si="369"/>
        <v>0.25</v>
      </c>
      <c r="O669" s="177"/>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c r="A670" s="29" t="str">
        <f t="shared" si="366"/>
        <v>lt002_instrumentLTV_INCPTN</v>
      </c>
      <c r="B670" s="67" t="s">
        <v>26</v>
      </c>
      <c r="C670" s="68" t="s">
        <v>26</v>
      </c>
      <c r="D670" s="64" t="s">
        <v>40</v>
      </c>
      <c r="E670" s="70" t="s">
        <v>379</v>
      </c>
      <c r="F670" s="71" t="s">
        <v>2174</v>
      </c>
      <c r="G670" s="64" t="str">
        <f>INDEX(Auxiliar!$B$16:$B$24,MATCH(Plano_V3!H670,Auxiliar!$C$16:$C$24,0),1)</f>
        <v xml:space="preserve">6. Em implementação </v>
      </c>
      <c r="H670" s="64">
        <f>VLOOKUP(A670,'Aux - pivots1'!$A:$B,2,0)</f>
        <v>7</v>
      </c>
      <c r="I670" s="175">
        <f>SUMIFS(Table1[Estimação (horas)],Table1[Tabela],Plano_V3!E670,Table1[Campo],Plano_V3!F670)</f>
        <v>2</v>
      </c>
      <c r="J670" s="175">
        <f t="shared" si="367"/>
        <v>0.25</v>
      </c>
      <c r="K670" s="175">
        <f>SUMIFS(Table1[Horas efetivas],Table1[Tabela],Plano_V3!E670,Table1[Campo],Plano_V3!F670)</f>
        <v>0.5</v>
      </c>
      <c r="L670" s="175">
        <f t="shared" si="368"/>
        <v>6.25E-2</v>
      </c>
      <c r="M670" s="177"/>
      <c r="N670" s="177">
        <f t="shared" si="369"/>
        <v>0.25</v>
      </c>
      <c r="O670" s="177"/>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c r="A671" s="29" t="str">
        <f t="shared" si="366"/>
        <v>lt002_instrumentEIR</v>
      </c>
      <c r="B671" s="67" t="s">
        <v>26</v>
      </c>
      <c r="C671" s="68" t="s">
        <v>26</v>
      </c>
      <c r="D671" s="64" t="s">
        <v>40</v>
      </c>
      <c r="E671" s="70" t="s">
        <v>379</v>
      </c>
      <c r="F671" s="71" t="s">
        <v>2175</v>
      </c>
      <c r="G671" s="64" t="str">
        <f>INDEX(Auxiliar!$B$16:$B$24,MATCH(Plano_V3!H671,Auxiliar!$C$16:$C$24,0),1)</f>
        <v xml:space="preserve">6. Em implementação </v>
      </c>
      <c r="H671" s="64">
        <f>VLOOKUP(A671,'Aux - pivots1'!$A:$B,2,0)</f>
        <v>7</v>
      </c>
      <c r="I671" s="175">
        <f>SUMIFS(Table1[Estimação (horas)],Table1[Tabela],Plano_V3!E671,Table1[Campo],Plano_V3!F671)</f>
        <v>2</v>
      </c>
      <c r="J671" s="175">
        <f t="shared" si="367"/>
        <v>0.25</v>
      </c>
      <c r="K671" s="175">
        <f>SUMIFS(Table1[Horas efetivas],Table1[Tabela],Plano_V3!E671,Table1[Campo],Plano_V3!F671)</f>
        <v>0.5</v>
      </c>
      <c r="L671" s="175">
        <f t="shared" si="368"/>
        <v>6.25E-2</v>
      </c>
      <c r="M671" s="177"/>
      <c r="N671" s="177">
        <f t="shared" si="369"/>
        <v>0.25</v>
      </c>
      <c r="O671" s="177"/>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c r="A672" s="29" t="str">
        <f t="shared" si="366"/>
        <v>lt002_instrumentEIR_INCPTN</v>
      </c>
      <c r="B672" s="67" t="s">
        <v>26</v>
      </c>
      <c r="C672" s="68" t="s">
        <v>26</v>
      </c>
      <c r="D672" s="64" t="s">
        <v>40</v>
      </c>
      <c r="E672" s="70" t="s">
        <v>379</v>
      </c>
      <c r="F672" s="71" t="s">
        <v>2176</v>
      </c>
      <c r="G672" s="64" t="str">
        <f>INDEX(Auxiliar!$B$16:$B$24,MATCH(Plano_V3!H672,Auxiliar!$C$16:$C$24,0),1)</f>
        <v xml:space="preserve">6. Em implementação </v>
      </c>
      <c r="H672" s="64">
        <f>VLOOKUP(A672,'Aux - pivots1'!$A:$B,2,0)</f>
        <v>7</v>
      </c>
      <c r="I672" s="175">
        <f>SUMIFS(Table1[Estimação (horas)],Table1[Tabela],Plano_V3!E672,Table1[Campo],Plano_V3!F672)</f>
        <v>2</v>
      </c>
      <c r="J672" s="175">
        <f t="shared" si="367"/>
        <v>0.25</v>
      </c>
      <c r="K672" s="175">
        <f>SUMIFS(Table1[Horas efetivas],Table1[Tabela],Plano_V3!E672,Table1[Campo],Plano_V3!F672)</f>
        <v>0.5</v>
      </c>
      <c r="L672" s="175">
        <f t="shared" si="368"/>
        <v>6.25E-2</v>
      </c>
      <c r="M672" s="177"/>
      <c r="N672" s="177">
        <f t="shared" si="369"/>
        <v>0.25</v>
      </c>
      <c r="O672" s="177"/>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c r="A673" s="29" t="str">
        <f t="shared" si="366"/>
        <v>lt002_instrumentINTRNL_SGMNT_CAT_MSTA</v>
      </c>
      <c r="B673" s="67" t="s">
        <v>26</v>
      </c>
      <c r="C673" s="68" t="s">
        <v>26</v>
      </c>
      <c r="D673" s="64" t="s">
        <v>40</v>
      </c>
      <c r="E673" s="70" t="s">
        <v>379</v>
      </c>
      <c r="F673" s="71" t="s">
        <v>2177</v>
      </c>
      <c r="G673" s="64" t="str">
        <f>INDEX(Auxiliar!$B$16:$B$24,MATCH(Plano_V3!H673,Auxiliar!$C$16:$C$24,0),1)</f>
        <v xml:space="preserve">6. Em implementação </v>
      </c>
      <c r="H673" s="64">
        <f>VLOOKUP(A673,'Aux - pivots1'!$A:$B,2,0)</f>
        <v>7</v>
      </c>
      <c r="I673" s="175">
        <f>SUMIFS(Table1[Estimação (horas)],Table1[Tabela],Plano_V3!E673,Table1[Campo],Plano_V3!F673)</f>
        <v>2</v>
      </c>
      <c r="J673" s="175">
        <f t="shared" si="367"/>
        <v>0.25</v>
      </c>
      <c r="K673" s="175">
        <f>SUMIFS(Table1[Horas efetivas],Table1[Tabela],Plano_V3!E673,Table1[Campo],Plano_V3!F673)</f>
        <v>0.5</v>
      </c>
      <c r="L673" s="175">
        <f t="shared" si="368"/>
        <v>6.25E-2</v>
      </c>
      <c r="M673" s="177"/>
      <c r="N673" s="177">
        <f t="shared" si="369"/>
        <v>0.25</v>
      </c>
      <c r="O673" s="177"/>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c r="A674" s="29" t="str">
        <f t="shared" si="366"/>
        <v>lt002_instrumentINTRNL_SGMNT_CATGSUB</v>
      </c>
      <c r="B674" s="67" t="s">
        <v>26</v>
      </c>
      <c r="C674" s="68" t="s">
        <v>26</v>
      </c>
      <c r="D674" s="64" t="s">
        <v>40</v>
      </c>
      <c r="E674" s="70" t="s">
        <v>379</v>
      </c>
      <c r="F674" s="71" t="s">
        <v>2178</v>
      </c>
      <c r="G674" s="64" t="str">
        <f>INDEX(Auxiliar!$B$16:$B$24,MATCH(Plano_V3!H674,Auxiliar!$C$16:$C$24,0),1)</f>
        <v xml:space="preserve">6. Em implementação </v>
      </c>
      <c r="H674" s="64">
        <f>VLOOKUP(A674,'Aux - pivots1'!$A:$B,2,0)</f>
        <v>7</v>
      </c>
      <c r="I674" s="175">
        <f>SUMIFS(Table1[Estimação (horas)],Table1[Tabela],Plano_V3!E674,Table1[Campo],Plano_V3!F674)</f>
        <v>2</v>
      </c>
      <c r="J674" s="175">
        <f t="shared" si="367"/>
        <v>0.25</v>
      </c>
      <c r="K674" s="175">
        <f>SUMIFS(Table1[Horas efetivas],Table1[Tabela],Plano_V3!E674,Table1[Campo],Plano_V3!F674)</f>
        <v>0.5</v>
      </c>
      <c r="L674" s="175">
        <f t="shared" si="368"/>
        <v>6.25E-2</v>
      </c>
      <c r="M674" s="177"/>
      <c r="N674" s="177">
        <f t="shared" si="369"/>
        <v>0.25</v>
      </c>
      <c r="O674" s="177"/>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c r="A675" s="29" t="str">
        <f t="shared" si="366"/>
        <v>lt002_instrumentNW_BSNSS</v>
      </c>
      <c r="B675" s="67" t="s">
        <v>26</v>
      </c>
      <c r="C675" s="68" t="s">
        <v>26</v>
      </c>
      <c r="D675" s="64" t="s">
        <v>40</v>
      </c>
      <c r="E675" s="70" t="s">
        <v>379</v>
      </c>
      <c r="F675" s="71" t="s">
        <v>1339</v>
      </c>
      <c r="G675" s="64" t="str">
        <f>INDEX(Auxiliar!$B$16:$B$24,MATCH(Plano_V3!H675,Auxiliar!$C$16:$C$24,0),1)</f>
        <v xml:space="preserve">6. Em implementação </v>
      </c>
      <c r="H675" s="64">
        <f>VLOOKUP(A675,'Aux - pivots1'!$A:$B,2,0)</f>
        <v>7</v>
      </c>
      <c r="I675" s="175">
        <f>SUMIFS(Table1[Estimação (horas)],Table1[Tabela],Plano_V3!E675,Table1[Campo],Plano_V3!F675)</f>
        <v>2</v>
      </c>
      <c r="J675" s="175">
        <f t="shared" si="367"/>
        <v>0.25</v>
      </c>
      <c r="K675" s="175">
        <f>SUMIFS(Table1[Horas efetivas],Table1[Tabela],Plano_V3!E675,Table1[Campo],Plano_V3!F675)</f>
        <v>0.5</v>
      </c>
      <c r="L675" s="175">
        <f t="shared" si="368"/>
        <v>6.25E-2</v>
      </c>
      <c r="M675" s="177"/>
      <c r="N675" s="177">
        <f t="shared" si="369"/>
        <v>0.25</v>
      </c>
      <c r="O675" s="177"/>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c r="A676" s="29" t="str">
        <f t="shared" si="366"/>
        <v>lt002_instrumentCNCLLD_INSTRMNT_STTS</v>
      </c>
      <c r="B676" s="67" t="s">
        <v>26</v>
      </c>
      <c r="C676" s="68" t="s">
        <v>26</v>
      </c>
      <c r="D676" s="64" t="s">
        <v>40</v>
      </c>
      <c r="E676" s="70" t="s">
        <v>379</v>
      </c>
      <c r="F676" s="71" t="s">
        <v>1349</v>
      </c>
      <c r="G676" s="64" t="str">
        <f>INDEX(Auxiliar!$B$16:$B$24,MATCH(Plano_V3!H676,Auxiliar!$C$16:$C$24,0),1)</f>
        <v>4. Validação EF</v>
      </c>
      <c r="H676" s="64">
        <f>VLOOKUP(A676,'Aux - pivots1'!$A:$B,2,0)</f>
        <v>5</v>
      </c>
      <c r="I676" s="175">
        <f>SUMIFS(Table1[Estimação (horas)],Table1[Tabela],Plano_V3!E676,Table1[Campo],Plano_V3!F676)</f>
        <v>2</v>
      </c>
      <c r="J676" s="175">
        <f t="shared" si="367"/>
        <v>0.25</v>
      </c>
      <c r="K676" s="175">
        <f>SUMIFS(Table1[Horas efetivas],Table1[Tabela],Plano_V3!E676,Table1[Campo],Plano_V3!F676)</f>
        <v>0.5</v>
      </c>
      <c r="L676" s="175">
        <f t="shared" si="368"/>
        <v>6.25E-2</v>
      </c>
      <c r="M676" s="177"/>
      <c r="N676" s="177">
        <f t="shared" si="369"/>
        <v>0.25</v>
      </c>
      <c r="O676" s="177"/>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c r="A677" s="29" t="str">
        <f t="shared" si="366"/>
        <v>lt002_instrumentTYP_OFF_BLNC_PRDCT</v>
      </c>
      <c r="B677" s="67" t="s">
        <v>26</v>
      </c>
      <c r="C677" s="68" t="s">
        <v>26</v>
      </c>
      <c r="D677" s="64" t="s">
        <v>40</v>
      </c>
      <c r="E677" s="70" t="s">
        <v>379</v>
      </c>
      <c r="F677" s="71" t="s">
        <v>2179</v>
      </c>
      <c r="G677" s="64" t="str">
        <f>INDEX(Auxiliar!$B$16:$B$24,MATCH(Plano_V3!H677,Auxiliar!$C$16:$C$24,0),1)</f>
        <v xml:space="preserve">6. Em implementação </v>
      </c>
      <c r="H677" s="64">
        <f>VLOOKUP(A677,'Aux - pivots1'!$A:$B,2,0)</f>
        <v>7</v>
      </c>
      <c r="I677" s="175">
        <f>SUMIFS(Table1[Estimação (horas)],Table1[Tabela],Plano_V3!E677,Table1[Campo],Plano_V3!F677)</f>
        <v>2</v>
      </c>
      <c r="J677" s="175">
        <f t="shared" si="367"/>
        <v>0.25</v>
      </c>
      <c r="K677" s="175">
        <f>SUMIFS(Table1[Horas efetivas],Table1[Tabela],Plano_V3!E677,Table1[Campo],Plano_V3!F677)</f>
        <v>0.5</v>
      </c>
      <c r="L677" s="175">
        <f t="shared" si="368"/>
        <v>6.25E-2</v>
      </c>
      <c r="M677" s="177"/>
      <c r="N677" s="177">
        <f t="shared" si="369"/>
        <v>0.25</v>
      </c>
      <c r="O677" s="177"/>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c r="A678" s="29" t="str">
        <f t="shared" si="366"/>
        <v>lt002_instrumentFLG_MNMM_SFGRDS</v>
      </c>
      <c r="B678" s="67" t="s">
        <v>26</v>
      </c>
      <c r="C678" s="68" t="s">
        <v>26</v>
      </c>
      <c r="D678" s="64" t="s">
        <v>40</v>
      </c>
      <c r="E678" s="70" t="s">
        <v>379</v>
      </c>
      <c r="F678" s="71" t="s">
        <v>2180</v>
      </c>
      <c r="G678" s="64" t="str">
        <f>INDEX(Auxiliar!$B$16:$B$24,MATCH(Plano_V3!H678,Auxiliar!$C$16:$C$24,0),1)</f>
        <v xml:space="preserve">6. Em implementação </v>
      </c>
      <c r="H678" s="64">
        <f>VLOOKUP(A678,'Aux - pivots1'!$A:$B,2,0)</f>
        <v>7</v>
      </c>
      <c r="I678" s="175">
        <f>SUMIFS(Table1[Estimação (horas)],Table1[Tabela],Plano_V3!E678,Table1[Campo],Plano_V3!F678)</f>
        <v>2</v>
      </c>
      <c r="J678" s="175">
        <f t="shared" si="367"/>
        <v>0.25</v>
      </c>
      <c r="K678" s="175">
        <f>SUMIFS(Table1[Horas efetivas],Table1[Tabela],Plano_V3!E678,Table1[Campo],Plano_V3!F678)</f>
        <v>0.5</v>
      </c>
      <c r="L678" s="175">
        <f t="shared" si="368"/>
        <v>6.25E-2</v>
      </c>
      <c r="M678" s="177"/>
      <c r="N678" s="177">
        <f t="shared" si="369"/>
        <v>0.25</v>
      </c>
      <c r="O678" s="177"/>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c r="A679" s="29" t="str">
        <f t="shared" si="352"/>
        <v>lt827_mthd_usd_instrmntambito</v>
      </c>
      <c r="B679" s="67" t="s">
        <v>26</v>
      </c>
      <c r="C679" s="68" t="s">
        <v>26</v>
      </c>
      <c r="D679" s="64" t="s">
        <v>40</v>
      </c>
      <c r="E679" s="70" t="s">
        <v>1866</v>
      </c>
      <c r="F679" s="72" t="s">
        <v>390</v>
      </c>
      <c r="G679" s="64" t="str">
        <f>INDEX(Auxiliar!$B$16:$B$24,MATCH(Plano_V3!H679,Auxiliar!$C$16:$C$24,0),1)</f>
        <v>1. Concluído</v>
      </c>
      <c r="H679" s="64">
        <f>VLOOKUP(A679,'Aux - pivots1'!$A:$B,2,0)</f>
        <v>1</v>
      </c>
      <c r="I679" s="175">
        <f>SUMIFS(Table1[Estimação (horas)],Table1[Tabela],Plano_V3!E679,Table1[Campo],Plano_V3!F679)</f>
        <v>4.0999999999999996</v>
      </c>
      <c r="J679" s="175">
        <f t="shared" ref="J679:J694" si="370">I679/8</f>
        <v>0.51249999999999996</v>
      </c>
      <c r="K679" s="175">
        <f>SUMIFS(Table1[Horas efetivas],Table1[Tabela],Plano_V3!E679,Table1[Campo],Plano_V3!F679)</f>
        <v>4.0999999999999996</v>
      </c>
      <c r="L679" s="175">
        <f t="shared" ref="L679:L694" si="371">K679/8</f>
        <v>0.51249999999999996</v>
      </c>
      <c r="M679" s="177"/>
      <c r="N679" s="177">
        <f t="shared" ref="N679:N694" si="372">L679/J679</f>
        <v>1</v>
      </c>
      <c r="O679" s="177"/>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c r="A680" s="29" t="str">
        <f t="shared" si="352"/>
        <v>lt827_mthd_usd_instrmntref_date</v>
      </c>
      <c r="B680" s="67" t="s">
        <v>26</v>
      </c>
      <c r="C680" s="68" t="s">
        <v>26</v>
      </c>
      <c r="D680" s="64" t="s">
        <v>40</v>
      </c>
      <c r="E680" s="70" t="s">
        <v>1866</v>
      </c>
      <c r="F680" s="72" t="s">
        <v>208</v>
      </c>
      <c r="G680" s="64" t="str">
        <f>INDEX(Auxiliar!$B$16:$B$24,MATCH(Plano_V3!H680,Auxiliar!$C$16:$C$24,0),1)</f>
        <v>1. Concluído</v>
      </c>
      <c r="H680" s="64">
        <f>VLOOKUP(A680,'Aux - pivots1'!$A:$B,2,0)</f>
        <v>1</v>
      </c>
      <c r="I680" s="175">
        <f>SUMIFS(Table1[Estimação (horas)],Table1[Tabela],Plano_V3!E680,Table1[Campo],Plano_V3!F680)</f>
        <v>4.0999999999999996</v>
      </c>
      <c r="J680" s="175">
        <f t="shared" si="370"/>
        <v>0.51249999999999996</v>
      </c>
      <c r="K680" s="175">
        <f>SUMIFS(Table1[Horas efetivas],Table1[Tabela],Plano_V3!E680,Table1[Campo],Plano_V3!F680)</f>
        <v>4.0999999999999996</v>
      </c>
      <c r="L680" s="175">
        <f t="shared" si="371"/>
        <v>0.51249999999999996</v>
      </c>
      <c r="M680" s="177"/>
      <c r="N680" s="177">
        <f t="shared" si="372"/>
        <v>1</v>
      </c>
      <c r="O680" s="177"/>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c r="A681" s="29" t="str">
        <f t="shared" si="352"/>
        <v>lt827_mthd_usd_instrmntordem</v>
      </c>
      <c r="B681" s="67" t="s">
        <v>26</v>
      </c>
      <c r="C681" s="68" t="s">
        <v>26</v>
      </c>
      <c r="D681" s="64" t="s">
        <v>40</v>
      </c>
      <c r="E681" s="70" t="s">
        <v>1866</v>
      </c>
      <c r="F681" s="72" t="s">
        <v>211</v>
      </c>
      <c r="G681" s="64" t="str">
        <f>INDEX(Auxiliar!$B$16:$B$24,MATCH(Plano_V3!H681,Auxiliar!$C$16:$C$24,0),1)</f>
        <v>1. Concluído</v>
      </c>
      <c r="H681" s="64">
        <f>VLOOKUP(A681,'Aux - pivots1'!$A:$B,2,0)</f>
        <v>1</v>
      </c>
      <c r="I681" s="175">
        <f>SUMIFS(Table1[Estimação (horas)],Table1[Tabela],Plano_V3!E681,Table1[Campo],Plano_V3!F681)</f>
        <v>4.0999999999999996</v>
      </c>
      <c r="J681" s="175">
        <f t="shared" si="370"/>
        <v>0.51249999999999996</v>
      </c>
      <c r="K681" s="175">
        <f>SUMIFS(Table1[Horas efetivas],Table1[Tabela],Plano_V3!E681,Table1[Campo],Plano_V3!F681)</f>
        <v>4.0999999999999996</v>
      </c>
      <c r="L681" s="175">
        <f t="shared" si="371"/>
        <v>0.51249999999999996</v>
      </c>
      <c r="M681" s="177"/>
      <c r="N681" s="177">
        <f t="shared" si="372"/>
        <v>1</v>
      </c>
      <c r="O681" s="177"/>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c r="A682" s="29" t="str">
        <f t="shared" si="352"/>
        <v>lt827_mthd_usd_instrmnttabela</v>
      </c>
      <c r="B682" s="67" t="s">
        <v>26</v>
      </c>
      <c r="C682" s="68" t="s">
        <v>26</v>
      </c>
      <c r="D682" s="64" t="s">
        <v>40</v>
      </c>
      <c r="E682" s="70" t="s">
        <v>1866</v>
      </c>
      <c r="F682" s="72" t="s">
        <v>391</v>
      </c>
      <c r="G682" s="64" t="str">
        <f>INDEX(Auxiliar!$B$16:$B$24,MATCH(Plano_V3!H682,Auxiliar!$C$16:$C$24,0),1)</f>
        <v>1. Concluído</v>
      </c>
      <c r="H682" s="64">
        <f>VLOOKUP(A682,'Aux - pivots1'!$A:$B,2,0)</f>
        <v>1</v>
      </c>
      <c r="I682" s="175">
        <f>SUMIFS(Table1[Estimação (horas)],Table1[Tabela],Plano_V3!E682,Table1[Campo],Plano_V3!F682)</f>
        <v>4.0999999999999996</v>
      </c>
      <c r="J682" s="175">
        <f t="shared" si="370"/>
        <v>0.51249999999999996</v>
      </c>
      <c r="K682" s="175">
        <f>SUMIFS(Table1[Horas efetivas],Table1[Tabela],Plano_V3!E682,Table1[Campo],Plano_V3!F682)</f>
        <v>4.0999999999999996</v>
      </c>
      <c r="L682" s="175">
        <f t="shared" si="371"/>
        <v>0.51249999999999996</v>
      </c>
      <c r="M682" s="177"/>
      <c r="N682" s="177">
        <f t="shared" si="372"/>
        <v>1</v>
      </c>
      <c r="O682" s="177"/>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c r="A683" s="29" t="str">
        <f t="shared" si="352"/>
        <v>lt827_mthd_usd_instrmntorigem_scp1_emss</v>
      </c>
      <c r="B683" s="67" t="s">
        <v>26</v>
      </c>
      <c r="C683" s="68" t="s">
        <v>26</v>
      </c>
      <c r="D683" s="64" t="s">
        <v>40</v>
      </c>
      <c r="E683" s="70" t="s">
        <v>1866</v>
      </c>
      <c r="F683" s="71" t="s">
        <v>319</v>
      </c>
      <c r="G683" s="64" t="str">
        <f>INDEX(Auxiliar!$B$16:$B$24,MATCH(Plano_V3!H683,Auxiliar!$C$16:$C$24,0),1)</f>
        <v>1. Concluído</v>
      </c>
      <c r="H683" s="64">
        <f>VLOOKUP(A683,'Aux - pivots1'!$A:$B,2,0)</f>
        <v>1</v>
      </c>
      <c r="I683" s="175">
        <f>SUMIFS(Table1[Estimação (horas)],Table1[Tabela],Plano_V3!E683,Table1[Campo],Plano_V3!F683)</f>
        <v>4.0999999999999996</v>
      </c>
      <c r="J683" s="175">
        <f t="shared" si="370"/>
        <v>0.51249999999999996</v>
      </c>
      <c r="K683" s="175">
        <f>SUMIFS(Table1[Horas efetivas],Table1[Tabela],Plano_V3!E683,Table1[Campo],Plano_V3!F683)</f>
        <v>4.0999999999999996</v>
      </c>
      <c r="L683" s="175">
        <f t="shared" si="371"/>
        <v>0.51249999999999996</v>
      </c>
      <c r="M683" s="177"/>
      <c r="N683" s="177">
        <f t="shared" si="372"/>
        <v>1</v>
      </c>
      <c r="O683" s="177"/>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c r="A684" s="29" t="str">
        <f t="shared" si="352"/>
        <v>lt827_mthd_usd_instrmntorigem_scp2_emss</v>
      </c>
      <c r="B684" s="67" t="s">
        <v>26</v>
      </c>
      <c r="C684" s="68" t="s">
        <v>26</v>
      </c>
      <c r="D684" s="64" t="s">
        <v>40</v>
      </c>
      <c r="E684" s="70" t="s">
        <v>1866</v>
      </c>
      <c r="F684" s="71" t="s">
        <v>320</v>
      </c>
      <c r="G684" s="64" t="str">
        <f>INDEX(Auxiliar!$B$16:$B$24,MATCH(Plano_V3!H684,Auxiliar!$C$16:$C$24,0),1)</f>
        <v>1. Concluído</v>
      </c>
      <c r="H684" s="64">
        <f>VLOOKUP(A684,'Aux - pivots1'!$A:$B,2,0)</f>
        <v>1</v>
      </c>
      <c r="I684" s="175">
        <f>SUMIFS(Table1[Estimação (horas)],Table1[Tabela],Plano_V3!E684,Table1[Campo],Plano_V3!F684)</f>
        <v>4.0999999999999996</v>
      </c>
      <c r="J684" s="175">
        <f t="shared" si="370"/>
        <v>0.51249999999999996</v>
      </c>
      <c r="K684" s="175">
        <f>SUMIFS(Table1[Horas efetivas],Table1[Tabela],Plano_V3!E684,Table1[Campo],Plano_V3!F684)</f>
        <v>4.0999999999999996</v>
      </c>
      <c r="L684" s="175">
        <f t="shared" si="371"/>
        <v>0.51249999999999996</v>
      </c>
      <c r="M684" s="177"/>
      <c r="N684" s="177">
        <f t="shared" si="372"/>
        <v>1</v>
      </c>
      <c r="O684" s="177"/>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c r="A685" s="29" t="str">
        <f t="shared" si="352"/>
        <v>lt827_mthd_usd_instrmntorigem_scp3_emss</v>
      </c>
      <c r="B685" s="67" t="s">
        <v>26</v>
      </c>
      <c r="C685" s="68" t="s">
        <v>26</v>
      </c>
      <c r="D685" s="64" t="s">
        <v>40</v>
      </c>
      <c r="E685" s="70" t="s">
        <v>1866</v>
      </c>
      <c r="F685" s="71" t="s">
        <v>321</v>
      </c>
      <c r="G685" s="64" t="str">
        <f>INDEX(Auxiliar!$B$16:$B$24,MATCH(Plano_V3!H685,Auxiliar!$C$16:$C$24,0),1)</f>
        <v>1. Concluído</v>
      </c>
      <c r="H685" s="64">
        <f>VLOOKUP(A685,'Aux - pivots1'!$A:$B,2,0)</f>
        <v>1</v>
      </c>
      <c r="I685" s="175">
        <f>SUMIFS(Table1[Estimação (horas)],Table1[Tabela],Plano_V3!E685,Table1[Campo],Plano_V3!F685)</f>
        <v>4.0999999999999996</v>
      </c>
      <c r="J685" s="175">
        <f t="shared" si="370"/>
        <v>0.51249999999999996</v>
      </c>
      <c r="K685" s="175">
        <f>SUMIFS(Table1[Horas efetivas],Table1[Tabela],Plano_V3!E685,Table1[Campo],Plano_V3!F685)</f>
        <v>4.0999999999999996</v>
      </c>
      <c r="L685" s="175">
        <f t="shared" si="371"/>
        <v>0.51249999999999996</v>
      </c>
      <c r="M685" s="177"/>
      <c r="N685" s="177">
        <f t="shared" si="372"/>
        <v>1</v>
      </c>
      <c r="O685" s="177"/>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c r="A686" s="29" t="str">
        <f t="shared" si="352"/>
        <v>lt827_mthd_usd_instrmntmthd_usd_instrmnt_scp_1</v>
      </c>
      <c r="B686" s="67" t="s">
        <v>26</v>
      </c>
      <c r="C686" s="68" t="s">
        <v>26</v>
      </c>
      <c r="D686" s="64" t="s">
        <v>40</v>
      </c>
      <c r="E686" s="70" t="s">
        <v>1866</v>
      </c>
      <c r="F686" s="71" t="s">
        <v>385</v>
      </c>
      <c r="G686" s="64" t="str">
        <f>INDEX(Auxiliar!$B$16:$B$24,MATCH(Plano_V3!H686,Auxiliar!$C$16:$C$24,0),1)</f>
        <v>1. Concluído</v>
      </c>
      <c r="H686" s="64">
        <f>VLOOKUP(A686,'Aux - pivots1'!$A:$B,2,0)</f>
        <v>1</v>
      </c>
      <c r="I686" s="175">
        <f>SUMIFS(Table1[Estimação (horas)],Table1[Tabela],Plano_V3!E686,Table1[Campo],Plano_V3!F686)</f>
        <v>4.0999999999999996</v>
      </c>
      <c r="J686" s="175">
        <f t="shared" si="370"/>
        <v>0.51249999999999996</v>
      </c>
      <c r="K686" s="175">
        <f>SUMIFS(Table1[Horas efetivas],Table1[Tabela],Plano_V3!E686,Table1[Campo],Plano_V3!F686)</f>
        <v>4.0999999999999996</v>
      </c>
      <c r="L686" s="175">
        <f t="shared" si="371"/>
        <v>0.51249999999999996</v>
      </c>
      <c r="M686" s="177"/>
      <c r="N686" s="177">
        <f t="shared" si="372"/>
        <v>1</v>
      </c>
      <c r="O686" s="177"/>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c r="A687" s="29" t="str">
        <f t="shared" si="352"/>
        <v>lt827_mthd_usd_instrmntmthd_usd_instrmnt_scp_2</v>
      </c>
      <c r="B687" s="67" t="s">
        <v>26</v>
      </c>
      <c r="C687" s="68" t="s">
        <v>26</v>
      </c>
      <c r="D687" s="64" t="s">
        <v>40</v>
      </c>
      <c r="E687" s="70" t="s">
        <v>1866</v>
      </c>
      <c r="F687" s="71" t="s">
        <v>386</v>
      </c>
      <c r="G687" s="64" t="str">
        <f>INDEX(Auxiliar!$B$16:$B$24,MATCH(Plano_V3!H687,Auxiliar!$C$16:$C$24,0),1)</f>
        <v>1. Concluído</v>
      </c>
      <c r="H687" s="64">
        <f>VLOOKUP(A687,'Aux - pivots1'!$A:$B,2,0)</f>
        <v>1</v>
      </c>
      <c r="I687" s="175">
        <f>SUMIFS(Table1[Estimação (horas)],Table1[Tabela],Plano_V3!E687,Table1[Campo],Plano_V3!F687)</f>
        <v>4.0999999999999996</v>
      </c>
      <c r="J687" s="175">
        <f t="shared" si="370"/>
        <v>0.51249999999999996</v>
      </c>
      <c r="K687" s="175">
        <f>SUMIFS(Table1[Horas efetivas],Table1[Tabela],Plano_V3!E687,Table1[Campo],Plano_V3!F687)</f>
        <v>4.0999999999999996</v>
      </c>
      <c r="L687" s="175">
        <f t="shared" si="371"/>
        <v>0.51249999999999996</v>
      </c>
      <c r="M687" s="177"/>
      <c r="N687" s="177">
        <f t="shared" si="372"/>
        <v>1</v>
      </c>
      <c r="O687" s="177"/>
      <c r="P687" s="89" t="s">
        <v>39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c r="A688" s="29" t="str">
        <f t="shared" si="352"/>
        <v>lt827_mthd_usd_instrmntmthd_usd_instrmnt_scp_3</v>
      </c>
      <c r="B688" s="67" t="s">
        <v>26</v>
      </c>
      <c r="C688" s="68" t="s">
        <v>26</v>
      </c>
      <c r="D688" s="64" t="s">
        <v>40</v>
      </c>
      <c r="E688" s="70" t="s">
        <v>1866</v>
      </c>
      <c r="F688" s="71" t="s">
        <v>387</v>
      </c>
      <c r="G688" s="64" t="str">
        <f>INDEX(Auxiliar!$B$16:$B$24,MATCH(Plano_V3!H688,Auxiliar!$C$16:$C$24,0),1)</f>
        <v>1. Concluído</v>
      </c>
      <c r="H688" s="64">
        <f>VLOOKUP(A688,'Aux - pivots1'!$A:$B,2,0)</f>
        <v>1</v>
      </c>
      <c r="I688" s="175">
        <f>SUMIFS(Table1[Estimação (horas)],Table1[Tabela],Plano_V3!E688,Table1[Campo],Plano_V3!F688)</f>
        <v>4.0999999999999996</v>
      </c>
      <c r="J688" s="175">
        <f t="shared" si="370"/>
        <v>0.51249999999999996</v>
      </c>
      <c r="K688" s="175">
        <f>SUMIFS(Table1[Horas efetivas],Table1[Tabela],Plano_V3!E688,Table1[Campo],Plano_V3!F688)</f>
        <v>4.0999999999999996</v>
      </c>
      <c r="L688" s="175">
        <f t="shared" si="371"/>
        <v>0.51249999999999996</v>
      </c>
      <c r="M688" s="177"/>
      <c r="N688" s="177">
        <f t="shared" si="372"/>
        <v>1</v>
      </c>
      <c r="O688" s="177"/>
      <c r="P688" s="89" t="s">
        <v>39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c r="A689" s="29" t="str">
        <f t="shared" si="352"/>
        <v>lt827_mthd_usd_instrmntpurpose_code</v>
      </c>
      <c r="B689" s="67"/>
      <c r="C689" s="68"/>
      <c r="D689" s="64" t="s">
        <v>40</v>
      </c>
      <c r="E689" s="70" t="s">
        <v>1866</v>
      </c>
      <c r="F689" s="71" t="s">
        <v>1852</v>
      </c>
      <c r="G689" s="64" t="str">
        <f>INDEX(Auxiliar!$B$16:$B$24,MATCH(Plano_V3!H689,Auxiliar!$C$16:$C$24,0),1)</f>
        <v>1. Concluído</v>
      </c>
      <c r="H689" s="64">
        <f>VLOOKUP(A689,'Aux - pivots1'!$A:$B,2,0)</f>
        <v>1</v>
      </c>
      <c r="I689" s="175">
        <f>SUMIFS(Table1[Estimação (horas)],Table1[Tabela],Plano_V3!E689,Table1[Campo],Plano_V3!F689)</f>
        <v>4.0999999999999996</v>
      </c>
      <c r="J689" s="175">
        <f t="shared" si="370"/>
        <v>0.51249999999999996</v>
      </c>
      <c r="K689" s="175">
        <f>SUMIFS(Table1[Horas efetivas],Table1[Tabela],Plano_V3!E689,Table1[Campo],Plano_V3!F689)</f>
        <v>4.0999999999999996</v>
      </c>
      <c r="L689" s="175">
        <f t="shared" si="371"/>
        <v>0.51249999999999996</v>
      </c>
      <c r="M689" s="177"/>
      <c r="N689" s="177">
        <f t="shared" si="372"/>
        <v>1</v>
      </c>
      <c r="O689" s="177"/>
      <c r="P689" s="89" t="s">
        <v>39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c r="A690" s="29" t="str">
        <f t="shared" si="352"/>
        <v>lt827_mthd_usd_instrmntflg_fin</v>
      </c>
      <c r="B690" s="67"/>
      <c r="C690" s="68"/>
      <c r="D690" s="64" t="s">
        <v>40</v>
      </c>
      <c r="E690" s="70" t="s">
        <v>1866</v>
      </c>
      <c r="F690" s="71" t="s">
        <v>480</v>
      </c>
      <c r="G690" s="64" t="str">
        <f>INDEX(Auxiliar!$B$16:$B$24,MATCH(Plano_V3!H690,Auxiliar!$C$16:$C$24,0),1)</f>
        <v>1. Concluído</v>
      </c>
      <c r="H690" s="64">
        <f>VLOOKUP(A690,'Aux - pivots1'!$A:$B,2,0)</f>
        <v>1</v>
      </c>
      <c r="I690" s="175">
        <f>SUMIFS(Table1[Estimação (horas)],Table1[Tabela],Plano_V3!E690,Table1[Campo],Plano_V3!F690)</f>
        <v>4.0999999999999996</v>
      </c>
      <c r="J690" s="175">
        <f t="shared" si="370"/>
        <v>0.51249999999999996</v>
      </c>
      <c r="K690" s="175">
        <f>SUMIFS(Table1[Horas efetivas],Table1[Tabela],Plano_V3!E690,Table1[Campo],Plano_V3!F690)</f>
        <v>4.0999999999999996</v>
      </c>
      <c r="L690" s="175">
        <f t="shared" si="371"/>
        <v>0.51249999999999996</v>
      </c>
      <c r="M690" s="177"/>
      <c r="N690" s="177">
        <f t="shared" si="372"/>
        <v>1</v>
      </c>
      <c r="O690" s="177"/>
      <c r="P690" s="89" t="s">
        <v>39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c r="A691" s="29" t="str">
        <f t="shared" si="352"/>
        <v>lt827_mthd_usd_instrmntflg_exec</v>
      </c>
      <c r="B691" s="67"/>
      <c r="C691" s="68"/>
      <c r="D691" s="64" t="s">
        <v>40</v>
      </c>
      <c r="E691" s="70" t="s">
        <v>1866</v>
      </c>
      <c r="F691" s="71" t="s">
        <v>1279</v>
      </c>
      <c r="G691" s="64" t="str">
        <f>INDEX(Auxiliar!$B$16:$B$24,MATCH(Plano_V3!H691,Auxiliar!$C$16:$C$24,0),1)</f>
        <v>1. Concluído</v>
      </c>
      <c r="H691" s="64">
        <f>VLOOKUP(A691,'Aux - pivots1'!$A:$B,2,0)</f>
        <v>1</v>
      </c>
      <c r="I691" s="175">
        <f>SUMIFS(Table1[Estimação (horas)],Table1[Tabela],Plano_V3!E691,Table1[Campo],Plano_V3!F691)</f>
        <v>4.0999999999999996</v>
      </c>
      <c r="J691" s="175">
        <f t="shared" si="370"/>
        <v>0.51249999999999996</v>
      </c>
      <c r="K691" s="175">
        <f>SUMIFS(Table1[Horas efetivas],Table1[Tabela],Plano_V3!E691,Table1[Campo],Plano_V3!F691)</f>
        <v>4.0999999999999996</v>
      </c>
      <c r="L691" s="175">
        <f t="shared" si="371"/>
        <v>0.51249999999999996</v>
      </c>
      <c r="M691" s="177"/>
      <c r="N691" s="177">
        <f t="shared" si="372"/>
        <v>1</v>
      </c>
      <c r="O691" s="177"/>
      <c r="P691" s="89" t="s">
        <v>39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c r="A692" s="29" t="str">
        <f t="shared" si="352"/>
        <v>lt827_mthd_usd_instrmntflg_col</v>
      </c>
      <c r="B692" s="67"/>
      <c r="C692" s="68"/>
      <c r="D692" s="64" t="s">
        <v>40</v>
      </c>
      <c r="E692" s="70" t="s">
        <v>1866</v>
      </c>
      <c r="F692" s="71" t="s">
        <v>479</v>
      </c>
      <c r="G692" s="64" t="str">
        <f>INDEX(Auxiliar!$B$16:$B$24,MATCH(Plano_V3!H692,Auxiliar!$C$16:$C$24,0),1)</f>
        <v>1. Concluído</v>
      </c>
      <c r="H692" s="64">
        <f>VLOOKUP(A692,'Aux - pivots1'!$A:$B,2,0)</f>
        <v>1</v>
      </c>
      <c r="I692" s="175">
        <f>SUMIFS(Table1[Estimação (horas)],Table1[Tabela],Plano_V3!E692,Table1[Campo],Plano_V3!F692)</f>
        <v>4.0999999999999996</v>
      </c>
      <c r="J692" s="175">
        <f t="shared" si="370"/>
        <v>0.51249999999999996</v>
      </c>
      <c r="K692" s="175">
        <f>SUMIFS(Table1[Horas efetivas],Table1[Tabela],Plano_V3!E692,Table1[Campo],Plano_V3!F692)</f>
        <v>4.0999999999999996</v>
      </c>
      <c r="L692" s="175">
        <f t="shared" si="371"/>
        <v>0.51249999999999996</v>
      </c>
      <c r="M692" s="177"/>
      <c r="N692" s="177">
        <f t="shared" si="372"/>
        <v>1</v>
      </c>
      <c r="O692" s="177"/>
      <c r="P692" s="89" t="s">
        <v>39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c r="A693" s="29" t="str">
        <f t="shared" si="352"/>
        <v>lt827_mthd_usd_instrmntflg_pro</v>
      </c>
      <c r="B693" s="67"/>
      <c r="C693" s="68"/>
      <c r="D693" s="64" t="s">
        <v>40</v>
      </c>
      <c r="E693" s="70" t="s">
        <v>1866</v>
      </c>
      <c r="F693" s="71" t="s">
        <v>481</v>
      </c>
      <c r="G693" s="64" t="str">
        <f>INDEX(Auxiliar!$B$16:$B$24,MATCH(Plano_V3!H693,Auxiliar!$C$16:$C$24,0),1)</f>
        <v>1. Concluído</v>
      </c>
      <c r="H693" s="64">
        <f>VLOOKUP(A693,'Aux - pivots1'!$A:$B,2,0)</f>
        <v>1</v>
      </c>
      <c r="I693" s="175">
        <f>SUMIFS(Table1[Estimação (horas)],Table1[Tabela],Plano_V3!E693,Table1[Campo],Plano_V3!F693)</f>
        <v>4.0999999999999996</v>
      </c>
      <c r="J693" s="175">
        <f t="shared" si="370"/>
        <v>0.51249999999999996</v>
      </c>
      <c r="K693" s="175">
        <f>SUMIFS(Table1[Horas efetivas],Table1[Tabela],Plano_V3!E693,Table1[Campo],Plano_V3!F693)</f>
        <v>4.0999999999999996</v>
      </c>
      <c r="L693" s="175">
        <f t="shared" si="371"/>
        <v>0.51249999999999996</v>
      </c>
      <c r="M693" s="177"/>
      <c r="N693" s="177">
        <f t="shared" si="372"/>
        <v>1</v>
      </c>
      <c r="O693" s="177"/>
      <c r="P693" s="89" t="s">
        <v>39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c r="A694" s="29" t="str">
        <f t="shared" si="352"/>
        <v>lt826_esg_sbsctrambito</v>
      </c>
      <c r="B694" s="67" t="s">
        <v>26</v>
      </c>
      <c r="C694" s="68" t="s">
        <v>26</v>
      </c>
      <c r="D694" s="64" t="s">
        <v>40</v>
      </c>
      <c r="E694" s="70" t="s">
        <v>392</v>
      </c>
      <c r="F694" s="72" t="s">
        <v>390</v>
      </c>
      <c r="G694" s="64" t="str">
        <f>INDEX(Auxiliar!$B$16:$B$24,MATCH(Plano_V3!H694,Auxiliar!$C$16:$C$24,0),1)</f>
        <v>1. Concluído</v>
      </c>
      <c r="H694" s="64">
        <f>VLOOKUP(A694,'Aux - pivots1'!$A:$B,2,0)</f>
        <v>1</v>
      </c>
      <c r="I694" s="175">
        <f>SUMIFS(Table1[Estimação (horas)],Table1[Tabela],Plano_V3!E694,Table1[Campo],Plano_V3!F694)</f>
        <v>4.0999999999999996</v>
      </c>
      <c r="J694" s="175">
        <f t="shared" si="370"/>
        <v>0.51249999999999996</v>
      </c>
      <c r="K694" s="175">
        <f>SUMIFS(Table1[Horas efetivas],Table1[Tabela],Plano_V3!E694,Table1[Campo],Plano_V3!F694)</f>
        <v>4.0999999999999996</v>
      </c>
      <c r="L694" s="175">
        <f t="shared" si="371"/>
        <v>0.51249999999999996</v>
      </c>
      <c r="M694" s="177"/>
      <c r="N694" s="177">
        <f t="shared" si="372"/>
        <v>1</v>
      </c>
      <c r="O694" s="177"/>
      <c r="P694" s="89" t="s">
        <v>39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c r="A695" s="29" t="str">
        <f t="shared" si="352"/>
        <v>lt826_esg_sbsctrref_date</v>
      </c>
      <c r="B695" s="67" t="s">
        <v>26</v>
      </c>
      <c r="C695" s="68" t="s">
        <v>26</v>
      </c>
      <c r="D695" s="64" t="s">
        <v>40</v>
      </c>
      <c r="E695" s="70" t="s">
        <v>392</v>
      </c>
      <c r="F695" s="72" t="s">
        <v>208</v>
      </c>
      <c r="G695" s="64" t="str">
        <f>INDEX(Auxiliar!$B$16:$B$24,MATCH(Plano_V3!H695,Auxiliar!$C$16:$C$24,0),1)</f>
        <v>1. Concluído</v>
      </c>
      <c r="H695" s="64">
        <f>VLOOKUP(A695,'Aux - pivots1'!$A:$B,2,0)</f>
        <v>1</v>
      </c>
      <c r="I695" s="175">
        <f>SUMIFS(Table1[Estimação (horas)],Table1[Tabela],Plano_V3!E695,Table1[Campo],Plano_V3!F695)</f>
        <v>4.0999999999999996</v>
      </c>
      <c r="J695" s="175">
        <f t="shared" ref="J695:J766" si="373">I695/8</f>
        <v>0.51249999999999996</v>
      </c>
      <c r="K695" s="175">
        <f>SUMIFS(Table1[Horas efetivas],Table1[Tabela],Plano_V3!E695,Table1[Campo],Plano_V3!F695)</f>
        <v>4.0999999999999996</v>
      </c>
      <c r="L695" s="175">
        <f t="shared" ref="L695:L766" si="374">K695/8</f>
        <v>0.51249999999999996</v>
      </c>
      <c r="M695" s="177"/>
      <c r="N695" s="177">
        <f t="shared" ref="N695:N769" si="375">L695/J695</f>
        <v>1</v>
      </c>
      <c r="O695" s="177"/>
      <c r="P695" s="89" t="s">
        <v>39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c r="A696" s="29" t="str">
        <f t="shared" si="352"/>
        <v>lt826_esg_sbsctrordem</v>
      </c>
      <c r="B696" s="67" t="s">
        <v>26</v>
      </c>
      <c r="C696" s="68" t="s">
        <v>26</v>
      </c>
      <c r="D696" s="64" t="s">
        <v>40</v>
      </c>
      <c r="E696" s="70" t="s">
        <v>392</v>
      </c>
      <c r="F696" s="72" t="s">
        <v>211</v>
      </c>
      <c r="G696" s="64" t="str">
        <f>INDEX(Auxiliar!$B$16:$B$24,MATCH(Plano_V3!H696,Auxiliar!$C$16:$C$24,0),1)</f>
        <v>1. Concluído</v>
      </c>
      <c r="H696" s="64">
        <f>VLOOKUP(A696,'Aux - pivots1'!$A:$B,2,0)</f>
        <v>1</v>
      </c>
      <c r="I696" s="175">
        <f>SUMIFS(Table1[Estimação (horas)],Table1[Tabela],Plano_V3!E696,Table1[Campo],Plano_V3!F696)</f>
        <v>4.0999999999999996</v>
      </c>
      <c r="J696" s="175">
        <f t="shared" si="373"/>
        <v>0.51249999999999996</v>
      </c>
      <c r="K696" s="175">
        <f>SUMIFS(Table1[Horas efetivas],Table1[Tabela],Plano_V3!E696,Table1[Campo],Plano_V3!F696)</f>
        <v>4.0999999999999996</v>
      </c>
      <c r="L696" s="175">
        <f t="shared" si="374"/>
        <v>0.51249999999999996</v>
      </c>
      <c r="M696" s="177"/>
      <c r="N696" s="177">
        <f t="shared" si="375"/>
        <v>1</v>
      </c>
      <c r="O696" s="177"/>
      <c r="P696" s="89" t="s">
        <v>39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c r="A697" s="29" t="str">
        <f t="shared" si="352"/>
        <v>lt826_esg_sbsctrnace_code</v>
      </c>
      <c r="B697" s="67" t="s">
        <v>26</v>
      </c>
      <c r="C697" s="68" t="s">
        <v>26</v>
      </c>
      <c r="D697" s="64" t="s">
        <v>40</v>
      </c>
      <c r="E697" s="70" t="s">
        <v>392</v>
      </c>
      <c r="F697" s="71" t="s">
        <v>393</v>
      </c>
      <c r="G697" s="64" t="str">
        <f>INDEX(Auxiliar!$B$16:$B$24,MATCH(Plano_V3!H697,Auxiliar!$C$16:$C$24,0),1)</f>
        <v>1. Concluído</v>
      </c>
      <c r="H697" s="64">
        <f>VLOOKUP(A697,'Aux - pivots1'!$A:$B,2,0)</f>
        <v>1</v>
      </c>
      <c r="I697" s="175">
        <f>SUMIFS(Table1[Estimação (horas)],Table1[Tabela],Plano_V3!E697,Table1[Campo],Plano_V3!F697)</f>
        <v>4.0999999999999996</v>
      </c>
      <c r="J697" s="175">
        <f t="shared" si="373"/>
        <v>0.51249999999999996</v>
      </c>
      <c r="K697" s="175">
        <f>SUMIFS(Table1[Horas efetivas],Table1[Tabela],Plano_V3!E697,Table1[Campo],Plano_V3!F697)</f>
        <v>4.0999999999999996</v>
      </c>
      <c r="L697" s="175">
        <f t="shared" si="374"/>
        <v>0.51249999999999996</v>
      </c>
      <c r="M697" s="177"/>
      <c r="N697" s="177">
        <f t="shared" si="375"/>
        <v>1</v>
      </c>
      <c r="O697" s="177"/>
      <c r="P697" s="89" t="s">
        <v>39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c r="A698" s="29" t="str">
        <f t="shared" si="352"/>
        <v>lt826_esg_sbsctrcontraparte</v>
      </c>
      <c r="B698" s="67" t="s">
        <v>26</v>
      </c>
      <c r="C698" s="68" t="s">
        <v>26</v>
      </c>
      <c r="D698" s="64" t="s">
        <v>40</v>
      </c>
      <c r="E698" s="70" t="s">
        <v>392</v>
      </c>
      <c r="F698" s="71" t="s">
        <v>394</v>
      </c>
      <c r="G698" s="64" t="str">
        <f>INDEX(Auxiliar!$B$16:$B$24,MATCH(Plano_V3!H698,Auxiliar!$C$16:$C$24,0),1)</f>
        <v>1. Concluído</v>
      </c>
      <c r="H698" s="64">
        <f>VLOOKUP(A698,'Aux - pivots1'!$A:$B,2,0)</f>
        <v>1</v>
      </c>
      <c r="I698" s="175">
        <f>SUMIFS(Table1[Estimação (horas)],Table1[Tabela],Plano_V3!E698,Table1[Campo],Plano_V3!F698)</f>
        <v>4.0999999999999996</v>
      </c>
      <c r="J698" s="175">
        <f t="shared" si="373"/>
        <v>0.51249999999999996</v>
      </c>
      <c r="K698" s="175">
        <f>SUMIFS(Table1[Horas efetivas],Table1[Tabela],Plano_V3!E698,Table1[Campo],Plano_V3!F698)</f>
        <v>4.0999999999999996</v>
      </c>
      <c r="L698" s="175">
        <f t="shared" si="374"/>
        <v>0.51249999999999996</v>
      </c>
      <c r="M698" s="177"/>
      <c r="N698" s="177">
        <f t="shared" si="375"/>
        <v>1</v>
      </c>
      <c r="O698" s="177"/>
      <c r="P698" s="89" t="s">
        <v>39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c r="A699" s="29" t="str">
        <f t="shared" si="352"/>
        <v>lt826_esg_sbsctrcnatureza_juri</v>
      </c>
      <c r="B699" s="67" t="s">
        <v>26</v>
      </c>
      <c r="C699" s="68" t="s">
        <v>26</v>
      </c>
      <c r="D699" s="64" t="s">
        <v>40</v>
      </c>
      <c r="E699" s="70" t="s">
        <v>392</v>
      </c>
      <c r="F699" s="71" t="s">
        <v>395</v>
      </c>
      <c r="G699" s="64" t="str">
        <f>INDEX(Auxiliar!$B$16:$B$24,MATCH(Plano_V3!H699,Auxiliar!$C$16:$C$24,0),1)</f>
        <v>1. Concluído</v>
      </c>
      <c r="H699" s="64">
        <f>VLOOKUP(A699,'Aux - pivots1'!$A:$B,2,0)</f>
        <v>1</v>
      </c>
      <c r="I699" s="175">
        <f>SUMIFS(Table1[Estimação (horas)],Table1[Tabela],Plano_V3!E699,Table1[Campo],Plano_V3!F699)</f>
        <v>4.0999999999999996</v>
      </c>
      <c r="J699" s="175">
        <f t="shared" si="373"/>
        <v>0.51249999999999996</v>
      </c>
      <c r="K699" s="175">
        <f>SUMIFS(Table1[Horas efetivas],Table1[Tabela],Plano_V3!E699,Table1[Campo],Plano_V3!F699)</f>
        <v>4.0999999999999996</v>
      </c>
      <c r="L699" s="175">
        <f t="shared" si="374"/>
        <v>0.51249999999999996</v>
      </c>
      <c r="M699" s="177"/>
      <c r="N699" s="177">
        <f t="shared" si="375"/>
        <v>1</v>
      </c>
      <c r="O699" s="177"/>
      <c r="P699" s="89" t="s">
        <v>39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c r="A700" s="29" t="str">
        <f t="shared" si="352"/>
        <v>lt826_esg_sbsctridcomb</v>
      </c>
      <c r="B700" s="67" t="s">
        <v>26</v>
      </c>
      <c r="C700" s="68" t="s">
        <v>26</v>
      </c>
      <c r="D700" s="64" t="s">
        <v>40</v>
      </c>
      <c r="E700" s="70" t="s">
        <v>392</v>
      </c>
      <c r="F700" s="71" t="s">
        <v>396</v>
      </c>
      <c r="G700" s="64" t="str">
        <f>INDEX(Auxiliar!$B$16:$B$24,MATCH(Plano_V3!H700,Auxiliar!$C$16:$C$24,0),1)</f>
        <v>1. Concluído</v>
      </c>
      <c r="H700" s="64">
        <f>VLOOKUP(A700,'Aux - pivots1'!$A:$B,2,0)</f>
        <v>1</v>
      </c>
      <c r="I700" s="175">
        <f>SUMIFS(Table1[Estimação (horas)],Table1[Tabela],Plano_V3!E700,Table1[Campo],Plano_V3!F700)</f>
        <v>4.0999999999999996</v>
      </c>
      <c r="J700" s="175">
        <f t="shared" si="373"/>
        <v>0.51249999999999996</v>
      </c>
      <c r="K700" s="175">
        <f>SUMIFS(Table1[Horas efetivas],Table1[Tabela],Plano_V3!E700,Table1[Campo],Plano_V3!F700)</f>
        <v>4.0999999999999996</v>
      </c>
      <c r="L700" s="175">
        <f t="shared" si="374"/>
        <v>0.51249999999999996</v>
      </c>
      <c r="M700" s="177"/>
      <c r="N700" s="177">
        <f t="shared" si="375"/>
        <v>1</v>
      </c>
      <c r="O700" s="177"/>
      <c r="P700" s="89" t="s">
        <v>39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c r="A701" s="29" t="str">
        <f t="shared" si="352"/>
        <v>lt826_esg_sbsctresg_sbsctr</v>
      </c>
      <c r="B701" s="67" t="s">
        <v>26</v>
      </c>
      <c r="C701" s="68" t="s">
        <v>26</v>
      </c>
      <c r="D701" s="64" t="s">
        <v>40</v>
      </c>
      <c r="E701" s="70" t="s">
        <v>392</v>
      </c>
      <c r="F701" s="71" t="s">
        <v>360</v>
      </c>
      <c r="G701" s="64" t="str">
        <f>INDEX(Auxiliar!$B$16:$B$24,MATCH(Plano_V3!H701,Auxiliar!$C$16:$C$24,0),1)</f>
        <v>1. Concluído</v>
      </c>
      <c r="H701" s="64">
        <f>VLOOKUP(A701,'Aux - pivots1'!$A:$B,2,0)</f>
        <v>1</v>
      </c>
      <c r="I701" s="175">
        <f>SUMIFS(Table1[Estimação (horas)],Table1[Tabela],Plano_V3!E701,Table1[Campo],Plano_V3!F701)</f>
        <v>4.0999999999999996</v>
      </c>
      <c r="J701" s="175">
        <f t="shared" si="373"/>
        <v>0.51249999999999996</v>
      </c>
      <c r="K701" s="175">
        <f>SUMIFS(Table1[Horas efetivas],Table1[Tabela],Plano_V3!E701,Table1[Campo],Plano_V3!F701)</f>
        <v>4.0999999999999996</v>
      </c>
      <c r="L701" s="175">
        <f t="shared" si="374"/>
        <v>0.51249999999999996</v>
      </c>
      <c r="M701" s="177"/>
      <c r="N701" s="177">
        <f t="shared" si="375"/>
        <v>1</v>
      </c>
      <c r="O701" s="177"/>
      <c r="P701" s="89" t="s">
        <v>39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c r="A702" s="29" t="str">
        <f t="shared" si="352"/>
        <v>lt826_esg_sbsctrdescrição</v>
      </c>
      <c r="B702" s="67" t="s">
        <v>26</v>
      </c>
      <c r="C702" s="68" t="s">
        <v>26</v>
      </c>
      <c r="D702" s="64" t="s">
        <v>40</v>
      </c>
      <c r="E702" s="70" t="s">
        <v>392</v>
      </c>
      <c r="F702" s="71" t="s">
        <v>397</v>
      </c>
      <c r="G702" s="64" t="str">
        <f>INDEX(Auxiliar!$B$16:$B$24,MATCH(Plano_V3!H702,Auxiliar!$C$16:$C$24,0),1)</f>
        <v>1. Concluído</v>
      </c>
      <c r="H702" s="64">
        <f>VLOOKUP(A702,'Aux - pivots1'!$A:$B,2,0)</f>
        <v>1</v>
      </c>
      <c r="I702" s="175">
        <f>SUMIFS(Table1[Estimação (horas)],Table1[Tabela],Plano_V3!E702,Table1[Campo],Plano_V3!F702)</f>
        <v>4.0999999999999996</v>
      </c>
      <c r="J702" s="175">
        <f t="shared" si="373"/>
        <v>0.51249999999999996</v>
      </c>
      <c r="K702" s="175">
        <f>SUMIFS(Table1[Horas efetivas],Table1[Tabela],Plano_V3!E702,Table1[Campo],Plano_V3!F702)</f>
        <v>4.0999999999999996</v>
      </c>
      <c r="L702" s="175">
        <f t="shared" si="374"/>
        <v>0.51249999999999996</v>
      </c>
      <c r="M702" s="177"/>
      <c r="N702" s="177">
        <f t="shared" si="375"/>
        <v>1</v>
      </c>
      <c r="O702" s="177"/>
      <c r="P702" s="89" t="s">
        <v>39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c r="A703" s="29" t="str">
        <f t="shared" si="352"/>
        <v>lt002_instrumentdt_rfrnc</v>
      </c>
      <c r="B703" s="67" t="s">
        <v>26</v>
      </c>
      <c r="C703" s="68" t="s">
        <v>26</v>
      </c>
      <c r="D703" s="64" t="s">
        <v>40</v>
      </c>
      <c r="E703" s="70" t="s">
        <v>379</v>
      </c>
      <c r="F703" s="71" t="s">
        <v>398</v>
      </c>
      <c r="G703" s="64" t="str">
        <f>INDEX(Auxiliar!$B$16:$B$24,MATCH(Plano_V3!H703,Auxiliar!$C$16:$C$24,0),1)</f>
        <v>1. Concluído</v>
      </c>
      <c r="H703" s="64">
        <f>VLOOKUP(A703,'Aux - pivots1'!$A:$B,2,0)</f>
        <v>1</v>
      </c>
      <c r="I703" s="175">
        <f>SUMIFS(Table1[Estimação (horas)],Table1[Tabela],Plano_V3!E703,Table1[Campo],Plano_V3!F703)</f>
        <v>0.1</v>
      </c>
      <c r="J703" s="175">
        <f t="shared" si="373"/>
        <v>1.2500000000000001E-2</v>
      </c>
      <c r="K703" s="175">
        <f>SUMIFS(Table1[Horas efetivas],Table1[Tabela],Plano_V3!E703,Table1[Campo],Plano_V3!F703)</f>
        <v>0.1</v>
      </c>
      <c r="L703" s="175">
        <f t="shared" si="374"/>
        <v>1.2500000000000001E-2</v>
      </c>
      <c r="M703" s="177"/>
      <c r="N703" s="177">
        <f t="shared" si="375"/>
        <v>1</v>
      </c>
      <c r="O703" s="177"/>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c r="A704" s="29" t="str">
        <f t="shared" si="352"/>
        <v>lt002_instrumentinstrmnt_id</v>
      </c>
      <c r="B704" s="67" t="s">
        <v>26</v>
      </c>
      <c r="C704" s="68" t="s">
        <v>26</v>
      </c>
      <c r="D704" s="64" t="s">
        <v>40</v>
      </c>
      <c r="E704" s="70" t="s">
        <v>379</v>
      </c>
      <c r="F704" s="71" t="s">
        <v>400</v>
      </c>
      <c r="G704" s="64" t="str">
        <f>INDEX(Auxiliar!$B$16:$B$24,MATCH(Plano_V3!H704,Auxiliar!$C$16:$C$24,0),1)</f>
        <v>1. Concluído</v>
      </c>
      <c r="H704" s="64">
        <f>VLOOKUP(A704,'Aux - pivots1'!$A:$B,2,0)</f>
        <v>1</v>
      </c>
      <c r="I704" s="175">
        <f>SUMIFS(Table1[Estimação (horas)],Table1[Tabela],Plano_V3!E704,Table1[Campo],Plano_V3!F704)</f>
        <v>0.1</v>
      </c>
      <c r="J704" s="175">
        <f t="shared" si="373"/>
        <v>1.2500000000000001E-2</v>
      </c>
      <c r="K704" s="175">
        <f>SUMIFS(Table1[Horas efetivas],Table1[Tabela],Plano_V3!E704,Table1[Campo],Plano_V3!F704)</f>
        <v>0.1</v>
      </c>
      <c r="L704" s="175">
        <f t="shared" si="374"/>
        <v>1.2500000000000001E-2</v>
      </c>
      <c r="M704" s="177"/>
      <c r="N704" s="177">
        <f t="shared" si="375"/>
        <v>1</v>
      </c>
      <c r="O704" s="177"/>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c r="A705" s="29" t="str">
        <f t="shared" si="352"/>
        <v>lt002_instrumentdt_incptn</v>
      </c>
      <c r="B705" s="67" t="s">
        <v>26</v>
      </c>
      <c r="C705" s="68" t="s">
        <v>26</v>
      </c>
      <c r="D705" s="64" t="s">
        <v>40</v>
      </c>
      <c r="E705" s="70" t="s">
        <v>379</v>
      </c>
      <c r="F705" s="71" t="s">
        <v>401</v>
      </c>
      <c r="G705" s="64" t="str">
        <f>INDEX(Auxiliar!$B$16:$B$24,MATCH(Plano_V3!H705,Auxiliar!$C$16:$C$24,0),1)</f>
        <v>1. Concluído</v>
      </c>
      <c r="H705" s="64">
        <f>VLOOKUP(A705,'Aux - pivots1'!$A:$B,2,0)</f>
        <v>1</v>
      </c>
      <c r="I705" s="175">
        <f>SUMIFS(Table1[Estimação (horas)],Table1[Tabela],Plano_V3!E705,Table1[Campo],Plano_V3!F705)</f>
        <v>0.1</v>
      </c>
      <c r="J705" s="175">
        <f t="shared" si="373"/>
        <v>1.2500000000000001E-2</v>
      </c>
      <c r="K705" s="175">
        <f>SUMIFS(Table1[Horas efetivas],Table1[Tabela],Plano_V3!E705,Table1[Campo],Plano_V3!F705)</f>
        <v>0.1</v>
      </c>
      <c r="L705" s="175">
        <f t="shared" si="374"/>
        <v>1.2500000000000001E-2</v>
      </c>
      <c r="M705" s="177"/>
      <c r="N705" s="177">
        <f t="shared" si="375"/>
        <v>1</v>
      </c>
      <c r="O705" s="177"/>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c r="A706" s="29" t="str">
        <f t="shared" si="352"/>
        <v>lt002_instrumentdflt_stts_instrmnt</v>
      </c>
      <c r="B706" s="67" t="s">
        <v>26</v>
      </c>
      <c r="C706" s="68" t="s">
        <v>26</v>
      </c>
      <c r="D706" s="64" t="s">
        <v>40</v>
      </c>
      <c r="E706" s="70" t="s">
        <v>379</v>
      </c>
      <c r="F706" s="71" t="s">
        <v>402</v>
      </c>
      <c r="G706" s="64" t="str">
        <f>INDEX(Auxiliar!$B$16:$B$24,MATCH(Plano_V3!H706,Auxiliar!$C$16:$C$24,0),1)</f>
        <v>1. Concluído</v>
      </c>
      <c r="H706" s="64">
        <f>VLOOKUP(A706,'Aux - pivots1'!$A:$B,2,0)</f>
        <v>1</v>
      </c>
      <c r="I706" s="175">
        <f>SUMIFS(Table1[Estimação (horas)],Table1[Tabela],Plano_V3!E706,Table1[Campo],Plano_V3!F706)</f>
        <v>0.1</v>
      </c>
      <c r="J706" s="175">
        <f t="shared" si="373"/>
        <v>1.2500000000000001E-2</v>
      </c>
      <c r="K706" s="175">
        <f>SUMIFS(Table1[Horas efetivas],Table1[Tabela],Plano_V3!E706,Table1[Campo],Plano_V3!F706)</f>
        <v>0.1</v>
      </c>
      <c r="L706" s="175">
        <f t="shared" si="374"/>
        <v>1.2500000000000001E-2</v>
      </c>
      <c r="M706" s="177"/>
      <c r="N706" s="177">
        <f t="shared" si="375"/>
        <v>1</v>
      </c>
      <c r="O706" s="177"/>
      <c r="P706" s="89" t="s">
        <v>399</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c r="A707" s="29" t="str">
        <f t="shared" si="352"/>
        <v>lt002_instrumentimprmnt_stts</v>
      </c>
      <c r="B707" s="67" t="s">
        <v>26</v>
      </c>
      <c r="C707" s="68" t="s">
        <v>26</v>
      </c>
      <c r="D707" s="64" t="s">
        <v>40</v>
      </c>
      <c r="E707" s="70" t="s">
        <v>379</v>
      </c>
      <c r="F707" s="71" t="s">
        <v>403</v>
      </c>
      <c r="G707" s="64" t="str">
        <f>INDEX(Auxiliar!$B$16:$B$24,MATCH(Plano_V3!H707,Auxiliar!$C$16:$C$24,0),1)</f>
        <v>1. Concluído</v>
      </c>
      <c r="H707" s="64">
        <f>VLOOKUP(A707,'Aux - pivots1'!$A:$B,2,0)</f>
        <v>1</v>
      </c>
      <c r="I707" s="175">
        <f>SUMIFS(Table1[Estimação (horas)],Table1[Tabela],Plano_V3!E707,Table1[Campo],Plano_V3!F707)</f>
        <v>0.1</v>
      </c>
      <c r="J707" s="175">
        <f t="shared" si="373"/>
        <v>1.2500000000000001E-2</v>
      </c>
      <c r="K707" s="175">
        <f>SUMIFS(Table1[Horas efetivas],Table1[Tabela],Plano_V3!E707,Table1[Campo],Plano_V3!F707)</f>
        <v>0.1</v>
      </c>
      <c r="L707" s="175">
        <f t="shared" si="374"/>
        <v>1.2500000000000001E-2</v>
      </c>
      <c r="M707" s="177"/>
      <c r="N707" s="177">
        <f t="shared" si="375"/>
        <v>1</v>
      </c>
      <c r="O707" s="177"/>
      <c r="P707" s="89" t="s">
        <v>399</v>
      </c>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c r="A708" s="29" t="str">
        <f t="shared" si="352"/>
        <v>lt002_instrumentprfrmng_stts</v>
      </c>
      <c r="B708" s="67" t="s">
        <v>26</v>
      </c>
      <c r="C708" s="68" t="s">
        <v>26</v>
      </c>
      <c r="D708" s="64" t="s">
        <v>40</v>
      </c>
      <c r="E708" s="70" t="s">
        <v>379</v>
      </c>
      <c r="F708" s="71" t="s">
        <v>404</v>
      </c>
      <c r="G708" s="64" t="str">
        <f>INDEX(Auxiliar!$B$16:$B$24,MATCH(Plano_V3!H708,Auxiliar!$C$16:$C$24,0),1)</f>
        <v>1. Concluído</v>
      </c>
      <c r="H708" s="64">
        <f>VLOOKUP(A708,'Aux - pivots1'!$A:$B,2,0)</f>
        <v>1</v>
      </c>
      <c r="I708" s="175">
        <f>SUMIFS(Table1[Estimação (horas)],Table1[Tabela],Plano_V3!E708,Table1[Campo],Plano_V3!F708)</f>
        <v>0.1</v>
      </c>
      <c r="J708" s="175">
        <f t="shared" si="373"/>
        <v>1.2500000000000001E-2</v>
      </c>
      <c r="K708" s="175">
        <f>SUMIFS(Table1[Horas efetivas],Table1[Tabela],Plano_V3!E708,Table1[Campo],Plano_V3!F708)</f>
        <v>0.1</v>
      </c>
      <c r="L708" s="175">
        <f t="shared" si="374"/>
        <v>1.2500000000000001E-2</v>
      </c>
      <c r="M708" s="177"/>
      <c r="N708" s="177">
        <f t="shared" si="375"/>
        <v>1</v>
      </c>
      <c r="O708" s="177"/>
      <c r="P708" s="89" t="s">
        <v>399</v>
      </c>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c r="A709" s="29" t="str">
        <f t="shared" si="352"/>
        <v>lt002_instrumentprjct_fnnc_ln</v>
      </c>
      <c r="B709" s="67" t="s">
        <v>26</v>
      </c>
      <c r="C709" s="68" t="s">
        <v>26</v>
      </c>
      <c r="D709" s="64" t="s">
        <v>40</v>
      </c>
      <c r="E709" s="70" t="s">
        <v>379</v>
      </c>
      <c r="F709" s="71" t="s">
        <v>405</v>
      </c>
      <c r="G709" s="64" t="str">
        <f>INDEX(Auxiliar!$B$16:$B$24,MATCH(Plano_V3!H709,Auxiliar!$C$16:$C$24,0),1)</f>
        <v>1. Concluído</v>
      </c>
      <c r="H709" s="64">
        <f>VLOOKUP(A709,'Aux - pivots1'!$A:$B,2,0)</f>
        <v>1</v>
      </c>
      <c r="I709" s="175">
        <f>SUMIFS(Table1[Estimação (horas)],Table1[Tabela],Plano_V3!E709,Table1[Campo],Plano_V3!F709)</f>
        <v>0.1</v>
      </c>
      <c r="J709" s="175">
        <f t="shared" si="373"/>
        <v>1.2500000000000001E-2</v>
      </c>
      <c r="K709" s="175">
        <f>SUMIFS(Table1[Horas efetivas],Table1[Tabela],Plano_V3!E709,Table1[Campo],Plano_V3!F709)</f>
        <v>0.1</v>
      </c>
      <c r="L709" s="175">
        <f t="shared" si="374"/>
        <v>1.2500000000000001E-2</v>
      </c>
      <c r="M709" s="177"/>
      <c r="N709" s="177">
        <f t="shared" si="375"/>
        <v>1</v>
      </c>
      <c r="O709" s="177"/>
      <c r="P709" s="89" t="s">
        <v>399</v>
      </c>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c r="A710" s="29" t="str">
        <f t="shared" si="352"/>
        <v>lt002_instrumenttyp_instrmnt</v>
      </c>
      <c r="B710" s="67" t="s">
        <v>26</v>
      </c>
      <c r="C710" s="68" t="s">
        <v>26</v>
      </c>
      <c r="D710" s="64" t="s">
        <v>40</v>
      </c>
      <c r="E710" s="70" t="s">
        <v>379</v>
      </c>
      <c r="F710" s="71" t="s">
        <v>406</v>
      </c>
      <c r="G710" s="64" t="str">
        <f>INDEX(Auxiliar!$B$16:$B$24,MATCH(Plano_V3!H710,Auxiliar!$C$16:$C$24,0),1)</f>
        <v>1. Concluído</v>
      </c>
      <c r="H710" s="64">
        <f>VLOOKUP(A710,'Aux - pivots1'!$A:$B,2,0)</f>
        <v>1</v>
      </c>
      <c r="I710" s="175">
        <f>SUMIFS(Table1[Estimação (horas)],Table1[Tabela],Plano_V3!E710,Table1[Campo],Plano_V3!F710)</f>
        <v>0.1</v>
      </c>
      <c r="J710" s="175">
        <f t="shared" si="373"/>
        <v>1.2500000000000001E-2</v>
      </c>
      <c r="K710" s="175">
        <f>SUMIFS(Table1[Horas efetivas],Table1[Tabela],Plano_V3!E710,Table1[Campo],Plano_V3!F710)</f>
        <v>0.1</v>
      </c>
      <c r="L710" s="175">
        <f t="shared" si="374"/>
        <v>1.2500000000000001E-2</v>
      </c>
      <c r="M710" s="177"/>
      <c r="N710" s="177">
        <f t="shared" si="375"/>
        <v>1</v>
      </c>
      <c r="O710" s="177"/>
      <c r="P710" s="89" t="s">
        <v>399</v>
      </c>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c r="A711" s="29" t="str">
        <f t="shared" si="352"/>
        <v>lt002_instrumentgrss_crryng_amnt_instrmnt</v>
      </c>
      <c r="B711" s="67" t="s">
        <v>26</v>
      </c>
      <c r="C711" s="68" t="s">
        <v>26</v>
      </c>
      <c r="D711" s="64" t="s">
        <v>40</v>
      </c>
      <c r="E711" s="70" t="s">
        <v>379</v>
      </c>
      <c r="F711" s="71" t="s">
        <v>407</v>
      </c>
      <c r="G711" s="64" t="str">
        <f>INDEX(Auxiliar!$B$16:$B$24,MATCH(Plano_V3!H711,Auxiliar!$C$16:$C$24,0),1)</f>
        <v>1. Concluído</v>
      </c>
      <c r="H711" s="64">
        <f>VLOOKUP(A711,'Aux - pivots1'!$A:$B,2,0)</f>
        <v>1</v>
      </c>
      <c r="I711" s="175">
        <f>SUMIFS(Table1[Estimação (horas)],Table1[Tabela],Plano_V3!E711,Table1[Campo],Plano_V3!F711)</f>
        <v>0.1</v>
      </c>
      <c r="J711" s="175">
        <f t="shared" si="373"/>
        <v>1.2500000000000001E-2</v>
      </c>
      <c r="K711" s="175">
        <f>SUMIFS(Table1[Horas efetivas],Table1[Tabela],Plano_V3!E711,Table1[Campo],Plano_V3!F711)</f>
        <v>0.1</v>
      </c>
      <c r="L711" s="175">
        <f t="shared" si="374"/>
        <v>1.2500000000000001E-2</v>
      </c>
      <c r="M711" s="177"/>
      <c r="N711" s="177">
        <f t="shared" si="375"/>
        <v>1</v>
      </c>
      <c r="O711" s="177"/>
      <c r="P711" s="89" t="s">
        <v>399</v>
      </c>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c r="A712" s="29" t="str">
        <f t="shared" si="352"/>
        <v>lt002_instrumentaccmltd_chngs_fv_cr_instrmnt</v>
      </c>
      <c r="B712" s="67" t="s">
        <v>26</v>
      </c>
      <c r="C712" s="68" t="s">
        <v>26</v>
      </c>
      <c r="D712" s="64" t="s">
        <v>40</v>
      </c>
      <c r="E712" s="70" t="s">
        <v>379</v>
      </c>
      <c r="F712" s="71" t="s">
        <v>408</v>
      </c>
      <c r="G712" s="64" t="str">
        <f>INDEX(Auxiliar!$B$16:$B$24,MATCH(Plano_V3!H712,Auxiliar!$C$16:$C$24,0),1)</f>
        <v>1. Concluído</v>
      </c>
      <c r="H712" s="64">
        <f>VLOOKUP(A712,'Aux - pivots1'!$A:$B,2,0)</f>
        <v>1</v>
      </c>
      <c r="I712" s="175">
        <f>SUMIFS(Table1[Estimação (horas)],Table1[Tabela],Plano_V3!E712,Table1[Campo],Plano_V3!F712)</f>
        <v>0.1</v>
      </c>
      <c r="J712" s="175">
        <f t="shared" si="373"/>
        <v>1.2500000000000001E-2</v>
      </c>
      <c r="K712" s="175">
        <f>SUMIFS(Table1[Horas efetivas],Table1[Tabela],Plano_V3!E712,Table1[Campo],Plano_V3!F712)</f>
        <v>0.1</v>
      </c>
      <c r="L712" s="175">
        <f t="shared" si="374"/>
        <v>1.2500000000000001E-2</v>
      </c>
      <c r="M712" s="177"/>
      <c r="N712" s="177">
        <f t="shared" si="375"/>
        <v>1</v>
      </c>
      <c r="O712" s="177"/>
      <c r="P712" s="89" t="s">
        <v>399</v>
      </c>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c r="A713" s="29" t="str">
        <f t="shared" si="352"/>
        <v>lt002_instrumentaccntng_clssfctn</v>
      </c>
      <c r="B713" s="67" t="s">
        <v>26</v>
      </c>
      <c r="C713" s="68" t="s">
        <v>26</v>
      </c>
      <c r="D713" s="64" t="s">
        <v>40</v>
      </c>
      <c r="E713" s="70" t="s">
        <v>379</v>
      </c>
      <c r="F713" s="71" t="s">
        <v>409</v>
      </c>
      <c r="G713" s="64" t="str">
        <f>INDEX(Auxiliar!$B$16:$B$24,MATCH(Plano_V3!H713,Auxiliar!$C$16:$C$24,0),1)</f>
        <v>1. Concluído</v>
      </c>
      <c r="H713" s="64">
        <f>VLOOKUP(A713,'Aux - pivots1'!$A:$B,2,0)</f>
        <v>1</v>
      </c>
      <c r="I713" s="175">
        <f>SUMIFS(Table1[Estimação (horas)],Table1[Tabela],Plano_V3!E713,Table1[Campo],Plano_V3!F713)</f>
        <v>0.1</v>
      </c>
      <c r="J713" s="175">
        <f t="shared" si="373"/>
        <v>1.2500000000000001E-2</v>
      </c>
      <c r="K713" s="175">
        <f>SUMIFS(Table1[Horas efetivas],Table1[Tabela],Plano_V3!E713,Table1[Campo],Plano_V3!F713)</f>
        <v>0.1</v>
      </c>
      <c r="L713" s="175">
        <f t="shared" si="374"/>
        <v>1.2500000000000001E-2</v>
      </c>
      <c r="M713" s="177"/>
      <c r="N713" s="177">
        <f t="shared" si="375"/>
        <v>1</v>
      </c>
      <c r="O713" s="177"/>
      <c r="P713" s="89" t="s">
        <v>399</v>
      </c>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c r="A714" s="29" t="str">
        <f t="shared" si="352"/>
        <v>lt002_instrumentdt_lgl_fnl_mtrty</v>
      </c>
      <c r="B714" s="67" t="s">
        <v>26</v>
      </c>
      <c r="C714" s="68" t="s">
        <v>26</v>
      </c>
      <c r="D714" s="64" t="s">
        <v>40</v>
      </c>
      <c r="E714" s="70" t="s">
        <v>379</v>
      </c>
      <c r="F714" s="71" t="s">
        <v>410</v>
      </c>
      <c r="G714" s="64" t="str">
        <f>INDEX(Auxiliar!$B$16:$B$24,MATCH(Plano_V3!H714,Auxiliar!$C$16:$C$24,0),1)</f>
        <v>1. Concluído</v>
      </c>
      <c r="H714" s="64">
        <f>VLOOKUP(A714,'Aux - pivots1'!$A:$B,2,0)</f>
        <v>1</v>
      </c>
      <c r="I714" s="175">
        <f>SUMIFS(Table1[Estimação (horas)],Table1[Tabela],Plano_V3!E714,Table1[Campo],Plano_V3!F714)</f>
        <v>0.1</v>
      </c>
      <c r="J714" s="175">
        <f t="shared" si="373"/>
        <v>1.2500000000000001E-2</v>
      </c>
      <c r="K714" s="175">
        <f>SUMIFS(Table1[Horas efetivas],Table1[Tabela],Plano_V3!E714,Table1[Campo],Plano_V3!F714)</f>
        <v>0.1</v>
      </c>
      <c r="L714" s="175">
        <f t="shared" si="374"/>
        <v>1.2500000000000001E-2</v>
      </c>
      <c r="M714" s="177"/>
      <c r="N714" s="177">
        <f t="shared" si="375"/>
        <v>1</v>
      </c>
      <c r="O714" s="177"/>
      <c r="P714" s="89" t="s">
        <v>399</v>
      </c>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c r="A715" s="29" t="str">
        <f t="shared" si="352"/>
        <v>lt002_instrumentaccmltd_imprmnt_instrmnt</v>
      </c>
      <c r="B715" s="67" t="s">
        <v>26</v>
      </c>
      <c r="C715" s="68" t="s">
        <v>26</v>
      </c>
      <c r="D715" s="64" t="s">
        <v>40</v>
      </c>
      <c r="E715" s="70" t="s">
        <v>379</v>
      </c>
      <c r="F715" s="71" t="s">
        <v>411</v>
      </c>
      <c r="G715" s="64" t="str">
        <f>INDEX(Auxiliar!$B$16:$B$24,MATCH(Plano_V3!H715,Auxiliar!$C$16:$C$24,0),1)</f>
        <v>1. Concluído</v>
      </c>
      <c r="H715" s="64">
        <f>VLOOKUP(A715,'Aux - pivots1'!$A:$B,2,0)</f>
        <v>1</v>
      </c>
      <c r="I715" s="175">
        <f>SUMIFS(Table1[Estimação (horas)],Table1[Tabela],Plano_V3!E715,Table1[Campo],Plano_V3!F715)</f>
        <v>0.1</v>
      </c>
      <c r="J715" s="175">
        <f t="shared" si="373"/>
        <v>1.2500000000000001E-2</v>
      </c>
      <c r="K715" s="175">
        <f>SUMIFS(Table1[Horas efetivas],Table1[Tabela],Plano_V3!E715,Table1[Campo],Plano_V3!F715)</f>
        <v>0.1</v>
      </c>
      <c r="L715" s="175">
        <f t="shared" si="374"/>
        <v>1.2500000000000001E-2</v>
      </c>
      <c r="M715" s="177"/>
      <c r="N715" s="177">
        <f t="shared" si="375"/>
        <v>1</v>
      </c>
      <c r="O715" s="177"/>
      <c r="P715" s="89" t="s">
        <v>399</v>
      </c>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c r="A716" s="29" t="str">
        <f t="shared" si="352"/>
        <v>lt002_instrumentissr_cntry</v>
      </c>
      <c r="B716" s="67" t="s">
        <v>26</v>
      </c>
      <c r="C716" s="68" t="s">
        <v>26</v>
      </c>
      <c r="D716" s="64" t="s">
        <v>40</v>
      </c>
      <c r="E716" s="70" t="s">
        <v>379</v>
      </c>
      <c r="F716" s="71" t="s">
        <v>412</v>
      </c>
      <c r="G716" s="64" t="str">
        <f>INDEX(Auxiliar!$B$16:$B$24,MATCH(Plano_V3!H716,Auxiliar!$C$16:$C$24,0),1)</f>
        <v>1. Concluído</v>
      </c>
      <c r="H716" s="64">
        <f>VLOOKUP(A716,'Aux - pivots1'!$A:$B,2,0)</f>
        <v>1</v>
      </c>
      <c r="I716" s="175">
        <f>SUMIFS(Table1[Estimação (horas)],Table1[Tabela],Plano_V3!E716,Table1[Campo],Plano_V3!F716)</f>
        <v>0.1</v>
      </c>
      <c r="J716" s="175">
        <f t="shared" si="373"/>
        <v>1.2500000000000001E-2</v>
      </c>
      <c r="K716" s="175">
        <f>SUMIFS(Table1[Horas efetivas],Table1[Tabela],Plano_V3!E716,Table1[Campo],Plano_V3!F716)</f>
        <v>0.1</v>
      </c>
      <c r="L716" s="175">
        <f t="shared" si="374"/>
        <v>1.2500000000000001E-2</v>
      </c>
      <c r="M716" s="177"/>
      <c r="N716" s="177">
        <f t="shared" si="375"/>
        <v>1</v>
      </c>
      <c r="O716" s="177"/>
      <c r="P716" s="89" t="s">
        <v>399</v>
      </c>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c r="A717" s="29" t="str">
        <f t="shared" si="352"/>
        <v>lt002_instrumentissr_nace_sctr</v>
      </c>
      <c r="B717" s="67" t="s">
        <v>26</v>
      </c>
      <c r="C717" s="68" t="s">
        <v>26</v>
      </c>
      <c r="D717" s="64" t="s">
        <v>40</v>
      </c>
      <c r="E717" s="70" t="s">
        <v>379</v>
      </c>
      <c r="F717" s="71" t="s">
        <v>413</v>
      </c>
      <c r="G717" s="64" t="str">
        <f>INDEX(Auxiliar!$B$16:$B$24,MATCH(Plano_V3!H717,Auxiliar!$C$16:$C$24,0),1)</f>
        <v>1. Concluído</v>
      </c>
      <c r="H717" s="64">
        <f>VLOOKUP(A717,'Aux - pivots1'!$A:$B,2,0)</f>
        <v>1</v>
      </c>
      <c r="I717" s="175">
        <f>SUMIFS(Table1[Estimação (horas)],Table1[Tabela],Plano_V3!E717,Table1[Campo],Plano_V3!F717)</f>
        <v>0.1</v>
      </c>
      <c r="J717" s="175">
        <f t="shared" si="373"/>
        <v>1.2500000000000001E-2</v>
      </c>
      <c r="K717" s="175">
        <f>SUMIFS(Table1[Horas efetivas],Table1[Tabela],Plano_V3!E717,Table1[Campo],Plano_V3!F717)</f>
        <v>0.1</v>
      </c>
      <c r="L717" s="175">
        <f t="shared" si="374"/>
        <v>1.2500000000000001E-2</v>
      </c>
      <c r="M717" s="177"/>
      <c r="N717" s="177">
        <f t="shared" si="375"/>
        <v>1</v>
      </c>
      <c r="O717" s="177"/>
      <c r="P717" s="89" t="s">
        <v>399</v>
      </c>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c r="A718" s="29" t="str">
        <f t="shared" si="352"/>
        <v>lt002_instrumentprmry_asst_clssf</v>
      </c>
      <c r="B718" s="67" t="s">
        <v>26</v>
      </c>
      <c r="C718" s="68" t="s">
        <v>26</v>
      </c>
      <c r="D718" s="64" t="s">
        <v>40</v>
      </c>
      <c r="E718" s="70" t="s">
        <v>379</v>
      </c>
      <c r="F718" s="71" t="s">
        <v>414</v>
      </c>
      <c r="G718" s="64" t="str">
        <f>INDEX(Auxiliar!$B$16:$B$24,MATCH(Plano_V3!H718,Auxiliar!$C$16:$C$24,0),1)</f>
        <v>1. Concluído</v>
      </c>
      <c r="H718" s="64">
        <f>VLOOKUP(A718,'Aux - pivots1'!$A:$B,2,0)</f>
        <v>1</v>
      </c>
      <c r="I718" s="175">
        <f>SUMIFS(Table1[Estimação (horas)],Table1[Tabela],Plano_V3!E718,Table1[Campo],Plano_V3!F718)</f>
        <v>0.1</v>
      </c>
      <c r="J718" s="175">
        <f t="shared" si="373"/>
        <v>1.2500000000000001E-2</v>
      </c>
      <c r="K718" s="175">
        <f>SUMIFS(Table1[Horas efetivas],Table1[Tabela],Plano_V3!E718,Table1[Campo],Plano_V3!F718)</f>
        <v>0.1</v>
      </c>
      <c r="L718" s="175">
        <f t="shared" si="374"/>
        <v>1.2500000000000001E-2</v>
      </c>
      <c r="M718" s="177"/>
      <c r="N718" s="177">
        <f t="shared" si="375"/>
        <v>1</v>
      </c>
      <c r="O718" s="177"/>
      <c r="P718" s="89" t="s">
        <v>399</v>
      </c>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c r="A719" s="29" t="str">
        <f t="shared" si="352"/>
        <v>lt002_instrumentsubportfolio_id</v>
      </c>
      <c r="B719" s="67" t="s">
        <v>26</v>
      </c>
      <c r="C719" s="68" t="s">
        <v>26</v>
      </c>
      <c r="D719" s="64" t="s">
        <v>40</v>
      </c>
      <c r="E719" s="70" t="s">
        <v>379</v>
      </c>
      <c r="F719" s="71" t="s">
        <v>415</v>
      </c>
      <c r="G719" s="64" t="str">
        <f>INDEX(Auxiliar!$B$16:$B$24,MATCH(Plano_V3!H719,Auxiliar!$C$16:$C$24,0),1)</f>
        <v>1. Concluído</v>
      </c>
      <c r="H719" s="64">
        <f>VLOOKUP(A719,'Aux - pivots1'!$A:$B,2,0)</f>
        <v>1</v>
      </c>
      <c r="I719" s="175">
        <f>SUMIFS(Table1[Estimação (horas)],Table1[Tabela],Plano_V3!E719,Table1[Campo],Plano_V3!F719)</f>
        <v>0.1</v>
      </c>
      <c r="J719" s="175">
        <f t="shared" si="373"/>
        <v>1.2500000000000001E-2</v>
      </c>
      <c r="K719" s="175">
        <f>SUMIFS(Table1[Horas efetivas],Table1[Tabela],Plano_V3!E719,Table1[Campo],Plano_V3!F719)</f>
        <v>0.1</v>
      </c>
      <c r="L719" s="175">
        <f t="shared" si="374"/>
        <v>1.2500000000000001E-2</v>
      </c>
      <c r="M719" s="177"/>
      <c r="N719" s="177">
        <f t="shared" si="375"/>
        <v>1</v>
      </c>
      <c r="O719" s="177"/>
      <c r="P719" s="89" t="s">
        <v>399</v>
      </c>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c r="A720" s="29" t="str">
        <f t="shared" ref="A720:A769" si="376">E720&amp;F720</f>
        <v>lt002_instrumentcod_soc</v>
      </c>
      <c r="B720" s="67" t="s">
        <v>26</v>
      </c>
      <c r="C720" s="68" t="s">
        <v>26</v>
      </c>
      <c r="D720" s="64" t="s">
        <v>40</v>
      </c>
      <c r="E720" s="70" t="s">
        <v>379</v>
      </c>
      <c r="F720" s="71" t="s">
        <v>416</v>
      </c>
      <c r="G720" s="64" t="str">
        <f>INDEX(Auxiliar!$B$16:$B$24,MATCH(Plano_V3!H720,Auxiliar!$C$16:$C$24,0),1)</f>
        <v>1. Concluído</v>
      </c>
      <c r="H720" s="64">
        <f>VLOOKUP(A720,'Aux - pivots1'!$A:$B,2,0)</f>
        <v>1</v>
      </c>
      <c r="I720" s="175">
        <f>SUMIFS(Table1[Estimação (horas)],Table1[Tabela],Plano_V3!E720,Table1[Campo],Plano_V3!F720)</f>
        <v>0.1</v>
      </c>
      <c r="J720" s="175">
        <f t="shared" si="373"/>
        <v>1.2500000000000001E-2</v>
      </c>
      <c r="K720" s="175">
        <f>SUMIFS(Table1[Horas efetivas],Table1[Tabela],Plano_V3!E720,Table1[Campo],Plano_V3!F720)</f>
        <v>0.1</v>
      </c>
      <c r="L720" s="175">
        <f t="shared" si="374"/>
        <v>1.2500000000000001E-2</v>
      </c>
      <c r="M720" s="177"/>
      <c r="N720" s="177">
        <f t="shared" si="375"/>
        <v>1</v>
      </c>
      <c r="O720" s="177"/>
      <c r="P720" s="89" t="s">
        <v>399</v>
      </c>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c r="A721" s="29" t="str">
        <f t="shared" si="376"/>
        <v>lt002_instrumentlcl_instmrnt_id</v>
      </c>
      <c r="B721" s="67" t="s">
        <v>26</v>
      </c>
      <c r="C721" s="68" t="s">
        <v>26</v>
      </c>
      <c r="D721" s="64" t="s">
        <v>40</v>
      </c>
      <c r="E721" s="70" t="s">
        <v>379</v>
      </c>
      <c r="F721" s="71" t="s">
        <v>417</v>
      </c>
      <c r="G721" s="64" t="str">
        <f>INDEX(Auxiliar!$B$16:$B$24,MATCH(Plano_V3!H721,Auxiliar!$C$16:$C$24,0),1)</f>
        <v>1. Concluído</v>
      </c>
      <c r="H721" s="64">
        <f>VLOOKUP(A721,'Aux - pivots1'!$A:$B,2,0)</f>
        <v>1</v>
      </c>
      <c r="I721" s="175">
        <f>SUMIFS(Table1[Estimação (horas)],Table1[Tabela],Plano_V3!E721,Table1[Campo],Plano_V3!F721)</f>
        <v>0.1</v>
      </c>
      <c r="J721" s="175">
        <f t="shared" si="373"/>
        <v>1.2500000000000001E-2</v>
      </c>
      <c r="K721" s="175">
        <f>SUMIFS(Table1[Horas efetivas],Table1[Tabela],Plano_V3!E721,Table1[Campo],Plano_V3!F721)</f>
        <v>0.1</v>
      </c>
      <c r="L721" s="175">
        <f t="shared" si="374"/>
        <v>1.2500000000000001E-2</v>
      </c>
      <c r="M721" s="177"/>
      <c r="N721" s="177">
        <f t="shared" si="375"/>
        <v>1</v>
      </c>
      <c r="O721" s="177"/>
      <c r="P721" s="89" t="s">
        <v>399</v>
      </c>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c r="A722" s="29" t="str">
        <f t="shared" si="376"/>
        <v>lt007_instr_activitysstnbl_indctr</v>
      </c>
      <c r="B722" s="67" t="s">
        <v>26</v>
      </c>
      <c r="C722" s="68" t="s">
        <v>26</v>
      </c>
      <c r="D722" s="64" t="s">
        <v>40</v>
      </c>
      <c r="E722" s="70" t="s">
        <v>1865</v>
      </c>
      <c r="F722" s="71" t="s">
        <v>418</v>
      </c>
      <c r="G722" s="64" t="str">
        <f>INDEX(Auxiliar!$B$16:$B$24,MATCH(Plano_V3!H722,Auxiliar!$C$16:$C$24,0),1)</f>
        <v>4. Validação EF</v>
      </c>
      <c r="H722" s="64">
        <f>VLOOKUP(A722,'Aux - pivots1'!$A:$B,2,0)</f>
        <v>5</v>
      </c>
      <c r="I722" s="175">
        <f>SUMIFS(Table1[Estimação (horas)],Table1[Tabela],Plano_V3!E722,Table1[Campo],Plano_V3!F722)</f>
        <v>0.1</v>
      </c>
      <c r="J722" s="175">
        <f t="shared" si="373"/>
        <v>1.2500000000000001E-2</v>
      </c>
      <c r="K722" s="175">
        <f>SUMIFS(Table1[Horas efetivas],Table1[Tabela],Plano_V3!E722,Table1[Campo],Plano_V3!F722)</f>
        <v>2.5000000000000001E-2</v>
      </c>
      <c r="L722" s="175">
        <f t="shared" si="374"/>
        <v>3.1250000000000002E-3</v>
      </c>
      <c r="M722" s="177"/>
      <c r="N722" s="177">
        <f t="shared" si="375"/>
        <v>0.25</v>
      </c>
      <c r="O722" s="177"/>
      <c r="P722" s="89" t="s">
        <v>31</v>
      </c>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c r="A723" s="29" t="str">
        <f t="shared" si="376"/>
        <v>lt007_instr_activitysstnbl_ctgry</v>
      </c>
      <c r="B723" s="67" t="s">
        <v>26</v>
      </c>
      <c r="C723" s="68" t="s">
        <v>26</v>
      </c>
      <c r="D723" s="64" t="s">
        <v>40</v>
      </c>
      <c r="E723" s="70" t="s">
        <v>1865</v>
      </c>
      <c r="F723" s="71" t="s">
        <v>419</v>
      </c>
      <c r="G723" s="64" t="str">
        <f>INDEX(Auxiliar!$B$16:$B$24,MATCH(Plano_V3!H723,Auxiliar!$C$16:$C$24,0),1)</f>
        <v xml:space="preserve">6. Em implementação </v>
      </c>
      <c r="H723" s="64">
        <f>VLOOKUP(A723,'Aux - pivots1'!$A:$B,2,0)</f>
        <v>7</v>
      </c>
      <c r="I723" s="175">
        <f>SUMIFS(Table1[Estimação (horas)],Table1[Tabela],Plano_V3!E723,Table1[Campo],Plano_V3!F723)</f>
        <v>0.1</v>
      </c>
      <c r="J723" s="175">
        <f t="shared" si="373"/>
        <v>1.2500000000000001E-2</v>
      </c>
      <c r="K723" s="175">
        <f>SUMIFS(Table1[Horas efetivas],Table1[Tabela],Plano_V3!E723,Table1[Campo],Plano_V3!F723)</f>
        <v>2.5000000000000001E-2</v>
      </c>
      <c r="L723" s="175">
        <f t="shared" si="374"/>
        <v>3.1250000000000002E-3</v>
      </c>
      <c r="M723" s="177"/>
      <c r="N723" s="177">
        <f t="shared" si="375"/>
        <v>0.25</v>
      </c>
      <c r="O723" s="177"/>
      <c r="P723" s="89"/>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c r="A724" s="29" t="str">
        <f t="shared" ref="A724:A730" si="377">E724&amp;F724</f>
        <v>lt007_instr_activityCOD_SOC</v>
      </c>
      <c r="B724" s="67" t="s">
        <v>26</v>
      </c>
      <c r="C724" s="68" t="s">
        <v>26</v>
      </c>
      <c r="D724" s="64" t="s">
        <v>40</v>
      </c>
      <c r="E724" s="70" t="s">
        <v>1865</v>
      </c>
      <c r="F724" s="357" t="s">
        <v>1298</v>
      </c>
      <c r="G724" s="64" t="str">
        <f>INDEX(Auxiliar!$B$16:$B$24,MATCH(Plano_V3!H724,Auxiliar!$C$16:$C$24,0),1)</f>
        <v xml:space="preserve">6. Em implementação </v>
      </c>
      <c r="H724" s="64">
        <f>VLOOKUP(A724,'Aux - pivots1'!$A:$B,2,0)</f>
        <v>7</v>
      </c>
      <c r="I724" s="175" t="e">
        <f>SUMIFS(Table1[Estimação (horas)],Table1[Tabela],Plano_V3!E724,Table1[Campo],Plano_V3!F724)</f>
        <v>#N/A</v>
      </c>
      <c r="J724" s="175" t="e">
        <f t="shared" ref="J724:J730" si="378">I724/8</f>
        <v>#N/A</v>
      </c>
      <c r="K724" s="175" t="e">
        <f>SUMIFS(Table1[Horas efetivas],Table1[Tabela],Plano_V3!E724,Table1[Campo],Plano_V3!F724)</f>
        <v>#N/A</v>
      </c>
      <c r="L724" s="175" t="e">
        <f t="shared" ref="L724:L730" si="379">K724/8</f>
        <v>#N/A</v>
      </c>
      <c r="M724" s="177"/>
      <c r="N724" s="177" t="e">
        <f t="shared" ref="N724:N730" si="380">L724/J724</f>
        <v>#N/A</v>
      </c>
      <c r="O724" s="177"/>
      <c r="P724" s="89"/>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c r="A725" s="29" t="str">
        <f t="shared" si="377"/>
        <v>lt007_instr_activityDT_RFRNC</v>
      </c>
      <c r="B725" s="67" t="s">
        <v>26</v>
      </c>
      <c r="C725" s="68" t="s">
        <v>26</v>
      </c>
      <c r="D725" s="64" t="s">
        <v>40</v>
      </c>
      <c r="E725" s="70" t="s">
        <v>1865</v>
      </c>
      <c r="F725" s="357" t="s">
        <v>1303</v>
      </c>
      <c r="G725" s="64" t="str">
        <f>INDEX(Auxiliar!$B$16:$B$24,MATCH(Plano_V3!H725,Auxiliar!$C$16:$C$24,0),1)</f>
        <v xml:space="preserve">6. Em implementação </v>
      </c>
      <c r="H725" s="64">
        <f>VLOOKUP(A725,'Aux - pivots1'!$A:$B,2,0)</f>
        <v>7</v>
      </c>
      <c r="I725" s="175" t="e">
        <f>SUMIFS(Table1[Estimação (horas)],Table1[Tabela],Plano_V3!E725,Table1[Campo],Plano_V3!F725)</f>
        <v>#N/A</v>
      </c>
      <c r="J725" s="175" t="e">
        <f t="shared" si="378"/>
        <v>#N/A</v>
      </c>
      <c r="K725" s="175" t="e">
        <f>SUMIFS(Table1[Horas efetivas],Table1[Tabela],Plano_V3!E725,Table1[Campo],Plano_V3!F725)</f>
        <v>#N/A</v>
      </c>
      <c r="L725" s="175" t="e">
        <f t="shared" si="379"/>
        <v>#N/A</v>
      </c>
      <c r="M725" s="177"/>
      <c r="N725" s="177" t="e">
        <f t="shared" si="380"/>
        <v>#N/A</v>
      </c>
      <c r="O725" s="177"/>
      <c r="P725" s="89"/>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c r="A726" s="29" t="str">
        <f t="shared" si="377"/>
        <v>lt007_instr_activityINSTRMNT_ID</v>
      </c>
      <c r="B726" s="67" t="s">
        <v>26</v>
      </c>
      <c r="C726" s="68" t="s">
        <v>26</v>
      </c>
      <c r="D726" s="64" t="s">
        <v>40</v>
      </c>
      <c r="E726" s="70" t="s">
        <v>1865</v>
      </c>
      <c r="F726" s="357" t="s">
        <v>1312</v>
      </c>
      <c r="G726" s="64" t="str">
        <f>INDEX(Auxiliar!$B$16:$B$24,MATCH(Plano_V3!H726,Auxiliar!$C$16:$C$24,0),1)</f>
        <v xml:space="preserve">6. Em implementação </v>
      </c>
      <c r="H726" s="64">
        <f>VLOOKUP(A726,'Aux - pivots1'!$A:$B,2,0)</f>
        <v>7</v>
      </c>
      <c r="I726" s="175" t="e">
        <f>SUMIFS(Table1[Estimação (horas)],Table1[Tabela],Plano_V3!E726,Table1[Campo],Plano_V3!F726)</f>
        <v>#N/A</v>
      </c>
      <c r="J726" s="175" t="e">
        <f t="shared" si="378"/>
        <v>#N/A</v>
      </c>
      <c r="K726" s="175" t="e">
        <f>SUMIFS(Table1[Horas efetivas],Table1[Tabela],Plano_V3!E726,Table1[Campo],Plano_V3!F726)</f>
        <v>#N/A</v>
      </c>
      <c r="L726" s="175" t="e">
        <f t="shared" si="379"/>
        <v>#N/A</v>
      </c>
      <c r="M726" s="177"/>
      <c r="N726" s="177" t="e">
        <f t="shared" si="380"/>
        <v>#N/A</v>
      </c>
      <c r="O726" s="177"/>
      <c r="P726" s="89"/>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c r="A727" s="29" t="str">
        <f t="shared" si="377"/>
        <v>lt007_instr_activityPRCNTG_ACTVTY</v>
      </c>
      <c r="B727" s="67" t="s">
        <v>26</v>
      </c>
      <c r="C727" s="68" t="s">
        <v>26</v>
      </c>
      <c r="D727" s="64" t="s">
        <v>40</v>
      </c>
      <c r="E727" s="70" t="s">
        <v>1865</v>
      </c>
      <c r="F727" s="357" t="s">
        <v>2297</v>
      </c>
      <c r="G727" s="64" t="str">
        <f>INDEX(Auxiliar!$B$16:$B$24,MATCH(Plano_V3!H727,Auxiliar!$C$16:$C$24,0),1)</f>
        <v xml:space="preserve">6. Em implementação </v>
      </c>
      <c r="H727" s="64">
        <f>VLOOKUP(A727,'Aux - pivots1'!$A:$B,2,0)</f>
        <v>7</v>
      </c>
      <c r="I727" s="175" t="e">
        <f>SUMIFS(Table1[Estimação (horas)],Table1[Tabela],Plano_V3!E727,Table1[Campo],Plano_V3!F727)</f>
        <v>#N/A</v>
      </c>
      <c r="J727" s="175" t="e">
        <f t="shared" si="378"/>
        <v>#N/A</v>
      </c>
      <c r="K727" s="175" t="e">
        <f>SUMIFS(Table1[Horas efetivas],Table1[Tabela],Plano_V3!E727,Table1[Campo],Plano_V3!F727)</f>
        <v>#N/A</v>
      </c>
      <c r="L727" s="175" t="e">
        <f t="shared" si="379"/>
        <v>#N/A</v>
      </c>
      <c r="M727" s="177"/>
      <c r="N727" s="177" t="e">
        <f t="shared" si="380"/>
        <v>#N/A</v>
      </c>
      <c r="O727" s="177"/>
      <c r="P727" s="89"/>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c r="A728" s="29" t="str">
        <f t="shared" si="377"/>
        <v>lt007_instr_activityFLG_SBSTNTL_CNTRBTN</v>
      </c>
      <c r="B728" s="67" t="s">
        <v>26</v>
      </c>
      <c r="C728" s="68" t="s">
        <v>26</v>
      </c>
      <c r="D728" s="64" t="s">
        <v>40</v>
      </c>
      <c r="E728" s="70" t="s">
        <v>1865</v>
      </c>
      <c r="F728" s="357" t="s">
        <v>2298</v>
      </c>
      <c r="G728" s="64" t="str">
        <f>INDEX(Auxiliar!$B$16:$B$24,MATCH(Plano_V3!H728,Auxiliar!$C$16:$C$24,0),1)</f>
        <v xml:space="preserve">6. Em implementação </v>
      </c>
      <c r="H728" s="64">
        <f>VLOOKUP(A728,'Aux - pivots1'!$A:$B,2,0)</f>
        <v>7</v>
      </c>
      <c r="I728" s="175" t="e">
        <f>SUMIFS(Table1[Estimação (horas)],Table1[Tabela],Plano_V3!E728,Table1[Campo],Plano_V3!F728)</f>
        <v>#N/A</v>
      </c>
      <c r="J728" s="175" t="e">
        <f t="shared" si="378"/>
        <v>#N/A</v>
      </c>
      <c r="K728" s="175" t="e">
        <f>SUMIFS(Table1[Horas efetivas],Table1[Tabela],Plano_V3!E728,Table1[Campo],Plano_V3!F728)</f>
        <v>#N/A</v>
      </c>
      <c r="L728" s="175" t="e">
        <f t="shared" si="379"/>
        <v>#N/A</v>
      </c>
      <c r="M728" s="177"/>
      <c r="N728" s="177" t="e">
        <f t="shared" si="380"/>
        <v>#N/A</v>
      </c>
      <c r="O728" s="177"/>
      <c r="P728" s="89"/>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c r="A729" s="29" t="str">
        <f t="shared" si="377"/>
        <v>lt007_instr_activityFLG_DNSH_CMPLNC</v>
      </c>
      <c r="B729" s="67" t="s">
        <v>26</v>
      </c>
      <c r="C729" s="68" t="s">
        <v>26</v>
      </c>
      <c r="D729" s="64" t="s">
        <v>40</v>
      </c>
      <c r="E729" s="70" t="s">
        <v>1865</v>
      </c>
      <c r="F729" s="357" t="s">
        <v>2299</v>
      </c>
      <c r="G729" s="64" t="str">
        <f>INDEX(Auxiliar!$B$16:$B$24,MATCH(Plano_V3!H729,Auxiliar!$C$16:$C$24,0),1)</f>
        <v xml:space="preserve">6. Em implementação </v>
      </c>
      <c r="H729" s="64">
        <f>VLOOKUP(A729,'Aux - pivots1'!$A:$B,2,0)</f>
        <v>7</v>
      </c>
      <c r="I729" s="175" t="e">
        <f>SUMIFS(Table1[Estimação (horas)],Table1[Tabela],Plano_V3!E729,Table1[Campo],Plano_V3!F729)</f>
        <v>#N/A</v>
      </c>
      <c r="J729" s="175" t="e">
        <f t="shared" si="378"/>
        <v>#N/A</v>
      </c>
      <c r="K729" s="175" t="e">
        <f>SUMIFS(Table1[Horas efetivas],Table1[Tabela],Plano_V3!E729,Table1[Campo],Plano_V3!F729)</f>
        <v>#N/A</v>
      </c>
      <c r="L729" s="175" t="e">
        <f t="shared" si="379"/>
        <v>#N/A</v>
      </c>
      <c r="M729" s="177"/>
      <c r="N729" s="177" t="e">
        <f t="shared" si="380"/>
        <v>#N/A</v>
      </c>
      <c r="O729" s="177"/>
      <c r="P729" s="89"/>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c r="A730" s="29" t="str">
        <f t="shared" si="377"/>
        <v>lt007_instr_activityDNSH_DTL</v>
      </c>
      <c r="B730" s="67" t="s">
        <v>26</v>
      </c>
      <c r="C730" s="68" t="s">
        <v>26</v>
      </c>
      <c r="D730" s="64" t="s">
        <v>40</v>
      </c>
      <c r="E730" s="70" t="s">
        <v>1865</v>
      </c>
      <c r="F730" s="357" t="s">
        <v>2300</v>
      </c>
      <c r="G730" s="64" t="str">
        <f>INDEX(Auxiliar!$B$16:$B$24,MATCH(Plano_V3!H730,Auxiliar!$C$16:$C$24,0),1)</f>
        <v xml:space="preserve">6. Em implementação </v>
      </c>
      <c r="H730" s="64">
        <f>VLOOKUP(A730,'Aux - pivots1'!$A:$B,2,0)</f>
        <v>7</v>
      </c>
      <c r="I730" s="175" t="e">
        <f>SUMIFS(Table1[Estimação (horas)],Table1[Tabela],Plano_V3!E730,Table1[Campo],Plano_V3!F730)</f>
        <v>#N/A</v>
      </c>
      <c r="J730" s="175" t="e">
        <f t="shared" si="378"/>
        <v>#N/A</v>
      </c>
      <c r="K730" s="175" t="e">
        <f>SUMIFS(Table1[Horas efetivas],Table1[Tabela],Plano_V3!E730,Table1[Campo],Plano_V3!F730)</f>
        <v>#N/A</v>
      </c>
      <c r="L730" s="175" t="e">
        <f t="shared" si="379"/>
        <v>#N/A</v>
      </c>
      <c r="M730" s="177"/>
      <c r="N730" s="177" t="e">
        <f t="shared" si="380"/>
        <v>#N/A</v>
      </c>
      <c r="O730" s="177"/>
      <c r="P730" s="89"/>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c r="A731" s="29" t="str">
        <f t="shared" si="376"/>
        <v>lt002_instrumentgrss_intrst_incm</v>
      </c>
      <c r="B731" s="67" t="s">
        <v>26</v>
      </c>
      <c r="C731" s="68" t="s">
        <v>26</v>
      </c>
      <c r="D731" s="64" t="s">
        <v>40</v>
      </c>
      <c r="E731" s="70" t="s">
        <v>379</v>
      </c>
      <c r="F731" s="71" t="s">
        <v>420</v>
      </c>
      <c r="G731" s="64" t="str">
        <f>INDEX(Auxiliar!$B$16:$B$24,MATCH(Plano_V3!H731,Auxiliar!$C$16:$C$24,0),1)</f>
        <v>2.2 Em especificação</v>
      </c>
      <c r="H731" s="64">
        <f>VLOOKUP(A731,'Aux - pivots1'!$A:$B,2,0)</f>
        <v>3</v>
      </c>
      <c r="I731" s="175">
        <f>SUMIFS(Table1[Estimação (horas)],Table1[Tabela],Plano_V3!E731,Table1[Campo],Plano_V3!F731)</f>
        <v>0.1</v>
      </c>
      <c r="J731" s="175">
        <f t="shared" si="373"/>
        <v>1.2500000000000001E-2</v>
      </c>
      <c r="K731" s="175">
        <f>SUMIFS(Table1[Horas efetivas],Table1[Tabela],Plano_V3!E731,Table1[Campo],Plano_V3!F731)</f>
        <v>0.05</v>
      </c>
      <c r="L731" s="175">
        <f t="shared" si="374"/>
        <v>6.2500000000000003E-3</v>
      </c>
      <c r="M731" s="177"/>
      <c r="N731" s="177">
        <f t="shared" si="375"/>
        <v>0.5</v>
      </c>
      <c r="O731" s="177"/>
      <c r="P731" s="89" t="s">
        <v>31</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c r="A732" s="29" t="str">
        <f t="shared" si="376"/>
        <v>lt002_instrumentgrss_cmmssn_incm</v>
      </c>
      <c r="B732" s="67" t="s">
        <v>26</v>
      </c>
      <c r="C732" s="68" t="s">
        <v>26</v>
      </c>
      <c r="D732" s="64" t="s">
        <v>40</v>
      </c>
      <c r="E732" s="70" t="s">
        <v>379</v>
      </c>
      <c r="F732" s="71" t="s">
        <v>421</v>
      </c>
      <c r="G732" s="64" t="str">
        <f>INDEX(Auxiliar!$B$16:$B$24,MATCH(Plano_V3!H732,Auxiliar!$C$16:$C$24,0),1)</f>
        <v>2.2 Em especificação</v>
      </c>
      <c r="H732" s="64">
        <f>VLOOKUP(A732,'Aux - pivots1'!$A:$B,2,0)</f>
        <v>3</v>
      </c>
      <c r="I732" s="175">
        <f>SUMIFS(Table1[Estimação (horas)],Table1[Tabela],Plano_V3!E732,Table1[Campo],Plano_V3!F732)</f>
        <v>0.1</v>
      </c>
      <c r="J732" s="175">
        <f t="shared" si="373"/>
        <v>1.2500000000000001E-2</v>
      </c>
      <c r="K732" s="175">
        <f>SUMIFS(Table1[Horas efetivas],Table1[Tabela],Plano_V3!E732,Table1[Campo],Plano_V3!F732)</f>
        <v>0.05</v>
      </c>
      <c r="L732" s="175">
        <f t="shared" si="374"/>
        <v>6.2500000000000003E-3</v>
      </c>
      <c r="M732" s="177"/>
      <c r="N732" s="177">
        <f t="shared" si="375"/>
        <v>0.5</v>
      </c>
      <c r="O732" s="177"/>
      <c r="P732" s="89" t="s">
        <v>31</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c r="A733" s="29" t="str">
        <f t="shared" si="376"/>
        <v>lt002_instrumentgrss_cmmssn_incm_off_blnc</v>
      </c>
      <c r="B733" s="67" t="s">
        <v>26</v>
      </c>
      <c r="C733" s="68" t="s">
        <v>26</v>
      </c>
      <c r="D733" s="64" t="s">
        <v>40</v>
      </c>
      <c r="E733" s="70" t="s">
        <v>379</v>
      </c>
      <c r="F733" s="71" t="s">
        <v>422</v>
      </c>
      <c r="G733" s="64" t="str">
        <f>INDEX(Auxiliar!$B$16:$B$24,MATCH(Plano_V3!H733,Auxiliar!$C$16:$C$24,0),1)</f>
        <v>2.2 Em especificação</v>
      </c>
      <c r="H733" s="64">
        <f>VLOOKUP(A733,'Aux - pivots1'!$A:$B,2,0)</f>
        <v>3</v>
      </c>
      <c r="I733" s="175">
        <f>SUMIFS(Table1[Estimação (horas)],Table1[Tabela],Plano_V3!E733,Table1[Campo],Plano_V3!F733)</f>
        <v>0.1</v>
      </c>
      <c r="J733" s="175">
        <f t="shared" si="373"/>
        <v>1.2500000000000001E-2</v>
      </c>
      <c r="K733" s="175">
        <f>SUMIFS(Table1[Horas efetivas],Table1[Tabela],Plano_V3!E733,Table1[Campo],Plano_V3!F733)</f>
        <v>0.05</v>
      </c>
      <c r="L733" s="175">
        <f t="shared" si="374"/>
        <v>6.2500000000000003E-3</v>
      </c>
      <c r="M733" s="177"/>
      <c r="N733" s="177">
        <f t="shared" si="375"/>
        <v>0.5</v>
      </c>
      <c r="O733" s="177"/>
      <c r="P733" s="89" t="s">
        <v>31</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c r="A734" s="29" t="str">
        <f t="shared" si="376"/>
        <v>lt002_instrumentidcmb</v>
      </c>
      <c r="B734" s="67" t="s">
        <v>26</v>
      </c>
      <c r="C734" s="68" t="s">
        <v>26</v>
      </c>
      <c r="D734" s="64" t="s">
        <v>40</v>
      </c>
      <c r="E734" s="70" t="s">
        <v>379</v>
      </c>
      <c r="F734" s="71" t="s">
        <v>423</v>
      </c>
      <c r="G734" s="64" t="str">
        <f>INDEX(Auxiliar!$B$16:$B$24,MATCH(Plano_V3!H734,Auxiliar!$C$16:$C$24,0),1)</f>
        <v>1. Concluído</v>
      </c>
      <c r="H734" s="64">
        <f>VLOOKUP(A734,'Aux - pivots1'!$A:$B,2,0)</f>
        <v>1</v>
      </c>
      <c r="I734" s="175">
        <f>SUMIFS(Table1[Estimação (horas)],Table1[Tabela],Plano_V3!E734,Table1[Campo],Plano_V3!F734)</f>
        <v>0.1</v>
      </c>
      <c r="J734" s="175">
        <f t="shared" si="373"/>
        <v>1.2500000000000001E-2</v>
      </c>
      <c r="K734" s="175">
        <f>SUMIFS(Table1[Horas efetivas],Table1[Tabela],Plano_V3!E734,Table1[Campo],Plano_V3!F734)</f>
        <v>0.1</v>
      </c>
      <c r="L734" s="175">
        <f t="shared" si="374"/>
        <v>1.2500000000000001E-2</v>
      </c>
      <c r="M734" s="177"/>
      <c r="N734" s="177">
        <f t="shared" si="375"/>
        <v>1</v>
      </c>
      <c r="O734" s="177"/>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c r="A735" s="29" t="str">
        <f t="shared" si="376"/>
        <v>lt003_entitycntry</v>
      </c>
      <c r="B735" s="67" t="s">
        <v>26</v>
      </c>
      <c r="C735" s="68" t="s">
        <v>26</v>
      </c>
      <c r="D735" s="64" t="s">
        <v>40</v>
      </c>
      <c r="E735" s="70" t="s">
        <v>335</v>
      </c>
      <c r="F735" s="71" t="s">
        <v>424</v>
      </c>
      <c r="G735" s="64" t="str">
        <f>INDEX(Auxiliar!$B$16:$B$24,MATCH(Plano_V3!H735,Auxiliar!$C$16:$C$24,0),1)</f>
        <v>1. Concluído</v>
      </c>
      <c r="H735" s="64">
        <f>VLOOKUP(A735,'Aux - pivots1'!$A:$B,2,0)</f>
        <v>1</v>
      </c>
      <c r="I735" s="175">
        <f>SUMIFS(Table1[Estimação (horas)],Table1[Tabela],Plano_V3!E735,Table1[Campo],Plano_V3!F735)</f>
        <v>0.1</v>
      </c>
      <c r="J735" s="175">
        <f t="shared" si="373"/>
        <v>1.2500000000000001E-2</v>
      </c>
      <c r="K735" s="175">
        <f>SUMIFS(Table1[Horas efetivas],Table1[Tabela],Plano_V3!E735,Table1[Campo],Plano_V3!F735)</f>
        <v>0.1</v>
      </c>
      <c r="L735" s="175">
        <f t="shared" si="374"/>
        <v>1.2500000000000001E-2</v>
      </c>
      <c r="M735" s="177"/>
      <c r="N735" s="177">
        <f t="shared" si="375"/>
        <v>1</v>
      </c>
      <c r="O735" s="177"/>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c r="A736" s="29" t="str">
        <f t="shared" si="376"/>
        <v>lt003_entitydt_rfrnc</v>
      </c>
      <c r="B736" s="67" t="s">
        <v>26</v>
      </c>
      <c r="C736" s="68" t="s">
        <v>26</v>
      </c>
      <c r="D736" s="64" t="s">
        <v>40</v>
      </c>
      <c r="E736" s="70" t="s">
        <v>335</v>
      </c>
      <c r="F736" s="71" t="s">
        <v>398</v>
      </c>
      <c r="G736" s="64" t="str">
        <f>INDEX(Auxiliar!$B$16:$B$24,MATCH(Plano_V3!H736,Auxiliar!$C$16:$C$24,0),1)</f>
        <v>1. Concluído</v>
      </c>
      <c r="H736" s="64">
        <f>VLOOKUP(A736,'Aux - pivots1'!$A:$B,2,0)</f>
        <v>1</v>
      </c>
      <c r="I736" s="175">
        <f>SUMIFS(Table1[Estimação (horas)],Table1[Tabela],Plano_V3!E736,Table1[Campo],Plano_V3!F736)</f>
        <v>0.1</v>
      </c>
      <c r="J736" s="175">
        <f t="shared" si="373"/>
        <v>1.2500000000000001E-2</v>
      </c>
      <c r="K736" s="175">
        <f>SUMIFS(Table1[Horas efetivas],Table1[Tabela],Plano_V3!E736,Table1[Campo],Plano_V3!F736)</f>
        <v>0.1</v>
      </c>
      <c r="L736" s="175">
        <f t="shared" si="374"/>
        <v>1.2500000000000001E-2</v>
      </c>
      <c r="M736" s="177"/>
      <c r="N736" s="177">
        <f t="shared" si="375"/>
        <v>1</v>
      </c>
      <c r="O736" s="177"/>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c r="A737" s="29" t="str">
        <f t="shared" si="376"/>
        <v>lt003_entityentty_id</v>
      </c>
      <c r="B737" s="67" t="s">
        <v>26</v>
      </c>
      <c r="C737" s="68" t="s">
        <v>26</v>
      </c>
      <c r="D737" s="64" t="s">
        <v>40</v>
      </c>
      <c r="E737" s="70" t="s">
        <v>335</v>
      </c>
      <c r="F737" s="71" t="s">
        <v>425</v>
      </c>
      <c r="G737" s="64" t="str">
        <f>INDEX(Auxiliar!$B$16:$B$24,MATCH(Plano_V3!H737,Auxiliar!$C$16:$C$24,0),1)</f>
        <v>1. Concluído</v>
      </c>
      <c r="H737" s="64">
        <f>VLOOKUP(A737,'Aux - pivots1'!$A:$B,2,0)</f>
        <v>1</v>
      </c>
      <c r="I737" s="175">
        <f>SUMIFS(Table1[Estimação (horas)],Table1[Tabela],Plano_V3!E737,Table1[Campo],Plano_V3!F737)</f>
        <v>0.1</v>
      </c>
      <c r="J737" s="175">
        <f t="shared" si="373"/>
        <v>1.2500000000000001E-2</v>
      </c>
      <c r="K737" s="175">
        <f>SUMIFS(Table1[Horas efetivas],Table1[Tabela],Plano_V3!E737,Table1[Campo],Plano_V3!F737)</f>
        <v>0.1</v>
      </c>
      <c r="L737" s="175">
        <f t="shared" si="374"/>
        <v>1.2500000000000001E-2</v>
      </c>
      <c r="M737" s="177"/>
      <c r="N737" s="177">
        <f t="shared" si="375"/>
        <v>1</v>
      </c>
      <c r="O737" s="177"/>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c r="A738" s="29" t="str">
        <f t="shared" si="376"/>
        <v>lt003_entitylei</v>
      </c>
      <c r="B738" s="67" t="s">
        <v>26</v>
      </c>
      <c r="C738" s="68" t="s">
        <v>26</v>
      </c>
      <c r="D738" s="64" t="s">
        <v>40</v>
      </c>
      <c r="E738" s="70" t="s">
        <v>335</v>
      </c>
      <c r="F738" s="71" t="s">
        <v>426</v>
      </c>
      <c r="G738" s="64" t="str">
        <f>INDEX(Auxiliar!$B$16:$B$24,MATCH(Plano_V3!H738,Auxiliar!$C$16:$C$24,0),1)</f>
        <v>1. Concluído</v>
      </c>
      <c r="H738" s="64">
        <f>VLOOKUP(A738,'Aux - pivots1'!$A:$B,2,0)</f>
        <v>1</v>
      </c>
      <c r="I738" s="175">
        <f>SUMIFS(Table1[Estimação (horas)],Table1[Tabela],Plano_V3!E738,Table1[Campo],Plano_V3!F738)</f>
        <v>0.1</v>
      </c>
      <c r="J738" s="175">
        <f t="shared" si="373"/>
        <v>1.2500000000000001E-2</v>
      </c>
      <c r="K738" s="175">
        <f>SUMIFS(Table1[Horas efetivas],Table1[Tabela],Plano_V3!E738,Table1[Campo],Plano_V3!F738)</f>
        <v>0.1</v>
      </c>
      <c r="L738" s="175">
        <f t="shared" si="374"/>
        <v>1.2500000000000001E-2</v>
      </c>
      <c r="M738" s="177"/>
      <c r="N738" s="177">
        <f t="shared" si="375"/>
        <v>1</v>
      </c>
      <c r="O738" s="177"/>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c r="A739" s="29" t="str">
        <f t="shared" si="376"/>
        <v>lt003_entityecnmc_actvty</v>
      </c>
      <c r="B739" s="67" t="s">
        <v>26</v>
      </c>
      <c r="C739" s="68" t="s">
        <v>26</v>
      </c>
      <c r="D739" s="64" t="s">
        <v>40</v>
      </c>
      <c r="E739" s="70" t="s">
        <v>335</v>
      </c>
      <c r="F739" s="71" t="s">
        <v>427</v>
      </c>
      <c r="G739" s="64" t="str">
        <f>INDEX(Auxiliar!$B$16:$B$24,MATCH(Plano_V3!H739,Auxiliar!$C$16:$C$24,0),1)</f>
        <v>1. Concluído</v>
      </c>
      <c r="H739" s="64">
        <f>VLOOKUP(A739,'Aux - pivots1'!$A:$B,2,0)</f>
        <v>1</v>
      </c>
      <c r="I739" s="175">
        <f>SUMIFS(Table1[Estimação (horas)],Table1[Tabela],Plano_V3!E739,Table1[Campo],Plano_V3!F739)</f>
        <v>0.1</v>
      </c>
      <c r="J739" s="175">
        <f t="shared" si="373"/>
        <v>1.2500000000000001E-2</v>
      </c>
      <c r="K739" s="175">
        <f>SUMIFS(Table1[Horas efetivas],Table1[Tabela],Plano_V3!E739,Table1[Campo],Plano_V3!F739)</f>
        <v>0.1</v>
      </c>
      <c r="L739" s="175">
        <f t="shared" si="374"/>
        <v>1.2500000000000001E-2</v>
      </c>
      <c r="M739" s="177"/>
      <c r="N739" s="177">
        <f t="shared" si="375"/>
        <v>1</v>
      </c>
      <c r="O739" s="177"/>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c r="A740" s="29" t="str">
        <f t="shared" si="376"/>
        <v>lt003_entitygrp_eqty</v>
      </c>
      <c r="B740" s="67" t="s">
        <v>26</v>
      </c>
      <c r="C740" s="68" t="s">
        <v>26</v>
      </c>
      <c r="D740" s="64" t="s">
        <v>40</v>
      </c>
      <c r="E740" s="70" t="s">
        <v>335</v>
      </c>
      <c r="F740" s="71" t="s">
        <v>428</v>
      </c>
      <c r="G740" s="64" t="str">
        <f>INDEX(Auxiliar!$B$16:$B$24,MATCH(Plano_V3!H740,Auxiliar!$C$16:$C$24,0),1)</f>
        <v>1. Concluído</v>
      </c>
      <c r="H740" s="64">
        <f>VLOOKUP(A740,'Aux - pivots1'!$A:$B,2,0)</f>
        <v>1</v>
      </c>
      <c r="I740" s="175">
        <f>SUMIFS(Table1[Estimação (horas)],Table1[Tabela],Plano_V3!E740,Table1[Campo],Plano_V3!F740)</f>
        <v>0.1</v>
      </c>
      <c r="J740" s="175">
        <f t="shared" si="373"/>
        <v>1.2500000000000001E-2</v>
      </c>
      <c r="K740" s="175">
        <f>SUMIFS(Table1[Horas efetivas],Table1[Tabela],Plano_V3!E740,Table1[Campo],Plano_V3!F740)</f>
        <v>0.1</v>
      </c>
      <c r="L740" s="175">
        <f t="shared" si="374"/>
        <v>1.2500000000000001E-2</v>
      </c>
      <c r="M740" s="177"/>
      <c r="N740" s="177">
        <f t="shared" si="375"/>
        <v>1</v>
      </c>
      <c r="O740" s="177"/>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c r="A741" s="29" t="str">
        <f t="shared" si="376"/>
        <v>lt003_entityannl_trnvr_le</v>
      </c>
      <c r="B741" s="67" t="s">
        <v>26</v>
      </c>
      <c r="C741" s="68" t="s">
        <v>26</v>
      </c>
      <c r="D741" s="64" t="s">
        <v>40</v>
      </c>
      <c r="E741" s="70" t="s">
        <v>335</v>
      </c>
      <c r="F741" s="71" t="s">
        <v>429</v>
      </c>
      <c r="G741" s="64" t="str">
        <f>INDEX(Auxiliar!$B$16:$B$24,MATCH(Plano_V3!H741,Auxiliar!$C$16:$C$24,0),1)</f>
        <v>1. Concluído</v>
      </c>
      <c r="H741" s="64">
        <f>VLOOKUP(A741,'Aux - pivots1'!$A:$B,2,0)</f>
        <v>1</v>
      </c>
      <c r="I741" s="175">
        <f>SUMIFS(Table1[Estimação (horas)],Table1[Tabela],Plano_V3!E741,Table1[Campo],Plano_V3!F741)</f>
        <v>0.1</v>
      </c>
      <c r="J741" s="175">
        <f t="shared" si="373"/>
        <v>1.2500000000000001E-2</v>
      </c>
      <c r="K741" s="175">
        <f>SUMIFS(Table1[Horas efetivas],Table1[Tabela],Plano_V3!E741,Table1[Campo],Plano_V3!F741)</f>
        <v>0.1</v>
      </c>
      <c r="L741" s="175">
        <f t="shared" si="374"/>
        <v>1.2500000000000001E-2</v>
      </c>
      <c r="M741" s="177"/>
      <c r="N741" s="177">
        <f t="shared" si="375"/>
        <v>1</v>
      </c>
      <c r="O741" s="177"/>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c r="A742" s="29" t="str">
        <f t="shared" si="376"/>
        <v>lt003_entityeqty</v>
      </c>
      <c r="B742" s="67" t="s">
        <v>26</v>
      </c>
      <c r="C742" s="68" t="s">
        <v>26</v>
      </c>
      <c r="D742" s="64" t="s">
        <v>40</v>
      </c>
      <c r="E742" s="70" t="s">
        <v>335</v>
      </c>
      <c r="F742" s="71" t="s">
        <v>430</v>
      </c>
      <c r="G742" s="64" t="str">
        <f>INDEX(Auxiliar!$B$16:$B$24,MATCH(Plano_V3!H742,Auxiliar!$C$16:$C$24,0),1)</f>
        <v>1. Concluído</v>
      </c>
      <c r="H742" s="64">
        <f>VLOOKUP(A742,'Aux - pivots1'!$A:$B,2,0)</f>
        <v>1</v>
      </c>
      <c r="I742" s="175">
        <f>SUMIFS(Table1[Estimação (horas)],Table1[Tabela],Plano_V3!E742,Table1[Campo],Plano_V3!F742)</f>
        <v>0.1</v>
      </c>
      <c r="J742" s="175">
        <f t="shared" si="373"/>
        <v>1.2500000000000001E-2</v>
      </c>
      <c r="K742" s="175">
        <f>SUMIFS(Table1[Horas efetivas],Table1[Tabela],Plano_V3!E742,Table1[Campo],Plano_V3!F742)</f>
        <v>0.1</v>
      </c>
      <c r="L742" s="175">
        <f t="shared" si="374"/>
        <v>1.2500000000000001E-2</v>
      </c>
      <c r="M742" s="177"/>
      <c r="N742" s="177">
        <f t="shared" si="375"/>
        <v>1</v>
      </c>
      <c r="O742" s="177"/>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c r="A743" s="29" t="str">
        <f t="shared" si="376"/>
        <v>lt003_entitygrp_ttl_dbt</v>
      </c>
      <c r="B743" s="67" t="s">
        <v>26</v>
      </c>
      <c r="C743" s="68" t="s">
        <v>26</v>
      </c>
      <c r="D743" s="64" t="s">
        <v>40</v>
      </c>
      <c r="E743" s="70" t="s">
        <v>335</v>
      </c>
      <c r="F743" s="71" t="s">
        <v>431</v>
      </c>
      <c r="G743" s="64" t="str">
        <f>INDEX(Auxiliar!$B$16:$B$24,MATCH(Plano_V3!H743,Auxiliar!$C$16:$C$24,0),1)</f>
        <v>1. Concluído</v>
      </c>
      <c r="H743" s="64">
        <f>VLOOKUP(A743,'Aux - pivots1'!$A:$B,2,0)</f>
        <v>1</v>
      </c>
      <c r="I743" s="175">
        <f>SUMIFS(Table1[Estimação (horas)],Table1[Tabela],Plano_V3!E743,Table1[Campo],Plano_V3!F743)</f>
        <v>0.1</v>
      </c>
      <c r="J743" s="175">
        <f t="shared" si="373"/>
        <v>1.2500000000000001E-2</v>
      </c>
      <c r="K743" s="175">
        <f>SUMIFS(Table1[Horas efetivas],Table1[Tabela],Plano_V3!E743,Table1[Campo],Plano_V3!F743)</f>
        <v>0.1</v>
      </c>
      <c r="L743" s="175">
        <f t="shared" si="374"/>
        <v>1.2500000000000001E-2</v>
      </c>
      <c r="M743" s="177"/>
      <c r="N743" s="177">
        <f t="shared" si="375"/>
        <v>1</v>
      </c>
      <c r="O743" s="177"/>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c r="A744" s="29" t="str">
        <f t="shared" si="376"/>
        <v>lt003_entityttl_dbt</v>
      </c>
      <c r="B744" s="67" t="s">
        <v>26</v>
      </c>
      <c r="C744" s="68" t="s">
        <v>26</v>
      </c>
      <c r="D744" s="64" t="s">
        <v>40</v>
      </c>
      <c r="E744" s="70" t="s">
        <v>335</v>
      </c>
      <c r="F744" s="71" t="s">
        <v>432</v>
      </c>
      <c r="G744" s="64" t="str">
        <f>INDEX(Auxiliar!$B$16:$B$24,MATCH(Plano_V3!H744,Auxiliar!$C$16:$C$24,0),1)</f>
        <v>1. Concluído</v>
      </c>
      <c r="H744" s="64">
        <f>VLOOKUP(A744,'Aux - pivots1'!$A:$B,2,0)</f>
        <v>1</v>
      </c>
      <c r="I744" s="175">
        <f>SUMIFS(Table1[Estimação (horas)],Table1[Tabela],Plano_V3!E744,Table1[Campo],Plano_V3!F744)</f>
        <v>0.1</v>
      </c>
      <c r="J744" s="175">
        <f t="shared" si="373"/>
        <v>1.2500000000000001E-2</v>
      </c>
      <c r="K744" s="175">
        <f>SUMIFS(Table1[Horas efetivas],Table1[Tabela],Plano_V3!E744,Table1[Campo],Plano_V3!F744)</f>
        <v>0.1</v>
      </c>
      <c r="L744" s="175">
        <f t="shared" si="374"/>
        <v>1.2500000000000001E-2</v>
      </c>
      <c r="M744" s="177"/>
      <c r="N744" s="177">
        <f t="shared" si="375"/>
        <v>1</v>
      </c>
      <c r="O744" s="177"/>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c r="A745" s="29" t="str">
        <f t="shared" si="376"/>
        <v>lt003_entitycod_soc</v>
      </c>
      <c r="B745" s="67" t="s">
        <v>26</v>
      </c>
      <c r="C745" s="68" t="s">
        <v>26</v>
      </c>
      <c r="D745" s="64" t="s">
        <v>40</v>
      </c>
      <c r="E745" s="70" t="s">
        <v>335</v>
      </c>
      <c r="F745" s="71" t="s">
        <v>416</v>
      </c>
      <c r="G745" s="64" t="str">
        <f>INDEX(Auxiliar!$B$16:$B$24,MATCH(Plano_V3!H745,Auxiliar!$C$16:$C$24,0),1)</f>
        <v>1. Concluído</v>
      </c>
      <c r="H745" s="64">
        <f>VLOOKUP(A745,'Aux - pivots1'!$A:$B,2,0)</f>
        <v>1</v>
      </c>
      <c r="I745" s="175">
        <f>SUMIFS(Table1[Estimação (horas)],Table1[Tabela],Plano_V3!E745,Table1[Campo],Plano_V3!F745)</f>
        <v>0.1</v>
      </c>
      <c r="J745" s="175">
        <f t="shared" si="373"/>
        <v>1.2500000000000001E-2</v>
      </c>
      <c r="K745" s="175">
        <f>SUMIFS(Table1[Horas efetivas],Table1[Tabela],Plano_V3!E745,Table1[Campo],Plano_V3!F745)</f>
        <v>0.1</v>
      </c>
      <c r="L745" s="175">
        <f t="shared" si="374"/>
        <v>1.2500000000000001E-2</v>
      </c>
      <c r="M745" s="177"/>
      <c r="N745" s="177">
        <f t="shared" si="375"/>
        <v>1</v>
      </c>
      <c r="O745" s="177"/>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c r="A746" s="29" t="str">
        <f t="shared" si="376"/>
        <v>lt004_protectiondt_rfrnc</v>
      </c>
      <c r="B746" s="67" t="s">
        <v>26</v>
      </c>
      <c r="C746" s="68" t="s">
        <v>26</v>
      </c>
      <c r="D746" s="64" t="s">
        <v>40</v>
      </c>
      <c r="E746" s="70" t="s">
        <v>368</v>
      </c>
      <c r="F746" s="71" t="s">
        <v>398</v>
      </c>
      <c r="G746" s="64" t="str">
        <f>INDEX(Auxiliar!$B$16:$B$24,MATCH(Plano_V3!H746,Auxiliar!$C$16:$C$24,0),1)</f>
        <v>1. Concluído</v>
      </c>
      <c r="H746" s="64">
        <f>VLOOKUP(A746,'Aux - pivots1'!$A:$B,2,0)</f>
        <v>1</v>
      </c>
      <c r="I746" s="175">
        <f>SUMIFS(Table1[Estimação (horas)],Table1[Tabela],Plano_V3!E746,Table1[Campo],Plano_V3!F746)</f>
        <v>0.1</v>
      </c>
      <c r="J746" s="175">
        <f t="shared" si="373"/>
        <v>1.2500000000000001E-2</v>
      </c>
      <c r="K746" s="175">
        <f>SUMIFS(Table1[Horas efetivas],Table1[Tabela],Plano_V3!E746,Table1[Campo],Plano_V3!F746)</f>
        <v>0.1</v>
      </c>
      <c r="L746" s="175">
        <f t="shared" si="374"/>
        <v>1.2500000000000001E-2</v>
      </c>
      <c r="M746" s="177"/>
      <c r="N746" s="177">
        <f t="shared" si="375"/>
        <v>1</v>
      </c>
      <c r="O746" s="177"/>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c r="A747" s="29" t="str">
        <f t="shared" si="376"/>
        <v>lt004_protectionprtctn_id</v>
      </c>
      <c r="B747" s="67" t="s">
        <v>26</v>
      </c>
      <c r="C747" s="68" t="s">
        <v>26</v>
      </c>
      <c r="D747" s="64" t="s">
        <v>40</v>
      </c>
      <c r="E747" s="70" t="s">
        <v>368</v>
      </c>
      <c r="F747" s="71" t="s">
        <v>433</v>
      </c>
      <c r="G747" s="64" t="str">
        <f>INDEX(Auxiliar!$B$16:$B$24,MATCH(Plano_V3!H747,Auxiliar!$C$16:$C$24,0),1)</f>
        <v>1. Concluído</v>
      </c>
      <c r="H747" s="64">
        <f>VLOOKUP(A747,'Aux - pivots1'!$A:$B,2,0)</f>
        <v>1</v>
      </c>
      <c r="I747" s="175">
        <f>SUMIFS(Table1[Estimação (horas)],Table1[Tabela],Plano_V3!E747,Table1[Campo],Plano_V3!F747)</f>
        <v>0.1</v>
      </c>
      <c r="J747" s="175">
        <f t="shared" si="373"/>
        <v>1.2500000000000001E-2</v>
      </c>
      <c r="K747" s="175">
        <f>SUMIFS(Table1[Horas efetivas],Table1[Tabela],Plano_V3!E747,Table1[Campo],Plano_V3!F747)</f>
        <v>0.1</v>
      </c>
      <c r="L747" s="175">
        <f t="shared" si="374"/>
        <v>1.2500000000000001E-2</v>
      </c>
      <c r="M747" s="177"/>
      <c r="N747" s="177">
        <f t="shared" si="375"/>
        <v>1</v>
      </c>
      <c r="O747" s="177"/>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c r="A748" s="29" t="str">
        <f t="shared" si="376"/>
        <v>lt004_protectionrl_estt_clltrl_lctn</v>
      </c>
      <c r="B748" s="67" t="s">
        <v>26</v>
      </c>
      <c r="C748" s="68" t="s">
        <v>26</v>
      </c>
      <c r="D748" s="64" t="s">
        <v>40</v>
      </c>
      <c r="E748" s="70" t="s">
        <v>368</v>
      </c>
      <c r="F748" s="71" t="s">
        <v>434</v>
      </c>
      <c r="G748" s="64" t="str">
        <f>INDEX(Auxiliar!$B$16:$B$24,MATCH(Plano_V3!H748,Auxiliar!$C$16:$C$24,0),1)</f>
        <v>1. Concluído</v>
      </c>
      <c r="H748" s="64">
        <f>VLOOKUP(A748,'Aux - pivots1'!$A:$B,2,0)</f>
        <v>1</v>
      </c>
      <c r="I748" s="175">
        <f>SUMIFS(Table1[Estimação (horas)],Table1[Tabela],Plano_V3!E748,Table1[Campo],Plano_V3!F748)</f>
        <v>0.1</v>
      </c>
      <c r="J748" s="175">
        <f t="shared" si="373"/>
        <v>1.2500000000000001E-2</v>
      </c>
      <c r="K748" s="175">
        <f>SUMIFS(Table1[Horas efetivas],Table1[Tabela],Plano_V3!E748,Table1[Campo],Plano_V3!F748)</f>
        <v>0.1</v>
      </c>
      <c r="L748" s="175">
        <f t="shared" si="374"/>
        <v>1.2500000000000001E-2</v>
      </c>
      <c r="M748" s="177"/>
      <c r="N748" s="177">
        <f t="shared" si="375"/>
        <v>1</v>
      </c>
      <c r="O748" s="177"/>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c r="A749" s="29" t="str">
        <f t="shared" si="376"/>
        <v>lt004_protectionrl_estt_pst_cd</v>
      </c>
      <c r="B749" s="67" t="s">
        <v>26</v>
      </c>
      <c r="C749" s="68" t="s">
        <v>26</v>
      </c>
      <c r="D749" s="64" t="s">
        <v>40</v>
      </c>
      <c r="E749" s="70" t="s">
        <v>368</v>
      </c>
      <c r="F749" s="71" t="s">
        <v>435</v>
      </c>
      <c r="G749" s="64" t="str">
        <f>INDEX(Auxiliar!$B$16:$B$24,MATCH(Plano_V3!H749,Auxiliar!$C$16:$C$24,0),1)</f>
        <v>1. Concluído</v>
      </c>
      <c r="H749" s="64">
        <f>VLOOKUP(A749,'Aux - pivots1'!$A:$B,2,0)</f>
        <v>1</v>
      </c>
      <c r="I749" s="175">
        <f>SUMIFS(Table1[Estimação (horas)],Table1[Tabela],Plano_V3!E749,Table1[Campo],Plano_V3!F749)</f>
        <v>0.1</v>
      </c>
      <c r="J749" s="175">
        <f t="shared" si="373"/>
        <v>1.2500000000000001E-2</v>
      </c>
      <c r="K749" s="175">
        <f>SUMIFS(Table1[Horas efetivas],Table1[Tabela],Plano_V3!E749,Table1[Campo],Plano_V3!F749)</f>
        <v>0.1</v>
      </c>
      <c r="L749" s="175">
        <f t="shared" si="374"/>
        <v>1.2500000000000001E-2</v>
      </c>
      <c r="M749" s="177"/>
      <c r="N749" s="177">
        <f t="shared" si="375"/>
        <v>1</v>
      </c>
      <c r="O749" s="177"/>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c r="A750" s="29" t="str">
        <f t="shared" si="376"/>
        <v>lt004_protectiontyp_prtctn</v>
      </c>
      <c r="B750" s="67" t="s">
        <v>26</v>
      </c>
      <c r="C750" s="68" t="s">
        <v>26</v>
      </c>
      <c r="D750" s="64" t="s">
        <v>40</v>
      </c>
      <c r="E750" s="70" t="s">
        <v>368</v>
      </c>
      <c r="F750" s="71" t="s">
        <v>436</v>
      </c>
      <c r="G750" s="64" t="str">
        <f>INDEX(Auxiliar!$B$16:$B$24,MATCH(Plano_V3!H750,Auxiliar!$C$16:$C$24,0),1)</f>
        <v>1. Concluído</v>
      </c>
      <c r="H750" s="64">
        <f>VLOOKUP(A750,'Aux - pivots1'!$A:$B,2,0)</f>
        <v>1</v>
      </c>
      <c r="I750" s="175">
        <f>SUMIFS(Table1[Estimação (horas)],Table1[Tabela],Plano_V3!E750,Table1[Campo],Plano_V3!F750)</f>
        <v>0.1</v>
      </c>
      <c r="J750" s="175">
        <f t="shared" si="373"/>
        <v>1.2500000000000001E-2</v>
      </c>
      <c r="K750" s="175">
        <f>SUMIFS(Table1[Horas efetivas],Table1[Tabela],Plano_V3!E750,Table1[Campo],Plano_V3!F750)</f>
        <v>0.1</v>
      </c>
      <c r="L750" s="175">
        <f t="shared" si="374"/>
        <v>1.2500000000000001E-2</v>
      </c>
      <c r="M750" s="177"/>
      <c r="N750" s="177">
        <f t="shared" si="375"/>
        <v>1</v>
      </c>
      <c r="O750" s="177"/>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c r="A751" s="29" t="str">
        <f t="shared" si="376"/>
        <v>lt004_protectionorgnl_prtctn_vl</v>
      </c>
      <c r="B751" s="67" t="s">
        <v>26</v>
      </c>
      <c r="C751" s="68" t="s">
        <v>26</v>
      </c>
      <c r="D751" s="64" t="s">
        <v>40</v>
      </c>
      <c r="E751" s="70" t="s">
        <v>368</v>
      </c>
      <c r="F751" s="71" t="s">
        <v>437</v>
      </c>
      <c r="G751" s="64" t="str">
        <f>INDEX(Auxiliar!$B$16:$B$24,MATCH(Plano_V3!H751,Auxiliar!$C$16:$C$24,0),1)</f>
        <v>1. Concluído</v>
      </c>
      <c r="H751" s="64">
        <f>VLOOKUP(A751,'Aux - pivots1'!$A:$B,2,0)</f>
        <v>1</v>
      </c>
      <c r="I751" s="175">
        <f>SUMIFS(Table1[Estimação (horas)],Table1[Tabela],Plano_V3!E751,Table1[Campo],Plano_V3!F751)</f>
        <v>0.1</v>
      </c>
      <c r="J751" s="175">
        <f t="shared" si="373"/>
        <v>1.2500000000000001E-2</v>
      </c>
      <c r="K751" s="175">
        <f>SUMIFS(Table1[Horas efetivas],Table1[Tabela],Plano_V3!E751,Table1[Campo],Plano_V3!F751)</f>
        <v>0.1</v>
      </c>
      <c r="L751" s="175">
        <f t="shared" si="374"/>
        <v>1.2500000000000001E-2</v>
      </c>
      <c r="M751" s="177"/>
      <c r="N751" s="177">
        <f t="shared" si="375"/>
        <v>1</v>
      </c>
      <c r="O751" s="177"/>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c r="A752" s="29" t="str">
        <f t="shared" si="376"/>
        <v>lt004_protectionprtctn_vl</v>
      </c>
      <c r="B752" s="67" t="s">
        <v>26</v>
      </c>
      <c r="C752" s="68" t="s">
        <v>26</v>
      </c>
      <c r="D752" s="64" t="s">
        <v>40</v>
      </c>
      <c r="E752" s="70" t="s">
        <v>368</v>
      </c>
      <c r="F752" s="71" t="s">
        <v>438</v>
      </c>
      <c r="G752" s="64" t="str">
        <f>INDEX(Auxiliar!$B$16:$B$24,MATCH(Plano_V3!H752,Auxiliar!$C$16:$C$24,0),1)</f>
        <v>1. Concluído</v>
      </c>
      <c r="H752" s="64">
        <f>VLOOKUP(A752,'Aux - pivots1'!$A:$B,2,0)</f>
        <v>1</v>
      </c>
      <c r="I752" s="175">
        <f>SUMIFS(Table1[Estimação (horas)],Table1[Tabela],Plano_V3!E752,Table1[Campo],Plano_V3!F752)</f>
        <v>0.1</v>
      </c>
      <c r="J752" s="175">
        <f t="shared" si="373"/>
        <v>1.2500000000000001E-2</v>
      </c>
      <c r="K752" s="175">
        <f>SUMIFS(Table1[Horas efetivas],Table1[Tabela],Plano_V3!E752,Table1[Campo],Plano_V3!F752)</f>
        <v>0.1</v>
      </c>
      <c r="L752" s="175">
        <f t="shared" si="374"/>
        <v>1.2500000000000001E-2</v>
      </c>
      <c r="M752" s="177"/>
      <c r="N752" s="177">
        <f t="shared" si="375"/>
        <v>1</v>
      </c>
      <c r="O752" s="177"/>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c r="A753" s="29" t="str">
        <f t="shared" si="376"/>
        <v>lt004_protectioncod_soc</v>
      </c>
      <c r="B753" s="67" t="s">
        <v>26</v>
      </c>
      <c r="C753" s="68" t="s">
        <v>26</v>
      </c>
      <c r="D753" s="64" t="s">
        <v>40</v>
      </c>
      <c r="E753" s="70" t="s">
        <v>368</v>
      </c>
      <c r="F753" s="71" t="s">
        <v>416</v>
      </c>
      <c r="G753" s="64" t="str">
        <f>INDEX(Auxiliar!$B$16:$B$24,MATCH(Plano_V3!H753,Auxiliar!$C$16:$C$24,0),1)</f>
        <v>1. Concluído</v>
      </c>
      <c r="H753" s="64">
        <f>VLOOKUP(A753,'Aux - pivots1'!$A:$B,2,0)</f>
        <v>1</v>
      </c>
      <c r="I753" s="175">
        <f>SUMIFS(Table1[Estimação (horas)],Table1[Tabela],Plano_V3!E753,Table1[Campo],Plano_V3!F753)</f>
        <v>0.1</v>
      </c>
      <c r="J753" s="175">
        <f t="shared" si="373"/>
        <v>1.2500000000000001E-2</v>
      </c>
      <c r="K753" s="175">
        <f>SUMIFS(Table1[Horas efetivas],Table1[Tabela],Plano_V3!E753,Table1[Campo],Plano_V3!F753)</f>
        <v>0.1</v>
      </c>
      <c r="L753" s="175">
        <f t="shared" si="374"/>
        <v>1.2500000000000001E-2</v>
      </c>
      <c r="M753" s="177"/>
      <c r="N753" s="177">
        <f t="shared" si="375"/>
        <v>1</v>
      </c>
      <c r="O753" s="177"/>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outlineLevel="1">
      <c r="A754" s="29" t="str">
        <f t="shared" si="376"/>
        <v>lt005_instr_entdt_rfrnc</v>
      </c>
      <c r="B754" s="67" t="s">
        <v>26</v>
      </c>
      <c r="C754" s="68" t="s">
        <v>26</v>
      </c>
      <c r="D754" s="64" t="s">
        <v>40</v>
      </c>
      <c r="E754" s="70" t="s">
        <v>439</v>
      </c>
      <c r="F754" s="71" t="s">
        <v>398</v>
      </c>
      <c r="G754" s="64" t="str">
        <f>INDEX(Auxiliar!$B$16:$B$24,MATCH(Plano_V3!H754,Auxiliar!$C$16:$C$24,0),1)</f>
        <v>1. Concluído</v>
      </c>
      <c r="H754" s="64">
        <f>VLOOKUP(A754,'Aux - pivots1'!$A:$B,2,0)</f>
        <v>1</v>
      </c>
      <c r="I754" s="175">
        <f>SUMIFS(Table1[Estimação (horas)],Table1[Tabela],Plano_V3!E754,Table1[Campo],Plano_V3!F754)</f>
        <v>0.1</v>
      </c>
      <c r="J754" s="175">
        <f t="shared" si="373"/>
        <v>1.2500000000000001E-2</v>
      </c>
      <c r="K754" s="175">
        <f>SUMIFS(Table1[Horas efetivas],Table1[Tabela],Plano_V3!E754,Table1[Campo],Plano_V3!F754)</f>
        <v>0.1</v>
      </c>
      <c r="L754" s="175">
        <f t="shared" si="374"/>
        <v>1.2500000000000001E-2</v>
      </c>
      <c r="M754" s="177"/>
      <c r="N754" s="177">
        <f t="shared" si="375"/>
        <v>1</v>
      </c>
      <c r="O754" s="177"/>
      <c r="P754" s="89" t="s">
        <v>399</v>
      </c>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78"/>
      <c r="AS754" s="78"/>
      <c r="AT754" s="78"/>
      <c r="AU754" s="78"/>
      <c r="AV754" s="78"/>
      <c r="AW754" s="78"/>
      <c r="AX754" s="78"/>
      <c r="AY754" s="91"/>
      <c r="AZ754" s="78"/>
      <c r="BA754" s="78"/>
      <c r="BB754" s="78"/>
      <c r="BC754" s="78"/>
      <c r="BD754" s="78"/>
      <c r="BE754" s="78"/>
      <c r="BF754" s="78"/>
      <c r="BG754" s="78"/>
      <c r="BH754" s="78"/>
      <c r="BI754" s="78"/>
      <c r="BJ754" s="78"/>
      <c r="BK754" s="78"/>
      <c r="BL754" s="78"/>
      <c r="BM754" s="78"/>
      <c r="BN754" s="78"/>
      <c r="BO754" s="78"/>
      <c r="BP754" s="78"/>
      <c r="BQ754" s="78"/>
      <c r="BR754" s="78"/>
      <c r="BS754" s="78"/>
      <c r="BT754" s="78"/>
      <c r="BU754" s="78"/>
      <c r="BV754" s="78"/>
      <c r="BW754" s="78"/>
      <c r="BX754" s="78"/>
      <c r="BY754" s="78"/>
      <c r="BZ754" s="78"/>
      <c r="CA754" s="78"/>
      <c r="CB754" s="78"/>
      <c r="CC754" s="78"/>
      <c r="CD754" s="78"/>
      <c r="CE754" s="78"/>
      <c r="CF754" s="78"/>
      <c r="CG754" s="78"/>
      <c r="CH754" s="78"/>
      <c r="CI754" s="78"/>
      <c r="CJ754" s="78"/>
      <c r="CK754" s="78"/>
      <c r="CL754" s="78"/>
      <c r="CM754" s="78"/>
      <c r="CN754" s="78"/>
      <c r="CO754" s="78"/>
      <c r="CP754" s="78"/>
      <c r="CQ754" s="78"/>
      <c r="CR754" s="78"/>
      <c r="CS754" s="78"/>
      <c r="CT754" s="78"/>
      <c r="CU754" s="78"/>
      <c r="CV754" s="78"/>
      <c r="CW754" s="78"/>
      <c r="CX754" s="78"/>
      <c r="CY754" s="78"/>
      <c r="CZ754" s="78"/>
      <c r="DA754" s="78"/>
      <c r="DB754" s="78"/>
      <c r="DC754" s="78"/>
      <c r="DD754" s="78"/>
      <c r="DE754" s="78"/>
      <c r="DF754" s="78"/>
      <c r="DG754" s="78"/>
      <c r="DH754" s="78"/>
      <c r="DI754" s="78"/>
      <c r="DJ754" s="78"/>
      <c r="DK754" s="78"/>
      <c r="DL754" s="78"/>
      <c r="DM754" s="78"/>
      <c r="DN754" s="78"/>
      <c r="DO754" s="78"/>
      <c r="DP754" s="78"/>
      <c r="DQ754" s="78"/>
      <c r="DR754" s="78"/>
      <c r="DS754" s="78"/>
      <c r="DT754" s="78"/>
      <c r="DU754" s="78"/>
      <c r="DV754" s="78"/>
      <c r="DW754" s="78"/>
      <c r="DX754" s="78"/>
      <c r="DY754" s="78"/>
      <c r="DZ754" s="78"/>
      <c r="EA754" s="78"/>
      <c r="EB754" s="78"/>
      <c r="EC754" s="78"/>
      <c r="ED754" s="78"/>
      <c r="EE754" s="78"/>
      <c r="EF754" s="78"/>
      <c r="EG754" s="78"/>
      <c r="EH754" s="78"/>
      <c r="EI754" s="78"/>
      <c r="EJ754" s="78"/>
      <c r="EK754" s="78"/>
      <c r="EL754" s="78"/>
      <c r="EM754" s="78"/>
      <c r="EN754" s="91"/>
      <c r="EO754" s="91"/>
      <c r="EP754" s="91"/>
      <c r="EQ754" s="91"/>
      <c r="ER754" s="91"/>
      <c r="ES754" s="91"/>
    </row>
    <row r="755" spans="1:149" outlineLevel="1">
      <c r="A755" s="29" t="str">
        <f t="shared" si="376"/>
        <v>lt005_instr_ententty_id</v>
      </c>
      <c r="B755" s="67" t="s">
        <v>26</v>
      </c>
      <c r="C755" s="68" t="s">
        <v>26</v>
      </c>
      <c r="D755" s="64" t="s">
        <v>40</v>
      </c>
      <c r="E755" s="70" t="s">
        <v>439</v>
      </c>
      <c r="F755" s="71" t="s">
        <v>425</v>
      </c>
      <c r="G755" s="64" t="str">
        <f>INDEX(Auxiliar!$B$16:$B$24,MATCH(Plano_V3!H755,Auxiliar!$C$16:$C$24,0),1)</f>
        <v>1. Concluído</v>
      </c>
      <c r="H755" s="64">
        <f>VLOOKUP(A755,'Aux - pivots1'!$A:$B,2,0)</f>
        <v>1</v>
      </c>
      <c r="I755" s="175">
        <f>SUMIFS(Table1[Estimação (horas)],Table1[Tabela],Plano_V3!E755,Table1[Campo],Plano_V3!F755)</f>
        <v>0.1</v>
      </c>
      <c r="J755" s="175">
        <f t="shared" si="373"/>
        <v>1.2500000000000001E-2</v>
      </c>
      <c r="K755" s="175">
        <f>SUMIFS(Table1[Horas efetivas],Table1[Tabela],Plano_V3!E755,Table1[Campo],Plano_V3!F755)</f>
        <v>0.1</v>
      </c>
      <c r="L755" s="175">
        <f t="shared" si="374"/>
        <v>1.2500000000000001E-2</v>
      </c>
      <c r="M755" s="177"/>
      <c r="N755" s="177">
        <f t="shared" si="375"/>
        <v>1</v>
      </c>
      <c r="O755" s="177"/>
      <c r="P755" s="89" t="s">
        <v>399</v>
      </c>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78"/>
      <c r="AS755" s="78"/>
      <c r="AT755" s="78"/>
      <c r="AU755" s="78"/>
      <c r="AV755" s="78"/>
      <c r="AW755" s="78"/>
      <c r="AX755" s="78"/>
      <c r="AY755" s="91"/>
      <c r="AZ755" s="78"/>
      <c r="BA755" s="78"/>
      <c r="BB755" s="78"/>
      <c r="BC755" s="78"/>
      <c r="BD755" s="78"/>
      <c r="BE755" s="78"/>
      <c r="BF755" s="78"/>
      <c r="BG755" s="78"/>
      <c r="BH755" s="78"/>
      <c r="BI755" s="78"/>
      <c r="BJ755" s="78"/>
      <c r="BK755" s="78"/>
      <c r="BL755" s="78"/>
      <c r="BM755" s="78"/>
      <c r="BN755" s="78"/>
      <c r="BO755" s="78"/>
      <c r="BP755" s="78"/>
      <c r="BQ755" s="78"/>
      <c r="BR755" s="78"/>
      <c r="BS755" s="78"/>
      <c r="BT755" s="78"/>
      <c r="BU755" s="78"/>
      <c r="BV755" s="78"/>
      <c r="BW755" s="78"/>
      <c r="BX755" s="78"/>
      <c r="BY755" s="78"/>
      <c r="BZ755" s="78"/>
      <c r="CA755" s="78"/>
      <c r="CB755" s="78"/>
      <c r="CC755" s="78"/>
      <c r="CD755" s="78"/>
      <c r="CE755" s="78"/>
      <c r="CF755" s="78"/>
      <c r="CG755" s="78"/>
      <c r="CH755" s="78"/>
      <c r="CI755" s="78"/>
      <c r="CJ755" s="78"/>
      <c r="CK755" s="78"/>
      <c r="CL755" s="78"/>
      <c r="CM755" s="78"/>
      <c r="CN755" s="78"/>
      <c r="CO755" s="78"/>
      <c r="CP755" s="78"/>
      <c r="CQ755" s="78"/>
      <c r="CR755" s="78"/>
      <c r="CS755" s="78"/>
      <c r="CT755" s="78"/>
      <c r="CU755" s="78"/>
      <c r="CV755" s="78"/>
      <c r="CW755" s="78"/>
      <c r="CX755" s="78"/>
      <c r="CY755" s="78"/>
      <c r="CZ755" s="78"/>
      <c r="DA755" s="78"/>
      <c r="DB755" s="78"/>
      <c r="DC755" s="78"/>
      <c r="DD755" s="78"/>
      <c r="DE755" s="78"/>
      <c r="DF755" s="78"/>
      <c r="DG755" s="78"/>
      <c r="DH755" s="78"/>
      <c r="DI755" s="78"/>
      <c r="DJ755" s="78"/>
      <c r="DK755" s="78"/>
      <c r="DL755" s="78"/>
      <c r="DM755" s="78"/>
      <c r="DN755" s="78"/>
      <c r="DO755" s="78"/>
      <c r="DP755" s="78"/>
      <c r="DQ755" s="78"/>
      <c r="DR755" s="78"/>
      <c r="DS755" s="78"/>
      <c r="DT755" s="78"/>
      <c r="DU755" s="78"/>
      <c r="DV755" s="78"/>
      <c r="DW755" s="78"/>
      <c r="DX755" s="78"/>
      <c r="DY755" s="78"/>
      <c r="DZ755" s="78"/>
      <c r="EA755" s="78"/>
      <c r="EB755" s="78"/>
      <c r="EC755" s="78"/>
      <c r="ED755" s="78"/>
      <c r="EE755" s="78"/>
      <c r="EF755" s="78"/>
      <c r="EG755" s="78"/>
      <c r="EH755" s="78"/>
      <c r="EI755" s="78"/>
      <c r="EJ755" s="78"/>
      <c r="EK755" s="78"/>
      <c r="EL755" s="78"/>
      <c r="EM755" s="78"/>
      <c r="EN755" s="91"/>
      <c r="EO755" s="91"/>
      <c r="EP755" s="91"/>
      <c r="EQ755" s="91"/>
      <c r="ER755" s="91"/>
      <c r="ES755" s="91"/>
    </row>
    <row r="756" spans="1:149" outlineLevel="1">
      <c r="A756" s="29" t="str">
        <f t="shared" si="376"/>
        <v>lt005_instr_entinstrmnt_id</v>
      </c>
      <c r="B756" s="67" t="s">
        <v>26</v>
      </c>
      <c r="C756" s="68" t="s">
        <v>26</v>
      </c>
      <c r="D756" s="64" t="s">
        <v>40</v>
      </c>
      <c r="E756" s="70" t="s">
        <v>439</v>
      </c>
      <c r="F756" s="71" t="s">
        <v>400</v>
      </c>
      <c r="G756" s="64" t="str">
        <f>INDEX(Auxiliar!$B$16:$B$24,MATCH(Plano_V3!H756,Auxiliar!$C$16:$C$24,0),1)</f>
        <v>1. Concluído</v>
      </c>
      <c r="H756" s="64">
        <f>VLOOKUP(A756,'Aux - pivots1'!$A:$B,2,0)</f>
        <v>1</v>
      </c>
      <c r="I756" s="175">
        <f>SUMIFS(Table1[Estimação (horas)],Table1[Tabela],Plano_V3!E756,Table1[Campo],Plano_V3!F756)</f>
        <v>0.1</v>
      </c>
      <c r="J756" s="175">
        <f t="shared" si="373"/>
        <v>1.2500000000000001E-2</v>
      </c>
      <c r="K756" s="175">
        <f>SUMIFS(Table1[Horas efetivas],Table1[Tabela],Plano_V3!E756,Table1[Campo],Plano_V3!F756)</f>
        <v>0.1</v>
      </c>
      <c r="L756" s="175">
        <f t="shared" si="374"/>
        <v>1.2500000000000001E-2</v>
      </c>
      <c r="M756" s="177"/>
      <c r="N756" s="177">
        <f t="shared" si="375"/>
        <v>1</v>
      </c>
      <c r="O756" s="177"/>
      <c r="P756" s="89" t="s">
        <v>399</v>
      </c>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78"/>
      <c r="AS756" s="78"/>
      <c r="AT756" s="78"/>
      <c r="AU756" s="78"/>
      <c r="AV756" s="78"/>
      <c r="AW756" s="78"/>
      <c r="AX756" s="78"/>
      <c r="AY756" s="91"/>
      <c r="AZ756" s="78"/>
      <c r="BA756" s="78"/>
      <c r="BB756" s="78"/>
      <c r="BC756" s="78"/>
      <c r="BD756" s="78"/>
      <c r="BE756" s="78"/>
      <c r="BF756" s="78"/>
      <c r="BG756" s="78"/>
      <c r="BH756" s="78"/>
      <c r="BI756" s="78"/>
      <c r="BJ756" s="78"/>
      <c r="BK756" s="78"/>
      <c r="BL756" s="78"/>
      <c r="BM756" s="78"/>
      <c r="BN756" s="78"/>
      <c r="BO756" s="78"/>
      <c r="BP756" s="78"/>
      <c r="BQ756" s="78"/>
      <c r="BR756" s="78"/>
      <c r="BS756" s="78"/>
      <c r="BT756" s="78"/>
      <c r="BU756" s="78"/>
      <c r="BV756" s="78"/>
      <c r="BW756" s="78"/>
      <c r="BX756" s="78"/>
      <c r="BY756" s="78"/>
      <c r="BZ756" s="78"/>
      <c r="CA756" s="78"/>
      <c r="CB756" s="78"/>
      <c r="CC756" s="78"/>
      <c r="CD756" s="78"/>
      <c r="CE756" s="78"/>
      <c r="CF756" s="78"/>
      <c r="CG756" s="78"/>
      <c r="CH756" s="78"/>
      <c r="CI756" s="78"/>
      <c r="CJ756" s="78"/>
      <c r="CK756" s="78"/>
      <c r="CL756" s="78"/>
      <c r="CM756" s="78"/>
      <c r="CN756" s="78"/>
      <c r="CO756" s="78"/>
      <c r="CP756" s="78"/>
      <c r="CQ756" s="78"/>
      <c r="CR756" s="78"/>
      <c r="CS756" s="78"/>
      <c r="CT756" s="78"/>
      <c r="CU756" s="78"/>
      <c r="CV756" s="78"/>
      <c r="CW756" s="78"/>
      <c r="CX756" s="78"/>
      <c r="CY756" s="78"/>
      <c r="CZ756" s="78"/>
      <c r="DA756" s="78"/>
      <c r="DB756" s="78"/>
      <c r="DC756" s="78"/>
      <c r="DD756" s="78"/>
      <c r="DE756" s="78"/>
      <c r="DF756" s="78"/>
      <c r="DG756" s="78"/>
      <c r="DH756" s="78"/>
      <c r="DI756" s="78"/>
      <c r="DJ756" s="78"/>
      <c r="DK756" s="78"/>
      <c r="DL756" s="78"/>
      <c r="DM756" s="78"/>
      <c r="DN756" s="78"/>
      <c r="DO756" s="78"/>
      <c r="DP756" s="78"/>
      <c r="DQ756" s="78"/>
      <c r="DR756" s="78"/>
      <c r="DS756" s="78"/>
      <c r="DT756" s="78"/>
      <c r="DU756" s="78"/>
      <c r="DV756" s="78"/>
      <c r="DW756" s="78"/>
      <c r="DX756" s="78"/>
      <c r="DY756" s="78"/>
      <c r="DZ756" s="78"/>
      <c r="EA756" s="78"/>
      <c r="EB756" s="78"/>
      <c r="EC756" s="78"/>
      <c r="ED756" s="78"/>
      <c r="EE756" s="78"/>
      <c r="EF756" s="78"/>
      <c r="EG756" s="78"/>
      <c r="EH756" s="78"/>
      <c r="EI756" s="78"/>
      <c r="EJ756" s="78"/>
      <c r="EK756" s="78"/>
      <c r="EL756" s="78"/>
      <c r="EM756" s="78"/>
      <c r="EN756" s="91"/>
      <c r="EO756" s="91"/>
      <c r="EP756" s="91"/>
      <c r="EQ756" s="91"/>
      <c r="ER756" s="91"/>
      <c r="ES756" s="91"/>
    </row>
    <row r="757" spans="1:149" outlineLevel="1">
      <c r="A757" s="29" t="str">
        <f t="shared" si="376"/>
        <v>lt005_instr_entcod_soc</v>
      </c>
      <c r="B757" s="67" t="s">
        <v>26</v>
      </c>
      <c r="C757" s="68" t="s">
        <v>26</v>
      </c>
      <c r="D757" s="64" t="s">
        <v>40</v>
      </c>
      <c r="E757" s="70" t="s">
        <v>439</v>
      </c>
      <c r="F757" s="71" t="s">
        <v>416</v>
      </c>
      <c r="G757" s="64" t="str">
        <f>INDEX(Auxiliar!$B$16:$B$24,MATCH(Plano_V3!H757,Auxiliar!$C$16:$C$24,0),1)</f>
        <v>1. Concluído</v>
      </c>
      <c r="H757" s="64">
        <f>VLOOKUP(A757,'Aux - pivots1'!$A:$B,2,0)</f>
        <v>1</v>
      </c>
      <c r="I757" s="175">
        <f>SUMIFS(Table1[Estimação (horas)],Table1[Tabela],Plano_V3!E757,Table1[Campo],Plano_V3!F757)</f>
        <v>0.1</v>
      </c>
      <c r="J757" s="175">
        <f t="shared" si="373"/>
        <v>1.2500000000000001E-2</v>
      </c>
      <c r="K757" s="175">
        <f>SUMIFS(Table1[Horas efetivas],Table1[Tabela],Plano_V3!E757,Table1[Campo],Plano_V3!F757)</f>
        <v>0.1</v>
      </c>
      <c r="L757" s="175">
        <f t="shared" si="374"/>
        <v>1.2500000000000001E-2</v>
      </c>
      <c r="M757" s="177"/>
      <c r="N757" s="177">
        <f t="shared" si="375"/>
        <v>1</v>
      </c>
      <c r="O757" s="177"/>
      <c r="P757" s="89" t="s">
        <v>399</v>
      </c>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78"/>
      <c r="AS757" s="78"/>
      <c r="AT757" s="78"/>
      <c r="AU757" s="78"/>
      <c r="AV757" s="78"/>
      <c r="AW757" s="78"/>
      <c r="AX757" s="78"/>
      <c r="AY757" s="91"/>
      <c r="AZ757" s="78"/>
      <c r="BA757" s="78"/>
      <c r="BB757" s="78"/>
      <c r="BC757" s="78"/>
      <c r="BD757" s="78"/>
      <c r="BE757" s="78"/>
      <c r="BF757" s="78"/>
      <c r="BG757" s="78"/>
      <c r="BH757" s="78"/>
      <c r="BI757" s="78"/>
      <c r="BJ757" s="78"/>
      <c r="BK757" s="78"/>
      <c r="BL757" s="78"/>
      <c r="BM757" s="78"/>
      <c r="BN757" s="78"/>
      <c r="BO757" s="78"/>
      <c r="BP757" s="78"/>
      <c r="BQ757" s="78"/>
      <c r="BR757" s="78"/>
      <c r="BS757" s="78"/>
      <c r="BT757" s="78"/>
      <c r="BU757" s="78"/>
      <c r="BV757" s="78"/>
      <c r="BW757" s="78"/>
      <c r="BX757" s="78"/>
      <c r="BY757" s="78"/>
      <c r="BZ757" s="78"/>
      <c r="CA757" s="78"/>
      <c r="CB757" s="78"/>
      <c r="CC757" s="78"/>
      <c r="CD757" s="78"/>
      <c r="CE757" s="78"/>
      <c r="CF757" s="78"/>
      <c r="CG757" s="78"/>
      <c r="CH757" s="78"/>
      <c r="CI757" s="78"/>
      <c r="CJ757" s="78"/>
      <c r="CK757" s="78"/>
      <c r="CL757" s="78"/>
      <c r="CM757" s="78"/>
      <c r="CN757" s="78"/>
      <c r="CO757" s="78"/>
      <c r="CP757" s="78"/>
      <c r="CQ757" s="78"/>
      <c r="CR757" s="78"/>
      <c r="CS757" s="78"/>
      <c r="CT757" s="78"/>
      <c r="CU757" s="78"/>
      <c r="CV757" s="78"/>
      <c r="CW757" s="78"/>
      <c r="CX757" s="78"/>
      <c r="CY757" s="78"/>
      <c r="CZ757" s="78"/>
      <c r="DA757" s="78"/>
      <c r="DB757" s="78"/>
      <c r="DC757" s="78"/>
      <c r="DD757" s="78"/>
      <c r="DE757" s="78"/>
      <c r="DF757" s="78"/>
      <c r="DG757" s="78"/>
      <c r="DH757" s="78"/>
      <c r="DI757" s="78"/>
      <c r="DJ757" s="78"/>
      <c r="DK757" s="78"/>
      <c r="DL757" s="78"/>
      <c r="DM757" s="78"/>
      <c r="DN757" s="78"/>
      <c r="DO757" s="78"/>
      <c r="DP757" s="78"/>
      <c r="DQ757" s="78"/>
      <c r="DR757" s="78"/>
      <c r="DS757" s="78"/>
      <c r="DT757" s="78"/>
      <c r="DU757" s="78"/>
      <c r="DV757" s="78"/>
      <c r="DW757" s="78"/>
      <c r="DX757" s="78"/>
      <c r="DY757" s="78"/>
      <c r="DZ757" s="78"/>
      <c r="EA757" s="78"/>
      <c r="EB757" s="78"/>
      <c r="EC757" s="78"/>
      <c r="ED757" s="78"/>
      <c r="EE757" s="78"/>
      <c r="EF757" s="78"/>
      <c r="EG757" s="78"/>
      <c r="EH757" s="78"/>
      <c r="EI757" s="78"/>
      <c r="EJ757" s="78"/>
      <c r="EK757" s="78"/>
      <c r="EL757" s="78"/>
      <c r="EM757" s="78"/>
      <c r="EN757" s="91"/>
      <c r="EO757" s="91"/>
      <c r="EP757" s="91"/>
      <c r="EQ757" s="91"/>
      <c r="ER757" s="91"/>
      <c r="ES757" s="91"/>
    </row>
    <row r="758" spans="1:149" outlineLevel="1">
      <c r="A758" s="29" t="str">
        <f t="shared" si="376"/>
        <v>lt005_instr_entmn_entty_id</v>
      </c>
      <c r="B758" s="67" t="s">
        <v>26</v>
      </c>
      <c r="C758" s="68" t="s">
        <v>26</v>
      </c>
      <c r="D758" s="64" t="s">
        <v>40</v>
      </c>
      <c r="E758" s="70" t="s">
        <v>439</v>
      </c>
      <c r="F758" s="71" t="s">
        <v>440</v>
      </c>
      <c r="G758" s="64" t="str">
        <f>INDEX(Auxiliar!$B$16:$B$24,MATCH(Plano_V3!H758,Auxiliar!$C$16:$C$24,0),1)</f>
        <v>1. Concluído</v>
      </c>
      <c r="H758" s="64">
        <f>VLOOKUP(A758,'Aux - pivots1'!$A:$B,2,0)</f>
        <v>1</v>
      </c>
      <c r="I758" s="175">
        <f>SUMIFS(Table1[Estimação (horas)],Table1[Tabela],Plano_V3!E758,Table1[Campo],Plano_V3!F758)</f>
        <v>0.1</v>
      </c>
      <c r="J758" s="175">
        <f t="shared" si="373"/>
        <v>1.2500000000000001E-2</v>
      </c>
      <c r="K758" s="175">
        <f>SUMIFS(Table1[Horas efetivas],Table1[Tabela],Plano_V3!E758,Table1[Campo],Plano_V3!F758)</f>
        <v>0.1</v>
      </c>
      <c r="L758" s="175">
        <f t="shared" si="374"/>
        <v>1.2500000000000001E-2</v>
      </c>
      <c r="M758" s="177"/>
      <c r="N758" s="177">
        <f t="shared" si="375"/>
        <v>1</v>
      </c>
      <c r="O758" s="177"/>
      <c r="P758" s="89" t="s">
        <v>399</v>
      </c>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c r="AP758" s="78"/>
      <c r="AQ758" s="78"/>
      <c r="AR758" s="78"/>
      <c r="AS758" s="78"/>
      <c r="AT758" s="78"/>
      <c r="AU758" s="78"/>
      <c r="AV758" s="78"/>
      <c r="AW758" s="78"/>
      <c r="AX758" s="78"/>
      <c r="AY758" s="91"/>
      <c r="AZ758" s="78"/>
      <c r="BA758" s="78"/>
      <c r="BB758" s="78"/>
      <c r="BC758" s="78"/>
      <c r="BD758" s="78"/>
      <c r="BE758" s="78"/>
      <c r="BF758" s="78"/>
      <c r="BG758" s="78"/>
      <c r="BH758" s="78"/>
      <c r="BI758" s="78"/>
      <c r="BJ758" s="78"/>
      <c r="BK758" s="78"/>
      <c r="BL758" s="78"/>
      <c r="BM758" s="78"/>
      <c r="BN758" s="78"/>
      <c r="BO758" s="78"/>
      <c r="BP758" s="78"/>
      <c r="BQ758" s="78"/>
      <c r="BR758" s="78"/>
      <c r="BS758" s="78"/>
      <c r="BT758" s="78"/>
      <c r="BU758" s="78"/>
      <c r="BV758" s="78"/>
      <c r="BW758" s="78"/>
      <c r="BX758" s="78"/>
      <c r="BY758" s="78"/>
      <c r="BZ758" s="78"/>
      <c r="CA758" s="78"/>
      <c r="CB758" s="78"/>
      <c r="CC758" s="78"/>
      <c r="CD758" s="78"/>
      <c r="CE758" s="78"/>
      <c r="CF758" s="78"/>
      <c r="CG758" s="78"/>
      <c r="CH758" s="78"/>
      <c r="CI758" s="78"/>
      <c r="CJ758" s="78"/>
      <c r="CK758" s="78"/>
      <c r="CL758" s="78"/>
      <c r="CM758" s="78"/>
      <c r="CN758" s="78"/>
      <c r="CO758" s="78"/>
      <c r="CP758" s="78"/>
      <c r="CQ758" s="78"/>
      <c r="CR758" s="78"/>
      <c r="CS758" s="78"/>
      <c r="CT758" s="78"/>
      <c r="CU758" s="78"/>
      <c r="CV758" s="78"/>
      <c r="CW758" s="78"/>
      <c r="CX758" s="78"/>
      <c r="CY758" s="78"/>
      <c r="CZ758" s="78"/>
      <c r="DA758" s="78"/>
      <c r="DB758" s="78"/>
      <c r="DC758" s="78"/>
      <c r="DD758" s="78"/>
      <c r="DE758" s="78"/>
      <c r="DF758" s="78"/>
      <c r="DG758" s="78"/>
      <c r="DH758" s="78"/>
      <c r="DI758" s="78"/>
      <c r="DJ758" s="78"/>
      <c r="DK758" s="78"/>
      <c r="DL758" s="78"/>
      <c r="DM758" s="78"/>
      <c r="DN758" s="78"/>
      <c r="DO758" s="78"/>
      <c r="DP758" s="78"/>
      <c r="DQ758" s="78"/>
      <c r="DR758" s="78"/>
      <c r="DS758" s="78"/>
      <c r="DT758" s="78"/>
      <c r="DU758" s="78"/>
      <c r="DV758" s="78"/>
      <c r="DW758" s="78"/>
      <c r="DX758" s="78"/>
      <c r="DY758" s="78"/>
      <c r="DZ758" s="78"/>
      <c r="EA758" s="78"/>
      <c r="EB758" s="78"/>
      <c r="EC758" s="78"/>
      <c r="ED758" s="78"/>
      <c r="EE758" s="78"/>
      <c r="EF758" s="78"/>
      <c r="EG758" s="78"/>
      <c r="EH758" s="78"/>
      <c r="EI758" s="78"/>
      <c r="EJ758" s="78"/>
      <c r="EK758" s="78"/>
      <c r="EL758" s="78"/>
      <c r="EM758" s="78"/>
      <c r="EN758" s="91"/>
      <c r="EO758" s="91"/>
      <c r="EP758" s="91"/>
      <c r="EQ758" s="91"/>
      <c r="ER758" s="91"/>
      <c r="ES758" s="91"/>
    </row>
    <row r="759" spans="1:149" outlineLevel="1">
      <c r="A759" s="29" t="str">
        <f t="shared" si="376"/>
        <v>lt006_instr_protdt_rfrnc</v>
      </c>
      <c r="B759" s="67" t="s">
        <v>26</v>
      </c>
      <c r="C759" s="68" t="s">
        <v>26</v>
      </c>
      <c r="D759" s="64" t="s">
        <v>40</v>
      </c>
      <c r="E759" s="70" t="s">
        <v>441</v>
      </c>
      <c r="F759" s="71" t="s">
        <v>398</v>
      </c>
      <c r="G759" s="64" t="str">
        <f>INDEX(Auxiliar!$B$16:$B$24,MATCH(Plano_V3!H759,Auxiliar!$C$16:$C$24,0),1)</f>
        <v>1. Concluído</v>
      </c>
      <c r="H759" s="64">
        <f>VLOOKUP(A759,'Aux - pivots1'!$A:$B,2,0)</f>
        <v>1</v>
      </c>
      <c r="I759" s="175">
        <f>SUMIFS(Table1[Estimação (horas)],Table1[Tabela],Plano_V3!E759,Table1[Campo],Plano_V3!F759)</f>
        <v>0.1</v>
      </c>
      <c r="J759" s="175">
        <f t="shared" si="373"/>
        <v>1.2500000000000001E-2</v>
      </c>
      <c r="K759" s="175">
        <f>SUMIFS(Table1[Horas efetivas],Table1[Tabela],Plano_V3!E759,Table1[Campo],Plano_V3!F759)</f>
        <v>0.1</v>
      </c>
      <c r="L759" s="175">
        <f t="shared" si="374"/>
        <v>1.2500000000000001E-2</v>
      </c>
      <c r="M759" s="177"/>
      <c r="N759" s="177">
        <f t="shared" si="375"/>
        <v>1</v>
      </c>
      <c r="O759" s="177"/>
      <c r="P759" s="89" t="s">
        <v>399</v>
      </c>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c r="AP759" s="78"/>
      <c r="AQ759" s="78"/>
      <c r="AR759" s="78"/>
      <c r="AS759" s="78"/>
      <c r="AT759" s="78"/>
      <c r="AU759" s="78"/>
      <c r="AV759" s="78"/>
      <c r="AW759" s="78"/>
      <c r="AX759" s="78"/>
      <c r="AY759" s="91"/>
      <c r="AZ759" s="78"/>
      <c r="BA759" s="78"/>
      <c r="BB759" s="78"/>
      <c r="BC759" s="78"/>
      <c r="BD759" s="78"/>
      <c r="BE759" s="78"/>
      <c r="BF759" s="78"/>
      <c r="BG759" s="78"/>
      <c r="BH759" s="78"/>
      <c r="BI759" s="78"/>
      <c r="BJ759" s="78"/>
      <c r="BK759" s="78"/>
      <c r="BL759" s="78"/>
      <c r="BM759" s="78"/>
      <c r="BN759" s="78"/>
      <c r="BO759" s="78"/>
      <c r="BP759" s="78"/>
      <c r="BQ759" s="78"/>
      <c r="BR759" s="78"/>
      <c r="BS759" s="78"/>
      <c r="BT759" s="78"/>
      <c r="BU759" s="78"/>
      <c r="BV759" s="78"/>
      <c r="BW759" s="78"/>
      <c r="BX759" s="78"/>
      <c r="BY759" s="78"/>
      <c r="BZ759" s="78"/>
      <c r="CA759" s="78"/>
      <c r="CB759" s="78"/>
      <c r="CC759" s="78"/>
      <c r="CD759" s="78"/>
      <c r="CE759" s="78"/>
      <c r="CF759" s="78"/>
      <c r="CG759" s="78"/>
      <c r="CH759" s="78"/>
      <c r="CI759" s="78"/>
      <c r="CJ759" s="78"/>
      <c r="CK759" s="78"/>
      <c r="CL759" s="78"/>
      <c r="CM759" s="78"/>
      <c r="CN759" s="78"/>
      <c r="CO759" s="78"/>
      <c r="CP759" s="78"/>
      <c r="CQ759" s="78"/>
      <c r="CR759" s="78"/>
      <c r="CS759" s="78"/>
      <c r="CT759" s="78"/>
      <c r="CU759" s="78"/>
      <c r="CV759" s="78"/>
      <c r="CW759" s="78"/>
      <c r="CX759" s="78"/>
      <c r="CY759" s="78"/>
      <c r="CZ759" s="78"/>
      <c r="DA759" s="78"/>
      <c r="DB759" s="78"/>
      <c r="DC759" s="78"/>
      <c r="DD759" s="78"/>
      <c r="DE759" s="78"/>
      <c r="DF759" s="78"/>
      <c r="DG759" s="78"/>
      <c r="DH759" s="78"/>
      <c r="DI759" s="78"/>
      <c r="DJ759" s="78"/>
      <c r="DK759" s="78"/>
      <c r="DL759" s="78"/>
      <c r="DM759" s="78"/>
      <c r="DN759" s="78"/>
      <c r="DO759" s="78"/>
      <c r="DP759" s="78"/>
      <c r="DQ759" s="78"/>
      <c r="DR759" s="78"/>
      <c r="DS759" s="78"/>
      <c r="DT759" s="78"/>
      <c r="DU759" s="78"/>
      <c r="DV759" s="78"/>
      <c r="DW759" s="78"/>
      <c r="DX759" s="78"/>
      <c r="DY759" s="78"/>
      <c r="DZ759" s="78"/>
      <c r="EA759" s="78"/>
      <c r="EB759" s="78"/>
      <c r="EC759" s="78"/>
      <c r="ED759" s="78"/>
      <c r="EE759" s="78"/>
      <c r="EF759" s="78"/>
      <c r="EG759" s="78"/>
      <c r="EH759" s="78"/>
      <c r="EI759" s="78"/>
      <c r="EJ759" s="78"/>
      <c r="EK759" s="78"/>
      <c r="EL759" s="78"/>
      <c r="EM759" s="78"/>
      <c r="EN759" s="91"/>
      <c r="EO759" s="91"/>
      <c r="EP759" s="91"/>
      <c r="EQ759" s="91"/>
      <c r="ER759" s="91"/>
      <c r="ES759" s="91"/>
    </row>
    <row r="760" spans="1:149" outlineLevel="1">
      <c r="A760" s="29" t="str">
        <f t="shared" si="376"/>
        <v>lt006_instr_protinstrmnt_id</v>
      </c>
      <c r="B760" s="67" t="s">
        <v>26</v>
      </c>
      <c r="C760" s="68" t="s">
        <v>26</v>
      </c>
      <c r="D760" s="64" t="s">
        <v>40</v>
      </c>
      <c r="E760" s="70" t="s">
        <v>441</v>
      </c>
      <c r="F760" s="71" t="s">
        <v>400</v>
      </c>
      <c r="G760" s="64" t="str">
        <f>INDEX(Auxiliar!$B$16:$B$24,MATCH(Plano_V3!H760,Auxiliar!$C$16:$C$24,0),1)</f>
        <v>1. Concluído</v>
      </c>
      <c r="H760" s="64">
        <f>VLOOKUP(A760,'Aux - pivots1'!$A:$B,2,0)</f>
        <v>1</v>
      </c>
      <c r="I760" s="175">
        <f>SUMIFS(Table1[Estimação (horas)],Table1[Tabela],Plano_V3!E760,Table1[Campo],Plano_V3!F760)</f>
        <v>0.1</v>
      </c>
      <c r="J760" s="175">
        <f t="shared" si="373"/>
        <v>1.2500000000000001E-2</v>
      </c>
      <c r="K760" s="175">
        <f>SUMIFS(Table1[Horas efetivas],Table1[Tabela],Plano_V3!E760,Table1[Campo],Plano_V3!F760)</f>
        <v>0.1</v>
      </c>
      <c r="L760" s="175">
        <f t="shared" si="374"/>
        <v>1.2500000000000001E-2</v>
      </c>
      <c r="M760" s="177"/>
      <c r="N760" s="177">
        <f t="shared" si="375"/>
        <v>1</v>
      </c>
      <c r="O760" s="177"/>
      <c r="P760" s="89" t="s">
        <v>399</v>
      </c>
      <c r="R760" s="78"/>
      <c r="S760" s="78"/>
      <c r="T760" s="78"/>
      <c r="U760" s="78"/>
      <c r="V760" s="78"/>
      <c r="W760" s="78"/>
      <c r="X760" s="78"/>
      <c r="Y760" s="78"/>
      <c r="Z760" s="78"/>
      <c r="AA760" s="78"/>
      <c r="AB760" s="78"/>
      <c r="AC760" s="78"/>
      <c r="AD760" s="78"/>
      <c r="AE760" s="78"/>
      <c r="AF760" s="78"/>
      <c r="AG760" s="78"/>
      <c r="AH760" s="78"/>
      <c r="AI760" s="78"/>
      <c r="AJ760" s="78"/>
      <c r="AK760" s="78"/>
      <c r="AL760" s="78"/>
      <c r="AM760" s="78"/>
      <c r="AN760" s="78"/>
      <c r="AO760" s="78"/>
      <c r="AP760" s="78"/>
      <c r="AQ760" s="78"/>
      <c r="AR760" s="78"/>
      <c r="AS760" s="78"/>
      <c r="AT760" s="78"/>
      <c r="AU760" s="78"/>
      <c r="AV760" s="78"/>
      <c r="AW760" s="78"/>
      <c r="AX760" s="78"/>
      <c r="AY760" s="91"/>
      <c r="AZ760" s="78"/>
      <c r="BA760" s="78"/>
      <c r="BB760" s="78"/>
      <c r="BC760" s="78"/>
      <c r="BD760" s="78"/>
      <c r="BE760" s="78"/>
      <c r="BF760" s="78"/>
      <c r="BG760" s="78"/>
      <c r="BH760" s="78"/>
      <c r="BI760" s="78"/>
      <c r="BJ760" s="78"/>
      <c r="BK760" s="78"/>
      <c r="BL760" s="78"/>
      <c r="BM760" s="78"/>
      <c r="BN760" s="78"/>
      <c r="BO760" s="78"/>
      <c r="BP760" s="78"/>
      <c r="BQ760" s="78"/>
      <c r="BR760" s="78"/>
      <c r="BS760" s="78"/>
      <c r="BT760" s="78"/>
      <c r="BU760" s="78"/>
      <c r="BV760" s="78"/>
      <c r="BW760" s="78"/>
      <c r="BX760" s="78"/>
      <c r="BY760" s="78"/>
      <c r="BZ760" s="78"/>
      <c r="CA760" s="78"/>
      <c r="CB760" s="78"/>
      <c r="CC760" s="78"/>
      <c r="CD760" s="78"/>
      <c r="CE760" s="78"/>
      <c r="CF760" s="78"/>
      <c r="CG760" s="78"/>
      <c r="CH760" s="78"/>
      <c r="CI760" s="78"/>
      <c r="CJ760" s="78"/>
      <c r="CK760" s="78"/>
      <c r="CL760" s="78"/>
      <c r="CM760" s="78"/>
      <c r="CN760" s="78"/>
      <c r="CO760" s="78"/>
      <c r="CP760" s="78"/>
      <c r="CQ760" s="78"/>
      <c r="CR760" s="78"/>
      <c r="CS760" s="78"/>
      <c r="CT760" s="78"/>
      <c r="CU760" s="78"/>
      <c r="CV760" s="78"/>
      <c r="CW760" s="78"/>
      <c r="CX760" s="78"/>
      <c r="CY760" s="78"/>
      <c r="CZ760" s="78"/>
      <c r="DA760" s="78"/>
      <c r="DB760" s="78"/>
      <c r="DC760" s="78"/>
      <c r="DD760" s="78"/>
      <c r="DE760" s="78"/>
      <c r="DF760" s="78"/>
      <c r="DG760" s="78"/>
      <c r="DH760" s="78"/>
      <c r="DI760" s="78"/>
      <c r="DJ760" s="78"/>
      <c r="DK760" s="78"/>
      <c r="DL760" s="78"/>
      <c r="DM760" s="78"/>
      <c r="DN760" s="78"/>
      <c r="DO760" s="78"/>
      <c r="DP760" s="78"/>
      <c r="DQ760" s="78"/>
      <c r="DR760" s="78"/>
      <c r="DS760" s="78"/>
      <c r="DT760" s="78"/>
      <c r="DU760" s="78"/>
      <c r="DV760" s="78"/>
      <c r="DW760" s="78"/>
      <c r="DX760" s="78"/>
      <c r="DY760" s="78"/>
      <c r="DZ760" s="78"/>
      <c r="EA760" s="78"/>
      <c r="EB760" s="78"/>
      <c r="EC760" s="78"/>
      <c r="ED760" s="78"/>
      <c r="EE760" s="78"/>
      <c r="EF760" s="78"/>
      <c r="EG760" s="78"/>
      <c r="EH760" s="78"/>
      <c r="EI760" s="78"/>
      <c r="EJ760" s="78"/>
      <c r="EK760" s="78"/>
      <c r="EL760" s="78"/>
      <c r="EM760" s="78"/>
      <c r="EN760" s="91"/>
      <c r="EO760" s="91"/>
      <c r="EP760" s="91"/>
      <c r="EQ760" s="91"/>
      <c r="ER760" s="91"/>
      <c r="ES760" s="91"/>
    </row>
    <row r="761" spans="1:149" outlineLevel="1">
      <c r="A761" s="29" t="str">
        <f t="shared" si="376"/>
        <v>lt006_instr_protprtctn_id</v>
      </c>
      <c r="B761" s="67" t="s">
        <v>26</v>
      </c>
      <c r="C761" s="68" t="s">
        <v>26</v>
      </c>
      <c r="D761" s="64" t="s">
        <v>40</v>
      </c>
      <c r="E761" s="70" t="s">
        <v>441</v>
      </c>
      <c r="F761" s="71" t="s">
        <v>433</v>
      </c>
      <c r="G761" s="64" t="str">
        <f>INDEX(Auxiliar!$B$16:$B$24,MATCH(Plano_V3!H761,Auxiliar!$C$16:$C$24,0),1)</f>
        <v>1. Concluído</v>
      </c>
      <c r="H761" s="64">
        <f>VLOOKUP(A761,'Aux - pivots1'!$A:$B,2,0)</f>
        <v>1</v>
      </c>
      <c r="I761" s="175">
        <f>SUMIFS(Table1[Estimação (horas)],Table1[Tabela],Plano_V3!E761,Table1[Campo],Plano_V3!F761)</f>
        <v>0.1</v>
      </c>
      <c r="J761" s="175">
        <f t="shared" si="373"/>
        <v>1.2500000000000001E-2</v>
      </c>
      <c r="K761" s="175">
        <f>SUMIFS(Table1[Horas efetivas],Table1[Tabela],Plano_V3!E761,Table1[Campo],Plano_V3!F761)</f>
        <v>0.1</v>
      </c>
      <c r="L761" s="175">
        <f t="shared" si="374"/>
        <v>1.2500000000000001E-2</v>
      </c>
      <c r="M761" s="177"/>
      <c r="N761" s="177">
        <f t="shared" si="375"/>
        <v>1</v>
      </c>
      <c r="O761" s="177"/>
      <c r="P761" s="89" t="s">
        <v>399</v>
      </c>
      <c r="R761" s="78"/>
      <c r="S761" s="78"/>
      <c r="T761" s="78"/>
      <c r="U761" s="78"/>
      <c r="V761" s="78"/>
      <c r="W761" s="78"/>
      <c r="X761" s="78"/>
      <c r="Y761" s="78"/>
      <c r="Z761" s="78"/>
      <c r="AA761" s="78"/>
      <c r="AB761" s="78"/>
      <c r="AC761" s="78"/>
      <c r="AD761" s="78"/>
      <c r="AE761" s="78"/>
      <c r="AF761" s="78"/>
      <c r="AG761" s="78"/>
      <c r="AH761" s="78"/>
      <c r="AI761" s="78"/>
      <c r="AJ761" s="78"/>
      <c r="AK761" s="78"/>
      <c r="AL761" s="78"/>
      <c r="AM761" s="78"/>
      <c r="AN761" s="78"/>
      <c r="AO761" s="78"/>
      <c r="AP761" s="78"/>
      <c r="AQ761" s="78"/>
      <c r="AR761" s="78"/>
      <c r="AS761" s="78"/>
      <c r="AT761" s="78"/>
      <c r="AU761" s="78"/>
      <c r="AV761" s="78"/>
      <c r="AW761" s="78"/>
      <c r="AX761" s="78"/>
      <c r="AY761" s="91"/>
      <c r="AZ761" s="78"/>
      <c r="BA761" s="78"/>
      <c r="BB761" s="78"/>
      <c r="BC761" s="78"/>
      <c r="BD761" s="78"/>
      <c r="BE761" s="78"/>
      <c r="BF761" s="78"/>
      <c r="BG761" s="78"/>
      <c r="BH761" s="78"/>
      <c r="BI761" s="78"/>
      <c r="BJ761" s="78"/>
      <c r="BK761" s="78"/>
      <c r="BL761" s="78"/>
      <c r="BM761" s="78"/>
      <c r="BN761" s="78"/>
      <c r="BO761" s="78"/>
      <c r="BP761" s="78"/>
      <c r="BQ761" s="78"/>
      <c r="BR761" s="78"/>
      <c r="BS761" s="78"/>
      <c r="BT761" s="78"/>
      <c r="BU761" s="78"/>
      <c r="BV761" s="78"/>
      <c r="BW761" s="78"/>
      <c r="BX761" s="78"/>
      <c r="BY761" s="78"/>
      <c r="BZ761" s="78"/>
      <c r="CA761" s="78"/>
      <c r="CB761" s="78"/>
      <c r="CC761" s="78"/>
      <c r="CD761" s="78"/>
      <c r="CE761" s="78"/>
      <c r="CF761" s="78"/>
      <c r="CG761" s="78"/>
      <c r="CH761" s="78"/>
      <c r="CI761" s="78"/>
      <c r="CJ761" s="78"/>
      <c r="CK761" s="78"/>
      <c r="CL761" s="78"/>
      <c r="CM761" s="78"/>
      <c r="CN761" s="78"/>
      <c r="CO761" s="78"/>
      <c r="CP761" s="78"/>
      <c r="CQ761" s="78"/>
      <c r="CR761" s="78"/>
      <c r="CS761" s="78"/>
      <c r="CT761" s="78"/>
      <c r="CU761" s="78"/>
      <c r="CV761" s="78"/>
      <c r="CW761" s="78"/>
      <c r="CX761" s="78"/>
      <c r="CY761" s="78"/>
      <c r="CZ761" s="78"/>
      <c r="DA761" s="78"/>
      <c r="DB761" s="78"/>
      <c r="DC761" s="78"/>
      <c r="DD761" s="78"/>
      <c r="DE761" s="78"/>
      <c r="DF761" s="78"/>
      <c r="DG761" s="78"/>
      <c r="DH761" s="78"/>
      <c r="DI761" s="78"/>
      <c r="DJ761" s="78"/>
      <c r="DK761" s="78"/>
      <c r="DL761" s="78"/>
      <c r="DM761" s="78"/>
      <c r="DN761" s="78"/>
      <c r="DO761" s="78"/>
      <c r="DP761" s="78"/>
      <c r="DQ761" s="78"/>
      <c r="DR761" s="78"/>
      <c r="DS761" s="78"/>
      <c r="DT761" s="78"/>
      <c r="DU761" s="78"/>
      <c r="DV761" s="78"/>
      <c r="DW761" s="78"/>
      <c r="DX761" s="78"/>
      <c r="DY761" s="78"/>
      <c r="DZ761" s="78"/>
      <c r="EA761" s="78"/>
      <c r="EB761" s="78"/>
      <c r="EC761" s="78"/>
      <c r="ED761" s="78"/>
      <c r="EE761" s="78"/>
      <c r="EF761" s="78"/>
      <c r="EG761" s="78"/>
      <c r="EH761" s="78"/>
      <c r="EI761" s="78"/>
      <c r="EJ761" s="78"/>
      <c r="EK761" s="78"/>
      <c r="EL761" s="78"/>
      <c r="EM761" s="78"/>
      <c r="EN761" s="91"/>
      <c r="EO761" s="91"/>
      <c r="EP761" s="91"/>
      <c r="EQ761" s="91"/>
      <c r="ER761" s="91"/>
      <c r="ES761" s="91"/>
    </row>
    <row r="762" spans="1:149" outlineLevel="1">
      <c r="A762" s="29" t="str">
        <f t="shared" si="376"/>
        <v>lt006_instr_protprtctn_allctd_vl</v>
      </c>
      <c r="B762" s="67" t="s">
        <v>26</v>
      </c>
      <c r="C762" s="68" t="s">
        <v>26</v>
      </c>
      <c r="D762" s="64" t="s">
        <v>40</v>
      </c>
      <c r="E762" s="70" t="s">
        <v>441</v>
      </c>
      <c r="F762" s="71" t="s">
        <v>442</v>
      </c>
      <c r="G762" s="64" t="str">
        <f>INDEX(Auxiliar!$B$16:$B$24,MATCH(Plano_V3!H762,Auxiliar!$C$16:$C$24,0),1)</f>
        <v xml:space="preserve">6. Em implementação </v>
      </c>
      <c r="H762" s="64">
        <f>VLOOKUP(A762,'Aux - pivots1'!$A:$B,2,0)</f>
        <v>7</v>
      </c>
      <c r="I762" s="175">
        <f>SUMIFS(Table1[Estimação (horas)],Table1[Tabela],Plano_V3!E762,Table1[Campo],Plano_V3!F762)</f>
        <v>0.1</v>
      </c>
      <c r="J762" s="175">
        <f t="shared" si="373"/>
        <v>1.2500000000000001E-2</v>
      </c>
      <c r="K762" s="175">
        <f>SUMIFS(Table1[Horas efetivas],Table1[Tabela],Plano_V3!E762,Table1[Campo],Plano_V3!F762)</f>
        <v>2.5000000000000001E-2</v>
      </c>
      <c r="L762" s="175">
        <f t="shared" si="374"/>
        <v>3.1250000000000002E-3</v>
      </c>
      <c r="M762" s="177"/>
      <c r="N762" s="177">
        <f t="shared" si="375"/>
        <v>0.25</v>
      </c>
      <c r="O762" s="177"/>
      <c r="P762" s="89" t="s">
        <v>399</v>
      </c>
      <c r="R762" s="78"/>
      <c r="S762" s="78"/>
      <c r="T762" s="78"/>
      <c r="U762" s="78"/>
      <c r="V762" s="78"/>
      <c r="W762" s="78"/>
      <c r="X762" s="78"/>
      <c r="Y762" s="78"/>
      <c r="Z762" s="78"/>
      <c r="AA762" s="78"/>
      <c r="AB762" s="78"/>
      <c r="AC762" s="78"/>
      <c r="AD762" s="78"/>
      <c r="AE762" s="78"/>
      <c r="AF762" s="78"/>
      <c r="AG762" s="78"/>
      <c r="AH762" s="78"/>
      <c r="AI762" s="78"/>
      <c r="AJ762" s="78"/>
      <c r="AK762" s="78"/>
      <c r="AL762" s="78"/>
      <c r="AM762" s="78"/>
      <c r="AN762" s="78"/>
      <c r="AO762" s="78"/>
      <c r="AP762" s="78"/>
      <c r="AQ762" s="78"/>
      <c r="AR762" s="78"/>
      <c r="AS762" s="78"/>
      <c r="AT762" s="78"/>
      <c r="AU762" s="78"/>
      <c r="AV762" s="78"/>
      <c r="AW762" s="78"/>
      <c r="AX762" s="78"/>
      <c r="AY762" s="91"/>
      <c r="AZ762" s="78"/>
      <c r="BA762" s="78"/>
      <c r="BB762" s="78"/>
      <c r="BC762" s="78"/>
      <c r="BD762" s="78"/>
      <c r="BE762" s="78"/>
      <c r="BF762" s="78"/>
      <c r="BG762" s="78"/>
      <c r="BH762" s="78"/>
      <c r="BI762" s="78"/>
      <c r="BJ762" s="78"/>
      <c r="BK762" s="78"/>
      <c r="BL762" s="78"/>
      <c r="BM762" s="78"/>
      <c r="BN762" s="78"/>
      <c r="BO762" s="78"/>
      <c r="BP762" s="78"/>
      <c r="BQ762" s="78"/>
      <c r="BR762" s="78"/>
      <c r="BS762" s="78"/>
      <c r="BT762" s="78"/>
      <c r="BU762" s="78"/>
      <c r="BV762" s="78"/>
      <c r="BW762" s="78"/>
      <c r="BX762" s="78"/>
      <c r="BY762" s="78"/>
      <c r="BZ762" s="78"/>
      <c r="CA762" s="78"/>
      <c r="CB762" s="78"/>
      <c r="CC762" s="78"/>
      <c r="CD762" s="78"/>
      <c r="CE762" s="78"/>
      <c r="CF762" s="78"/>
      <c r="CG762" s="78"/>
      <c r="CH762" s="78"/>
      <c r="CI762" s="78"/>
      <c r="CJ762" s="78"/>
      <c r="CK762" s="78"/>
      <c r="CL762" s="78"/>
      <c r="CM762" s="78"/>
      <c r="CN762" s="78"/>
      <c r="CO762" s="78"/>
      <c r="CP762" s="78"/>
      <c r="CQ762" s="78"/>
      <c r="CR762" s="78"/>
      <c r="CS762" s="78"/>
      <c r="CT762" s="78"/>
      <c r="CU762" s="78"/>
      <c r="CV762" s="78"/>
      <c r="CW762" s="78"/>
      <c r="CX762" s="78"/>
      <c r="CY762" s="78"/>
      <c r="CZ762" s="78"/>
      <c r="DA762" s="78"/>
      <c r="DB762" s="78"/>
      <c r="DC762" s="78"/>
      <c r="DD762" s="78"/>
      <c r="DE762" s="78"/>
      <c r="DF762" s="78"/>
      <c r="DG762" s="78"/>
      <c r="DH762" s="78"/>
      <c r="DI762" s="78"/>
      <c r="DJ762" s="78"/>
      <c r="DK762" s="78"/>
      <c r="DL762" s="78"/>
      <c r="DM762" s="78"/>
      <c r="DN762" s="78"/>
      <c r="DO762" s="78"/>
      <c r="DP762" s="78"/>
      <c r="DQ762" s="78"/>
      <c r="DR762" s="78"/>
      <c r="DS762" s="78"/>
      <c r="DT762" s="78"/>
      <c r="DU762" s="78"/>
      <c r="DV762" s="78"/>
      <c r="DW762" s="78"/>
      <c r="DX762" s="78"/>
      <c r="DY762" s="78"/>
      <c r="DZ762" s="78"/>
      <c r="EA762" s="78"/>
      <c r="EB762" s="78"/>
      <c r="EC762" s="78"/>
      <c r="ED762" s="78"/>
      <c r="EE762" s="78"/>
      <c r="EF762" s="78"/>
      <c r="EG762" s="78"/>
      <c r="EH762" s="78"/>
      <c r="EI762" s="78"/>
      <c r="EJ762" s="78"/>
      <c r="EK762" s="78"/>
      <c r="EL762" s="78"/>
      <c r="EM762" s="78"/>
      <c r="EN762" s="91"/>
      <c r="EO762" s="91"/>
      <c r="EP762" s="91"/>
      <c r="EQ762" s="91"/>
      <c r="ER762" s="91"/>
      <c r="ES762" s="91"/>
    </row>
    <row r="763" spans="1:149" outlineLevel="1">
      <c r="A763" s="29" t="str">
        <f t="shared" si="376"/>
        <v>lt006_instr_protcod_soc</v>
      </c>
      <c r="B763" s="67" t="s">
        <v>26</v>
      </c>
      <c r="C763" s="68" t="s">
        <v>26</v>
      </c>
      <c r="D763" s="64" t="s">
        <v>40</v>
      </c>
      <c r="E763" s="70" t="s">
        <v>441</v>
      </c>
      <c r="F763" s="71" t="s">
        <v>416</v>
      </c>
      <c r="G763" s="64" t="str">
        <f>INDEX(Auxiliar!$B$16:$B$24,MATCH(Plano_V3!H763,Auxiliar!$C$16:$C$24,0),1)</f>
        <v>1. Concluído</v>
      </c>
      <c r="H763" s="64">
        <f>VLOOKUP(A763,'Aux - pivots1'!$A:$B,2,0)</f>
        <v>1</v>
      </c>
      <c r="I763" s="175">
        <f>SUMIFS(Table1[Estimação (horas)],Table1[Tabela],Plano_V3!E763,Table1[Campo],Plano_V3!F763)</f>
        <v>0.1</v>
      </c>
      <c r="J763" s="175">
        <f t="shared" si="373"/>
        <v>1.2500000000000001E-2</v>
      </c>
      <c r="K763" s="175">
        <f>SUMIFS(Table1[Horas efetivas],Table1[Tabela],Plano_V3!E763,Table1[Campo],Plano_V3!F763)</f>
        <v>0.1</v>
      </c>
      <c r="L763" s="175">
        <f t="shared" si="374"/>
        <v>1.2500000000000001E-2</v>
      </c>
      <c r="M763" s="177"/>
      <c r="N763" s="177">
        <f t="shared" si="375"/>
        <v>1</v>
      </c>
      <c r="O763" s="177"/>
      <c r="P763" s="89" t="s">
        <v>399</v>
      </c>
      <c r="R763" s="78"/>
      <c r="S763" s="78"/>
      <c r="T763" s="78"/>
      <c r="U763" s="78"/>
      <c r="V763" s="78"/>
      <c r="W763" s="78"/>
      <c r="X763" s="78"/>
      <c r="Y763" s="78"/>
      <c r="Z763" s="78"/>
      <c r="AA763" s="78"/>
      <c r="AB763" s="78"/>
      <c r="AC763" s="78"/>
      <c r="AD763" s="78"/>
      <c r="AE763" s="78"/>
      <c r="AF763" s="78"/>
      <c r="AG763" s="78"/>
      <c r="AH763" s="78"/>
      <c r="AI763" s="78"/>
      <c r="AJ763" s="78"/>
      <c r="AK763" s="78"/>
      <c r="AL763" s="78"/>
      <c r="AM763" s="78"/>
      <c r="AN763" s="78"/>
      <c r="AO763" s="78"/>
      <c r="AP763" s="78"/>
      <c r="AQ763" s="78"/>
      <c r="AR763" s="78"/>
      <c r="AS763" s="78"/>
      <c r="AT763" s="78"/>
      <c r="AU763" s="78"/>
      <c r="AV763" s="78"/>
      <c r="AW763" s="78"/>
      <c r="AX763" s="78"/>
      <c r="AY763" s="91"/>
      <c r="AZ763" s="78"/>
      <c r="BA763" s="78"/>
      <c r="BB763" s="78"/>
      <c r="BC763" s="78"/>
      <c r="BD763" s="78"/>
      <c r="BE763" s="78"/>
      <c r="BF763" s="78"/>
      <c r="BG763" s="78"/>
      <c r="BH763" s="78"/>
      <c r="BI763" s="78"/>
      <c r="BJ763" s="78"/>
      <c r="BK763" s="78"/>
      <c r="BL763" s="78"/>
      <c r="BM763" s="78"/>
      <c r="BN763" s="78"/>
      <c r="BO763" s="78"/>
      <c r="BP763" s="78"/>
      <c r="BQ763" s="78"/>
      <c r="BR763" s="78"/>
      <c r="BS763" s="78"/>
      <c r="BT763" s="78"/>
      <c r="BU763" s="78"/>
      <c r="BV763" s="78"/>
      <c r="BW763" s="78"/>
      <c r="BX763" s="78"/>
      <c r="BY763" s="78"/>
      <c r="BZ763" s="78"/>
      <c r="CA763" s="78"/>
      <c r="CB763" s="78"/>
      <c r="CC763" s="78"/>
      <c r="CD763" s="78"/>
      <c r="CE763" s="78"/>
      <c r="CF763" s="78"/>
      <c r="CG763" s="78"/>
      <c r="CH763" s="78"/>
      <c r="CI763" s="78"/>
      <c r="CJ763" s="78"/>
      <c r="CK763" s="78"/>
      <c r="CL763" s="78"/>
      <c r="CM763" s="78"/>
      <c r="CN763" s="78"/>
      <c r="CO763" s="78"/>
      <c r="CP763" s="78"/>
      <c r="CQ763" s="78"/>
      <c r="CR763" s="78"/>
      <c r="CS763" s="78"/>
      <c r="CT763" s="78"/>
      <c r="CU763" s="78"/>
      <c r="CV763" s="78"/>
      <c r="CW763" s="78"/>
      <c r="CX763" s="78"/>
      <c r="CY763" s="78"/>
      <c r="CZ763" s="78"/>
      <c r="DA763" s="78"/>
      <c r="DB763" s="78"/>
      <c r="DC763" s="78"/>
      <c r="DD763" s="78"/>
      <c r="DE763" s="78"/>
      <c r="DF763" s="78"/>
      <c r="DG763" s="78"/>
      <c r="DH763" s="78"/>
      <c r="DI763" s="78"/>
      <c r="DJ763" s="78"/>
      <c r="DK763" s="78"/>
      <c r="DL763" s="78"/>
      <c r="DM763" s="78"/>
      <c r="DN763" s="78"/>
      <c r="DO763" s="78"/>
      <c r="DP763" s="78"/>
      <c r="DQ763" s="78"/>
      <c r="DR763" s="78"/>
      <c r="DS763" s="78"/>
      <c r="DT763" s="78"/>
      <c r="DU763" s="78"/>
      <c r="DV763" s="78"/>
      <c r="DW763" s="78"/>
      <c r="DX763" s="78"/>
      <c r="DY763" s="78"/>
      <c r="DZ763" s="78"/>
      <c r="EA763" s="78"/>
      <c r="EB763" s="78"/>
      <c r="EC763" s="78"/>
      <c r="ED763" s="78"/>
      <c r="EE763" s="78"/>
      <c r="EF763" s="78"/>
      <c r="EG763" s="78"/>
      <c r="EH763" s="78"/>
      <c r="EI763" s="78"/>
      <c r="EJ763" s="78"/>
      <c r="EK763" s="78"/>
      <c r="EL763" s="78"/>
      <c r="EM763" s="78"/>
      <c r="EN763" s="91"/>
      <c r="EO763" s="91"/>
      <c r="EP763" s="91"/>
      <c r="EQ763" s="91"/>
      <c r="ER763" s="91"/>
      <c r="ES763" s="91"/>
    </row>
    <row r="764" spans="1:149" outlineLevel="1">
      <c r="A764" s="29" t="str">
        <f t="shared" si="376"/>
        <v>lt006_instr_protTYP_RLTN</v>
      </c>
      <c r="B764" s="67" t="s">
        <v>26</v>
      </c>
      <c r="C764" s="68" t="s">
        <v>26</v>
      </c>
      <c r="D764" s="64" t="s">
        <v>40</v>
      </c>
      <c r="E764" s="70" t="s">
        <v>441</v>
      </c>
      <c r="F764" s="357" t="s">
        <v>2295</v>
      </c>
      <c r="G764" s="64" t="str">
        <f>INDEX(Auxiliar!$B$16:$B$24,MATCH(Plano_V3!H764,Auxiliar!$C$16:$C$24,0),1)</f>
        <v xml:space="preserve">6. Em implementação </v>
      </c>
      <c r="H764" s="64">
        <f>VLOOKUP(A764,'Aux - pivots1'!$A:$B,2,0)</f>
        <v>7</v>
      </c>
      <c r="I764" s="175">
        <f>SUMIFS(Table1[Estimação (horas)],Table1[Tabela],Plano_V3!E764,Table1[Campo],Plano_V3!F764)</f>
        <v>0.1</v>
      </c>
      <c r="J764" s="175">
        <f>I764/8</f>
        <v>1.2500000000000001E-2</v>
      </c>
      <c r="K764" s="175">
        <f>SUMIFS(Table1[Horas efetivas],Table1[Tabela],Plano_V3!E764,Table1[Campo],Plano_V3!F764)</f>
        <v>2.5000000000000001E-2</v>
      </c>
      <c r="L764" s="175">
        <f>K764/8</f>
        <v>3.1250000000000002E-3</v>
      </c>
      <c r="M764" s="177"/>
      <c r="N764" s="177">
        <f>L764/J764</f>
        <v>0.25</v>
      </c>
      <c r="O764" s="177"/>
      <c r="P764" s="89" t="s">
        <v>399</v>
      </c>
      <c r="R764" s="78"/>
      <c r="S764" s="78"/>
      <c r="T764" s="78"/>
      <c r="U764" s="78"/>
      <c r="V764" s="78"/>
      <c r="W764" s="78"/>
      <c r="X764" s="78"/>
      <c r="Y764" s="78"/>
      <c r="Z764" s="78"/>
      <c r="AA764" s="78"/>
      <c r="AB764" s="78"/>
      <c r="AC764" s="78"/>
      <c r="AD764" s="78"/>
      <c r="AE764" s="78"/>
      <c r="AF764" s="78"/>
      <c r="AG764" s="78"/>
      <c r="AH764" s="78"/>
      <c r="AI764" s="78"/>
      <c r="AJ764" s="78"/>
      <c r="AK764" s="78"/>
      <c r="AL764" s="78"/>
      <c r="AM764" s="78"/>
      <c r="AN764" s="78"/>
      <c r="AO764" s="78"/>
      <c r="AP764" s="78"/>
      <c r="AQ764" s="78"/>
      <c r="AR764" s="78"/>
      <c r="AS764" s="78"/>
      <c r="AT764" s="78"/>
      <c r="AU764" s="78"/>
      <c r="AV764" s="78"/>
      <c r="AW764" s="78"/>
      <c r="AX764" s="78"/>
      <c r="AY764" s="91"/>
      <c r="AZ764" s="78"/>
      <c r="BA764" s="78"/>
      <c r="BB764" s="78"/>
      <c r="BC764" s="78"/>
      <c r="BD764" s="78"/>
      <c r="BE764" s="78"/>
      <c r="BF764" s="78"/>
      <c r="BG764" s="78"/>
      <c r="BH764" s="78"/>
      <c r="BI764" s="78"/>
      <c r="BJ764" s="78"/>
      <c r="BK764" s="78"/>
      <c r="BL764" s="78"/>
      <c r="BM764" s="78"/>
      <c r="BN764" s="78"/>
      <c r="BO764" s="78"/>
      <c r="BP764" s="78"/>
      <c r="BQ764" s="78"/>
      <c r="BR764" s="78"/>
      <c r="BS764" s="78"/>
      <c r="BT764" s="78"/>
      <c r="BU764" s="78"/>
      <c r="BV764" s="78"/>
      <c r="BW764" s="78"/>
      <c r="BX764" s="78"/>
      <c r="BY764" s="78"/>
      <c r="BZ764" s="78"/>
      <c r="CA764" s="78"/>
      <c r="CB764" s="78"/>
      <c r="CC764" s="78"/>
      <c r="CD764" s="78"/>
      <c r="CE764" s="78"/>
      <c r="CF764" s="78"/>
      <c r="CG764" s="78"/>
      <c r="CH764" s="78"/>
      <c r="CI764" s="78"/>
      <c r="CJ764" s="78"/>
      <c r="CK764" s="78"/>
      <c r="CL764" s="78"/>
      <c r="CM764" s="78"/>
      <c r="CN764" s="78"/>
      <c r="CO764" s="78"/>
      <c r="CP764" s="78"/>
      <c r="CQ764" s="78"/>
      <c r="CR764" s="78"/>
      <c r="CS764" s="78"/>
      <c r="CT764" s="78"/>
      <c r="CU764" s="78"/>
      <c r="CV764" s="78"/>
      <c r="CW764" s="78"/>
      <c r="CX764" s="78"/>
      <c r="CY764" s="78"/>
      <c r="CZ764" s="78"/>
      <c r="DA764" s="78"/>
      <c r="DB764" s="78"/>
      <c r="DC764" s="78"/>
      <c r="DD764" s="78"/>
      <c r="DE764" s="78"/>
      <c r="DF764" s="78"/>
      <c r="DG764" s="78"/>
      <c r="DH764" s="78"/>
      <c r="DI764" s="78"/>
      <c r="DJ764" s="78"/>
      <c r="DK764" s="78"/>
      <c r="DL764" s="78"/>
      <c r="DM764" s="78"/>
      <c r="DN764" s="78"/>
      <c r="DO764" s="78"/>
      <c r="DP764" s="78"/>
      <c r="DQ764" s="78"/>
      <c r="DR764" s="78"/>
      <c r="DS764" s="78"/>
      <c r="DT764" s="78"/>
      <c r="DU764" s="78"/>
      <c r="DV764" s="78"/>
      <c r="DW764" s="78"/>
      <c r="DX764" s="78"/>
      <c r="DY764" s="78"/>
      <c r="DZ764" s="78"/>
      <c r="EA764" s="78"/>
      <c r="EB764" s="78"/>
      <c r="EC764" s="78"/>
      <c r="ED764" s="78"/>
      <c r="EE764" s="78"/>
      <c r="EF764" s="78"/>
      <c r="EG764" s="78"/>
      <c r="EH764" s="78"/>
      <c r="EI764" s="78"/>
      <c r="EJ764" s="78"/>
      <c r="EK764" s="78"/>
      <c r="EL764" s="78"/>
      <c r="EM764" s="78"/>
      <c r="EN764" s="91"/>
      <c r="EO764" s="91"/>
      <c r="EP764" s="91"/>
      <c r="EQ764" s="91"/>
      <c r="ER764" s="91"/>
      <c r="ES764" s="91"/>
    </row>
    <row r="765" spans="1:149" outlineLevel="1">
      <c r="A765" s="29" t="str">
        <f t="shared" si="376"/>
        <v>lt004_protectionflg_fin</v>
      </c>
      <c r="B765" s="67"/>
      <c r="C765" s="68"/>
      <c r="D765" s="64" t="s">
        <v>40</v>
      </c>
      <c r="E765" s="70" t="s">
        <v>368</v>
      </c>
      <c r="F765" s="71" t="s">
        <v>480</v>
      </c>
      <c r="G765" s="64" t="str">
        <f>INDEX(Auxiliar!$B$16:$B$24,MATCH(Plano_V3!H765,Auxiliar!$C$16:$C$24,0),1)</f>
        <v>0. Cancelado</v>
      </c>
      <c r="H765" s="64">
        <f>VLOOKUP(A765,'Aux - pivots1'!$A:$B,2,0)</f>
        <v>0</v>
      </c>
      <c r="I765" s="175">
        <f>SUMIFS(Table1[Estimação (horas)],Table1[Tabela],Plano_V3!E765,Table1[Campo],Plano_V3!F765)</f>
        <v>4.0999999999999996</v>
      </c>
      <c r="J765" s="175">
        <f t="shared" si="373"/>
        <v>0.51249999999999996</v>
      </c>
      <c r="K765" s="175">
        <f>SUMIFS(Table1[Horas efetivas],Table1[Tabela],Plano_V3!E765,Table1[Campo],Plano_V3!F765)</f>
        <v>0</v>
      </c>
      <c r="L765" s="175">
        <f t="shared" si="374"/>
        <v>0</v>
      </c>
      <c r="M765" s="177"/>
      <c r="N765" s="177">
        <f t="shared" si="375"/>
        <v>0</v>
      </c>
      <c r="O765" s="177"/>
      <c r="P765" s="89" t="s">
        <v>399</v>
      </c>
      <c r="R765" s="78"/>
      <c r="S765" s="78"/>
      <c r="T765" s="78"/>
      <c r="U765" s="78"/>
      <c r="V765" s="78"/>
      <c r="W765" s="78"/>
      <c r="X765" s="78"/>
      <c r="Y765" s="78"/>
      <c r="Z765" s="78"/>
      <c r="AA765" s="78"/>
      <c r="AB765" s="78"/>
      <c r="AC765" s="78"/>
      <c r="AD765" s="78"/>
      <c r="AE765" s="78"/>
      <c r="AF765" s="78"/>
      <c r="AG765" s="78"/>
      <c r="AH765" s="78"/>
      <c r="AI765" s="78"/>
      <c r="AJ765" s="78"/>
      <c r="AK765" s="78"/>
      <c r="AL765" s="78"/>
      <c r="AM765" s="78"/>
      <c r="AN765" s="78"/>
      <c r="AO765" s="78"/>
      <c r="AP765" s="78"/>
      <c r="AQ765" s="78"/>
      <c r="AR765" s="78"/>
      <c r="AS765" s="78"/>
      <c r="AT765" s="78"/>
      <c r="AU765" s="78"/>
      <c r="AV765" s="78"/>
      <c r="AW765" s="78"/>
      <c r="AX765" s="78"/>
      <c r="AY765" s="91"/>
      <c r="AZ765" s="78"/>
      <c r="BA765" s="78"/>
      <c r="BB765" s="78"/>
      <c r="BC765" s="78"/>
      <c r="BD765" s="78"/>
      <c r="BE765" s="78"/>
      <c r="BF765" s="78"/>
      <c r="BG765" s="78"/>
      <c r="BH765" s="78"/>
      <c r="BI765" s="78"/>
      <c r="BJ765" s="78"/>
      <c r="BK765" s="78"/>
      <c r="BL765" s="78"/>
      <c r="BM765" s="78"/>
      <c r="BN765" s="78"/>
      <c r="BO765" s="78"/>
      <c r="BP765" s="78"/>
      <c r="BQ765" s="78"/>
      <c r="BR765" s="78"/>
      <c r="BS765" s="78"/>
      <c r="BT765" s="78"/>
      <c r="BU765" s="78"/>
      <c r="BV765" s="78"/>
      <c r="BW765" s="78"/>
      <c r="BX765" s="78"/>
      <c r="BY765" s="78"/>
      <c r="BZ765" s="78"/>
      <c r="CA765" s="78"/>
      <c r="CB765" s="78"/>
      <c r="CC765" s="78"/>
      <c r="CD765" s="78"/>
      <c r="CE765" s="78"/>
      <c r="CF765" s="78"/>
      <c r="CG765" s="78"/>
      <c r="CH765" s="78"/>
      <c r="CI765" s="78"/>
      <c r="CJ765" s="78"/>
      <c r="CK765" s="78"/>
      <c r="CL765" s="78"/>
      <c r="CM765" s="78"/>
      <c r="CN765" s="78"/>
      <c r="CO765" s="78"/>
      <c r="CP765" s="78"/>
      <c r="CQ765" s="78"/>
      <c r="CR765" s="78"/>
      <c r="CS765" s="78"/>
      <c r="CT765" s="78"/>
      <c r="CU765" s="78"/>
      <c r="CV765" s="78"/>
      <c r="CW765" s="78"/>
      <c r="CX765" s="78"/>
      <c r="CY765" s="78"/>
      <c r="CZ765" s="78"/>
      <c r="DA765" s="78"/>
      <c r="DB765" s="78"/>
      <c r="DC765" s="78"/>
      <c r="DD765" s="78"/>
      <c r="DE765" s="78"/>
      <c r="DF765" s="78"/>
      <c r="DG765" s="78"/>
      <c r="DH765" s="78"/>
      <c r="DI765" s="78"/>
      <c r="DJ765" s="78"/>
      <c r="DK765" s="78"/>
      <c r="DL765" s="78"/>
      <c r="DM765" s="78"/>
      <c r="DN765" s="78"/>
      <c r="DO765" s="78"/>
      <c r="DP765" s="78"/>
      <c r="DQ765" s="78"/>
      <c r="DR765" s="78"/>
      <c r="DS765" s="78"/>
      <c r="DT765" s="78"/>
      <c r="DU765" s="78"/>
      <c r="DV765" s="78"/>
      <c r="DW765" s="78"/>
      <c r="DX765" s="78"/>
      <c r="DY765" s="78"/>
      <c r="DZ765" s="78"/>
      <c r="EA765" s="78"/>
      <c r="EB765" s="78"/>
      <c r="EC765" s="78"/>
      <c r="ED765" s="78"/>
      <c r="EE765" s="78"/>
      <c r="EF765" s="78"/>
      <c r="EG765" s="78"/>
      <c r="EH765" s="78"/>
      <c r="EI765" s="78"/>
      <c r="EJ765" s="78"/>
      <c r="EK765" s="78"/>
      <c r="EL765" s="78"/>
      <c r="EM765" s="78"/>
      <c r="EN765" s="91"/>
      <c r="EO765" s="91"/>
      <c r="EP765" s="91"/>
      <c r="EQ765" s="91"/>
      <c r="ER765" s="91"/>
      <c r="ES765" s="91"/>
    </row>
    <row r="766" spans="1:149" outlineLevel="1">
      <c r="A766" s="29" t="str">
        <f t="shared" si="376"/>
        <v>lt004_protectionflg_exec</v>
      </c>
      <c r="B766" s="67"/>
      <c r="C766" s="68"/>
      <c r="D766" s="64" t="s">
        <v>40</v>
      </c>
      <c r="E766" s="70" t="s">
        <v>368</v>
      </c>
      <c r="F766" s="71" t="s">
        <v>1279</v>
      </c>
      <c r="G766" s="64" t="str">
        <f>INDEX(Auxiliar!$B$16:$B$24,MATCH(Plano_V3!H766,Auxiliar!$C$16:$C$24,0),1)</f>
        <v>0. Cancelado</v>
      </c>
      <c r="H766" s="64">
        <f>VLOOKUP(A766,'Aux - pivots1'!$A:$B,2,0)</f>
        <v>0</v>
      </c>
      <c r="I766" s="175">
        <f>SUMIFS(Table1[Estimação (horas)],Table1[Tabela],Plano_V3!E766,Table1[Campo],Plano_V3!F766)</f>
        <v>4.0999999999999996</v>
      </c>
      <c r="J766" s="175">
        <f t="shared" si="373"/>
        <v>0.51249999999999996</v>
      </c>
      <c r="K766" s="175">
        <f>SUMIFS(Table1[Horas efetivas],Table1[Tabela],Plano_V3!E766,Table1[Campo],Plano_V3!F766)</f>
        <v>0</v>
      </c>
      <c r="L766" s="175">
        <f t="shared" si="374"/>
        <v>0</v>
      </c>
      <c r="M766" s="177"/>
      <c r="N766" s="177">
        <f t="shared" si="375"/>
        <v>0</v>
      </c>
      <c r="O766" s="177"/>
      <c r="P766" s="89" t="s">
        <v>399</v>
      </c>
      <c r="R766" s="78"/>
      <c r="S766" s="78"/>
      <c r="T766" s="78"/>
      <c r="U766" s="78"/>
      <c r="V766" s="78"/>
      <c r="W766" s="78"/>
      <c r="X766" s="78"/>
      <c r="Y766" s="78"/>
      <c r="Z766" s="78"/>
      <c r="AA766" s="78"/>
      <c r="AB766" s="78"/>
      <c r="AC766" s="78"/>
      <c r="AD766" s="78"/>
      <c r="AE766" s="78"/>
      <c r="AF766" s="78"/>
      <c r="AG766" s="78"/>
      <c r="AH766" s="78"/>
      <c r="AI766" s="78"/>
      <c r="AJ766" s="78"/>
      <c r="AK766" s="78"/>
      <c r="AL766" s="78"/>
      <c r="AM766" s="78"/>
      <c r="AN766" s="78"/>
      <c r="AO766" s="78"/>
      <c r="AP766" s="78"/>
      <c r="AQ766" s="78"/>
      <c r="AR766" s="78"/>
      <c r="AS766" s="78"/>
      <c r="AT766" s="78"/>
      <c r="AU766" s="78"/>
      <c r="AV766" s="78"/>
      <c r="AW766" s="78"/>
      <c r="AX766" s="78"/>
      <c r="AY766" s="91"/>
      <c r="AZ766" s="78"/>
      <c r="BA766" s="78"/>
      <c r="BB766" s="78"/>
      <c r="BC766" s="78"/>
      <c r="BD766" s="78"/>
      <c r="BE766" s="78"/>
      <c r="BF766" s="78"/>
      <c r="BG766" s="78"/>
      <c r="BH766" s="78"/>
      <c r="BI766" s="78"/>
      <c r="BJ766" s="78"/>
      <c r="BK766" s="78"/>
      <c r="BL766" s="78"/>
      <c r="BM766" s="78"/>
      <c r="BN766" s="78"/>
      <c r="BO766" s="78"/>
      <c r="BP766" s="78"/>
      <c r="BQ766" s="78"/>
      <c r="BR766" s="78"/>
      <c r="BS766" s="78"/>
      <c r="BT766" s="78"/>
      <c r="BU766" s="78"/>
      <c r="BV766" s="78"/>
      <c r="BW766" s="78"/>
      <c r="BX766" s="78"/>
      <c r="BY766" s="78"/>
      <c r="BZ766" s="78"/>
      <c r="CA766" s="78"/>
      <c r="CB766" s="78"/>
      <c r="CC766" s="78"/>
      <c r="CD766" s="78"/>
      <c r="CE766" s="78"/>
      <c r="CF766" s="78"/>
      <c r="CG766" s="78"/>
      <c r="CH766" s="78"/>
      <c r="CI766" s="78"/>
      <c r="CJ766" s="78"/>
      <c r="CK766" s="78"/>
      <c r="CL766" s="78"/>
      <c r="CM766" s="78"/>
      <c r="CN766" s="78"/>
      <c r="CO766" s="78"/>
      <c r="CP766" s="78"/>
      <c r="CQ766" s="78"/>
      <c r="CR766" s="78"/>
      <c r="CS766" s="78"/>
      <c r="CT766" s="78"/>
      <c r="CU766" s="78"/>
      <c r="CV766" s="78"/>
      <c r="CW766" s="78"/>
      <c r="CX766" s="78"/>
      <c r="CY766" s="78"/>
      <c r="CZ766" s="78"/>
      <c r="DA766" s="78"/>
      <c r="DB766" s="78"/>
      <c r="DC766" s="78"/>
      <c r="DD766" s="78"/>
      <c r="DE766" s="78"/>
      <c r="DF766" s="78"/>
      <c r="DG766" s="78"/>
      <c r="DH766" s="78"/>
      <c r="DI766" s="78"/>
      <c r="DJ766" s="78"/>
      <c r="DK766" s="78"/>
      <c r="DL766" s="78"/>
      <c r="DM766" s="78"/>
      <c r="DN766" s="78"/>
      <c r="DO766" s="78"/>
      <c r="DP766" s="78"/>
      <c r="DQ766" s="78"/>
      <c r="DR766" s="78"/>
      <c r="DS766" s="78"/>
      <c r="DT766" s="78"/>
      <c r="DU766" s="78"/>
      <c r="DV766" s="78"/>
      <c r="DW766" s="78"/>
      <c r="DX766" s="78"/>
      <c r="DY766" s="78"/>
      <c r="DZ766" s="78"/>
      <c r="EA766" s="78"/>
      <c r="EB766" s="78"/>
      <c r="EC766" s="78"/>
      <c r="ED766" s="78"/>
      <c r="EE766" s="78"/>
      <c r="EF766" s="78"/>
      <c r="EG766" s="78"/>
      <c r="EH766" s="78"/>
      <c r="EI766" s="78"/>
      <c r="EJ766" s="78"/>
      <c r="EK766" s="78"/>
      <c r="EL766" s="78"/>
      <c r="EM766" s="78"/>
      <c r="EN766" s="91"/>
      <c r="EO766" s="91"/>
      <c r="EP766" s="91"/>
      <c r="EQ766" s="91"/>
      <c r="ER766" s="91"/>
      <c r="ES766" s="91"/>
    </row>
    <row r="767" spans="1:149" outlineLevel="1">
      <c r="A767" s="29" t="str">
        <f t="shared" si="376"/>
        <v>lt004_protectionflg_col</v>
      </c>
      <c r="B767" s="67"/>
      <c r="C767" s="68"/>
      <c r="D767" s="64" t="s">
        <v>40</v>
      </c>
      <c r="E767" s="70" t="s">
        <v>368</v>
      </c>
      <c r="F767" s="71" t="s">
        <v>479</v>
      </c>
      <c r="G767" s="64" t="str">
        <f>INDEX(Auxiliar!$B$16:$B$24,MATCH(Plano_V3!H767,Auxiliar!$C$16:$C$24,0),1)</f>
        <v>0. Cancelado</v>
      </c>
      <c r="H767" s="64">
        <f>VLOOKUP(A767,'Aux - pivots1'!$A:$B,2,0)</f>
        <v>0</v>
      </c>
      <c r="I767" s="175">
        <f>SUMIFS(Table1[Estimação (horas)],Table1[Tabela],Plano_V3!E767,Table1[Campo],Plano_V3!F767)</f>
        <v>4.0999999999999996</v>
      </c>
      <c r="J767" s="175">
        <f>I767/8</f>
        <v>0.51249999999999996</v>
      </c>
      <c r="K767" s="175">
        <f>SUMIFS(Table1[Horas efetivas],Table1[Tabela],Plano_V3!E767,Table1[Campo],Plano_V3!F767)</f>
        <v>0</v>
      </c>
      <c r="L767" s="175">
        <f>K767/8</f>
        <v>0</v>
      </c>
      <c r="M767" s="177"/>
      <c r="N767" s="177">
        <f t="shared" si="375"/>
        <v>0</v>
      </c>
      <c r="O767" s="177"/>
      <c r="P767" s="89" t="s">
        <v>399</v>
      </c>
      <c r="R767" s="78"/>
      <c r="S767" s="78"/>
      <c r="T767" s="78"/>
      <c r="U767" s="78"/>
      <c r="V767" s="78"/>
      <c r="W767" s="78"/>
      <c r="X767" s="78"/>
      <c r="Y767" s="78"/>
      <c r="Z767" s="78"/>
      <c r="AA767" s="78"/>
      <c r="AB767" s="78"/>
      <c r="AC767" s="78"/>
      <c r="AD767" s="78"/>
      <c r="AE767" s="78"/>
      <c r="AF767" s="78"/>
      <c r="AG767" s="78"/>
      <c r="AH767" s="78"/>
      <c r="AI767" s="78"/>
      <c r="AJ767" s="78"/>
      <c r="AK767" s="78"/>
      <c r="AL767" s="78"/>
      <c r="AM767" s="78"/>
      <c r="AN767" s="78"/>
      <c r="AO767" s="78"/>
      <c r="AP767" s="78"/>
      <c r="AQ767" s="78"/>
      <c r="AR767" s="78"/>
      <c r="AS767" s="78"/>
      <c r="AT767" s="78"/>
      <c r="AU767" s="78"/>
      <c r="AV767" s="78"/>
      <c r="AW767" s="78"/>
      <c r="AX767" s="78"/>
      <c r="AY767" s="91"/>
      <c r="AZ767" s="78"/>
      <c r="BA767" s="78"/>
      <c r="BB767" s="78"/>
      <c r="BC767" s="78"/>
      <c r="BD767" s="78"/>
      <c r="BE767" s="78"/>
      <c r="BF767" s="78"/>
      <c r="BG767" s="78"/>
      <c r="BH767" s="78"/>
      <c r="BI767" s="78"/>
      <c r="BJ767" s="78"/>
      <c r="BK767" s="78"/>
      <c r="BL767" s="78"/>
      <c r="BM767" s="78"/>
      <c r="BN767" s="78"/>
      <c r="BO767" s="78"/>
      <c r="BP767" s="78"/>
      <c r="BQ767" s="78"/>
      <c r="BR767" s="78"/>
      <c r="BS767" s="78"/>
      <c r="BT767" s="78"/>
      <c r="BU767" s="78"/>
      <c r="BV767" s="78"/>
      <c r="BW767" s="78"/>
      <c r="BX767" s="78"/>
      <c r="BY767" s="78"/>
      <c r="BZ767" s="78"/>
      <c r="CA767" s="78"/>
      <c r="CB767" s="78"/>
      <c r="CC767" s="78"/>
      <c r="CD767" s="78"/>
      <c r="CE767" s="78"/>
      <c r="CF767" s="78"/>
      <c r="CG767" s="78"/>
      <c r="CH767" s="78"/>
      <c r="CI767" s="78"/>
      <c r="CJ767" s="78"/>
      <c r="CK767" s="78"/>
      <c r="CL767" s="78"/>
      <c r="CM767" s="78"/>
      <c r="CN767" s="78"/>
      <c r="CO767" s="78"/>
      <c r="CP767" s="78"/>
      <c r="CQ767" s="78"/>
      <c r="CR767" s="78"/>
      <c r="CS767" s="78"/>
      <c r="CT767" s="78"/>
      <c r="CU767" s="78"/>
      <c r="CV767" s="78"/>
      <c r="CW767" s="78"/>
      <c r="CX767" s="78"/>
      <c r="CY767" s="78"/>
      <c r="CZ767" s="78"/>
      <c r="DA767" s="78"/>
      <c r="DB767" s="78"/>
      <c r="DC767" s="78"/>
      <c r="DD767" s="78"/>
      <c r="DE767" s="78"/>
      <c r="DF767" s="78"/>
      <c r="DG767" s="78"/>
      <c r="DH767" s="78"/>
      <c r="DI767" s="78"/>
      <c r="DJ767" s="78"/>
      <c r="DK767" s="78"/>
      <c r="DL767" s="78"/>
      <c r="DM767" s="78"/>
      <c r="DN767" s="78"/>
      <c r="DO767" s="78"/>
      <c r="DP767" s="78"/>
      <c r="DQ767" s="78"/>
      <c r="DR767" s="78"/>
      <c r="DS767" s="78"/>
      <c r="DT767" s="78"/>
      <c r="DU767" s="78"/>
      <c r="DV767" s="78"/>
      <c r="DW767" s="78"/>
      <c r="DX767" s="78"/>
      <c r="DY767" s="78"/>
      <c r="DZ767" s="78"/>
      <c r="EA767" s="78"/>
      <c r="EB767" s="78"/>
      <c r="EC767" s="78"/>
      <c r="ED767" s="78"/>
      <c r="EE767" s="78"/>
      <c r="EF767" s="78"/>
      <c r="EG767" s="78"/>
      <c r="EH767" s="78"/>
      <c r="EI767" s="78"/>
      <c r="EJ767" s="78"/>
      <c r="EK767" s="78"/>
      <c r="EL767" s="78"/>
      <c r="EM767" s="78"/>
      <c r="EN767" s="91"/>
      <c r="EO767" s="91"/>
      <c r="EP767" s="91"/>
      <c r="EQ767" s="91"/>
      <c r="ER767" s="91"/>
      <c r="ES767" s="91"/>
    </row>
    <row r="768" spans="1:149" outlineLevel="1">
      <c r="A768" s="29" t="str">
        <f t="shared" si="376"/>
        <v>lt004_protectionflg_pro</v>
      </c>
      <c r="B768" s="67"/>
      <c r="C768" s="68"/>
      <c r="D768" s="64" t="s">
        <v>40</v>
      </c>
      <c r="E768" s="70" t="s">
        <v>368</v>
      </c>
      <c r="F768" s="71" t="s">
        <v>481</v>
      </c>
      <c r="G768" s="64" t="str">
        <f>INDEX(Auxiliar!$B$16:$B$24,MATCH(Plano_V3!H768,Auxiliar!$C$16:$C$24,0),1)</f>
        <v>0. Cancelado</v>
      </c>
      <c r="H768" s="64">
        <f>VLOOKUP(A768,'Aux - pivots1'!$A:$B,2,0)</f>
        <v>0</v>
      </c>
      <c r="I768" s="175">
        <f>SUMIFS(Table1[Estimação (horas)],Table1[Tabela],Plano_V3!E768,Table1[Campo],Plano_V3!F768)</f>
        <v>4.0999999999999996</v>
      </c>
      <c r="J768" s="175">
        <f>I768/8</f>
        <v>0.51249999999999996</v>
      </c>
      <c r="K768" s="175">
        <f>SUMIFS(Table1[Horas efetivas],Table1[Tabela],Plano_V3!E768,Table1[Campo],Plano_V3!F768)</f>
        <v>0</v>
      </c>
      <c r="L768" s="175">
        <f>K768/8</f>
        <v>0</v>
      </c>
      <c r="M768" s="177"/>
      <c r="N768" s="177">
        <f t="shared" si="375"/>
        <v>0</v>
      </c>
      <c r="O768" s="177"/>
      <c r="P768" s="89" t="s">
        <v>399</v>
      </c>
      <c r="R768" s="78"/>
      <c r="S768" s="78"/>
      <c r="T768" s="78"/>
      <c r="U768" s="78"/>
      <c r="V768" s="78"/>
      <c r="W768" s="78"/>
      <c r="X768" s="78"/>
      <c r="Y768" s="78"/>
      <c r="Z768" s="78"/>
      <c r="AA768" s="78"/>
      <c r="AB768" s="78"/>
      <c r="AC768" s="78"/>
      <c r="AD768" s="78"/>
      <c r="AE768" s="78"/>
      <c r="AF768" s="78"/>
      <c r="AG768" s="78"/>
      <c r="AH768" s="78"/>
      <c r="AI768" s="78"/>
      <c r="AJ768" s="78"/>
      <c r="AK768" s="78"/>
      <c r="AL768" s="78"/>
      <c r="AM768" s="78"/>
      <c r="AN768" s="78"/>
      <c r="AO768" s="78"/>
      <c r="AP768" s="78"/>
      <c r="AQ768" s="78"/>
      <c r="AR768" s="78"/>
      <c r="AS768" s="78"/>
      <c r="AT768" s="78"/>
      <c r="AU768" s="78"/>
      <c r="AV768" s="78"/>
      <c r="AW768" s="78"/>
      <c r="AX768" s="78"/>
      <c r="AY768" s="91"/>
      <c r="AZ768" s="78"/>
      <c r="BA768" s="78"/>
      <c r="BB768" s="78"/>
      <c r="BC768" s="78"/>
      <c r="BD768" s="78"/>
      <c r="BE768" s="78"/>
      <c r="BF768" s="78"/>
      <c r="BG768" s="78"/>
      <c r="BH768" s="78"/>
      <c r="BI768" s="78"/>
      <c r="BJ768" s="78"/>
      <c r="BK768" s="78"/>
      <c r="BL768" s="78"/>
      <c r="BM768" s="78"/>
      <c r="BN768" s="78"/>
      <c r="BO768" s="78"/>
      <c r="BP768" s="78"/>
      <c r="BQ768" s="78"/>
      <c r="BR768" s="78"/>
      <c r="BS768" s="78"/>
      <c r="BT768" s="78"/>
      <c r="BU768" s="78"/>
      <c r="BV768" s="78"/>
      <c r="BW768" s="78"/>
      <c r="BX768" s="78"/>
      <c r="BY768" s="78"/>
      <c r="BZ768" s="78"/>
      <c r="CA768" s="78"/>
      <c r="CB768" s="78"/>
      <c r="CC768" s="78"/>
      <c r="CD768" s="78"/>
      <c r="CE768" s="78"/>
      <c r="CF768" s="78"/>
      <c r="CG768" s="78"/>
      <c r="CH768" s="78"/>
      <c r="CI768" s="78"/>
      <c r="CJ768" s="78"/>
      <c r="CK768" s="78"/>
      <c r="CL768" s="78"/>
      <c r="CM768" s="78"/>
      <c r="CN768" s="78"/>
      <c r="CO768" s="78"/>
      <c r="CP768" s="78"/>
      <c r="CQ768" s="78"/>
      <c r="CR768" s="78"/>
      <c r="CS768" s="78"/>
      <c r="CT768" s="78"/>
      <c r="CU768" s="78"/>
      <c r="CV768" s="78"/>
      <c r="CW768" s="78"/>
      <c r="CX768" s="78"/>
      <c r="CY768" s="78"/>
      <c r="CZ768" s="78"/>
      <c r="DA768" s="78"/>
      <c r="DB768" s="78"/>
      <c r="DC768" s="78"/>
      <c r="DD768" s="78"/>
      <c r="DE768" s="78"/>
      <c r="DF768" s="78"/>
      <c r="DG768" s="78"/>
      <c r="DH768" s="78"/>
      <c r="DI768" s="78"/>
      <c r="DJ768" s="78"/>
      <c r="DK768" s="78"/>
      <c r="DL768" s="78"/>
      <c r="DM768" s="78"/>
      <c r="DN768" s="78"/>
      <c r="DO768" s="78"/>
      <c r="DP768" s="78"/>
      <c r="DQ768" s="78"/>
      <c r="DR768" s="78"/>
      <c r="DS768" s="78"/>
      <c r="DT768" s="78"/>
      <c r="DU768" s="78"/>
      <c r="DV768" s="78"/>
      <c r="DW768" s="78"/>
      <c r="DX768" s="78"/>
      <c r="DY768" s="78"/>
      <c r="DZ768" s="78"/>
      <c r="EA768" s="78"/>
      <c r="EB768" s="78"/>
      <c r="EC768" s="78"/>
      <c r="ED768" s="78"/>
      <c r="EE768" s="78"/>
      <c r="EF768" s="78"/>
      <c r="EG768" s="78"/>
      <c r="EH768" s="78"/>
      <c r="EI768" s="78"/>
      <c r="EJ768" s="78"/>
      <c r="EK768" s="78"/>
      <c r="EL768" s="78"/>
      <c r="EM768" s="78"/>
      <c r="EN768" s="91"/>
      <c r="EO768" s="91"/>
      <c r="EP768" s="91"/>
      <c r="EQ768" s="91"/>
      <c r="ER768" s="91"/>
      <c r="ES768" s="91"/>
    </row>
    <row r="769" spans="1:149" outlineLevel="1">
      <c r="A769" s="29" t="str">
        <f t="shared" si="376"/>
        <v>Re-testesn.a.</v>
      </c>
      <c r="B769" s="67" t="s">
        <v>26</v>
      </c>
      <c r="C769" s="68" t="s">
        <v>26</v>
      </c>
      <c r="D769" s="64" t="s">
        <v>40</v>
      </c>
      <c r="E769" s="66" t="s">
        <v>53</v>
      </c>
      <c r="F769" s="64" t="s">
        <v>38</v>
      </c>
      <c r="G769" s="64"/>
      <c r="H769" s="64"/>
      <c r="I769" s="175" t="e">
        <f>SUM(I563:I763)*$D$7</f>
        <v>#N/A</v>
      </c>
      <c r="J769" s="175" t="e">
        <f>I769/8</f>
        <v>#N/A</v>
      </c>
      <c r="K769" s="175" t="e">
        <f>SUM(K563:K763)*$D$7</f>
        <v>#N/A</v>
      </c>
      <c r="L769" s="175" t="e">
        <f>K769/8</f>
        <v>#N/A</v>
      </c>
      <c r="M769" s="177"/>
      <c r="N769" s="177" t="e">
        <f t="shared" si="375"/>
        <v>#N/A</v>
      </c>
      <c r="O769" s="177"/>
      <c r="P769" s="89" t="s">
        <v>399</v>
      </c>
      <c r="R769" s="78"/>
      <c r="S769" s="78"/>
      <c r="T769" s="78"/>
      <c r="U769" s="78"/>
      <c r="V769" s="78"/>
      <c r="W769" s="78"/>
      <c r="X769" s="78"/>
      <c r="Y769" s="78"/>
      <c r="Z769" s="78"/>
      <c r="AA769" s="78"/>
      <c r="AB769" s="78"/>
      <c r="AC769" s="78"/>
      <c r="AD769" s="78"/>
      <c r="AE769" s="78"/>
      <c r="AF769" s="78"/>
      <c r="AG769" s="78"/>
      <c r="AH769" s="78"/>
      <c r="AI769" s="78"/>
      <c r="AJ769" s="78"/>
      <c r="AK769" s="78"/>
      <c r="AL769" s="78"/>
      <c r="AM769" s="78"/>
      <c r="AN769" s="78"/>
      <c r="AO769" s="78"/>
      <c r="AP769" s="78"/>
      <c r="AQ769" s="78"/>
      <c r="AR769" s="78"/>
      <c r="AS769" s="78"/>
      <c r="AT769" s="78"/>
      <c r="AU769" s="78"/>
      <c r="AV769" s="78"/>
      <c r="AW769" s="78"/>
      <c r="AX769" s="78"/>
      <c r="AY769" s="91"/>
      <c r="AZ769" s="78"/>
      <c r="BA769" s="78"/>
      <c r="BB769" s="78"/>
      <c r="BC769" s="78"/>
      <c r="BD769" s="78"/>
      <c r="BE769" s="78"/>
      <c r="BF769" s="78"/>
      <c r="BG769" s="78"/>
      <c r="BH769" s="78"/>
      <c r="BI769" s="78"/>
      <c r="BJ769" s="78"/>
      <c r="BK769" s="78"/>
      <c r="BL769" s="78"/>
      <c r="BM769" s="78"/>
      <c r="BN769" s="78"/>
      <c r="BO769" s="78"/>
      <c r="BP769" s="78"/>
      <c r="BQ769" s="78"/>
      <c r="BR769" s="78"/>
      <c r="BS769" s="78"/>
      <c r="BT769" s="78"/>
      <c r="BU769" s="78"/>
      <c r="BV769" s="78"/>
      <c r="BW769" s="78"/>
      <c r="BX769" s="78"/>
      <c r="BY769" s="78"/>
      <c r="BZ769" s="78"/>
      <c r="CA769" s="78"/>
      <c r="CB769" s="78"/>
      <c r="CC769" s="78"/>
      <c r="CD769" s="78"/>
      <c r="CE769" s="78"/>
      <c r="CF769" s="78"/>
      <c r="CG769" s="78"/>
      <c r="CH769" s="78"/>
      <c r="CI769" s="78"/>
      <c r="CJ769" s="78"/>
      <c r="CK769" s="78"/>
      <c r="CL769" s="78"/>
      <c r="CM769" s="78"/>
      <c r="CN769" s="78"/>
      <c r="CO769" s="78"/>
      <c r="CP769" s="78"/>
      <c r="CQ769" s="78"/>
      <c r="CR769" s="78"/>
      <c r="CS769" s="78"/>
      <c r="CT769" s="78"/>
      <c r="CU769" s="78"/>
      <c r="CV769" s="78"/>
      <c r="CW769" s="78"/>
      <c r="CX769" s="78"/>
      <c r="CY769" s="78"/>
      <c r="CZ769" s="78"/>
      <c r="DA769" s="78"/>
      <c r="DB769" s="78"/>
      <c r="DC769" s="78"/>
      <c r="DD769" s="78"/>
      <c r="DE769" s="78"/>
      <c r="DF769" s="78"/>
      <c r="DG769" s="78"/>
      <c r="DH769" s="78"/>
      <c r="DI769" s="78"/>
      <c r="DJ769" s="78"/>
      <c r="DK769" s="78"/>
      <c r="DL769" s="78"/>
      <c r="DM769" s="78"/>
      <c r="DN769" s="78"/>
      <c r="DO769" s="78"/>
      <c r="DP769" s="78"/>
      <c r="DQ769" s="78"/>
      <c r="DR769" s="78"/>
      <c r="DS769" s="78"/>
      <c r="DT769" s="78"/>
      <c r="DU769" s="78"/>
      <c r="DV769" s="78"/>
      <c r="DW769" s="78"/>
      <c r="DX769" s="78"/>
      <c r="DY769" s="78"/>
      <c r="DZ769" s="78"/>
      <c r="EA769" s="78"/>
      <c r="EB769" s="78"/>
      <c r="EC769" s="78"/>
      <c r="ED769" s="78"/>
      <c r="EE769" s="78"/>
      <c r="EF769" s="78"/>
      <c r="EG769" s="78"/>
      <c r="EH769" s="78"/>
      <c r="EI769" s="78"/>
      <c r="EJ769" s="78"/>
      <c r="EK769" s="78"/>
      <c r="EL769" s="78"/>
      <c r="EM769" s="78"/>
      <c r="EN769" s="91"/>
      <c r="EO769" s="91"/>
      <c r="EP769" s="91"/>
      <c r="EQ769" s="91"/>
      <c r="ER769" s="91"/>
      <c r="ES769" s="91"/>
    </row>
    <row r="770" spans="1:149" ht="10.35" customHeight="1">
      <c r="D770" s="11"/>
      <c r="O770"/>
      <c r="AY770" t="s">
        <v>443</v>
      </c>
    </row>
    <row r="771" spans="1:149">
      <c r="B771" s="82" t="s">
        <v>444</v>
      </c>
      <c r="C771" s="83"/>
      <c r="D771" s="83"/>
      <c r="E771" s="83"/>
      <c r="F771" s="83"/>
      <c r="G771" s="83"/>
      <c r="H771" s="83"/>
      <c r="I771" s="179"/>
      <c r="J771" s="179" t="e">
        <f>J24+J19+J14</f>
        <v>#N/A</v>
      </c>
      <c r="K771" s="179"/>
      <c r="L771" s="179" t="e">
        <f>L24+L19+L14</f>
        <v>#N/A</v>
      </c>
      <c r="M771" s="174" t="e">
        <f>((M24*J24)+(M19*J19)+(M14*J14))/J771</f>
        <v>#N/A</v>
      </c>
      <c r="N771" s="174" t="e">
        <f>((N24*L24)+(N19*L19)+(N14*L14))/L771</f>
        <v>#N/A</v>
      </c>
      <c r="O771" s="174" t="e">
        <f>N771-M771</f>
        <v>#N/A</v>
      </c>
      <c r="P771" s="176" t="s">
        <v>25</v>
      </c>
    </row>
    <row r="772" spans="1:149">
      <c r="O772"/>
    </row>
    <row r="773" spans="1:149"/>
    <row r="774" spans="1:149"/>
    <row r="775" spans="1:149"/>
    <row r="776" spans="1:149"/>
    <row r="777" spans="1:149"/>
    <row r="778" spans="1:149"/>
    <row r="779" spans="1:149"/>
  </sheetData>
  <conditionalFormatting sqref="O14:O17 O19:O22 O771 O24:O769">
    <cfRule type="cellIs" dxfId="26" priority="77" operator="lessThan">
      <formula>0</formula>
    </cfRule>
    <cfRule type="cellIs" dxfId="25" priority="78" operator="greaterThanOrEqual">
      <formula>0</formula>
    </cfRule>
  </conditionalFormatting>
  <conditionalFormatting sqref="Q15:Q17 Q25:Q246">
    <cfRule type="cellIs" dxfId="24" priority="104" operator="notEqual">
      <formula>0</formula>
    </cfRule>
  </conditionalFormatting>
  <conditionalFormatting sqref="Q20:Q22">
    <cfRule type="cellIs" dxfId="23" priority="96" operator="notEqual">
      <formula>0</formula>
    </cfRule>
  </conditionalFormatting>
  <conditionalFormatting sqref="Q248:Q562">
    <cfRule type="cellIs" dxfId="22" priority="21" operator="notEqual">
      <formula>0</formula>
    </cfRule>
  </conditionalFormatting>
  <conditionalFormatting sqref="R5:R6 S6:ES6">
    <cfRule type="cellIs" dxfId="21" priority="105" operator="notEqual">
      <formula>0</formula>
    </cfRule>
  </conditionalFormatting>
  <conditionalFormatting sqref="R15:ES17 R20:ES22 R25:ES25">
    <cfRule type="cellIs" dxfId="20" priority="103" operator="greaterThan">
      <formula>0</formula>
    </cfRule>
  </conditionalFormatting>
  <conditionalFormatting sqref="R74:ES74">
    <cfRule type="cellIs" dxfId="19" priority="101" operator="greaterThan">
      <formula>0</formula>
    </cfRule>
  </conditionalFormatting>
  <conditionalFormatting sqref="R243:ES243">
    <cfRule type="cellIs" dxfId="18" priority="100" operator="greaterThan">
      <formula>0</formula>
    </cfRule>
  </conditionalFormatting>
  <conditionalFormatting sqref="R452:ES452">
    <cfRule type="cellIs" dxfId="17" priority="99" operator="greaterThan">
      <formula>0</formula>
    </cfRule>
  </conditionalFormatting>
  <conditionalFormatting sqref="R562:ES562">
    <cfRule type="cellIs" dxfId="16" priority="98"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9E6F227E-DBE3-44D8-822D-E3F9B7047C17}">
            <xm:f>NOT(ISERROR(SEARCH(Auxiliar!$B$17,G14)))</xm:f>
            <xm:f>Auxiliar!$B$17</xm:f>
            <x14:dxf>
              <font>
                <b/>
                <i val="0"/>
                <color rgb="FFFFC000"/>
              </font>
              <fill>
                <patternFill>
                  <bgColor theme="9" tint="0.59996337778862885"/>
                </patternFill>
              </fill>
            </x14:dxf>
          </x14:cfRule>
          <x14:cfRule type="containsText" priority="2" operator="containsText" id="{4CBEFD43-3810-4013-BBE9-F5B1E6E3FDCF}">
            <xm:f>NOT(ISERROR(SEARCH(Auxiliar!$B$21,G14)))</xm:f>
            <xm:f>Auxiliar!$B$21</xm:f>
            <x14:dxf>
              <font>
                <b/>
                <i val="0"/>
                <color rgb="FFFFC000"/>
              </font>
              <fill>
                <patternFill>
                  <bgColor theme="9" tint="0.59996337778862885"/>
                </patternFill>
              </fill>
            </x14:dxf>
          </x14:cfRule>
          <x14:cfRule type="containsText" priority="3" operator="containsText" id="{D59C31ED-2479-46EB-BC32-AEADC917FAEE}">
            <xm:f>NOT(ISERROR(SEARCH(Auxiliar!$B$24,G14)))</xm:f>
            <xm:f>Auxiliar!$B$24</xm:f>
            <x14:dxf>
              <font>
                <b/>
                <i val="0"/>
              </font>
              <fill>
                <patternFill patternType="darkDown">
                  <bgColor theme="0" tint="-4.9989318521683403E-2"/>
                </patternFill>
              </fill>
            </x14:dxf>
          </x14:cfRule>
          <x14:cfRule type="containsText" priority="4" operator="containsText" id="{E2B78FB3-A14C-49EE-9DDD-2C6C8CB1EB87}">
            <xm:f>NOT(ISERROR(SEARCH(Auxiliar!$B$22,G14)))</xm:f>
            <xm:f>Auxiliar!$B$22</xm:f>
            <x14:dxf>
              <font>
                <b/>
                <i val="0"/>
                <color rgb="FFC00000"/>
              </font>
              <fill>
                <patternFill>
                  <bgColor theme="4" tint="0.79998168889431442"/>
                </patternFill>
              </fill>
            </x14:dxf>
          </x14:cfRule>
          <x14:cfRule type="containsText" priority="5" operator="containsText" id="{138FE620-4421-4D40-BF61-74DD89838547}">
            <xm:f>NOT(ISERROR(SEARCH(Auxiliar!$B$19,G14)))</xm:f>
            <xm:f>Auxiliar!$B$19</xm:f>
            <x14:dxf>
              <font>
                <b/>
                <i val="0"/>
                <color theme="9" tint="-0.499984740745262"/>
              </font>
              <fill>
                <patternFill>
                  <bgColor theme="9" tint="0.79998168889431442"/>
                </patternFill>
              </fill>
            </x14:dxf>
          </x14:cfRule>
          <x14:cfRule type="containsText" priority="6" operator="containsText" id="{47E087E8-2A11-4589-ACAC-88B24AD16BAF}">
            <xm:f>NOT(ISERROR(SEARCH(Auxiliar!$B$18,G14)))</xm:f>
            <xm:f>Auxiliar!$B$18</xm:f>
            <x14:dxf>
              <font>
                <b/>
                <i val="0"/>
                <color theme="0" tint="-0.499984740745262"/>
              </font>
              <fill>
                <patternFill>
                  <bgColor theme="0" tint="-4.9989318521683403E-2"/>
                </patternFill>
              </fill>
            </x14:dxf>
          </x14:cfRule>
          <x14:cfRule type="cellIs" priority="7" operator="equal" id="{D3BF403A-78E8-4CD7-BB76-8AB17B4BDE83}">
            <xm:f>Auxiliar!$B$16</xm:f>
            <x14:dxf>
              <font>
                <b/>
                <i val="0"/>
                <color theme="7"/>
              </font>
              <fill>
                <patternFill>
                  <bgColor theme="7" tint="0.79998168889431442"/>
                </patternFill>
              </fill>
            </x14:dxf>
          </x14:cfRule>
          <xm:sqref>G14:G769</xm:sqref>
        </x14:conditionalFormatting>
        <x14:conditionalFormatting xmlns:xm="http://schemas.microsoft.com/office/excel/2006/main">
          <x14:cfRule type="containsText" priority="79" operator="containsText" id="{AED6586C-F5C5-4BFE-8FE3-DBEA2E1C7F8C}">
            <xm:f>NOT(ISERROR(SEARCH(Auxiliar!$B$17,G771)))</xm:f>
            <xm:f>Auxiliar!$B$17</xm:f>
            <x14:dxf>
              <font>
                <b/>
                <i val="0"/>
                <color rgb="FFFFC000"/>
              </font>
              <fill>
                <patternFill>
                  <bgColor theme="9" tint="0.59996337778862885"/>
                </patternFill>
              </fill>
            </x14:dxf>
          </x14:cfRule>
          <x14:cfRule type="containsText" priority="80" operator="containsText" id="{911C5BFC-3AB2-4A1A-8EFC-D755A0FB9B6D}">
            <xm:f>NOT(ISERROR(SEARCH(Auxiliar!$B$21,G771)))</xm:f>
            <xm:f>Auxiliar!$B$21</xm:f>
            <x14:dxf>
              <font>
                <b/>
                <i val="0"/>
                <color rgb="FFFFC000"/>
              </font>
              <fill>
                <patternFill>
                  <bgColor theme="9" tint="0.59996337778862885"/>
                </patternFill>
              </fill>
            </x14:dxf>
          </x14:cfRule>
          <x14:cfRule type="containsText" priority="81" operator="containsText" id="{E119DD1E-0166-411C-81B5-5C225D99BD7A}">
            <xm:f>NOT(ISERROR(SEARCH(Auxiliar!$B$24,G771)))</xm:f>
            <xm:f>Auxiliar!$B$24</xm:f>
            <x14:dxf>
              <font>
                <b/>
                <i val="0"/>
              </font>
              <fill>
                <patternFill patternType="darkDown">
                  <bgColor theme="0" tint="-4.9989318521683403E-2"/>
                </patternFill>
              </fill>
            </x14:dxf>
          </x14:cfRule>
          <x14:cfRule type="containsText" priority="82" operator="containsText" id="{ECE4ED07-3C2A-4C21-A2E5-6B46A92012C8}">
            <xm:f>NOT(ISERROR(SEARCH(Auxiliar!$B$22,G771)))</xm:f>
            <xm:f>Auxiliar!$B$22</xm:f>
            <x14:dxf>
              <font>
                <b/>
                <i val="0"/>
                <color rgb="FFC00000"/>
              </font>
              <fill>
                <patternFill>
                  <bgColor theme="4" tint="0.79998168889431442"/>
                </patternFill>
              </fill>
            </x14:dxf>
          </x14:cfRule>
          <x14:cfRule type="containsText" priority="83" operator="containsText" id="{6C035143-902A-48D0-BBAA-EA328AD739A2}">
            <xm:f>NOT(ISERROR(SEARCH(Auxiliar!$B$19,G771)))</xm:f>
            <xm:f>Auxiliar!$B$19</xm:f>
            <x14:dxf>
              <font>
                <b/>
                <i val="0"/>
                <color theme="9" tint="-0.499984740745262"/>
              </font>
              <fill>
                <patternFill>
                  <bgColor theme="9" tint="0.79998168889431442"/>
                </patternFill>
              </fill>
            </x14:dxf>
          </x14:cfRule>
          <x14:cfRule type="containsText" priority="84" operator="containsText" id="{AD342067-7E44-432A-B7BE-BC89346B05DE}">
            <xm:f>NOT(ISERROR(SEARCH(Auxiliar!$B$18,G771)))</xm:f>
            <xm:f>Auxiliar!$B$18</xm:f>
            <x14:dxf>
              <font>
                <b/>
                <i val="0"/>
                <color theme="0" tint="-0.499984740745262"/>
              </font>
              <fill>
                <patternFill>
                  <bgColor theme="0" tint="-4.9989318521683403E-2"/>
                </patternFill>
              </fill>
            </x14:dxf>
          </x14:cfRule>
          <x14:cfRule type="cellIs" priority="85" operator="equal" id="{EC6B09EC-E262-41ED-A71E-F40E5A6AE302}">
            <xm:f>Auxiliar!$B$16</xm:f>
            <x14:dxf>
              <font>
                <b/>
                <i val="0"/>
                <color theme="7"/>
              </font>
              <fill>
                <patternFill>
                  <bgColor theme="7" tint="0.79998168889431442"/>
                </patternFill>
              </fill>
            </x14:dxf>
          </x14:cfRule>
          <xm:sqref>G771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G15:G17 G769 G242 G451 G20:G22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296875" customWidth="1"/>
    <col min="10" max="10" width="5.09765625" customWidth="1"/>
    <col min="11" max="11" width="4.59765625" customWidth="1"/>
    <col min="12" max="12" width="5" customWidth="1"/>
    <col min="13" max="13" width="5.09765625" customWidth="1"/>
    <col min="14" max="14" width="4.296875" customWidth="1"/>
    <col min="15" max="15" width="5.09765625" customWidth="1"/>
    <col min="16" max="16" width="4.59765625" customWidth="1"/>
    <col min="17" max="17" width="5" customWidth="1"/>
    <col min="18" max="18" width="5.09765625" customWidth="1"/>
    <col min="19" max="19" width="4.296875" customWidth="1"/>
    <col min="20" max="20" width="5.09765625" customWidth="1"/>
    <col min="21" max="21" width="4.59765625" customWidth="1"/>
    <col min="22" max="22" width="5" customWidth="1"/>
    <col min="23" max="23" width="5.09765625" customWidth="1"/>
    <col min="24" max="24" width="4.296875" customWidth="1"/>
    <col min="25" max="25" width="5.09765625" customWidth="1"/>
    <col min="26" max="26" width="4.59765625" customWidth="1"/>
    <col min="27" max="27" width="5" customWidth="1"/>
    <col min="28" max="28" width="5.09765625" customWidth="1"/>
    <col min="29" max="29" width="4.296875" customWidth="1"/>
    <col min="30" max="30" width="5.09765625" customWidth="1"/>
    <col min="31" max="31" width="4.59765625" customWidth="1"/>
    <col min="32" max="32" width="5" customWidth="1"/>
    <col min="33" max="33" width="5.09765625" customWidth="1"/>
    <col min="34" max="34" width="4.296875" customWidth="1"/>
    <col min="35" max="35" width="5.09765625" customWidth="1"/>
    <col min="36" max="36" width="4.59765625" customWidth="1"/>
    <col min="37" max="37" width="5" customWidth="1"/>
    <col min="38" max="38" width="5.09765625" customWidth="1"/>
    <col min="39" max="39" width="4.296875" customWidth="1"/>
    <col min="40" max="40" width="5.09765625" customWidth="1"/>
    <col min="41" max="41" width="4.59765625" customWidth="1"/>
    <col min="42" max="42" width="5" customWidth="1"/>
    <col min="43" max="43" width="5.09765625" customWidth="1"/>
    <col min="44" max="44" width="4.296875" customWidth="1"/>
    <col min="45" max="45" width="5.09765625" customWidth="1"/>
    <col min="46" max="46" width="4.59765625" customWidth="1"/>
    <col min="47" max="47" width="5" customWidth="1"/>
    <col min="48" max="48" width="5.09765625" customWidth="1"/>
    <col min="49" max="49" width="4.296875" customWidth="1"/>
    <col min="50" max="50" width="5.09765625" customWidth="1"/>
    <col min="51" max="51" width="4.59765625" customWidth="1"/>
    <col min="52" max="52" width="5" customWidth="1"/>
    <col min="53" max="53" width="5.09765625" customWidth="1"/>
    <col min="54" max="54" width="4.296875" customWidth="1"/>
    <col min="55" max="55" width="3.59765625" customWidth="1"/>
    <col min="56" max="16384" width="9" hidden="1"/>
  </cols>
  <sheetData>
    <row r="1" spans="1:55" ht="16.350000000000001" customHeight="1"/>
    <row r="2" spans="1:55" ht="13.8">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ht="13.8">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ht="13.8">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3.8"/>
    <row r="7" spans="1:55" ht="13.8"/>
    <row r="8" spans="1:55" ht="13.8">
      <c r="B8" s="213"/>
      <c r="C8" t="s">
        <v>1870</v>
      </c>
      <c r="G8" s="212"/>
      <c r="H8" s="212"/>
      <c r="I8" s="212"/>
      <c r="J8" s="212"/>
      <c r="K8" s="212"/>
      <c r="L8" s="212"/>
      <c r="M8" s="212"/>
      <c r="N8" s="212"/>
      <c r="O8" s="212"/>
      <c r="P8" s="212"/>
      <c r="Q8" s="212"/>
      <c r="R8" s="212"/>
      <c r="S8" s="212"/>
      <c r="T8" s="212"/>
      <c r="U8" s="212"/>
      <c r="V8" s="212"/>
      <c r="W8" s="212"/>
      <c r="X8" s="212"/>
      <c r="Y8" s="212"/>
      <c r="Z8" s="212"/>
      <c r="AA8" s="212"/>
      <c r="AB8" s="212"/>
      <c r="AC8" s="212"/>
      <c r="AD8" s="212"/>
      <c r="AE8" s="212"/>
      <c r="AF8" s="212"/>
      <c r="AG8" s="212"/>
      <c r="AH8" s="212"/>
      <c r="AI8" s="212"/>
      <c r="AJ8" s="212"/>
      <c r="AK8" s="212"/>
      <c r="AL8" s="212"/>
      <c r="AM8" s="212"/>
      <c r="AN8" s="212"/>
      <c r="AO8" s="212"/>
      <c r="AP8" s="212"/>
      <c r="AQ8" s="212"/>
      <c r="AR8" s="212"/>
      <c r="AS8" s="212"/>
      <c r="AT8" s="212"/>
      <c r="AU8" s="212"/>
      <c r="AV8" s="212"/>
      <c r="AW8" s="212"/>
      <c r="AX8" s="212"/>
      <c r="AY8" s="212"/>
      <c r="AZ8" s="212"/>
      <c r="BA8" s="212"/>
      <c r="BB8" s="212"/>
    </row>
    <row r="9" spans="1:55" ht="17.399999999999999">
      <c r="B9" s="215"/>
      <c r="C9" t="s">
        <v>1871</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2">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7.399999999999999">
      <c r="B11" s="216" t="s">
        <v>8</v>
      </c>
      <c r="C11" s="217" t="s">
        <v>11</v>
      </c>
      <c r="D11" s="217" t="s">
        <v>1872</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2">
      <c r="A12" s="29"/>
      <c r="B12" s="137" t="s">
        <v>1873</v>
      </c>
      <c r="C12" s="134" t="s">
        <v>37</v>
      </c>
      <c r="D12" s="218">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4"/>
      <c r="AF12" s="78"/>
      <c r="AG12" s="78"/>
      <c r="AH12" s="78"/>
      <c r="AI12" s="78"/>
      <c r="AJ12" s="78"/>
      <c r="AK12" s="219"/>
      <c r="AL12" s="78"/>
      <c r="AM12" s="78"/>
      <c r="AN12" s="78"/>
      <c r="AO12" s="78"/>
      <c r="AP12" s="78"/>
      <c r="AQ12" s="78"/>
      <c r="AR12" s="78"/>
      <c r="AS12" s="78"/>
      <c r="AT12" s="78"/>
      <c r="AU12" s="78"/>
      <c r="AV12" s="78"/>
      <c r="AW12" s="91"/>
      <c r="AX12" s="91"/>
      <c r="AY12" s="91"/>
      <c r="AZ12" s="91"/>
      <c r="BA12" s="91"/>
      <c r="BB12" s="91"/>
    </row>
    <row r="13" spans="1:55" ht="16.2">
      <c r="A13" s="29"/>
      <c r="B13" s="137" t="s">
        <v>1874</v>
      </c>
      <c r="C13" s="134" t="s">
        <v>123</v>
      </c>
      <c r="D13" s="218">
        <v>22</v>
      </c>
      <c r="E13" s="78"/>
      <c r="F13" s="78"/>
      <c r="G13" s="78"/>
      <c r="H13" s="214"/>
      <c r="I13" s="78"/>
      <c r="J13" s="78"/>
      <c r="K13" s="78"/>
      <c r="L13" s="91"/>
      <c r="M13" s="78"/>
      <c r="N13" s="78"/>
      <c r="O13" s="78"/>
      <c r="P13" s="78"/>
      <c r="Q13" s="78"/>
      <c r="R13" s="78"/>
      <c r="S13" s="78"/>
      <c r="T13" s="78"/>
      <c r="U13" s="78"/>
      <c r="V13" s="219"/>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2">
      <c r="A14" s="29"/>
      <c r="B14" s="137" t="s">
        <v>1875</v>
      </c>
      <c r="C14" s="134" t="s">
        <v>182</v>
      </c>
      <c r="D14" s="218">
        <v>16</v>
      </c>
      <c r="E14" s="78"/>
      <c r="F14" s="78"/>
      <c r="G14" s="78"/>
      <c r="H14" s="78"/>
      <c r="I14" s="78"/>
      <c r="J14" s="78"/>
      <c r="K14" s="78"/>
      <c r="L14" s="91"/>
      <c r="M14" s="78"/>
      <c r="N14" s="78"/>
      <c r="O14" s="78"/>
      <c r="P14" s="214"/>
      <c r="Q14" s="78"/>
      <c r="R14" s="78"/>
      <c r="S14" s="78"/>
      <c r="T14" s="78"/>
      <c r="U14" s="78"/>
      <c r="V14" s="219"/>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2">
      <c r="A15" s="29"/>
      <c r="B15" s="220" t="s">
        <v>310</v>
      </c>
      <c r="C15" s="134" t="s">
        <v>311</v>
      </c>
      <c r="D15" s="218">
        <v>12</v>
      </c>
      <c r="E15" s="78"/>
      <c r="F15" s="78"/>
      <c r="G15" s="78"/>
      <c r="H15" s="78"/>
      <c r="I15" s="78"/>
      <c r="J15" s="78"/>
      <c r="K15" s="78"/>
      <c r="L15" s="91"/>
      <c r="M15" s="214"/>
      <c r="N15" s="78"/>
      <c r="O15" s="78"/>
      <c r="P15" s="78"/>
      <c r="Q15" s="78"/>
      <c r="R15" s="78"/>
      <c r="S15" s="78"/>
      <c r="T15" s="78"/>
      <c r="U15" s="78"/>
      <c r="V15" s="219"/>
      <c r="W15" s="78"/>
      <c r="X15" s="78"/>
      <c r="Y15" s="78"/>
      <c r="Z15" s="78"/>
      <c r="AA15" s="78"/>
      <c r="AB15" s="214"/>
      <c r="AC15" s="78"/>
      <c r="AD15" s="78"/>
      <c r="AE15" s="78"/>
      <c r="AF15" s="78"/>
      <c r="AG15" s="78"/>
      <c r="AH15" s="78"/>
      <c r="AI15" s="78"/>
      <c r="AJ15" s="78"/>
      <c r="AK15" s="219"/>
      <c r="AL15" s="78"/>
      <c r="AM15" s="78"/>
      <c r="AN15" s="78"/>
      <c r="AO15" s="78"/>
      <c r="AP15" s="78"/>
      <c r="AQ15" s="78"/>
      <c r="AR15" s="78"/>
      <c r="AS15" s="78"/>
      <c r="AT15" s="78"/>
      <c r="AU15" s="78"/>
      <c r="AV15" s="78"/>
      <c r="AW15" s="91"/>
      <c r="AX15" s="91"/>
      <c r="AY15" s="91"/>
      <c r="AZ15" s="91"/>
      <c r="BA15" s="91"/>
      <c r="BB15" s="91"/>
    </row>
    <row r="16" spans="1:55" ht="16.2" outlineLevel="1">
      <c r="A16" s="29"/>
      <c r="B16" s="221" t="s">
        <v>310</v>
      </c>
      <c r="C16" s="222" t="s">
        <v>1876</v>
      </c>
      <c r="D16" s="218">
        <v>8</v>
      </c>
      <c r="E16" s="78"/>
      <c r="F16" s="78"/>
      <c r="G16" s="78"/>
      <c r="H16" s="78"/>
      <c r="I16" s="78"/>
      <c r="J16" s="78"/>
      <c r="K16" s="78"/>
      <c r="L16" s="91"/>
      <c r="M16" s="214"/>
      <c r="N16" s="78"/>
      <c r="O16" s="78"/>
      <c r="P16" s="78"/>
      <c r="Q16" s="78"/>
      <c r="R16" s="78"/>
      <c r="S16" s="78"/>
      <c r="T16" s="78"/>
      <c r="U16" s="78"/>
      <c r="V16" s="219"/>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2" outlineLevel="1">
      <c r="A17" s="29"/>
      <c r="B17" s="221" t="s">
        <v>310</v>
      </c>
      <c r="C17" s="222" t="s">
        <v>1877</v>
      </c>
      <c r="D17" s="218">
        <v>4</v>
      </c>
      <c r="E17" s="78"/>
      <c r="F17" s="78"/>
      <c r="G17" s="78"/>
      <c r="H17" s="78"/>
      <c r="I17" s="78"/>
      <c r="J17" s="78"/>
      <c r="K17" s="78"/>
      <c r="L17" s="91"/>
      <c r="M17" s="78"/>
      <c r="N17" s="78"/>
      <c r="O17" s="78"/>
      <c r="P17" s="78"/>
      <c r="Q17" s="78"/>
      <c r="R17" s="78"/>
      <c r="S17" s="78"/>
      <c r="T17" s="78"/>
      <c r="U17" s="78"/>
      <c r="V17" s="78"/>
      <c r="W17" s="78"/>
      <c r="X17" s="78"/>
      <c r="Y17" s="78"/>
      <c r="Z17" s="78"/>
      <c r="AA17" s="78"/>
      <c r="AB17" s="214"/>
      <c r="AC17" s="78"/>
      <c r="AD17" s="78"/>
      <c r="AE17" s="78"/>
      <c r="AF17" s="78"/>
      <c r="AG17" s="78"/>
      <c r="AH17" s="78"/>
      <c r="AI17" s="78"/>
      <c r="AJ17" s="78"/>
      <c r="AK17" s="219"/>
      <c r="AL17" s="78"/>
      <c r="AM17" s="78"/>
      <c r="AN17" s="78"/>
      <c r="AO17" s="78"/>
      <c r="AP17" s="78"/>
      <c r="AQ17" s="78"/>
      <c r="AR17" s="78"/>
      <c r="AS17" s="78"/>
      <c r="AT17" s="78"/>
      <c r="AU17" s="78"/>
      <c r="AV17" s="78"/>
      <c r="AW17" s="91"/>
      <c r="AX17" s="91"/>
      <c r="AY17" s="91"/>
      <c r="AZ17" s="91"/>
      <c r="BA17" s="91"/>
      <c r="BB17" s="91"/>
    </row>
    <row r="18" spans="1:54" ht="16.2">
      <c r="A18" s="29"/>
      <c r="B18" s="137" t="s">
        <v>1878</v>
      </c>
      <c r="C18" s="134" t="s">
        <v>325</v>
      </c>
      <c r="D18" s="218">
        <v>30</v>
      </c>
      <c r="E18" s="78"/>
      <c r="F18" s="78"/>
      <c r="G18" s="78"/>
      <c r="H18" s="78"/>
      <c r="I18" s="78"/>
      <c r="J18" s="78"/>
      <c r="K18" s="78"/>
      <c r="L18" s="91"/>
      <c r="M18" s="78"/>
      <c r="N18" s="78"/>
      <c r="O18" s="78"/>
      <c r="P18" s="78"/>
      <c r="Q18" s="78"/>
      <c r="R18" s="78"/>
      <c r="S18" s="78"/>
      <c r="T18" s="78"/>
      <c r="U18" s="78"/>
      <c r="V18" s="78"/>
      <c r="W18" s="214"/>
      <c r="X18" s="78"/>
      <c r="Y18" s="78"/>
      <c r="Z18" s="78"/>
      <c r="AA18" s="78"/>
      <c r="AB18" s="214"/>
      <c r="AC18" s="78"/>
      <c r="AD18" s="78"/>
      <c r="AE18" s="214"/>
      <c r="AF18" s="78"/>
      <c r="AG18" s="78"/>
      <c r="AH18" s="78"/>
      <c r="AI18" s="78"/>
      <c r="AJ18" s="78"/>
      <c r="AK18" s="78"/>
      <c r="AL18" s="78"/>
      <c r="AM18" s="78"/>
      <c r="AN18" s="78"/>
      <c r="AO18" s="219"/>
      <c r="AP18" s="78"/>
      <c r="AQ18" s="78"/>
      <c r="AR18" s="78"/>
      <c r="AS18" s="78"/>
      <c r="AT18" s="78"/>
      <c r="AU18" s="219"/>
      <c r="AV18" s="78"/>
      <c r="AW18" s="91"/>
      <c r="AX18" s="91"/>
      <c r="AY18" s="91"/>
      <c r="AZ18" s="91"/>
      <c r="BA18" s="91"/>
      <c r="BB18" s="91"/>
    </row>
    <row r="19" spans="1:54" ht="16.2" outlineLevel="1">
      <c r="A19" s="29"/>
      <c r="B19" s="223" t="s">
        <v>1878</v>
      </c>
      <c r="C19" s="222" t="s">
        <v>1876</v>
      </c>
      <c r="D19" s="218">
        <v>20</v>
      </c>
      <c r="E19" s="78"/>
      <c r="F19" s="78"/>
      <c r="G19" s="78"/>
      <c r="H19" s="78"/>
      <c r="I19" s="78"/>
      <c r="J19" s="78"/>
      <c r="K19" s="78"/>
      <c r="L19" s="91"/>
      <c r="M19" s="78"/>
      <c r="N19" s="78"/>
      <c r="O19" s="78"/>
      <c r="P19" s="78"/>
      <c r="Q19" s="78"/>
      <c r="R19" s="78"/>
      <c r="S19" s="78"/>
      <c r="T19" s="78"/>
      <c r="U19" s="78"/>
      <c r="V19" s="78"/>
      <c r="W19" s="214"/>
      <c r="X19" s="78"/>
      <c r="Y19" s="78"/>
      <c r="Z19" s="78"/>
      <c r="AA19" s="78"/>
      <c r="AB19" s="78"/>
      <c r="AC19" s="78"/>
      <c r="AD19" s="78"/>
      <c r="AE19" s="78"/>
      <c r="AF19" s="78"/>
      <c r="AG19" s="78"/>
      <c r="AH19" s="78"/>
      <c r="AI19" s="78"/>
      <c r="AJ19" s="78"/>
      <c r="AK19" s="78"/>
      <c r="AL19" s="78"/>
      <c r="AM19" s="78"/>
      <c r="AN19" s="78"/>
      <c r="AO19" s="219"/>
      <c r="AP19" s="78"/>
      <c r="AQ19" s="78"/>
      <c r="AR19" s="78"/>
      <c r="AS19" s="78"/>
      <c r="AT19" s="78"/>
      <c r="AU19" s="78"/>
      <c r="AV19" s="78"/>
      <c r="AW19" s="91"/>
      <c r="AX19" s="91"/>
      <c r="AY19" s="91"/>
      <c r="AZ19" s="91"/>
      <c r="BA19" s="91"/>
      <c r="BB19" s="91"/>
    </row>
    <row r="20" spans="1:54" ht="16.2" outlineLevel="1">
      <c r="A20" s="29"/>
      <c r="B20" s="223" t="s">
        <v>1878</v>
      </c>
      <c r="C20" s="222" t="s">
        <v>1877</v>
      </c>
      <c r="D20" s="218">
        <v>6</v>
      </c>
      <c r="E20" s="78"/>
      <c r="F20" s="78"/>
      <c r="G20" s="78"/>
      <c r="H20" s="78"/>
      <c r="I20" s="78"/>
      <c r="J20" s="78"/>
      <c r="K20" s="78"/>
      <c r="L20" s="91"/>
      <c r="M20" s="78"/>
      <c r="N20" s="78"/>
      <c r="O20" s="78"/>
      <c r="P20" s="78"/>
      <c r="Q20" s="78"/>
      <c r="R20" s="78"/>
      <c r="S20" s="78"/>
      <c r="T20" s="78"/>
      <c r="U20" s="78"/>
      <c r="V20" s="78"/>
      <c r="W20" s="78"/>
      <c r="X20" s="78"/>
      <c r="Y20" s="78"/>
      <c r="Z20" s="78"/>
      <c r="AA20" s="78"/>
      <c r="AB20" s="214"/>
      <c r="AC20" s="78"/>
      <c r="AD20" s="78"/>
      <c r="AE20" s="78"/>
      <c r="AF20" s="78"/>
      <c r="AG20" s="78"/>
      <c r="AH20" s="78"/>
      <c r="AI20" s="78"/>
      <c r="AJ20" s="78"/>
      <c r="AK20" s="78"/>
      <c r="AL20" s="78"/>
      <c r="AM20" s="78"/>
      <c r="AN20" s="78"/>
      <c r="AO20" s="78"/>
      <c r="AP20" s="78"/>
      <c r="AQ20" s="78"/>
      <c r="AR20" s="78"/>
      <c r="AS20" s="78"/>
      <c r="AT20" s="78"/>
      <c r="AU20" s="219"/>
      <c r="AV20" s="78"/>
      <c r="AW20" s="91"/>
      <c r="AX20" s="91"/>
      <c r="AY20" s="91"/>
      <c r="AZ20" s="91"/>
      <c r="BA20" s="91"/>
      <c r="BB20" s="91"/>
    </row>
    <row r="21" spans="1:54" ht="16.2" outlineLevel="1">
      <c r="A21" s="29"/>
      <c r="B21" s="223" t="s">
        <v>1878</v>
      </c>
      <c r="C21" s="222" t="s">
        <v>1879</v>
      </c>
      <c r="D21" s="218">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4"/>
      <c r="AF21" s="78"/>
      <c r="AG21" s="78"/>
      <c r="AH21" s="78"/>
      <c r="AI21" s="78"/>
      <c r="AJ21" s="78"/>
      <c r="AK21" s="78"/>
      <c r="AL21" s="78"/>
      <c r="AM21" s="78"/>
      <c r="AN21" s="78"/>
      <c r="AO21" s="219"/>
      <c r="AP21" s="78"/>
      <c r="AQ21" s="78"/>
      <c r="AR21" s="78"/>
      <c r="AS21" s="78"/>
      <c r="AT21" s="78"/>
      <c r="AU21" s="78"/>
      <c r="AV21" s="78"/>
      <c r="AW21" s="91"/>
      <c r="AX21" s="91"/>
      <c r="AY21" s="91"/>
      <c r="AZ21" s="91"/>
      <c r="BA21" s="91"/>
      <c r="BB21" s="91"/>
    </row>
    <row r="22" spans="1:54" ht="16.2">
      <c r="A22" s="29"/>
      <c r="B22" s="137" t="s">
        <v>1878</v>
      </c>
      <c r="C22" s="134" t="s">
        <v>331</v>
      </c>
      <c r="D22" s="218">
        <v>7</v>
      </c>
      <c r="E22" s="78"/>
      <c r="F22" s="78"/>
      <c r="G22" s="78"/>
      <c r="H22" s="78"/>
      <c r="I22" s="78"/>
      <c r="J22" s="78"/>
      <c r="K22" s="78"/>
      <c r="L22" s="91"/>
      <c r="M22" s="78"/>
      <c r="N22" s="78"/>
      <c r="O22" s="78"/>
      <c r="P22" s="78"/>
      <c r="Q22" s="78"/>
      <c r="R22" s="214"/>
      <c r="S22" s="78"/>
      <c r="T22" s="78"/>
      <c r="U22" s="78"/>
      <c r="V22" s="78"/>
      <c r="W22" s="78"/>
      <c r="X22" s="78"/>
      <c r="Y22" s="78"/>
      <c r="Z22" s="78"/>
      <c r="AA22" s="219"/>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2">
      <c r="A23" s="29"/>
      <c r="B23" s="137" t="s">
        <v>1880</v>
      </c>
      <c r="C23" s="134" t="s">
        <v>333</v>
      </c>
      <c r="D23" s="218">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4"/>
      <c r="AF23" s="78"/>
      <c r="AG23" s="78"/>
      <c r="AH23" s="78"/>
      <c r="AI23" s="78"/>
      <c r="AJ23" s="78"/>
      <c r="AK23" s="78"/>
      <c r="AL23" s="78"/>
      <c r="AM23" s="78"/>
      <c r="AN23" s="78"/>
      <c r="AO23" s="78"/>
      <c r="AP23" s="78"/>
      <c r="AQ23" s="78"/>
      <c r="AR23" s="78"/>
      <c r="AS23" s="78"/>
      <c r="AT23" s="78"/>
      <c r="AU23" s="219"/>
      <c r="AV23" s="78"/>
      <c r="AW23" s="91"/>
      <c r="AX23" s="91"/>
      <c r="AY23" s="91"/>
      <c r="AZ23" s="91"/>
      <c r="BA23" s="91"/>
      <c r="BB23" s="91"/>
    </row>
    <row r="24" spans="1:54" ht="16.2">
      <c r="A24" s="29"/>
      <c r="B24" s="137" t="s">
        <v>26</v>
      </c>
      <c r="C24" s="136" t="s">
        <v>335</v>
      </c>
      <c r="D24" s="218">
        <v>32</v>
      </c>
      <c r="E24" s="78"/>
      <c r="F24" s="78"/>
      <c r="G24" s="78"/>
      <c r="H24" s="78"/>
      <c r="I24" s="78"/>
      <c r="J24" s="78"/>
      <c r="K24" s="214"/>
      <c r="L24" s="91"/>
      <c r="M24" s="78"/>
      <c r="N24" s="78"/>
      <c r="O24" s="78"/>
      <c r="P24" s="78"/>
      <c r="Q24" s="219"/>
      <c r="R24" s="78"/>
      <c r="S24" s="78"/>
      <c r="T24" s="78"/>
      <c r="U24" s="78"/>
      <c r="V24" s="78"/>
      <c r="W24" s="214"/>
      <c r="X24" s="78"/>
      <c r="Y24" s="78"/>
      <c r="Z24" s="78"/>
      <c r="AA24" s="78"/>
      <c r="AB24" s="214"/>
      <c r="AC24" s="78"/>
      <c r="AD24" s="78"/>
      <c r="AE24" s="219"/>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2" outlineLevel="1">
      <c r="A25" s="29"/>
      <c r="B25" s="223" t="s">
        <v>26</v>
      </c>
      <c r="C25" s="222" t="s">
        <v>1876</v>
      </c>
      <c r="D25" s="218">
        <v>1</v>
      </c>
      <c r="E25" s="78"/>
      <c r="F25" s="78"/>
      <c r="G25" s="78"/>
      <c r="H25" s="78"/>
      <c r="I25" s="78"/>
      <c r="J25" s="78"/>
      <c r="K25" s="214"/>
      <c r="L25" s="91"/>
      <c r="M25" s="78"/>
      <c r="N25" s="78"/>
      <c r="O25" s="78"/>
      <c r="P25" s="78"/>
      <c r="Q25" s="219"/>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2" outlineLevel="1">
      <c r="A26" s="29"/>
      <c r="B26" s="223" t="s">
        <v>26</v>
      </c>
      <c r="C26" s="222" t="s">
        <v>1877</v>
      </c>
      <c r="D26" s="218">
        <v>15</v>
      </c>
      <c r="E26" s="78"/>
      <c r="F26" s="78"/>
      <c r="G26" s="78"/>
      <c r="H26" s="78"/>
      <c r="I26" s="78"/>
      <c r="J26" s="78"/>
      <c r="K26" s="78"/>
      <c r="L26" s="91"/>
      <c r="M26" s="78"/>
      <c r="N26" s="78"/>
      <c r="O26" s="78"/>
      <c r="P26" s="78"/>
      <c r="Q26" s="78"/>
      <c r="R26" s="78"/>
      <c r="S26" s="78"/>
      <c r="T26" s="78"/>
      <c r="U26" s="78"/>
      <c r="V26" s="78"/>
      <c r="W26" s="214"/>
      <c r="X26" s="78"/>
      <c r="Y26" s="78"/>
      <c r="Z26" s="78"/>
      <c r="AA26" s="78"/>
      <c r="AB26" s="78"/>
      <c r="AC26" s="78"/>
      <c r="AD26" s="78"/>
      <c r="AE26" s="219"/>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2" outlineLevel="1">
      <c r="A27" s="29"/>
      <c r="B27" s="223" t="s">
        <v>26</v>
      </c>
      <c r="C27" s="222" t="s">
        <v>1879</v>
      </c>
      <c r="D27" s="218">
        <v>3</v>
      </c>
      <c r="E27" s="78"/>
      <c r="F27" s="78"/>
      <c r="G27" s="78"/>
      <c r="H27" s="78"/>
      <c r="I27" s="78"/>
      <c r="J27" s="78"/>
      <c r="K27" s="78"/>
      <c r="L27" s="91"/>
      <c r="M27" s="78"/>
      <c r="N27" s="78"/>
      <c r="O27" s="78"/>
      <c r="P27" s="78"/>
      <c r="Q27" s="78"/>
      <c r="R27" s="78"/>
      <c r="S27" s="78"/>
      <c r="T27" s="78"/>
      <c r="U27" s="78"/>
      <c r="V27" s="78"/>
      <c r="W27" s="78"/>
      <c r="X27" s="78"/>
      <c r="Y27" s="78"/>
      <c r="Z27" s="78"/>
      <c r="AA27" s="78"/>
      <c r="AB27" s="214"/>
      <c r="AC27" s="78"/>
      <c r="AD27" s="78"/>
      <c r="AE27" s="219"/>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48.6" outlineLevel="1">
      <c r="A28" s="29"/>
      <c r="B28" s="223" t="s">
        <v>26</v>
      </c>
      <c r="C28" s="224" t="s">
        <v>1881</v>
      </c>
      <c r="D28" s="218">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2">
      <c r="A29" s="29"/>
      <c r="B29" s="137" t="s">
        <v>26</v>
      </c>
      <c r="C29" s="136" t="s">
        <v>368</v>
      </c>
      <c r="D29" s="218">
        <v>22</v>
      </c>
      <c r="E29" s="78"/>
      <c r="F29" s="78"/>
      <c r="G29" s="78"/>
      <c r="H29" s="78"/>
      <c r="I29" s="78"/>
      <c r="J29" s="78"/>
      <c r="K29" s="214"/>
      <c r="L29" s="91"/>
      <c r="M29" s="78"/>
      <c r="N29" s="78"/>
      <c r="O29" s="78"/>
      <c r="P29" s="78"/>
      <c r="Q29" s="219"/>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2">
      <c r="A30" s="29"/>
      <c r="B30" s="223" t="s">
        <v>26</v>
      </c>
      <c r="C30" s="222" t="s">
        <v>1876</v>
      </c>
      <c r="D30" s="218">
        <v>11</v>
      </c>
      <c r="E30" s="78"/>
      <c r="F30" s="78"/>
      <c r="G30" s="78"/>
      <c r="H30" s="78"/>
      <c r="I30" s="78"/>
      <c r="J30" s="78"/>
      <c r="K30" s="214"/>
      <c r="L30" s="91"/>
      <c r="M30" s="78"/>
      <c r="N30" s="78"/>
      <c r="O30" s="78"/>
      <c r="P30" s="78"/>
      <c r="Q30" s="219"/>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4.8">
      <c r="A31" s="29"/>
      <c r="B31" s="223" t="s">
        <v>26</v>
      </c>
      <c r="C31" s="224" t="s">
        <v>1882</v>
      </c>
      <c r="D31" s="218">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2">
      <c r="A32" s="29"/>
      <c r="B32" s="137" t="s">
        <v>26</v>
      </c>
      <c r="C32" s="136" t="s">
        <v>379</v>
      </c>
      <c r="D32" s="218">
        <v>14</v>
      </c>
      <c r="E32" s="78"/>
      <c r="F32" s="214"/>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2">
      <c r="A33" s="29"/>
      <c r="B33" s="223" t="s">
        <v>26</v>
      </c>
      <c r="C33" s="222" t="s">
        <v>1883</v>
      </c>
      <c r="D33" s="218">
        <v>3</v>
      </c>
      <c r="E33" s="78"/>
      <c r="F33" s="78"/>
      <c r="G33" s="78"/>
      <c r="H33" s="78"/>
      <c r="I33" s="78"/>
      <c r="J33" s="78"/>
      <c r="K33" s="78"/>
      <c r="L33" s="91"/>
      <c r="M33" s="78"/>
      <c r="N33" s="78"/>
      <c r="O33" s="78"/>
      <c r="P33" s="78"/>
      <c r="Q33" s="219"/>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2">
      <c r="A34" s="29"/>
      <c r="B34" s="223" t="s">
        <v>26</v>
      </c>
      <c r="C34" s="222" t="s">
        <v>1876</v>
      </c>
      <c r="D34" s="218">
        <v>1</v>
      </c>
      <c r="E34" s="78"/>
      <c r="F34" s="214"/>
      <c r="G34" s="78"/>
      <c r="H34" s="78"/>
      <c r="I34" s="78"/>
      <c r="J34" s="78"/>
      <c r="K34" s="219"/>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64.8">
      <c r="A35" s="29"/>
      <c r="B35" s="223" t="s">
        <v>26</v>
      </c>
      <c r="C35" s="224" t="s">
        <v>1884</v>
      </c>
      <c r="D35" s="218">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2.4">
      <c r="A36" s="29"/>
      <c r="B36" s="137" t="s">
        <v>26</v>
      </c>
      <c r="C36" s="225" t="s">
        <v>1909</v>
      </c>
      <c r="D36" s="218">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2">
      <c r="A37" s="29"/>
      <c r="B37" s="137" t="s">
        <v>1875</v>
      </c>
      <c r="C37" s="136" t="s">
        <v>1885</v>
      </c>
      <c r="D37" s="218" t="s">
        <v>1886</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ht="13.8"/>
  </sheetData>
  <conditionalFormatting sqref="E12:BB37">
    <cfRule type="cellIs" dxfId="8" priority="2" operator="greaterThan">
      <formula>0</formula>
    </cfRule>
  </conditionalFormatting>
  <conditionalFormatting sqref="G7:BB7">
    <cfRule type="cellIs" dxfId="7"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6" ma:contentTypeDescription="Criar um novo documento." ma:contentTypeScope="" ma:versionID="95532445d1c4dd84829ad3b27207b8a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aec3fc9e3415bc4fcc9d16bf7a5d9193"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18AAA335-33FC-43F6-B758-4189E316609B}">
  <ds:schemaRefs>
    <ds:schemaRef ds:uri="0683c779-04fc-4b63-89c9-6c25ffa1c0a4"/>
    <ds:schemaRef ds:uri="http://www.w3.org/XML/1998/namespace"/>
    <ds:schemaRef ds:uri="http://schemas.microsoft.com/office/infopath/2007/PartnerControls"/>
    <ds:schemaRef ds:uri="http://schemas.microsoft.com/office/2006/documentManagement/types"/>
    <ds:schemaRef ds:uri="http://purl.org/dc/terms/"/>
    <ds:schemaRef ds:uri="http://purl.org/dc/elements/1.1/"/>
    <ds:schemaRef ds:uri="http://schemas.microsoft.com/sharepoint/v3"/>
    <ds:schemaRef ds:uri="6ea7b29d-57ec-408d-9ea9-cf73b04f66d5"/>
    <ds:schemaRef ds:uri="http://schemas.openxmlformats.org/package/2006/metadata/core-propertie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0DCC7C14-350E-4683-8FC8-1A25ADF0748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Plano_V1</vt:lpstr>
      <vt:lpstr>1. Status Resumo FY24</vt:lpstr>
      <vt:lpstr>Auxiliar</vt:lpstr>
      <vt:lpstr>Aux - Pivots2</vt:lpstr>
      <vt:lpstr>2. Status Detalhe Campos FY24</vt:lpstr>
      <vt:lpstr>Sheet1</vt:lpstr>
      <vt:lpstr>Aux - pivots1</vt:lpstr>
      <vt:lpstr>Caderno Testes FY24</vt:lpstr>
      <vt:lpstr>2. Controlos Corporativos - GD</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2025-02-24T22:41:24Z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